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metadata.xml" ContentType="application/vnd.openxmlformats-officedocument.spreadsheetml.sheetMetadata+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27"/>
  </bookViews>
  <sheets>
    <sheet name="Ammo Input" sheetId="1" r:id="rId1"/>
    <sheet name="Ammo Stats" sheetId="2" r:id="rId2"/>
    <sheet name="Calcs" sheetId="3" r:id="rId3"/>
    <sheet name="Tables" sheetId="4" r:id="rId4"/>
    <sheet name="Ingredient stats" sheetId="5" r:id="rId5"/>
  </sheets>
  <definedNames>
    <definedName name="IngredientStats">'Ingredient stats'!$A$2:$D$13</definedName>
    <definedName name="AmmoTypeFactors">Tables!$A$2:$R$46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Administrator</author>
  </authors>
  <commentList>
    <comment ref="G1" authorId="0">
      <text>
        <r>
          <rPr>
            <sz val="10"/>
            <rFont val="宋体"/>
            <charset val="134"/>
          </rPr>
          <t>Estimate 1.5* for sabots</t>
        </r>
      </text>
    </comment>
    <comment ref="K1" authorId="0">
      <text>
        <r>
          <rPr>
            <sz val="10"/>
            <rFont val="宋体"/>
            <charset val="134"/>
          </rPr>
          <t>Used where reliable RHA data can't be found or where performance isn't suited for being measured at 100 m (such as pistol and shotgun ammo).</t>
        </r>
      </text>
    </comment>
    <comment ref="L1" authorId="0">
      <text>
        <r>
          <rPr>
            <sz val="10"/>
            <rFont val="宋体"/>
            <charset val="134"/>
          </rPr>
          <t>Approximations (use when lacking IRL data):
- FMJ/HE RHA = Gel pen * 0.011
- AP(I) RHA = FMJ * 2
- Sabot RHA = AP * 1.75
- HP RHA = FMJ * 0.5
- Slug RHA = Buck * 1.5</t>
        </r>
      </text>
    </comment>
    <comment ref="M1" authorId="0">
      <text>
        <r>
          <rPr>
            <sz val="10"/>
            <rFont val="宋体"/>
            <charset val="134"/>
          </rPr>
          <t>In kg TNT equivalent
Only for:
- HE
- Thermobaric
- Incendiary (use liters of incendiary)
- Foam (also liters)</t>
        </r>
      </text>
    </comment>
    <comment ref="O1" authorId="0">
      <text>
        <r>
          <rPr>
            <sz val="10"/>
            <rFont val="宋体"/>
            <charset val="134"/>
          </rPr>
          <t>How many rounds to produce with one crafting bill.</t>
        </r>
      </text>
    </comment>
    <comment ref="L3" authorId="0">
      <text>
        <r>
          <rPr>
            <sz val="10"/>
            <rFont val="宋体"/>
            <charset val="134"/>
          </rPr>
          <t>Assuming pure steel core, slightly larger and slower than 5.45 AP
-NIA</t>
        </r>
      </text>
    </comment>
    <comment ref="L6" authorId="0">
      <text>
        <r>
          <rPr>
            <sz val="10"/>
            <rFont val="宋体"/>
            <charset val="134"/>
          </rPr>
          <t>Non-AP version would be 15, between 5.45 AP and sabot
-NIA</t>
        </r>
      </text>
    </comment>
    <comment ref="E11" authorId="0">
      <text>
        <r>
          <rPr>
            <sz val="10"/>
            <rFont val="宋体"/>
            <charset val="134"/>
          </rPr>
          <t>Based on SolidWorks CAD mockup of a plastic sabot around a sub-caliber full-length tungsten penetrator
-sumghai</t>
        </r>
      </text>
    </comment>
    <comment ref="G11" authorId="0">
      <text>
        <r>
          <rPr>
            <sz val="10"/>
            <rFont val="宋体"/>
            <charset val="134"/>
          </rPr>
          <t>Educated guess.
The Yugoslavian EDO-1 project demonstrated a railgun capable of launching 700g projectile at up to 3000 m/s.
Our projectile are magnitudes smaller in size and mass, and should theoretically be able to attain much higher velocities (up to 4500 m/s as per EDO-1). For balance reasons, we are scaling the CE:FT velocity down to 1800~2500 m/s, depending on caliber.
-sumghai</t>
        </r>
      </text>
    </comment>
    <comment ref="H11" authorId="0">
      <text>
        <r>
          <rPr>
            <sz val="10"/>
            <rFont val="宋体"/>
            <charset val="134"/>
          </rPr>
          <t>Based on SolidWorks CAD mockup of a plastic sabot around a sub-caliber full-length tungsten penetrator
-sumghai</t>
        </r>
      </text>
    </comment>
    <comment ref="I11" authorId="0">
      <text>
        <r>
          <rPr>
            <sz val="10"/>
            <rFont val="宋体"/>
            <charset val="134"/>
          </rPr>
          <t>Based on SolidWorks CAD mockup of a plastic sabot around a sub-caliber full-length tungsten penetrator
-sumghai</t>
        </r>
      </text>
    </comment>
    <comment ref="L11" authorId="0">
      <text>
        <r>
          <rPr>
            <sz val="10"/>
            <rFont val="宋体"/>
            <charset val="134"/>
          </rPr>
          <t>http://www.longrods.ch/perfcalc.php
-sumghai</t>
        </r>
      </text>
    </comment>
    <comment ref="L15" authorId="0">
      <text>
        <r>
          <rPr>
            <sz val="10"/>
            <rFont val="宋体"/>
            <charset val="134"/>
          </rPr>
          <t>Assuming pure steel core, slightly larger and slower than 5.45 AP
-NIA</t>
        </r>
      </text>
    </comment>
    <comment ref="L16" authorId="0">
      <text>
        <r>
          <rPr>
            <sz val="10"/>
            <rFont val="宋体"/>
            <charset val="134"/>
          </rPr>
          <t>Assuming pure steel core, slightly larger and slower than 5.45 AP
-NIA</t>
        </r>
      </text>
    </comment>
    <comment ref="E19" authorId="0">
      <text>
        <r>
          <rPr>
            <sz val="10"/>
            <rFont val="宋体"/>
            <charset val="134"/>
          </rPr>
          <t>Based on SolidWorks CAD mockup of a plastic sabot around a sub-caliber full-length tungsten penetrator
-sumghai</t>
        </r>
      </text>
    </comment>
    <comment ref="G19" authorId="0">
      <text>
        <r>
          <rPr>
            <sz val="10"/>
            <rFont val="宋体"/>
            <charset val="134"/>
          </rPr>
          <t>Educated guess.
The Yugoslavian EDO-1 project demonstrated a railgun capable of launching 700g projectile at up to 3000 m/s.
Our projectile are magnitudes smaller in size and mass, and should theoretically be able to attain much higher velocities (up to 4500 m/s as per EDO-1). For balance reasons, we are scaling the CE:FT velocity down to 1800~2500 m/s, depending on caliber.
-sumghai</t>
        </r>
      </text>
    </comment>
    <comment ref="H19" authorId="0">
      <text>
        <r>
          <rPr>
            <sz val="10"/>
            <rFont val="宋体"/>
            <charset val="134"/>
          </rPr>
          <t>Based on SolidWorks CAD mockup of a plastic sabot around a sub-caliber full-length tungsten penetrator
-sumghai</t>
        </r>
      </text>
    </comment>
    <comment ref="I19" authorId="0">
      <text>
        <r>
          <rPr>
            <sz val="10"/>
            <rFont val="宋体"/>
            <charset val="134"/>
          </rPr>
          <t>Based on SolidWorks CAD mockup of a plastic sabot around a sub-caliber full-length tungsten penetrator
-sumghai</t>
        </r>
      </text>
    </comment>
    <comment ref="E30" authorId="0">
      <text>
        <r>
          <rPr>
            <sz val="10"/>
            <rFont val="宋体"/>
            <charset val="134"/>
          </rPr>
          <t>Based on SolidWorks CAD mockup of a plastic sabot around a sub-caliber full-length tungsten penetrator
-sumghai</t>
        </r>
      </text>
    </comment>
    <comment ref="G30" authorId="0">
      <text>
        <r>
          <rPr>
            <sz val="10"/>
            <rFont val="宋体"/>
            <charset val="134"/>
          </rPr>
          <t>Educated guess.
The Yugoslavian EDO-1 project demonstrated a railgun capable of launching 700g projectile at up to 3000 m/s.
Our projectile are magnitudes smaller in size and mass, and should theoretically be able to attain much higher velocities (up to 4500 m/s as per EDO-1). For balance reasons, we are scaling the CE:FT velocity down to 1800~2500 m/s, depending on caliber.
-sumghai</t>
        </r>
      </text>
    </comment>
    <comment ref="H30" authorId="0">
      <text>
        <r>
          <rPr>
            <sz val="10"/>
            <rFont val="宋体"/>
            <charset val="134"/>
          </rPr>
          <t>Based on SolidWorks CAD mockup of a plastic sabot around a sub-caliber full-length tungsten penetrator
-sumghai</t>
        </r>
      </text>
    </comment>
    <comment ref="I30" authorId="0">
      <text>
        <r>
          <rPr>
            <sz val="10"/>
            <rFont val="宋体"/>
            <charset val="134"/>
          </rPr>
          <t>Based on SolidWorks CAD mockup of a plastic sabot around a sub-caliber full-length tungsten penetrator
-sumghai</t>
        </r>
      </text>
    </comment>
    <comment ref="L30" authorId="0">
      <text>
        <r>
          <rPr>
            <sz val="10"/>
            <rFont val="宋体"/>
            <charset val="134"/>
          </rPr>
          <t xml:space="preserve">http://www.longrods.ch/perfcalc.php
-sumghai
</t>
        </r>
      </text>
    </comment>
    <comment ref="L31" authorId="0">
      <text>
        <r>
          <rPr>
            <sz val="10"/>
            <rFont val="宋体"/>
            <charset val="134"/>
          </rPr>
          <t>Steel rod about on par with with .50 AP in terms of velocity/diameter
-NIA</t>
        </r>
      </text>
    </comment>
    <comment ref="L32" authorId="0">
      <text>
        <r>
          <rPr>
            <sz val="10"/>
            <rFont val="宋体"/>
            <charset val="134"/>
          </rPr>
          <t>Steel rod about on par with with .50 AP in terms of velocity/diameter
-NIA</t>
        </r>
      </text>
    </comment>
    <comment ref="L33" authorId="0">
      <text>
        <r>
          <rPr>
            <sz val="10"/>
            <rFont val="宋体"/>
            <charset val="134"/>
          </rPr>
          <t>Steel rod about on par with with .50 AP in terms of velocity/diameter
-NIA</t>
        </r>
      </text>
    </comment>
    <comment ref="L34" authorId="0">
      <text>
        <r>
          <rPr>
            <sz val="10"/>
            <rFont val="宋体"/>
            <charset val="134"/>
          </rPr>
          <t>Steel rod about on par with with .50 AP in terms of velocity/diameter
-NIA</t>
        </r>
      </text>
    </comment>
    <comment ref="M39" authorId="0">
      <text>
        <r>
          <rPr>
            <sz val="10"/>
            <rFont val="宋体"/>
            <charset val="134"/>
          </rPr>
          <t>Handwaved as some kind of potent incendiary element with a better yield relative to weight.
- N7</t>
        </r>
      </text>
    </comment>
    <comment ref="C45" authorId="0">
      <text>
        <r>
          <rPr>
            <sz val="10"/>
            <rFont val="宋体"/>
            <charset val="134"/>
          </rPr>
          <t>Sci-fi multi-shot cartridge. Use length of cell/canister divided by shots per cell/canister:
80/15 = 5.333
-sumghai</t>
        </r>
      </text>
    </comment>
    <comment ref="C46" authorId="0">
      <text>
        <r>
          <rPr>
            <sz val="10"/>
            <rFont val="宋体"/>
            <charset val="134"/>
          </rPr>
          <t>Sci-fi multi-shot cartridge. Use length of cell/canister divided by shots per cell/canister:
140/30 = 4.666
-sumghai</t>
        </r>
      </text>
    </comment>
    <comment ref="C47" authorId="0">
      <text>
        <r>
          <rPr>
            <sz val="10"/>
            <rFont val="宋体"/>
            <charset val="134"/>
          </rPr>
          <t>Sci-fi multi-shot cartridge. Use length of cell/canister divided by shots per cell/canister:
100/3 = 33.333
-sumghai</t>
        </r>
      </text>
    </comment>
    <comment ref="E47" authorId="0">
      <text>
        <r>
          <rPr>
            <sz val="10"/>
            <rFont val="宋体"/>
            <charset val="134"/>
          </rPr>
          <t>Sci-fi multi-shot cartridge. Use mass of cell/canister divided by shots per cell/canister:
400/3 = 133.333
-sumghai</t>
        </r>
      </text>
    </comment>
    <comment ref="F47" authorId="0">
      <text>
        <r>
          <rPr>
            <sz val="10"/>
            <rFont val="宋体"/>
            <charset val="134"/>
          </rPr>
          <t>Sci-fi content. Use nominal diameter of the "bolt" of plasma gas.
-sumghai</t>
        </r>
      </text>
    </comment>
    <comment ref="G47" authorId="0">
      <text>
        <r>
          <rPr>
            <sz val="10"/>
            <rFont val="宋体"/>
            <charset val="134"/>
          </rPr>
          <t>Sci-fi content.
There are no consistent velocities for plasma bolts/beams, so we hand pick a value that is far superior compared with standard rifle/pistol cartridges, while on a similar or slightly better level to vanilla RimWorld or CE's own cartridge-based charged rounds (for balance reasons)
-sumghai</t>
        </r>
      </text>
    </comment>
    <comment ref="H47" authorId="0">
      <text>
        <r>
          <rPr>
            <sz val="10"/>
            <rFont val="宋体"/>
            <charset val="134"/>
          </rPr>
          <t>Sci-fi content.
Bullet mass is derived from:
- Volume of cylinder of plasma bolt (diameter, length) in mm3
- Density of compressed hydrogen gas in g/mm3
We use compressed hydrogen plasma , as ordinary hydrogen gas has extremely low density; at 35 MPa, this is about 23 kg
Source: https://www.sciencedirect.com/topics/engineering/compressed-hydrogen
-sumghai</t>
        </r>
      </text>
    </comment>
    <comment ref="I47" authorId="0">
      <text>
        <r>
          <rPr>
            <sz val="10"/>
            <rFont val="宋体"/>
            <charset val="134"/>
          </rPr>
          <t>Sci-fi content. Use nominal length of the "bolt" of plasma gas.
-sumghai</t>
        </r>
      </text>
    </comment>
    <comment ref="M47" authorId="0">
      <text>
        <r>
          <rPr>
            <sz val="10"/>
            <rFont val="宋体"/>
            <charset val="134"/>
          </rPr>
          <t>Sci-fi content.
TNT equivalent of the plasma "blast" effect is (for our purposes) the mass of the compressed hydrogen gas (in grams), multipled by the RE factor for C4/RDX (1.34)
-sumghai</t>
        </r>
      </text>
    </comment>
    <comment ref="C48" authorId="0">
      <text>
        <r>
          <rPr>
            <sz val="10"/>
            <rFont val="宋体"/>
            <charset val="134"/>
          </rPr>
          <t>Sci-fi multi-shot cartridge. Use length of cell/canister divided by shots per cell/canister:
80/15 = 5.333
-sumghai</t>
        </r>
      </text>
    </comment>
    <comment ref="E48" authorId="0">
      <text>
        <r>
          <rPr>
            <sz val="10"/>
            <rFont val="宋体"/>
            <charset val="134"/>
          </rPr>
          <t>Sci-fi multi-shot cartridge. Use mass of cell/canister divided by shots per cell/canister:
200/15 = 13.333
-sumghai</t>
        </r>
      </text>
    </comment>
    <comment ref="F48" authorId="0">
      <text>
        <r>
          <rPr>
            <sz val="10"/>
            <rFont val="宋体"/>
            <charset val="134"/>
          </rPr>
          <t>Sci-fi content. Use nominal diameter of the "bolt" of plasma gas.
-sumghai</t>
        </r>
      </text>
    </comment>
    <comment ref="G48" authorId="0">
      <text>
        <r>
          <rPr>
            <sz val="10"/>
            <rFont val="宋体"/>
            <charset val="134"/>
          </rPr>
          <t>Sci-fi content.
There are no consistent velocities for plasma bolts/beams, so we hand pick a value that is far superior compared with standard rifle/pistol cartridges, while on a similar or slightly better level to vanilla RimWorld or CE's own cartridge-based charged rounds (for balance reasons)
-sumghai</t>
        </r>
      </text>
    </comment>
    <comment ref="H48" authorId="0">
      <text>
        <r>
          <rPr>
            <sz val="10"/>
            <rFont val="宋体"/>
            <charset val="134"/>
          </rPr>
          <t>Sci-fi content.
Bullet mass is derived from:
- Volume of cylinder of plasma bolt (diameter, length) in mm3
- Density of compressed hydrogen gas in g/mm3
We use compressed hydrogen plasma , as ordinary hydrogen gas has extremely low density; at 35 MPa, this is about 23 kg
Source: https://www.sciencedirect.com/topics/engineering/compressed-hydrogen
-sumghai</t>
        </r>
      </text>
    </comment>
    <comment ref="I48" authorId="0">
      <text>
        <r>
          <rPr>
            <sz val="10"/>
            <rFont val="宋体"/>
            <charset val="134"/>
          </rPr>
          <t>Sci-fi content. Use nominal length of the "bolt" of plasma gas.
-sumghai</t>
        </r>
      </text>
    </comment>
    <comment ref="C49" authorId="0">
      <text>
        <r>
          <rPr>
            <sz val="10"/>
            <rFont val="宋体"/>
            <charset val="134"/>
          </rPr>
          <t>Sci-fi multi-shot cartridge. Use length of cell/canister divided by shots per cell/canister:
140/30 = 4.666
-sumghai</t>
        </r>
      </text>
    </comment>
    <comment ref="E49" authorId="0">
      <text>
        <r>
          <rPr>
            <sz val="10"/>
            <rFont val="宋体"/>
            <charset val="134"/>
          </rPr>
          <t>Sci-fi multi-shot cartridge. Use mass of cell/canister divided by shots per cell/canister:
500/30 = 16.666
-sumghai</t>
        </r>
      </text>
    </comment>
    <comment ref="F49" authorId="0">
      <text>
        <r>
          <rPr>
            <sz val="10"/>
            <rFont val="宋体"/>
            <charset val="134"/>
          </rPr>
          <t>Sci-fi content. Use nominal diameter of the "bolt" of plasma gas.
-sumghai</t>
        </r>
      </text>
    </comment>
    <comment ref="G49" authorId="0">
      <text>
        <r>
          <rPr>
            <sz val="10"/>
            <rFont val="宋体"/>
            <charset val="134"/>
          </rPr>
          <t>Sci-fi content.
There are no consistent velocities for plasma bolts/beams, so we hand pick a value that is far superior compared with standard rifle/pistol cartridges, while on a similar or slightly better level to vanilla RimWorld or CE's own cartridge-based charged rounds (for balance reasons)
-sumghai</t>
        </r>
      </text>
    </comment>
    <comment ref="H49" authorId="0">
      <text>
        <r>
          <rPr>
            <sz val="10"/>
            <rFont val="宋体"/>
            <charset val="134"/>
          </rPr>
          <t>Sci-fi content.
Bullet mass is derived from:
- Volume of cylinder of plasma bolt (diameter, length) in mm3
- Density of compressed hydrogen gas in g/mm3
We use compressed hydrogen plasma , as ordinary hydrogen gas has extremely low density; at 35 MPa, this is about 23 kg
Source: https://www.sciencedirect.com/topics/engineering/compressed-hydrogen
-sumghai</t>
        </r>
      </text>
    </comment>
    <comment ref="I49" authorId="0">
      <text>
        <r>
          <rPr>
            <sz val="10"/>
            <rFont val="宋体"/>
            <charset val="134"/>
          </rPr>
          <t>Sci-fi content. Use nominal length of the "bolt" of plasma gas.
-sumghai</t>
        </r>
      </text>
    </comment>
    <comment ref="C51" authorId="0">
      <text>
        <r>
          <rPr>
            <sz val="10"/>
            <rFont val="宋体"/>
            <charset val="134"/>
          </rPr>
          <t>Estimate based on image.
- N7</t>
        </r>
      </text>
    </comment>
    <comment ref="E51" authorId="0">
      <text>
        <r>
          <rPr>
            <sz val="10"/>
            <rFont val="宋体"/>
            <charset val="134"/>
          </rPr>
          <t>162g total cartridge mass
http://www.armaco.bg/en/product/medium-caliber-ammunitions-c35/20x42mm-p606
-Sam</t>
        </r>
      </text>
    </comment>
    <comment ref="M51" authorId="0">
      <text>
        <r>
          <rPr>
            <sz val="10"/>
            <rFont val="宋体"/>
            <charset val="134"/>
          </rPr>
          <t>Estimate based on size.
- N7</t>
        </r>
      </text>
    </comment>
    <comment ref="E52" authorId="0">
      <text>
        <r>
          <rPr>
            <sz val="10"/>
            <rFont val="宋体"/>
            <charset val="134"/>
          </rPr>
          <t>162g total cartridge mass
-Sam</t>
        </r>
      </text>
    </comment>
    <comment ref="E53" authorId="0">
      <text>
        <r>
          <rPr>
            <sz val="10"/>
            <rFont val="宋体"/>
            <charset val="134"/>
          </rPr>
          <t>162g total cartridge mass
-Sam</t>
        </r>
      </text>
    </comment>
    <comment ref="L53" authorId="0">
      <text>
        <r>
          <rPr>
            <sz val="10"/>
            <rFont val="宋体"/>
            <charset val="134"/>
          </rPr>
          <t>The SAPHEI round apparently goes through 6mm of steel
- Sam</t>
        </r>
      </text>
    </comment>
    <comment ref="E54" authorId="0">
      <text>
        <r>
          <rPr>
            <sz val="10"/>
            <rFont val="宋体"/>
            <charset val="134"/>
          </rPr>
          <t>162g total cartridge mass
-Sam</t>
        </r>
      </text>
    </comment>
    <comment ref="M54" authorId="0">
      <text>
        <r>
          <rPr>
            <sz val="10"/>
            <rFont val="宋体"/>
            <charset val="134"/>
          </rPr>
          <t>28g of Hexal P30 which is 73% RDX
x1.35 TNT factor
- Sam</t>
        </r>
      </text>
    </comment>
    <comment ref="E55" authorId="0">
      <text>
        <r>
          <rPr>
            <sz val="10"/>
            <rFont val="宋体"/>
            <charset val="134"/>
          </rPr>
          <t>162g total cartridge mass
-Sam</t>
        </r>
      </text>
    </comment>
    <comment ref="M55" authorId="0">
      <text>
        <r>
          <rPr>
            <sz val="10"/>
            <rFont val="宋体"/>
            <charset val="134"/>
          </rPr>
          <t>28g of Hexal P30 which is 73% RDX
- Sam</t>
        </r>
      </text>
    </comment>
    <comment ref="E56" authorId="0">
      <text>
        <r>
          <rPr>
            <sz val="10"/>
            <rFont val="宋体"/>
            <charset val="134"/>
          </rPr>
          <t>162g total cartridge mass
-Sam</t>
        </r>
      </text>
    </comment>
    <comment ref="M56" authorId="0">
      <text>
        <r>
          <rPr>
            <sz val="10"/>
            <rFont val="宋体"/>
            <charset val="134"/>
          </rPr>
          <t>28g of Hexal P30 which is 73% RDX
- Sam</t>
        </r>
      </text>
    </comment>
    <comment ref="M57" authorId="0">
      <text>
        <r>
          <rPr>
            <sz val="10"/>
            <rFont val="宋体"/>
            <charset val="134"/>
          </rPr>
          <t>Educated guess
-NIA</t>
        </r>
      </text>
    </comment>
    <comment ref="M60" authorId="0">
      <text>
        <r>
          <rPr>
            <sz val="10"/>
            <rFont val="宋体"/>
            <charset val="134"/>
          </rPr>
          <t>Estimate based on size.
- N7</t>
        </r>
      </text>
    </comment>
    <comment ref="M64" authorId="0">
      <text>
        <r>
          <rPr>
            <sz val="10"/>
            <rFont val="宋体"/>
            <charset val="134"/>
          </rPr>
          <t>32g of RDX
https://kintex.bg/product-4-242
- N7</t>
        </r>
      </text>
    </comment>
    <comment ref="L65" authorId="0">
      <text>
        <r>
          <rPr>
            <sz val="10"/>
            <rFont val="宋体"/>
            <charset val="134"/>
          </rPr>
          <t>Increased from 30 for balance reasons. The source is not solid enough.
https://www.armatec.bg/products/30-mm-round-io-30
- Sam</t>
        </r>
      </text>
    </comment>
    <comment ref="M68" authorId="0">
      <text>
        <r>
          <rPr>
            <sz val="10"/>
            <rFont val="宋体"/>
            <charset val="134"/>
          </rPr>
          <t>Estimate based on size.
- Sam</t>
        </r>
      </text>
    </comment>
    <comment ref="M72" authorId="0">
      <text>
        <r>
          <rPr>
            <sz val="10"/>
            <rFont val="宋体"/>
            <charset val="134"/>
          </rPr>
          <t>38g of Comp B filling
- Sam</t>
        </r>
      </text>
    </comment>
    <comment ref="M73" authorId="0">
      <text>
        <r>
          <rPr>
            <sz val="10"/>
            <rFont val="宋体"/>
            <charset val="134"/>
          </rPr>
          <t>45g Comp a (assumed it's similar enough to comp b)
- Boldi</t>
        </r>
      </text>
    </comment>
    <comment ref="N73" authorId="0">
      <text>
        <r>
          <rPr>
            <sz val="10"/>
            <rFont val="宋体"/>
            <charset val="134"/>
          </rPr>
          <t>Estimated from geometry of copper liner from a cross-section. - N7</t>
        </r>
      </text>
    </comment>
    <comment ref="M76" authorId="0">
      <text>
        <r>
          <rPr>
            <sz val="10"/>
            <rFont val="宋体"/>
            <charset val="134"/>
          </rPr>
          <t>35g of unknown explosive.
- N7</t>
        </r>
      </text>
    </comment>
    <comment ref="M79" authorId="0">
      <text>
        <r>
          <rPr>
            <sz val="10"/>
            <rFont val="宋体"/>
            <charset val="134"/>
          </rPr>
          <t>34g of Comp A
x1.6 factor
- Sam</t>
        </r>
      </text>
    </comment>
    <comment ref="M83" authorId="0">
      <text>
        <r>
          <rPr>
            <sz val="10"/>
            <rFont val="宋体"/>
            <charset val="134"/>
          </rPr>
          <t>48g of Hexal (A-IX-1)
x1.35 factor
- Sam</t>
        </r>
      </text>
    </comment>
    <comment ref="C86" authorId="0">
      <text>
        <r>
          <rPr>
            <sz val="10"/>
            <rFont val="宋体"/>
            <charset val="134"/>
          </rPr>
          <t>Guesstimate based on reference photos, relative to known bullet diameter (50 mm)
-sumghai</t>
        </r>
      </text>
    </comment>
    <comment ref="D86" authorId="0">
      <text>
        <r>
          <rPr>
            <sz val="10"/>
            <rFont val="宋体"/>
            <charset val="134"/>
          </rPr>
          <t>Guesstimate based on reference photos
-sumghai</t>
        </r>
      </text>
    </comment>
    <comment ref="E86" authorId="0">
      <text>
        <r>
          <rPr>
            <sz val="10"/>
            <rFont val="宋体"/>
            <charset val="134"/>
          </rPr>
          <t>Guesstimate based on reference photos and relative comparison with other grenade rounds
-sumghai</t>
        </r>
      </text>
    </comment>
    <comment ref="G86" authorId="0">
      <text>
        <r>
          <rPr>
            <sz val="10"/>
            <rFont val="宋体"/>
            <charset val="134"/>
          </rPr>
          <t>Source: https://www.mobt3ath.com/uplode/book/book-52484.pdf
-sumghai</t>
        </r>
      </text>
    </comment>
    <comment ref="H86" authorId="0">
      <text>
        <r>
          <rPr>
            <sz val="10"/>
            <rFont val="宋体"/>
            <charset val="134"/>
          </rPr>
          <t>Source: https://www.mobt3ath.com/uplode/book/book-52484.pdf
-sumghai</t>
        </r>
      </text>
    </comment>
    <comment ref="C93" authorId="0">
      <text>
        <r>
          <rPr>
            <sz val="10"/>
            <rFont val="宋体"/>
            <charset val="134"/>
          </rPr>
          <t xml:space="preserve">Case alone is 88.9mm long.
- N7 </t>
        </r>
      </text>
    </comment>
    <comment ref="E93" authorId="0">
      <text>
        <r>
          <rPr>
            <sz val="10"/>
            <rFont val="宋体"/>
            <charset val="134"/>
          </rPr>
          <t>700 grains of black powder + estimated weight of brass cartridge and primer.
- N7</t>
        </r>
      </text>
    </comment>
    <comment ref="L93" authorId="0">
      <text>
        <r>
          <rPr>
            <sz val="10"/>
            <rFont val="宋体"/>
            <charset val="134"/>
          </rPr>
          <t>Blind guess.
- N7</t>
        </r>
      </text>
    </comment>
    <comment ref="C94" authorId="0">
      <text>
        <r>
          <rPr>
            <sz val="10"/>
            <rFont val="宋体"/>
            <charset val="134"/>
          </rPr>
          <t xml:space="preserve">Case alone is 88.9mm long.
- N7 </t>
        </r>
      </text>
    </comment>
    <comment ref="E94" authorId="0">
      <text>
        <r>
          <rPr>
            <sz val="10"/>
            <rFont val="宋体"/>
            <charset val="134"/>
          </rPr>
          <t>700 grains of black powder + estimated weight of brass cartridge and primer.
- N7</t>
        </r>
      </text>
    </comment>
    <comment ref="L94" authorId="0">
      <text>
        <r>
          <rPr>
            <sz val="10"/>
            <rFont val="宋体"/>
            <charset val="134"/>
          </rPr>
          <t>Blind guess.
- N7</t>
        </r>
      </text>
    </comment>
    <comment ref="C95" authorId="0">
      <text>
        <r>
          <rPr>
            <sz val="10"/>
            <rFont val="宋体"/>
            <charset val="134"/>
          </rPr>
          <t xml:space="preserve">Case alone is 88.9mm long.
- N7 </t>
        </r>
      </text>
    </comment>
    <comment ref="E95" authorId="0">
      <text>
        <r>
          <rPr>
            <sz val="10"/>
            <rFont val="宋体"/>
            <charset val="134"/>
          </rPr>
          <t>700 grains of black powder + estimated weight of brass cartridge and primer.
- N7</t>
        </r>
      </text>
    </comment>
    <comment ref="L95" authorId="0">
      <text>
        <r>
          <rPr>
            <sz val="10"/>
            <rFont val="宋体"/>
            <charset val="134"/>
          </rPr>
          <t>Blind guess.
- N7</t>
        </r>
      </text>
    </comment>
    <comment ref="C96" authorId="0">
      <text>
        <r>
          <rPr>
            <sz val="10"/>
            <rFont val="宋体"/>
            <charset val="134"/>
          </rPr>
          <t xml:space="preserve">Case alone is 88.9mm long.
- N7 </t>
        </r>
      </text>
    </comment>
    <comment ref="E96" authorId="0">
      <text>
        <r>
          <rPr>
            <sz val="10"/>
            <rFont val="宋体"/>
            <charset val="134"/>
          </rPr>
          <t>700 grains of black powder + estimated weight of brass cartridge and primer.
- N7</t>
        </r>
      </text>
    </comment>
    <comment ref="L96" authorId="0">
      <text>
        <r>
          <rPr>
            <sz val="10"/>
            <rFont val="宋体"/>
            <charset val="134"/>
          </rPr>
          <t>Blind guess.
- N7</t>
        </r>
      </text>
    </comment>
    <comment ref="C97" authorId="0">
      <text>
        <r>
          <rPr>
            <sz val="10"/>
            <rFont val="宋体"/>
            <charset val="134"/>
          </rPr>
          <t xml:space="preserve">Case alone is 88.9mm long.
- N7 </t>
        </r>
      </text>
    </comment>
    <comment ref="E97" authorId="0">
      <text>
        <r>
          <rPr>
            <sz val="10"/>
            <rFont val="宋体"/>
            <charset val="134"/>
          </rPr>
          <t>700 grains of black powder + estimated weight of brass cartridge and primer.
- N7</t>
        </r>
      </text>
    </comment>
    <comment ref="L97" authorId="0">
      <text>
        <r>
          <rPr>
            <sz val="10"/>
            <rFont val="宋体"/>
            <charset val="134"/>
          </rPr>
          <t>Blind guess.
- N7</t>
        </r>
      </text>
    </comment>
    <comment ref="E103" authorId="0">
      <text>
        <r>
          <rPr>
            <sz val="10"/>
            <rFont val="宋体"/>
            <charset val="134"/>
          </rPr>
          <t>Estimate based on similar cartridges.
- N7</t>
        </r>
      </text>
    </comment>
    <comment ref="L109" authorId="0">
      <text>
        <r>
          <rPr>
            <sz val="10"/>
            <rFont val="宋体"/>
            <charset val="134"/>
          </rPr>
          <t>Manufacturer states &gt;10mm plate @ 500m, educated guess
-NIA</t>
        </r>
      </text>
    </comment>
    <comment ref="L110" authorId="0">
      <text>
        <r>
          <rPr>
            <sz val="10"/>
            <rFont val="宋体"/>
            <charset val="134"/>
          </rPr>
          <t>Manufacturer states &gt;10mm plate @ 500m, educated guess
-NIA</t>
        </r>
      </text>
    </comment>
    <comment ref="H119" authorId="0">
      <text>
        <r>
          <rPr>
            <sz val="10"/>
            <rFont val="宋体"/>
            <charset val="134"/>
          </rPr>
          <t>https://www.inetres.com/gp/military/infantry/mg/50_ammo.html
(M8 API)</t>
        </r>
      </text>
    </comment>
    <comment ref="L119" authorId="0">
      <text>
        <r>
          <rPr>
            <sz val="10"/>
            <rFont val="宋体"/>
            <charset val="134"/>
          </rPr>
          <t>Non-linear estimation based on M2 AP:
25.4@200m
17.8@600m
7.6@1500m
Also:
https://forum.warthunder.com/index.php?/topic/450272-fwd-may132019-additional-50-cal-m2-ap-bullet-penetration/
-Sam</t>
        </r>
      </text>
    </comment>
    <comment ref="H120" authorId="0">
      <text>
        <r>
          <rPr>
            <sz val="10"/>
            <rFont val="宋体"/>
            <charset val="134"/>
          </rPr>
          <t>https://www.inetres.com/gp/military/infantry/mg/50_ammo.html
(M8 API)</t>
        </r>
      </text>
    </comment>
    <comment ref="L120" authorId="0">
      <text>
        <r>
          <rPr>
            <sz val="10"/>
            <rFont val="宋体"/>
            <charset val="134"/>
          </rPr>
          <t>Educated guess based on M2 AP:
25.4@200m
17.8@600m
7.6@1500m
-NIA</t>
        </r>
      </text>
    </comment>
    <comment ref="L122" authorId="0">
      <text>
        <r>
          <rPr>
            <sz val="10"/>
            <rFont val="宋体"/>
            <charset val="134"/>
          </rPr>
          <t>Non-linear estimation based on the SLAP round:
34@500m
23@1200m
-Sam</t>
        </r>
      </text>
    </comment>
    <comment ref="L124" authorId="0">
      <text>
        <r>
          <rPr>
            <sz val="10"/>
            <rFont val="宋体"/>
            <charset val="134"/>
          </rPr>
          <t>The mark 2 steel core projectile can go through 23.2mm of steel at 100m.
https://en.wikipedia.org/wiki/.55_Boys
- Sam</t>
        </r>
      </text>
    </comment>
    <comment ref="L129" authorId="0">
      <text>
        <r>
          <rPr>
            <sz val="10"/>
            <rFont val="宋体"/>
            <charset val="134"/>
          </rPr>
          <t>The tungsten core projectile can go through 30mm of steel at 100m
https://www.forgottenweapons.com/the-model-ss41-a-czech-bullpup-anti-tank-rifle-for-the-ss/
- Sam</t>
        </r>
      </text>
    </comment>
    <comment ref="L134" authorId="0">
      <text>
        <r>
          <rPr>
            <sz val="10"/>
            <rFont val="宋体"/>
            <charset val="134"/>
          </rPr>
          <t>Guess based on BS-41 (tungsten core) penetrating 40mm of RHA</t>
        </r>
      </text>
    </comment>
    <comment ref="L135" authorId="0">
      <text>
        <r>
          <rPr>
            <sz val="10"/>
            <rFont val="宋体"/>
            <charset val="134"/>
          </rPr>
          <t>Guess based on BS-41 (tungsten core) penetrating 40mm of RHA</t>
        </r>
      </text>
    </comment>
    <comment ref="F137" authorId="0">
      <text>
        <r>
          <rPr>
            <sz val="10"/>
            <rFont val="宋体"/>
            <charset val="134"/>
          </rPr>
          <t>Values are guesswork -NIA</t>
        </r>
      </text>
    </comment>
    <comment ref="L139" authorId="0">
      <text>
        <r>
          <rPr>
            <sz val="10"/>
            <rFont val="宋体"/>
            <charset val="134"/>
          </rPr>
          <t>Estimate.
- N7</t>
        </r>
      </text>
    </comment>
    <comment ref="E149" authorId="0">
      <text>
        <r>
          <rPr>
            <sz val="10"/>
            <rFont val="宋体"/>
            <charset val="134"/>
          </rPr>
          <t>205g total cartridge mass
http://www.armaco.bg/en/product/medium-caliber-ammunitions-c35/20x82-mm-saphei-p575
- Sam</t>
        </r>
      </text>
    </comment>
    <comment ref="L150" authorId="0">
      <text>
        <r>
          <rPr>
            <sz val="10"/>
            <rFont val="宋体"/>
            <charset val="134"/>
          </rPr>
          <t>AP round rated for 20mm RHA at "normal engagement ranges" (~300m?)
- N7</t>
        </r>
      </text>
    </comment>
    <comment ref="E153" authorId="0">
      <text>
        <r>
          <rPr>
            <sz val="10"/>
            <rFont val="宋体"/>
            <charset val="134"/>
          </rPr>
          <t>Guesswork based on the Hispano
- N7</t>
        </r>
      </text>
    </comment>
    <comment ref="L153" authorId="0">
      <text>
        <r>
          <rPr>
            <sz val="10"/>
            <rFont val="宋体"/>
            <charset val="134"/>
          </rPr>
          <t>Guess based on the 20mm Mauser
- N7</t>
        </r>
      </text>
    </comment>
    <comment ref="L159" authorId="0">
      <text>
        <r>
          <rPr>
            <sz val="10"/>
            <rFont val="宋体"/>
            <charset val="134"/>
          </rPr>
          <t>M56A3/A4 HEI 
"12.7 mm (0.50 in) RHA penetration at 0 degree obliquity at 104 m (341 ft) range"
Source: https://en.wikipedia.org/wiki/M61_Vulcan#Ammunition
-sumghai</t>
        </r>
      </text>
    </comment>
    <comment ref="A165" authorId="0">
      <text>
        <r>
          <rPr>
            <sz val="10"/>
            <rFont val="宋体"/>
            <charset val="134"/>
          </rPr>
          <t>Sources:
https://www.gtdsinc.com/wp-content/uploads/2017/03/CBC-Medium-Calibers-30mm-No-Text2.pdf
https://www.maxam.net/pl/expal/denmark/munitions/medium_caliber_cannon_ammunition
-sumghai</t>
        </r>
      </text>
    </comment>
    <comment ref="L166" authorId="0">
      <text>
        <r>
          <rPr>
            <sz val="10"/>
            <rFont val="宋体"/>
            <charset val="134"/>
          </rPr>
          <t>36mm @ 100m for "20mm Oerlikon"
Source: http://tankarchives.blogspot.com/2014/02/penetration-part-5.html
-sumghai</t>
        </r>
      </text>
    </comment>
    <comment ref="A177" authorId="0">
      <text>
        <r>
          <rPr>
            <sz val="10"/>
            <rFont val="宋体"/>
            <charset val="134"/>
          </rPr>
          <t>https://en.wikipedia.org/wiki/23%C3%97152mmB
- Sam</t>
        </r>
      </text>
    </comment>
    <comment ref="L177" authorId="0">
      <text>
        <r>
          <rPr>
            <sz val="10"/>
            <rFont val="宋体"/>
            <charset val="134"/>
          </rPr>
          <t>15 mm RHA at 1000 m range and 30 degree impact angle
45mm
http://www.steelbeasts.com/sbwiki/index.php/Ammunition_Data#Autocannon</t>
        </r>
      </text>
    </comment>
    <comment ref="C182" authorId="1">
      <text>
        <r>
          <rPr>
            <sz val="9"/>
            <rFont val="宋体"/>
            <charset val="134"/>
          </rPr>
          <t xml:space="preserve">https://ordtech-industries.com/wp-content/uploads/2023/09/OMI-30X170mm.pdf
-PolandBall
</t>
        </r>
      </text>
    </comment>
    <comment ref="D182" authorId="1">
      <text>
        <r>
          <rPr>
            <sz val="9"/>
            <rFont val="宋体"/>
            <charset val="134"/>
          </rPr>
          <t xml:space="preserve">https://i.imgur.com/71OQeiZ.png
-PolandBall
</t>
        </r>
      </text>
    </comment>
    <comment ref="E182" authorId="1">
      <text>
        <r>
          <rPr>
            <sz val="9"/>
            <rFont val="宋体"/>
            <charset val="134"/>
          </rPr>
          <t xml:space="preserve">https://ordtech-industries.com/wp-content/uploads/2023/09/OMI-30X170mm.pdf
-PolandBall
</t>
        </r>
      </text>
    </comment>
    <comment ref="G182" authorId="1">
      <text>
        <r>
          <rPr>
            <sz val="9"/>
            <rFont val="宋体"/>
            <charset val="134"/>
          </rPr>
          <t xml:space="preserve">https://ordtech-industries.com/wp-content/uploads/2023/09/OMI-30X170mm.pdf
-Polandball
</t>
        </r>
      </text>
    </comment>
    <comment ref="H182" authorId="1">
      <text>
        <r>
          <rPr>
            <sz val="9"/>
            <rFont val="宋体"/>
            <charset val="134"/>
          </rPr>
          <t xml:space="preserve">https://ordtech-industries.com/wp-content/uploads/2023/09/OMI-30X170mm.pdf
-PolandBall
</t>
        </r>
      </text>
    </comment>
    <comment ref="L182" authorId="1">
      <text>
        <r>
          <rPr>
            <sz val="9"/>
            <rFont val="宋体"/>
            <charset val="134"/>
          </rPr>
          <t xml:space="preserve">No suitable penetration data for 30x170mm AP was found, so approximate values were derived by proportionally scaling the penetration and kinetic energy data of 30x173mm rounds.
-PolandBall
</t>
        </r>
      </text>
    </comment>
    <comment ref="G184" authorId="1">
      <text>
        <r>
          <rPr>
            <sz val="9"/>
            <rFont val="宋体"/>
            <charset val="134"/>
          </rPr>
          <t xml:space="preserve">https://tankandafvnews.com/2017/09/08/from-the-vault-the-rarden-cannon/#jp-carousel-20034
-PolandBall
</t>
        </r>
      </text>
    </comment>
    <comment ref="H184" authorId="1">
      <text>
        <r>
          <rPr>
            <sz val="9"/>
            <rFont val="宋体"/>
            <charset val="134"/>
          </rPr>
          <t xml:space="preserve">https://tankandafvnews.com/2017/09/08/from-the-vault-the-rarden-cannon/#jp-carousel-20034
-PolandBall
</t>
        </r>
      </text>
    </comment>
    <comment ref="L184" authorId="1">
      <text>
        <r>
          <rPr>
            <sz val="9"/>
            <rFont val="宋体"/>
            <charset val="134"/>
          </rPr>
          <t>https://i.imgur.com/GVHxRDC.png
The penetration depth of 30x170mm for a blunt weapon calculated by the formula seems somewhat unreasonable. You may want to adjust the data appropriately.
-PolandBall</t>
        </r>
      </text>
    </comment>
    <comment ref="C186" authorId="1">
      <text>
        <r>
          <rPr>
            <sz val="9"/>
            <rFont val="宋体"/>
            <charset val="134"/>
          </rPr>
          <t xml:space="preserve">http://replica-weapons.com/replica-artillery-shells-and-projectiles/soviet-23x115-ozt-replica-shell.html
-PolandBall
</t>
        </r>
      </text>
    </comment>
    <comment ref="D186" authorId="1">
      <text>
        <r>
          <rPr>
            <sz val="9"/>
            <rFont val="宋体"/>
            <charset val="134"/>
          </rPr>
          <t xml:space="preserve">http://replica-weapons.com/replica-artillery-shells-and-projectiles/soviet-23x115-ozt-replica-shell.html
-PolandBall
</t>
        </r>
      </text>
    </comment>
    <comment ref="E186" authorId="1">
      <text>
        <r>
          <rPr>
            <sz val="9"/>
            <rFont val="宋体"/>
            <charset val="134"/>
          </rPr>
          <t xml:space="preserve">https://bulcomersks.com/military-products/ammunition/artilery-ammunitions/23x115mm-round-with-api-projectile/
-PolandBall
</t>
        </r>
      </text>
    </comment>
    <comment ref="G186" authorId="1">
      <text>
        <r>
          <rPr>
            <sz val="9"/>
            <rFont val="宋体"/>
            <charset val="134"/>
          </rPr>
          <t xml:space="preserve">https://military-history.fandom.com/wiki/Gryazev-Shipunov_GSh-23
-PolandBall
</t>
        </r>
      </text>
    </comment>
    <comment ref="H186" authorId="1">
      <text>
        <r>
          <rPr>
            <sz val="9"/>
            <rFont val="宋体"/>
            <charset val="134"/>
          </rPr>
          <t xml:space="preserve">https://bulcomersks.com/military-products/ammunition/artilery-ammunitions/23x115mm-round-with-api-projectile/
-PolandBall
</t>
        </r>
      </text>
    </comment>
    <comment ref="L186" authorId="1">
      <text>
        <r>
          <rPr>
            <sz val="9"/>
            <rFont val="宋体"/>
            <charset val="134"/>
          </rPr>
          <t xml:space="preserve">https://djvu.online/file/r8xwCZxqzbJl6?ysclid=m954ahorbr376352779
(Page180)
10 mm RHA at 200 m range and 60 degree impact angle.
I also referred to the data from War Thunder.
-PolandBall
</t>
        </r>
      </text>
    </comment>
    <comment ref="B188" authorId="1">
      <text>
        <r>
          <rPr>
            <sz val="9"/>
            <rFont val="宋体"/>
            <charset val="134"/>
          </rPr>
          <t xml:space="preserve">In reality, there is no such thing as a 23x115mm Sabot round, so the related data is simulated proportionally.
-PolandBall
</t>
        </r>
      </text>
    </comment>
    <comment ref="L188" authorId="1">
      <text>
        <r>
          <rPr>
            <sz val="9"/>
            <rFont val="宋体"/>
            <charset val="134"/>
          </rPr>
          <t xml:space="preserve">Since there is no real-world data for 23x115mm sabot rounds, I estimated the penetration of the 23x115mm sabot by scaling it proportionally based on the penetration performance of the similarly low-velocity 30x113mmB ammunition.
-PolandBall
</t>
        </r>
      </text>
    </comment>
    <comment ref="G189" authorId="1">
      <text>
        <r>
          <rPr>
            <sz val="9"/>
            <rFont val="宋体"/>
            <charset val="134"/>
          </rPr>
          <t xml:space="preserve">https://i.imgur.com/aspXATn.png
https://i.imgur.com/QSw5Smg.png
The second diagram indicates that this cannon also uses 23x115mm ammunition. The Type 23-2 cannon has been employed on the Q-5 series attack aircraft.
-PolandBall
</t>
        </r>
      </text>
    </comment>
    <comment ref="G190" authorId="1">
      <text>
        <r>
          <rPr>
            <sz val="9"/>
            <rFont val="宋体"/>
            <charset val="134"/>
          </rPr>
          <t xml:space="preserve">The six-barrel 23mm cannon from China, which also uses 23x115mm ammunition, has longer barrels compared to the Russian 23x115mm cannon, resulting in a muzzle velocity of approximately 815 m/s.
-PolandBall
</t>
        </r>
      </text>
    </comment>
    <comment ref="B192" authorId="1">
      <text>
        <r>
          <rPr>
            <sz val="9"/>
            <rFont val="宋体"/>
            <charset val="134"/>
          </rPr>
          <t xml:space="preserve">In reality, there is no such thing as a 23x115mm Sabot round, so the related data is simulated proportionally.
-PolandBall
</t>
        </r>
      </text>
    </comment>
    <comment ref="L193" authorId="0">
      <text>
        <r>
          <rPr>
            <sz val="10"/>
            <rFont val="宋体"/>
            <charset val="134"/>
          </rPr>
          <t>A good source gives a *tungsten* core round 45mm of RHA @ 100m, and another AP-T 22mm @ 500m. These are against targets angled at 60 degrees.
Neither of these are perfectly analogous to our AP and Sabot rounds, but they're a decent point of reference.
The AP-T round calls out a "structural steel" core. We've handwaved the extra penetration here as being a "hardened steel" core.
- N7
https://thesovietarmourblog.blogspot.com/p/30x165mm-cartridges.html</t>
        </r>
      </text>
    </comment>
    <comment ref="L195" authorId="0">
      <text>
        <r>
          <rPr>
            <sz val="10"/>
            <rFont val="宋体"/>
            <charset val="134"/>
          </rPr>
          <t>Based on the catalogue below and other sources, 30x165mm performs at similar chamber pressures to 30x173mm NATO. The former is slightly slower with a heavier round, and the latter a bit faster with a lighter one.
- N7
http://www.armaco.bg/en/product/medium-caliber-ammunitions-c35/30x165mm-round-sting-with-ap-t-projectile-tungsten-alloy-penetrator-p179#product</t>
        </r>
      </text>
    </comment>
    <comment ref="A197" authorId="0">
      <text>
        <r>
          <rPr>
            <sz val="10"/>
            <rFont val="宋体"/>
            <charset val="134"/>
          </rPr>
          <t xml:space="preserve">Sources:
https://www.gtdsinc.com/wp-content/uploads/2017/03/CBC-Medium-Calibers-30mm-No-Text2.pdf
https://en.wikipedia.org/wiki/GAU-8_Avenger#Specifications
-sumghai
</t>
        </r>
      </text>
    </comment>
    <comment ref="L198" authorId="0">
      <text>
        <r>
          <rPr>
            <sz val="10"/>
            <rFont val="宋体"/>
            <charset val="134"/>
          </rPr>
          <t>Extrapolated from AP-I PHA penetration @ 30° from vertical:
55mm @ 1220m
59mm @ 1000m
64mm @ 800m
69mm @ 600m
76mm @ 300m
--------------------
80mm @ 100
The actual vertical plate penetration is thus:
80 cos 30° = approx 70 mm
-sumghai</t>
        </r>
      </text>
    </comment>
    <comment ref="A221" authorId="0">
      <text>
        <r>
          <rPr>
            <sz val="10"/>
            <rFont val="宋体"/>
            <charset val="134"/>
          </rPr>
          <t>Likely intended to be the .41 Short, fired from the Remington Model 95</t>
        </r>
      </text>
    </comment>
    <comment ref="L221" authorId="0">
      <text>
        <r>
          <rPr>
            <sz val="10"/>
            <rFont val="宋体"/>
            <charset val="134"/>
          </rPr>
          <t>Fuck this cartridge
-NIA</t>
        </r>
      </text>
    </comment>
    <comment ref="L222" authorId="0">
      <text>
        <r>
          <rPr>
            <sz val="10"/>
            <rFont val="宋体"/>
            <charset val="134"/>
          </rPr>
          <t>Fuck this cartridge
-NIA</t>
        </r>
      </text>
    </comment>
    <comment ref="L223" authorId="0">
      <text>
        <r>
          <rPr>
            <sz val="10"/>
            <rFont val="宋体"/>
            <charset val="134"/>
          </rPr>
          <t>Fuck this cartridge
-NIA</t>
        </r>
      </text>
    </comment>
    <comment ref="K224" authorId="0">
      <text>
        <r>
          <rPr>
            <sz val="10"/>
            <rFont val="宋体"/>
            <charset val="134"/>
          </rPr>
          <t>.32 ACP FMJ reportedly commonly overpenetrates for use as a self-defense round, and even HP rounds tend to fail to expand and instead penetrate deep.
- N7</t>
        </r>
      </text>
    </comment>
    <comment ref="K229" authorId="0">
      <text>
        <r>
          <rPr>
            <sz val="10"/>
            <rFont val="宋体"/>
            <charset val="134"/>
          </rPr>
          <t>For SS195 a JHP round
- N7</t>
        </r>
      </text>
    </comment>
    <comment ref="A236" authorId="0">
      <text>
        <r>
          <rPr>
            <sz val="10"/>
            <rFont val="宋体"/>
            <charset val="134"/>
          </rPr>
          <t>Stats are for the Mk II version
-sumghai</t>
        </r>
      </text>
    </comment>
    <comment ref="E236" authorId="0">
      <text>
        <r>
          <rPr>
            <sz val="10"/>
            <rFont val="宋体"/>
            <charset val="134"/>
          </rPr>
          <t>- Thin card box of 50 .455 Webley Mk II cartridges with 262 grain (17 g) bullets has a total mass of ~2.64 lbs (1197 g)
- 1197 / 50 = 23.94 g
- 23.94 - 17 = 6.94 g case mass
Source: https://www.midwayusa.com/product/1000196953?pid=167595
-sumghai</t>
        </r>
      </text>
    </comment>
    <comment ref="H236" authorId="0">
      <text>
        <r>
          <rPr>
            <sz val="10"/>
            <rFont val="宋体"/>
            <charset val="134"/>
          </rPr>
          <t>262 grain
-sumghai</t>
        </r>
      </text>
    </comment>
    <comment ref="K236" authorId="0">
      <text>
        <r>
          <rPr>
            <sz val="10"/>
            <rFont val="宋体"/>
            <charset val="134"/>
          </rPr>
          <t>9~10 inches
Source (dubious): https://www.gunsnet.net/showthread.php/7381-Stopping-Power-and-the-455-Webley
-sumghai</t>
        </r>
      </text>
    </comment>
    <comment ref="K251" authorId="0">
      <text>
        <r>
          <rPr>
            <sz val="10"/>
            <rFont val="宋体"/>
            <charset val="134"/>
          </rPr>
          <t>Figure is for rifle barrels
-NIA</t>
        </r>
      </text>
    </comment>
    <comment ref="L278" authorId="0">
      <text>
        <r>
          <rPr>
            <sz val="10"/>
            <rFont val="宋体"/>
            <charset val="134"/>
          </rPr>
          <t>Mostly a guess. Based on anecdotal reports of the round penetrating the door of a truck during testing.
- N7</t>
        </r>
      </text>
    </comment>
    <comment ref="L287" authorId="0">
      <text>
        <r>
          <rPr>
            <sz val="10"/>
            <rFont val="宋体"/>
            <charset val="134"/>
          </rPr>
          <t>From source:
7H29
Effective penetration distance, m:
4-mm St3 steel plate 100
Level 2 armor vest 100
- N7</t>
        </r>
      </text>
    </comment>
    <comment ref="L296" authorId="0">
      <text>
        <r>
          <rPr>
            <sz val="10"/>
            <rFont val="宋体"/>
            <charset val="134"/>
          </rPr>
          <t>Rounding up to 5mm partly for balance, partly because this and the 5.7 reportedly have issues with gel
-NIA</t>
        </r>
      </text>
    </comment>
    <comment ref="L299" authorId="0">
      <text>
        <r>
          <rPr>
            <sz val="10"/>
            <rFont val="宋体"/>
            <charset val="134"/>
          </rPr>
          <t>Haven't been able to find gel data of decent quality. Have based it off comparable pistol rounds.
- N7</t>
        </r>
      </text>
    </comment>
    <comment ref="L305" authorId="0">
      <text>
        <r>
          <rPr>
            <sz val="10"/>
            <rFont val="宋体"/>
            <charset val="134"/>
          </rPr>
          <t xml:space="preserve">Copied from the 7.62 Tokarev, which is a essentially identical round with about +10% energy. </t>
        </r>
      </text>
    </comment>
    <comment ref="E308" authorId="0">
      <text>
        <r>
          <rPr>
            <sz val="10"/>
            <rFont val="宋体"/>
            <charset val="134"/>
          </rPr>
          <t>Total cartridge mass 8.6 g
Source (in comments section): https://www.forgottenweapons.com/testing-7-65mm-french-long-ammo-reeds-and-buffalo-arms/
-sumghai</t>
        </r>
      </text>
    </comment>
    <comment ref="L308" authorId="0">
      <text>
        <r>
          <rPr>
            <sz val="10"/>
            <rFont val="宋体"/>
            <charset val="134"/>
          </rPr>
          <t>"..the 7.65 Long gave comparable accuracy and penetration to the 9mm Parabellum."
Source: https://www.iwm.org.uk/collections/item/object/30026175
-sumghai</t>
        </r>
      </text>
    </comment>
    <comment ref="L317" authorId="0">
      <text>
        <r>
          <rPr>
            <sz val="10"/>
            <rFont val="宋体"/>
            <charset val="134"/>
          </rPr>
          <t>Strongly similar to the .380 ACP, which was essentially just a rimless version of the .38 ACP.</t>
        </r>
      </text>
    </comment>
    <comment ref="G326" authorId="0">
      <text>
        <r>
          <rPr>
            <sz val="10"/>
            <rFont val="宋体"/>
            <charset val="134"/>
          </rPr>
          <t>The impact velocity of the penetrator in the link is 1166 fps/355 m/s, which seems slow for a .38 super, so I'm using the speed from the similar 124 gr Ruag FMJ on Wikipedia 
https://en.wikipedia.org/wiki/.38_Super</t>
        </r>
      </text>
    </comment>
    <comment ref="K326" authorId="0">
      <text>
        <r>
          <rPr>
            <sz val="10"/>
            <rFont val="宋体"/>
            <charset val="134"/>
          </rPr>
          <t>https://brassfetcher.com/Ballistic%20Gelatin%20Tests/38%20Super%2010%20Percent%20Ballistic%20Gelatin.html</t>
        </r>
      </text>
    </comment>
    <comment ref="L326" authorId="0">
      <text>
        <r>
          <rPr>
            <sz val="10"/>
            <rFont val="宋体"/>
            <charset val="134"/>
          </rPr>
          <t>Contradicts the gel pen, but surely a more powerful cartridge can't have LESS penetration than the weaker version (.38 ACP)???</t>
        </r>
      </text>
    </comment>
    <comment ref="L332" authorId="0">
      <text>
        <r>
          <rPr>
            <sz val="10"/>
            <rFont val="宋体"/>
            <charset val="134"/>
          </rPr>
          <t>Comparable ballistics to .38 ACP
-NIA</t>
        </r>
      </text>
    </comment>
    <comment ref="L335" authorId="0">
      <text>
        <r>
          <rPr>
            <sz val="10"/>
            <rFont val="宋体"/>
            <charset val="134"/>
          </rPr>
          <t>Estimation based upon comparisons to other PDW rounds such as the 5.7 FN.
FMJ = 3mm, AP = 6</t>
        </r>
      </text>
    </comment>
    <comment ref="L336" authorId="0">
      <text>
        <r>
          <rPr>
            <sz val="10"/>
            <rFont val="宋体"/>
            <charset val="134"/>
          </rPr>
          <t>Estimation based upon comparisons to other PDW rounds such as the 5.7 FN.
FMJ = 3mm, AP = 6</t>
        </r>
      </text>
    </comment>
    <comment ref="L337" authorId="0">
      <text>
        <r>
          <rPr>
            <sz val="10"/>
            <rFont val="宋体"/>
            <charset val="134"/>
          </rPr>
          <t>Estimation based upon comparisons to other PDW rounds such as the 5.7 FN.
FMJ = 3mm, AP = 6</t>
        </r>
      </text>
    </comment>
    <comment ref="K339" authorId="0">
      <text>
        <r>
          <rPr>
            <sz val="10"/>
            <rFont val="宋体"/>
            <charset val="134"/>
          </rPr>
          <t>https://brassfetcher.com/Ballistic%20Gelatin%20Tests/17%20HMR%2020%20Percent%20Ballistic%20Gelatin.html
In 20% ballistic gel. In reality it should not penetrate any LESS than a .22 LR considering how much hotter the round is.</t>
        </r>
      </text>
    </comment>
    <comment ref="K342" authorId="0">
      <text>
        <r>
          <rPr>
            <sz val="10"/>
            <rFont val="宋体"/>
            <charset val="134"/>
          </rPr>
          <t>https://brassfetcher.com/Ballistic%20Gelatin%20Tests/22%20Magnum%2010%20Percent%20Ballistic%20Gelatin.html</t>
        </r>
      </text>
    </comment>
    <comment ref="K345" authorId="0">
      <text>
        <r>
          <rPr>
            <sz val="10"/>
            <rFont val="宋体"/>
            <charset val="134"/>
          </rPr>
          <t>https://brassfetcher.com/Ballistic%20Gelatin%20Tests/22%20K%20Hornet%2020%20Percent%20Ballistic%20Gelatin.html
In 20% ballistic gel, compared to the 10% for .22 WMR. Because the values are so disparate despite similar performance, I'm using the penetration values from .22 Magnum.</t>
        </r>
      </text>
    </comment>
    <comment ref="L348" authorId="0">
      <text>
        <r>
          <rPr>
            <sz val="10"/>
            <rFont val="宋体"/>
            <charset val="134"/>
          </rPr>
          <t>Educated guess: 7N6 fired from AKS penetrates 5mm St3 at 500m 80% of the time</t>
        </r>
      </text>
    </comment>
    <comment ref="L349" authorId="0">
      <text>
        <r>
          <rPr>
            <sz val="10"/>
            <rFont val="宋体"/>
            <charset val="134"/>
          </rPr>
          <t>Educated guess: 7N22 penetrates 6mm 2P steel 80% of the time @ 250m</t>
        </r>
      </text>
    </comment>
    <comment ref="L354" authorId="0">
      <text>
        <r>
          <rPr>
            <sz val="10"/>
            <rFont val="宋体"/>
            <charset val="134"/>
          </rPr>
          <t>Educated guess: 7N6 fired from AKS penetrates 5mm St3 at 500m 80% of the time</t>
        </r>
      </text>
    </comment>
    <comment ref="L355" authorId="0">
      <text>
        <r>
          <rPr>
            <sz val="10"/>
            <rFont val="宋体"/>
            <charset val="134"/>
          </rPr>
          <t>Educated guess: 7N22 penetrates 6mm 2P steel 80% of the time @ 250m</t>
        </r>
      </text>
    </comment>
    <comment ref="L408" authorId="0">
      <text>
        <r>
          <rPr>
            <sz val="10"/>
            <rFont val="宋体"/>
            <charset val="134"/>
          </rPr>
          <t>M80 ball:
4@300m
3@500m
-NIA</t>
        </r>
      </text>
    </comment>
    <comment ref="L409" authorId="0">
      <text>
        <r>
          <rPr>
            <sz val="10"/>
            <rFont val="宋体"/>
            <charset val="134"/>
          </rPr>
          <t>M61 AP:
7@300m
5@500m
-NIA</t>
        </r>
      </text>
    </comment>
    <comment ref="L414" authorId="0">
      <text>
        <r>
          <rPr>
            <sz val="10"/>
            <rFont val="宋体"/>
            <charset val="134"/>
          </rPr>
          <t>57N323S penetrates 6mm St3@520m</t>
        </r>
      </text>
    </comment>
    <comment ref="K428" authorId="0">
      <text>
        <r>
          <rPr>
            <sz val="10"/>
            <rFont val="宋体"/>
            <charset val="134"/>
          </rPr>
          <t>https://cdn.imagearchive.com/okshooters/data/attach/236/236371-B74FE240-5FA1-4990-BA20-B56FE66C32B6.jpeg
85gr HP</t>
        </r>
      </text>
    </comment>
    <comment ref="L432" authorId="0">
      <text>
        <r>
          <rPr>
            <sz val="10"/>
            <rFont val="宋体"/>
            <charset val="134"/>
          </rPr>
          <t>Guesswork for a large, soft black powder projectile.
- N7</t>
        </r>
      </text>
    </comment>
    <comment ref="L439" authorId="0">
      <text>
        <r>
          <rPr>
            <sz val="10"/>
            <rFont val="宋体"/>
            <charset val="134"/>
          </rPr>
          <t>16mm unspecified steel plate @200m
Level 5 (GOST?) armor at 100m
-NIA</t>
        </r>
      </text>
    </comment>
    <comment ref="L444" authorId="0">
      <text>
        <r>
          <rPr>
            <sz val="10"/>
            <rFont val="宋体"/>
            <charset val="134"/>
          </rPr>
          <t>AP round around 19mm mild steel (=15mm RHA) penetration
-NIA</t>
        </r>
      </text>
    </comment>
    <comment ref="A468" authorId="0">
      <text>
        <r>
          <rPr>
            <sz val="10"/>
            <rFont val="宋体"/>
            <charset val="134"/>
          </rPr>
          <t>Unlike other comparable lever-action rounds from the 19th century, this one was never loaded with black powder.</t>
        </r>
      </text>
    </comment>
    <comment ref="K468" authorId="0">
      <text>
        <r>
          <rPr>
            <sz val="10"/>
            <rFont val="宋体"/>
            <charset val="134"/>
          </rPr>
          <t>https://brassfetcher.com/Ballistic%20Gelatin%20Tests/30-30%20Win%2010%20Percent%20Ballistic%20Gelatin.html</t>
        </r>
      </text>
    </comment>
    <comment ref="A474" authorId="0">
      <text>
        <r>
          <rPr>
            <sz val="10"/>
            <rFont val="宋体"/>
            <charset val="134"/>
          </rPr>
          <t>Using a modern, high power 255 grain load for the modern round, and a</t>
        </r>
      </text>
    </comment>
    <comment ref="L474" authorId="0">
      <text>
        <r>
          <rPr>
            <sz val="10"/>
            <rFont val="宋体"/>
            <charset val="134"/>
          </rPr>
          <t>Performance is generally similar to .45-70 loads.</t>
        </r>
      </text>
    </comment>
    <comment ref="K480" authorId="0">
      <text>
        <r>
          <rPr>
            <sz val="10"/>
            <rFont val="宋体"/>
            <charset val="134"/>
          </rPr>
          <t>From one source:
HP gel = 368mm
From another:
Pure lead gel = 686mm
- N7</t>
        </r>
      </text>
    </comment>
    <comment ref="L486" authorId="0">
      <text>
        <r>
          <rPr>
            <sz val="10"/>
            <rFont val="宋体"/>
            <charset val="134"/>
          </rPr>
          <t>414mm gel on JHP</t>
        </r>
      </text>
    </comment>
    <comment ref="G492" authorId="0">
      <text>
        <r>
          <rPr>
            <sz val="10"/>
            <rFont val="宋体"/>
            <charset val="134"/>
          </rPr>
          <t>https://www.midwayusa.com/product/101915611</t>
        </r>
      </text>
    </comment>
    <comment ref="K492" authorId="0">
      <text>
        <r>
          <rPr>
            <sz val="10"/>
            <rFont val="宋体"/>
            <charset val="134"/>
          </rPr>
          <t>https://ammo.com/comparison/450-bushmaster-vs-458-socom-vs-50-beowulf</t>
        </r>
      </text>
    </comment>
    <comment ref="L492" authorId="0">
      <text>
        <r>
          <rPr>
            <sz val="10"/>
            <rFont val="宋体"/>
            <charset val="134"/>
          </rPr>
          <t>https://ammo.com/comparison/450-bushmaster-vs-458-socom-vs-50-beowulf
Roughly comparable penetration to the .450 Bushmaster at the same effective range.</t>
        </r>
      </text>
    </comment>
    <comment ref="G493" authorId="0">
      <text>
        <r>
          <rPr>
            <sz val="10"/>
            <rFont val="宋体"/>
            <charset val="134"/>
          </rPr>
          <t>https://www.midwayusa.com/product/101915611</t>
        </r>
      </text>
    </comment>
    <comment ref="G494" authorId="0">
      <text>
        <r>
          <rPr>
            <sz val="10"/>
            <rFont val="宋体"/>
            <charset val="134"/>
          </rPr>
          <t>https://www.midwayusa.com/product/101915611</t>
        </r>
      </text>
    </comment>
    <comment ref="G495" authorId="0">
      <text>
        <r>
          <rPr>
            <sz val="10"/>
            <rFont val="宋体"/>
            <charset val="134"/>
          </rPr>
          <t>https://www.midwayusa.com/product/101915611</t>
        </r>
      </text>
    </comment>
    <comment ref="G496" authorId="0">
      <text>
        <r>
          <rPr>
            <sz val="10"/>
            <rFont val="宋体"/>
            <charset val="134"/>
          </rPr>
          <t>https://www.midwayusa.com/product/101915611</t>
        </r>
      </text>
    </comment>
    <comment ref="G498" authorId="0">
      <text>
        <r>
          <rPr>
            <sz val="10"/>
            <rFont val="宋体"/>
            <charset val="134"/>
          </rPr>
          <t>335 gr (22 g) Rainer Plated FP Alexander Arms</t>
        </r>
      </text>
    </comment>
    <comment ref="H498" authorId="0">
      <text>
        <r>
          <rPr>
            <sz val="10"/>
            <rFont val="宋体"/>
            <charset val="134"/>
          </rPr>
          <t>335 gr (22 g) Rainer Plated FP Alexander Arms</t>
        </r>
      </text>
    </comment>
    <comment ref="K498" authorId="0">
      <text>
        <r>
          <rPr>
            <sz val="10"/>
            <rFont val="宋体"/>
            <charset val="134"/>
          </rPr>
          <t>https://ammo.com/comparison/450-bushmaster-vs-458-socom-vs-50-beowulf</t>
        </r>
      </text>
    </comment>
    <comment ref="L498" authorId="0">
      <text>
        <r>
          <rPr>
            <sz val="10"/>
            <rFont val="宋体"/>
            <charset val="134"/>
          </rPr>
          <t>https://ammo.com/comparison/450-bushmaster-vs-458-socom-vs-50-beowulf
Roughly comparable penetration to the .450 Bushmaster at the same effective range.</t>
        </r>
      </text>
    </comment>
    <comment ref="L504" authorId="0">
      <text>
        <r>
          <rPr>
            <sz val="10"/>
            <rFont val="宋体"/>
            <charset val="134"/>
          </rPr>
          <t>The round reportedly met requirements to be able to defeat NATO and Warsaw Pact armor at ranges of 300m. 
It was designed to the same ballistic requirements as the 5.56 round, but was reportedly less likely to fragment or tumble, resulting in less soft-tissue damage.</t>
        </r>
      </text>
    </comment>
    <comment ref="L510" authorId="0">
      <text>
        <r>
          <rPr>
            <sz val="10"/>
            <rFont val="宋体"/>
            <charset val="134"/>
          </rPr>
          <t>Similar metrics to 5.56 NATO; Chinese claims of 10mm penetration seem to hinge on steel-core ammo, which puts it on par with 5.56 AP.
- N7</t>
        </r>
      </text>
    </comment>
    <comment ref="K516" authorId="0">
      <text>
        <r>
          <rPr>
            <sz val="10"/>
            <rFont val="宋体"/>
            <charset val="134"/>
          </rPr>
          <t>Only data I could find was 2nd hand for Japanese military load, with no listed firing distance.
Even so, this gives it pen stats similar to the contemporary .303, which seems satisfactory.
- N7</t>
        </r>
      </text>
    </comment>
    <comment ref="L528" authorId="0">
      <text>
        <r>
          <rPr>
            <sz val="10"/>
            <rFont val="宋体"/>
            <charset val="134"/>
          </rPr>
          <t>While there were numerous AP and hot loads for 8mm Mauser widely used, the basic ball round seems to have had similar pen to other contemporary rounds.
- N7</t>
        </r>
      </text>
    </comment>
    <comment ref="L540" authorId="0">
      <text>
        <r>
          <rPr>
            <sz val="10"/>
            <rFont val="宋体"/>
            <charset val="134"/>
          </rPr>
          <t>Modern loading for the 7.7 is noted for having the same muzzle energy and projectile as the .303.
- N7</t>
        </r>
      </text>
    </comment>
    <comment ref="L546" authorId="0">
      <text>
        <r>
          <rPr>
            <sz val="10"/>
            <rFont val="宋体"/>
            <charset val="134"/>
          </rPr>
          <t>Educated guess based upon comparison to 7.62x39 Soviet.
- N7</t>
        </r>
      </text>
    </comment>
    <comment ref="A552" authorId="0">
      <text>
        <r>
          <rPr>
            <sz val="10"/>
            <rFont val="宋体"/>
            <charset val="134"/>
          </rPr>
          <t>Specs are for the older M90 bullet</t>
        </r>
      </text>
    </comment>
    <comment ref="E552" authorId="0">
      <text>
        <r>
          <rPr>
            <sz val="10"/>
            <rFont val="宋体"/>
            <charset val="134"/>
          </rPr>
          <t>Longer body and shorter neck than the 8mm Lebel, therefore probably somewhat heavier</t>
        </r>
      </text>
    </comment>
    <comment ref="L552" authorId="0">
      <text>
        <r>
          <rPr>
            <sz val="10"/>
            <rFont val="宋体"/>
            <charset val="134"/>
          </rPr>
          <t>Seems to have been slower and less powerful than its other smokeless contemporaries - 5.5 is a guestimate, but puts it ahead of black powder cartridges like the .56-56 and .45-70 while lower than the 8mm Lebel &amp; .303 British.</t>
        </r>
      </text>
    </comment>
    <comment ref="G571" authorId="0">
      <text>
        <r>
          <rPr>
            <sz val="10"/>
            <rFont val="宋体"/>
            <charset val="134"/>
          </rPr>
          <t>https://www.opticsplanet.com/remington-ultimate-defense-410-bore-2-5-in-000-buckshot-loads-15-rounds.html
- Sam</t>
        </r>
      </text>
    </comment>
    <comment ref="K571" authorId="0">
      <text>
        <r>
          <rPr>
            <sz val="10"/>
            <rFont val="宋体"/>
            <charset val="134"/>
          </rPr>
          <t>Guess based on 12 Gauge penetration and difference in muzzle velocity</t>
        </r>
      </text>
    </comment>
    <comment ref="G575" authorId="0">
      <text>
        <r>
          <rPr>
            <sz val="10"/>
            <rFont val="宋体"/>
            <charset val="134"/>
          </rPr>
          <t>Averaged from a video of velocity testing out of a Judge with a 2" barrel.
- N7</t>
        </r>
      </text>
    </comment>
    <comment ref="G576" authorId="0">
      <text>
        <r>
          <rPr>
            <sz val="10"/>
            <rFont val="宋体"/>
            <charset val="134"/>
          </rPr>
          <t>Averaged from a video of velocity testing out of a Judge with a 2" barrel.
- N7</t>
        </r>
      </text>
    </comment>
    <comment ref="F589" authorId="0">
      <text>
        <r>
          <rPr>
            <sz val="10"/>
            <rFont val="宋体"/>
            <charset val="134"/>
          </rPr>
          <t>Wiki says impact is distributed over ~6 square cm, assuming perfect circle that gives us 27.64mm diameter on impact
-NIA</t>
        </r>
      </text>
    </comment>
    <comment ref="F593" authorId="0">
      <text>
        <r>
          <rPr>
            <sz val="10"/>
            <rFont val="宋体"/>
            <charset val="134"/>
          </rPr>
          <t>Wiki says impact is distributed over ~6 square cm, assuming perfect circle that gives us 27.64mm diameter on impact
-NIA</t>
        </r>
      </text>
    </comment>
    <comment ref="C599" authorId="0">
      <text>
        <r>
          <rPr>
            <sz val="10"/>
            <rFont val="宋体"/>
            <charset val="134"/>
          </rPr>
          <t>Estimate from image.
- N7</t>
        </r>
      </text>
    </comment>
    <comment ref="H599" authorId="0">
      <text>
        <r>
          <rPr>
            <sz val="10"/>
            <rFont val="宋体"/>
            <charset val="134"/>
          </rPr>
          <t>Assume shot like 0000 buck.
-Sam</t>
        </r>
      </text>
    </comment>
    <comment ref="F600" authorId="0">
      <text>
        <r>
          <rPr>
            <sz val="10"/>
            <rFont val="宋体"/>
            <charset val="134"/>
          </rPr>
          <t>Estimate.
- N7</t>
        </r>
      </text>
    </comment>
    <comment ref="G600" authorId="0">
      <text>
        <r>
          <rPr>
            <sz val="10"/>
            <rFont val="宋体"/>
            <charset val="134"/>
          </rPr>
          <t>Should be at 305m/s but the load is not hot at all. it shows that the slug is not a fast round.
- Sam</t>
        </r>
      </text>
    </comment>
    <comment ref="H600" authorId="0">
      <text>
        <r>
          <rPr>
            <sz val="10"/>
            <rFont val="宋体"/>
            <charset val="134"/>
          </rPr>
          <t>Based on a recreated shell.
https://www.youtube.com/watch?v=en_55fzWeVo
- Sam</t>
        </r>
      </text>
    </comment>
    <comment ref="L600" authorId="0">
      <text>
        <r>
          <rPr>
            <sz val="10"/>
            <rFont val="宋体"/>
            <charset val="134"/>
          </rPr>
          <t>No hard data, but the round is reportedly solid steel and used against soft-skin vehicles to disable engines and capable of penetrating sandbags/concrete.
- N7</t>
        </r>
      </text>
    </comment>
    <comment ref="C604" authorId="0">
      <text>
        <r>
          <rPr>
            <sz val="10"/>
            <rFont val="宋体"/>
            <charset val="134"/>
          </rPr>
          <t>Guesstimate based on reference photo with a inch ruler for comparison
Source: http://cdn-frm-eu.wargaming.net/wot/ru/uploads/monthly_05_2013/post-601298-0-47395900-1367781805.jpg
-sumghai</t>
        </r>
      </text>
    </comment>
    <comment ref="D604" authorId="0">
      <text>
        <r>
          <rPr>
            <sz val="10"/>
            <rFont val="宋体"/>
            <charset val="134"/>
          </rPr>
          <t>Guesstimate based on reference photo with a inch ruler for comparison
Source: http://cdn-frm-eu.wargaming.net/wot/ru/uploads/monthly_05_2013/post-601298-0-47395900-1367781805.jpg
-sumghai</t>
        </r>
      </text>
    </comment>
    <comment ref="L604" authorId="0">
      <text>
        <r>
          <rPr>
            <sz val="10"/>
            <rFont val="宋体"/>
            <charset val="134"/>
          </rPr>
          <t>3BK5 (with steel cone)
Source: https://forum.warthunder.com/index.php?/topic/268699-russian-heat-shells-of-interest-for-the-game-a-full-ish-list/
-sumghai</t>
        </r>
      </text>
    </comment>
    <comment ref="M604" authorId="0">
      <text>
        <r>
          <rPr>
            <sz val="10"/>
            <rFont val="宋体"/>
            <charset val="134"/>
          </rPr>
          <t>0.99 kg RDX-based Russian explosive (RE factor = 1.6)
-sumghai</t>
        </r>
      </text>
    </comment>
    <comment ref="N604" authorId="0">
      <text>
        <r>
          <rPr>
            <sz val="10"/>
            <rFont val="宋体"/>
            <charset val="134"/>
          </rPr>
          <t>Guesstimate based on scaling up from stock CE 90mm shells
-sumghai</t>
        </r>
      </text>
    </comment>
    <comment ref="A605" authorId="0">
      <text>
        <r>
          <rPr>
            <sz val="10"/>
            <rFont val="宋体"/>
            <charset val="134"/>
          </rPr>
          <t>Sources: 
https://forum.warthunder.com/index.php?/topic/192373-overview-russian-anti-tank-ammunition/
https://forum.warthunder.com/index.php?/topic/192373-overview-russian-anti-tank-ammunition/
https://en.wikipedia.org/wiki/D-10_tank_gun#Performance
https://ru.wikipedia.org/wiki/100-%D0%BC%D0%BC_%D1%82%D0%B0%D0%BD%D0%BA%D0%BE%D0%B2%D0%B0%D1%8F_%D0%BF%D1%83%D1%88%D0%BA%D0%B0_%D0%94-10
-sumghai</t>
        </r>
      </text>
    </comment>
    <comment ref="G605" authorId="0">
      <text>
        <r>
          <rPr>
            <sz val="10"/>
            <rFont val="宋体"/>
            <charset val="134"/>
          </rPr>
          <t>Muzzle velocity of D10 Tank Gun firing 100mm F-412 HE round
Source: https://en.wikipedia.org/wiki/D-10_tank_gun#Performance
-sumghai</t>
        </r>
      </text>
    </comment>
    <comment ref="M605" authorId="0">
      <text>
        <r>
          <rPr>
            <sz val="10"/>
            <rFont val="宋体"/>
            <charset val="134"/>
          </rPr>
          <t>2.16 kg of unknown explosive
-sumghai</t>
        </r>
      </text>
    </comment>
    <comment ref="N606" authorId="0">
      <text>
        <r>
          <rPr>
            <sz val="10"/>
            <rFont val="宋体"/>
            <charset val="134"/>
          </rPr>
          <t>Guesstimate based on scaling up from stock CE 90mm shells
-sumghai</t>
        </r>
      </text>
    </comment>
    <comment ref="A608" authorId="0">
      <text>
        <r>
          <rPr>
            <sz val="10"/>
            <rFont val="宋体"/>
            <charset val="134"/>
          </rPr>
          <t>105mm M456A2 HEAT-T - N7</t>
        </r>
      </text>
    </comment>
    <comment ref="M608" authorId="0">
      <text>
        <r>
          <rPr>
            <sz val="10"/>
            <rFont val="宋体"/>
            <charset val="134"/>
          </rPr>
          <t>0.97 kg of Comp B - N7</t>
        </r>
      </text>
    </comment>
    <comment ref="A609" authorId="0">
      <text>
        <r>
          <rPr>
            <sz val="10"/>
            <rFont val="宋体"/>
            <charset val="134"/>
          </rPr>
          <t>Various different HE shells available from different mfg. Stats compiled from:
https://www.knds.fr//sites/default/files/2020-05/20180604%20Nexter%20-%20Catalogue%20Ammunition.pdf
https://www.mkeusa.com/en-US/catalogue/medium-and-large-calibers/105-mm-tank-gun-he-mke-mod-233/64/2157
- N7</t>
        </r>
      </text>
    </comment>
    <comment ref="A610" authorId="0">
      <text>
        <r>
          <rPr>
            <sz val="10"/>
            <rFont val="宋体"/>
            <charset val="134"/>
          </rPr>
          <t>M830A1 HEAT-MP-T
Sources: 
https://www.northropgrumman.com/Capabilities/LargeCalAmmunition/Documents/M830A1HEATMPT.pdf
https://bulletpicker.com/cartridge_-120mm-heat-mp-t_-m2.html
-sumghai</t>
        </r>
      </text>
    </comment>
    <comment ref="E610" authorId="0">
      <text>
        <r>
          <rPr>
            <sz val="10"/>
            <rFont val="宋体"/>
            <charset val="134"/>
          </rPr>
          <t>22.3 kg total cartridge mass
-sumghai</t>
        </r>
      </text>
    </comment>
    <comment ref="L610" authorId="0">
      <text>
        <r>
          <rPr>
            <sz val="10"/>
            <rFont val="宋体"/>
            <charset val="134"/>
          </rPr>
          <t>120mm M256: M830A1 HEAT-MP-T 
Dubious Source: http://www.steelbeasts.com/sbwiki/index.php/Ammunition_Data#Artillery_Rounds
-sumghai</t>
        </r>
      </text>
    </comment>
    <comment ref="M610" authorId="0">
      <text>
        <r>
          <rPr>
            <sz val="10"/>
            <rFont val="宋体"/>
            <charset val="134"/>
          </rPr>
          <t>Indirect claim that HE rounds have twice as much explosive fill as HEAT
Source: https://www.gd-ots.com/munitions/large-caliber-ammunition/120mm-imhet/
-sumghai</t>
        </r>
      </text>
    </comment>
    <comment ref="N610" authorId="0">
      <text>
        <r>
          <rPr>
            <sz val="10"/>
            <rFont val="宋体"/>
            <charset val="134"/>
          </rPr>
          <t>Guesstimate based on scaling up from stock CE 90mm shells
-sumghai</t>
        </r>
      </text>
    </comment>
    <comment ref="A611" authorId="0">
      <text>
        <r>
          <rPr>
            <sz val="10"/>
            <rFont val="宋体"/>
            <charset val="134"/>
          </rPr>
          <t>M908 HE-OR-T
Source: https://bulletpicker.com/cartridge_-120mm-he-or-t_-m908.html
-sumghai</t>
        </r>
      </text>
    </comment>
    <comment ref="M611" authorId="0">
      <text>
        <r>
          <rPr>
            <sz val="10"/>
            <rFont val="宋体"/>
            <charset val="134"/>
          </rPr>
          <t>3.2 kg of Comp A3-11
A3-11 contains 90~91% RDX, equivalent to C4, so RE factor is 1.34
Sources:
https://arconpartners.net/products/ammunition/large-caliber/120-mm-round-m-908-he-or-t-with-high-explosive-obstacle-reduction-tracer-for-120-mm-m256-smoothbore-gun/
-sumghai</t>
        </r>
      </text>
    </comment>
    <comment ref="A618" authorId="0">
      <text>
        <r>
          <rPr>
            <sz val="10"/>
            <rFont val="宋体"/>
            <charset val="134"/>
          </rPr>
          <t>M795
Sources:
https://en.wikipedia.org/wiki/M795
https://www.gd-ots.com/munitions/artillery/155m-m795/
-sumghai</t>
        </r>
      </text>
    </comment>
    <comment ref="C618" authorId="0">
      <text>
        <r>
          <rPr>
            <sz val="10"/>
            <rFont val="宋体"/>
            <charset val="134"/>
          </rPr>
          <t>Same as bullet length, as shell uses external propellant bags rather than cartridge filled with propellant
-sumghai</t>
        </r>
      </text>
    </comment>
    <comment ref="D618" authorId="0">
      <text>
        <r>
          <rPr>
            <sz val="10"/>
            <rFont val="宋体"/>
            <charset val="134"/>
          </rPr>
          <t>No cartridge case, as shell uses external propellant bags
-sumghai</t>
        </r>
      </text>
    </comment>
    <comment ref="E618" authorId="0">
      <text>
        <r>
          <rPr>
            <sz val="10"/>
            <rFont val="宋体"/>
            <charset val="134"/>
          </rPr>
          <t>No cartridge case, as shell uses external propellant bags
-sumghai</t>
        </r>
      </text>
    </comment>
    <comment ref="G618" authorId="0">
      <text>
        <r>
          <rPr>
            <sz val="10"/>
            <rFont val="宋体"/>
            <charset val="134"/>
          </rPr>
          <t>As fired by the M777 howitzer
Source: https://www.army-technology.com/projects/ufh/
-sumghai</t>
        </r>
      </text>
    </comment>
    <comment ref="A619" authorId="0">
      <text>
        <r>
          <rPr>
            <sz val="10"/>
            <rFont val="宋体"/>
            <charset val="134"/>
          </rPr>
          <t>M795
Sources:
https://en.wikipedia.org/wiki/M795
https://www.gd-ots.com/munitions/artillery/155m-m795/
-sumghai</t>
        </r>
      </text>
    </comment>
    <comment ref="D619" authorId="0">
      <text>
        <r>
          <rPr>
            <sz val="10"/>
            <rFont val="宋体"/>
            <charset val="134"/>
          </rPr>
          <t>No cartridge case, as shell uses external propellant bags
-sumghai</t>
        </r>
      </text>
    </comment>
    <comment ref="E619" authorId="0">
      <text>
        <r>
          <rPr>
            <sz val="10"/>
            <rFont val="宋体"/>
            <charset val="134"/>
          </rPr>
          <t>No cartridge case, as shell uses external propellant bags
-sumghai</t>
        </r>
      </text>
    </comment>
    <comment ref="G619" authorId="0">
      <text>
        <r>
          <rPr>
            <sz val="10"/>
            <rFont val="宋体"/>
            <charset val="134"/>
          </rPr>
          <t>As fired by the M777 howitzer
Source: https://www.army-technology.com/projects/ufh/
-sumghai</t>
        </r>
      </text>
    </comment>
    <comment ref="D620" authorId="0">
      <text>
        <r>
          <rPr>
            <sz val="10"/>
            <rFont val="宋体"/>
            <charset val="134"/>
          </rPr>
          <t>No cartridge case, as shell uses external propellant bags
-sumghai</t>
        </r>
      </text>
    </comment>
    <comment ref="E620" authorId="0">
      <text>
        <r>
          <rPr>
            <sz val="10"/>
            <rFont val="宋体"/>
            <charset val="134"/>
          </rPr>
          <t>No cartridge case, as shell uses external propellant bags
-sumghai</t>
        </r>
      </text>
    </comment>
    <comment ref="G620" authorId="0">
      <text>
        <r>
          <rPr>
            <sz val="10"/>
            <rFont val="宋体"/>
            <charset val="134"/>
          </rPr>
          <t>As fired by the M777 howitzer
Source: https://www.army-technology.com/projects/ufh/
-sumghai</t>
        </r>
      </text>
    </comment>
    <comment ref="C621" authorId="0">
      <text>
        <r>
          <rPr>
            <sz val="10"/>
            <rFont val="宋体"/>
            <charset val="134"/>
          </rPr>
          <t>Same as bullet length, as shell uses external propellant bags rather than cartridge filled with propellant
-sumghai</t>
        </r>
      </text>
    </comment>
    <comment ref="D621" authorId="0">
      <text>
        <r>
          <rPr>
            <sz val="10"/>
            <rFont val="宋体"/>
            <charset val="134"/>
          </rPr>
          <t>No cartridge case, as shell uses external propellant bags
-sumghai</t>
        </r>
      </text>
    </comment>
    <comment ref="E621" authorId="0">
      <text>
        <r>
          <rPr>
            <sz val="10"/>
            <rFont val="宋体"/>
            <charset val="134"/>
          </rPr>
          <t>No cartridge case, as shell uses external propellant bags
-sumghai</t>
        </r>
      </text>
    </comment>
    <comment ref="G621" authorId="0">
      <text>
        <r>
          <rPr>
            <sz val="10"/>
            <rFont val="宋体"/>
            <charset val="134"/>
          </rPr>
          <t>As fired by the M777 howitzer
Source: https://www.army-technology.com/projects/ufh/
-sumghai</t>
        </r>
      </text>
    </comment>
    <comment ref="D622" authorId="0">
      <text>
        <r>
          <rPr>
            <sz val="10"/>
            <rFont val="宋体"/>
            <charset val="134"/>
          </rPr>
          <t>No cartridge case, as shell uses external propellant bags
-sumghai</t>
        </r>
      </text>
    </comment>
    <comment ref="E622" authorId="0">
      <text>
        <r>
          <rPr>
            <sz val="10"/>
            <rFont val="宋体"/>
            <charset val="134"/>
          </rPr>
          <t>No cartridge case, as shell uses external propellant bags
-sumghai</t>
        </r>
      </text>
    </comment>
    <comment ref="G622" authorId="0">
      <text>
        <r>
          <rPr>
            <sz val="10"/>
            <rFont val="宋体"/>
            <charset val="134"/>
          </rPr>
          <t>As fired by the M777 howitzer
Source: https://www.army-technology.com/projects/ufh/
-sumghai</t>
        </r>
      </text>
    </comment>
    <comment ref="A623" authorId="0">
      <text>
        <r>
          <rPr>
            <sz val="10"/>
            <rFont val="宋体"/>
            <charset val="134"/>
          </rPr>
          <t xml:space="preserve">German battleship naval gun shell
HE L/4,2 nose fuze
Source: http://www.navweaps.com/Weapons/WNGER_11-52_skc28.php#Ammunition
-sumghai
</t>
        </r>
      </text>
    </comment>
    <comment ref="C623" authorId="0">
      <text>
        <r>
          <rPr>
            <sz val="10"/>
            <rFont val="宋体"/>
            <charset val="134"/>
          </rPr>
          <t>Same as bullet length, as shell uses separate, external propellant cartridge
-sumghai</t>
        </r>
      </text>
    </comment>
    <comment ref="D623" authorId="0">
      <text>
        <r>
          <rPr>
            <sz val="10"/>
            <rFont val="宋体"/>
            <charset val="134"/>
          </rPr>
          <t>No integrated cartridge case, as shell uses external propellant cartridge that is loaded separately behind it
-sumghai</t>
        </r>
      </text>
    </comment>
    <comment ref="E623" authorId="0">
      <text>
        <r>
          <rPr>
            <sz val="10"/>
            <rFont val="宋体"/>
            <charset val="134"/>
          </rPr>
          <t>No cartridge case, as shell uses external propellant bags
-sumghai</t>
        </r>
      </text>
    </comment>
    <comment ref="M623" authorId="0">
      <text>
        <r>
          <rPr>
            <sz val="10"/>
            <rFont val="宋体"/>
            <charset val="134"/>
          </rPr>
          <t>Assume TNT
-sumghai</t>
        </r>
      </text>
    </comment>
    <comment ref="E626" authorId="0">
      <text>
        <r>
          <rPr>
            <sz val="10"/>
            <rFont val="宋体"/>
            <charset val="134"/>
          </rPr>
          <t>Total cartridge mass = 2.15 kg
Source = http://www.navweaps.com/Weapons/WNUS_4cm-56_mk12.php
-sumghai</t>
        </r>
      </text>
    </comment>
    <comment ref="G626" authorId="0">
      <text>
        <r>
          <rPr>
            <sz val="10"/>
            <rFont val="宋体"/>
            <charset val="134"/>
          </rPr>
          <t>L/70 variant
-sumghai</t>
        </r>
      </text>
    </comment>
    <comment ref="L627" authorId="0">
      <text>
        <r>
          <rPr>
            <sz val="10"/>
            <rFont val="宋体"/>
            <charset val="134"/>
          </rPr>
          <t>Interpolated from data for USA AP M81A1 round
69 mm @ 0 yards (0 m)
30 mm @ 2,000 yards (1,829 m)
15 mm @ 4,000 yards (3,658 m)
11 mm @ 6,000 yards
Source: http://www.navweaps.com/Weapons/WNUS_4cm-56_mk12.php
-sumghai</t>
        </r>
      </text>
    </comment>
    <comment ref="G628" authorId="0">
      <text>
        <r>
          <rPr>
            <sz val="10"/>
            <rFont val="宋体"/>
            <charset val="134"/>
          </rPr>
          <t>L/70 variant
-sumghai</t>
        </r>
      </text>
    </comment>
    <comment ref="L629" authorId="0">
      <text>
        <r>
          <rPr>
            <sz val="10"/>
            <rFont val="宋体"/>
            <charset val="134"/>
          </rPr>
          <t>Estimate from a source of &gt;2 inches (50.8mm) @ 910m. Source is from 1902, and so the armor is likely inferior to RHA.
- N7</t>
        </r>
      </text>
    </comment>
    <comment ref="M630" authorId="0">
      <text>
        <r>
          <rPr>
            <sz val="10"/>
            <rFont val="宋体"/>
            <charset val="134"/>
          </rPr>
          <t>0.1 kg of a mix of TNT and black powder.
- N7</t>
        </r>
      </text>
    </comment>
    <comment ref="A631" authorId="0">
      <text>
        <r>
          <rPr>
            <sz val="10"/>
            <rFont val="宋体"/>
            <charset val="134"/>
          </rPr>
          <t>https://www.seaforces.org/wpnsys/SURFACE/Mk-110-naval-gun-system.htm
- Sam</t>
        </r>
      </text>
    </comment>
    <comment ref="D631" authorId="0">
      <text>
        <r>
          <rPr>
            <sz val="10"/>
            <rFont val="宋体"/>
            <charset val="134"/>
          </rPr>
          <t>Guesstimates based on relative scaling of pixels in reference photos
-sumghai</t>
        </r>
      </text>
    </comment>
    <comment ref="E631" authorId="0">
      <text>
        <r>
          <rPr>
            <sz val="10"/>
            <rFont val="宋体"/>
            <charset val="134"/>
          </rPr>
          <t>Total cartridge mass = 6.1 kg
-sumghai</t>
        </r>
      </text>
    </comment>
    <comment ref="G631" authorId="0">
      <text>
        <r>
          <rPr>
            <sz val="10"/>
            <rFont val="宋体"/>
            <charset val="134"/>
          </rPr>
          <t>As fired from Bofors 57mm L/70 naval gun
Source: https://en.wikipedia.org/wiki/Bofors_57_mm_L/70_naval_artillery_gun
-sumghai</t>
        </r>
      </text>
    </comment>
    <comment ref="L631" authorId="0">
      <text>
        <r>
          <rPr>
            <sz val="10"/>
            <rFont val="宋体"/>
            <charset val="134"/>
          </rPr>
          <t>Educated estimate
- Sam</t>
        </r>
      </text>
    </comment>
    <comment ref="M631" authorId="0">
      <text>
        <r>
          <rPr>
            <sz val="10"/>
            <rFont val="宋体"/>
            <charset val="134"/>
          </rPr>
          <t>450g of PBX(W-11?) (RE factor = 1.60)
-sumghai</t>
        </r>
      </text>
    </comment>
    <comment ref="A632" authorId="0">
      <text>
        <r>
          <rPr>
            <sz val="10"/>
            <rFont val="宋体"/>
            <charset val="134"/>
          </rPr>
          <t>Source:
http://www.navweaps.com/Weapons/WNSweden_57-70_mk123.php#Ammunition
-sumghai</t>
        </r>
      </text>
    </comment>
    <comment ref="D632" authorId="0">
      <text>
        <r>
          <rPr>
            <sz val="10"/>
            <rFont val="宋体"/>
            <charset val="134"/>
          </rPr>
          <t>Guesstimates based on relative scaling of pixels in reference photos
-sumghai</t>
        </r>
      </text>
    </comment>
    <comment ref="E632" authorId="0">
      <text>
        <r>
          <rPr>
            <sz val="10"/>
            <rFont val="宋体"/>
            <charset val="134"/>
          </rPr>
          <t>Total cartridge mass = 6.1 kg
-sumghai</t>
        </r>
      </text>
    </comment>
    <comment ref="G632" authorId="0">
      <text>
        <r>
          <rPr>
            <sz val="10"/>
            <rFont val="宋体"/>
            <charset val="134"/>
          </rPr>
          <t>As fired from Bofors 57mm L/70 naval gun
Source: https://en.wikipedia.org/wiki/Bofors_57_mm_L/70_naval_artillery_gun
-sumghai</t>
        </r>
      </text>
    </comment>
    <comment ref="A634" authorId="0">
      <text>
        <r>
          <rPr>
            <sz val="10"/>
            <rFont val="宋体"/>
            <charset val="134"/>
          </rPr>
          <t>As fired by the M3 Gun on the Sherman.
AP M72 Shot
(https://www.theshermantank.com/wp-content/uploads/M3-gun-Data.pdf)
- N7</t>
        </r>
      </text>
    </comment>
    <comment ref="C634" authorId="0">
      <text>
        <r>
          <rPr>
            <sz val="10"/>
            <rFont val="宋体"/>
            <charset val="134"/>
          </rPr>
          <t>https://www.theshermantank.com/wp-content/uploads/75mm-M3-spec-booklet-MK-VI.pdf
- N7</t>
        </r>
      </text>
    </comment>
    <comment ref="A635" authorId="0">
      <text>
        <r>
          <rPr>
            <sz val="10"/>
            <rFont val="宋体"/>
            <charset val="134"/>
          </rPr>
          <t>HE M48 Shell (https://www.theshermantank.com/wp-content/uploads/M3-gun-Data.pdf)
- N7</t>
        </r>
      </text>
    </comment>
    <comment ref="M635" authorId="0">
      <text>
        <r>
          <rPr>
            <sz val="10"/>
            <rFont val="宋体"/>
            <charset val="134"/>
          </rPr>
          <t>1.49 lb of TNT
- N7</t>
        </r>
      </text>
    </comment>
    <comment ref="L636" authorId="0">
      <text>
        <r>
          <rPr>
            <sz val="10"/>
            <rFont val="宋体"/>
            <charset val="134"/>
          </rPr>
          <t>https://en.wikipedia.org/wiki/75_mm_gun_M2%E2%80%93M6#Penetration_comparison
- Sam</t>
        </r>
      </text>
    </comment>
    <comment ref="A640" authorId="0">
      <text>
        <r>
          <rPr>
            <sz val="10"/>
            <rFont val="宋体"/>
            <charset val="134"/>
          </rPr>
          <t>Sources: 
https://en.wikipedia.org/wiki/76_mm_divisional_gun_M1942_(ZiS-3)#Ammunition_data
http://www.battlefield.ru/fixed-ammunition.html
http://www.weapon.df.ru/ammo/76mm/divis1-e.html
https://bulletpicker.com/projectile_-76mm-he-frag_-of-3.html
https://bulletpicker.com/pd_-ktm-1_-ktm-1u_-ktm-2_-ktm-.html
-sumghai</t>
        </r>
      </text>
    </comment>
    <comment ref="B640" authorId="0">
      <text>
        <r>
          <rPr>
            <sz val="10"/>
            <rFont val="宋体"/>
            <charset val="134"/>
          </rPr>
          <t>UOF-354M cartridge with OF-350 shell and KTM-1 fuze
-sumghai</t>
        </r>
      </text>
    </comment>
    <comment ref="C640" authorId="0">
      <text>
        <r>
          <rPr>
            <sz val="10"/>
            <rFont val="宋体"/>
            <charset val="134"/>
          </rPr>
          <t>23.62 inches long (shell and cartridge) + 43 mm (KTM-1 fuze)
-sumghai</t>
        </r>
      </text>
    </comment>
    <comment ref="D640" authorId="0">
      <text>
        <r>
          <rPr>
            <sz val="10"/>
            <rFont val="宋体"/>
            <charset val="134"/>
          </rPr>
          <t>Guesstimate based on reference images / drawings
-sumghai</t>
        </r>
      </text>
    </comment>
    <comment ref="E640" authorId="0">
      <text>
        <r>
          <rPr>
            <sz val="10"/>
            <rFont val="宋体"/>
            <charset val="134"/>
          </rPr>
          <t>Total shell cartridge mass = 8.82 kg
-sumghai</t>
        </r>
      </text>
    </comment>
    <comment ref="A641" authorId="0">
      <text>
        <r>
          <rPr>
            <sz val="10"/>
            <rFont val="宋体"/>
            <charset val="134"/>
          </rPr>
          <t>Sources: 
https://en.wikipedia.org/wiki/76_mm_divisional_gun_M1942_(ZiS-3)#Ammunition_data
http://www.battlefield.ru/fixed-ammunition.html
http://www.weapon.df.ru/ammo/76mm/divis1-e.html
https://bulletpicker.com/projectile_-76mm-he-frag_-of-3.html
https://bulletpicker.com/pd_-ktm-1_-ktm-1u_-ktm-2_-ktm-.html
-sumghai</t>
        </r>
      </text>
    </comment>
    <comment ref="B641" authorId="0">
      <text>
        <r>
          <rPr>
            <sz val="10"/>
            <rFont val="宋体"/>
            <charset val="134"/>
          </rPr>
          <t>UOF-354M cartridge with OF-350 shell and KTM-1 fuze
-sumghai</t>
        </r>
      </text>
    </comment>
    <comment ref="C641" authorId="0">
      <text>
        <r>
          <rPr>
            <sz val="10"/>
            <rFont val="宋体"/>
            <charset val="134"/>
          </rPr>
          <t>23.62 inches long (shell and cartridge) + 43 mm (KTM-1 fuze)
-sumghai</t>
        </r>
      </text>
    </comment>
    <comment ref="D641" authorId="0">
      <text>
        <r>
          <rPr>
            <sz val="10"/>
            <rFont val="宋体"/>
            <charset val="134"/>
          </rPr>
          <t>Guesstimate based on reference images / drawings
-sumghai</t>
        </r>
      </text>
    </comment>
    <comment ref="B643" authorId="0">
      <text>
        <r>
          <rPr>
            <sz val="10"/>
            <rFont val="宋体"/>
            <charset val="134"/>
          </rPr>
          <t>Use HE data as input
-sumghai</t>
        </r>
      </text>
    </comment>
    <comment ref="L646" authorId="0">
      <text>
        <r>
          <rPr>
            <sz val="10"/>
            <rFont val="宋体"/>
            <charset val="134"/>
          </rPr>
          <t>https://en.wikipedia.org/wiki/76_mm_gun_M1#Performance_2
- Sam</t>
        </r>
      </text>
    </comment>
    <comment ref="M647" authorId="0">
      <text>
        <r>
          <rPr>
            <sz val="10"/>
            <rFont val="宋体"/>
            <charset val="134"/>
          </rPr>
          <t>Assume 1kg of Composition B
-NIA</t>
        </r>
      </text>
    </comment>
    <comment ref="M648" authorId="0">
      <text>
        <r>
          <rPr>
            <sz val="10"/>
            <rFont val="宋体"/>
            <charset val="134"/>
          </rPr>
          <t>Assume 1kg of Composition B
-NIA</t>
        </r>
      </text>
    </comment>
    <comment ref="M649" authorId="0">
      <text>
        <r>
          <rPr>
            <sz val="10"/>
            <rFont val="宋体"/>
            <charset val="134"/>
          </rPr>
          <t>Assuming same volume of filler as HE shell, using the density of kerosene as an equivalent.
-N7</t>
        </r>
      </text>
    </comment>
    <comment ref="M658" authorId="0">
      <text>
        <r>
          <rPr>
            <sz val="10"/>
            <rFont val="宋体"/>
            <charset val="134"/>
          </rPr>
          <t>Held 5.4 oz of TNT
- N7
https://books.google.com/books?id=k5fA79Wv01gC&amp;pg=RA3-PA43&amp;lpg=RA3-PA43&amp;dq=type+89+mortar+filling&amp;source=bl&amp;ots=X9pJ5gwr8b&amp;sig=ACfU3U1Z7hqCTBYPcNxa_kOH2xJlpjhNxA&amp;hl=en&amp;ppis=_e&amp;sa=X&amp;ved=2ahUKEwigwajb0JHnAhUZCs0KHbTBAe04ChDoATADegQICRAB#v=onepage&amp;q=type%2089%20mortar%20filling&amp;f=false</t>
        </r>
      </text>
    </comment>
    <comment ref="M659" authorId="0">
      <text>
        <r>
          <rPr>
            <sz val="10"/>
            <rFont val="宋体"/>
            <charset val="134"/>
          </rPr>
          <t>Contained 10.7 oz of mixture
- N7</t>
        </r>
      </text>
    </comment>
    <comment ref="L662" authorId="0">
      <text>
        <r>
          <rPr>
            <sz val="10"/>
            <rFont val="宋体"/>
            <charset val="134"/>
          </rPr>
          <t>Mix of educated guess and balance
-NIA</t>
        </r>
      </text>
    </comment>
    <comment ref="M662" authorId="0">
      <text>
        <r>
          <rPr>
            <sz val="10"/>
            <rFont val="宋体"/>
            <charset val="134"/>
          </rPr>
          <t>~0.707kg of Comp-B
-NIA</t>
        </r>
      </text>
    </comment>
    <comment ref="L663" authorId="0">
      <text>
        <r>
          <rPr>
            <sz val="10"/>
            <rFont val="宋体"/>
            <charset val="134"/>
          </rPr>
          <t>Based on M82 shells.
- Sam</t>
        </r>
      </text>
    </comment>
    <comment ref="M663" authorId="0">
      <text>
        <r>
          <rPr>
            <sz val="10"/>
            <rFont val="宋体"/>
            <charset val="134"/>
          </rPr>
          <t>Based on 0.95kg Comp-B filling for M71 shell.
-NIA</t>
        </r>
      </text>
    </comment>
    <comment ref="M664" authorId="0">
      <text>
        <r>
          <rPr>
            <sz val="10"/>
            <rFont val="宋体"/>
            <charset val="134"/>
          </rPr>
          <t>Based on 0.95kg Comp-B filling for M71 shell.
-NIA</t>
        </r>
      </text>
    </comment>
    <comment ref="M665" authorId="0">
      <text>
        <r>
          <rPr>
            <sz val="10"/>
            <rFont val="宋体"/>
            <charset val="134"/>
          </rPr>
          <t>Based on 0.95kg Comp-B filling for M71 shell.
-NIA</t>
        </r>
      </text>
    </comment>
    <comment ref="E668" authorId="0">
      <text>
        <r>
          <rPr>
            <sz val="10"/>
            <rFont val="宋体"/>
            <charset val="134"/>
          </rPr>
          <t>Assuming a 244mm x 17mm shaft made of oak.
- N7</t>
        </r>
      </text>
    </comment>
    <comment ref="C673" authorId="0">
      <text>
        <r>
          <rPr>
            <sz val="10"/>
            <rFont val="宋体"/>
            <charset val="134"/>
          </rPr>
          <t>ballmark on arrowhead itself from 
https://youtu.be/7qiqmzZk0j0</t>
        </r>
      </text>
    </comment>
    <comment ref="H673" authorId="0">
      <text>
        <r>
          <rPr>
            <sz val="10"/>
            <rFont val="宋体"/>
            <charset val="134"/>
          </rPr>
          <t xml:space="preserve">Arrowhead at 100 grain and shaft of 22 inches with 7.4 GPI. Shorter arrow shaft is typical of neolithic bows.
http://www.nativeartstrading.com/bows.htm
</t>
        </r>
      </text>
    </comment>
    <comment ref="H677" authorId="0">
      <text>
        <r>
          <rPr>
            <sz val="10"/>
            <rFont val="宋体"/>
            <charset val="134"/>
          </rPr>
          <t>Flaming arrows weigh 50% of steel arrow.
- N7</t>
        </r>
      </text>
    </comment>
    <comment ref="M677" authorId="0">
      <text>
        <r>
          <rPr>
            <sz val="10"/>
            <rFont val="宋体"/>
            <charset val="134"/>
          </rPr>
          <t>Found a cylindrical "container" attached to the arrow head.
- N7</t>
        </r>
      </text>
    </comment>
    <comment ref="M682" authorId="0">
      <text>
        <r>
          <rPr>
            <sz val="10"/>
            <rFont val="宋体"/>
            <charset val="134"/>
          </rPr>
          <t>Same as basic arrow.
- N7</t>
        </r>
      </text>
    </comment>
    <comment ref="L689" authorId="0">
      <text>
        <r>
          <rPr>
            <sz val="10"/>
            <rFont val="宋体"/>
            <charset val="134"/>
          </rPr>
          <t>Estimate, based on reports of effects against armor.
- N7</t>
        </r>
      </text>
    </comment>
    <comment ref="G690" authorId="0">
      <text>
        <r>
          <rPr>
            <sz val="10"/>
            <rFont val="宋体"/>
            <charset val="134"/>
          </rPr>
          <t>Based upon data found in this paper: https://digitalcommons.unl.edu/cgi/viewcontent.cgi?article=1032&amp;context=anthrotheses
Likely too high for the heavier, steel bullet, but sufficient for our purposes.
-N7</t>
        </r>
      </text>
    </comment>
    <comment ref="H690" authorId="0">
      <text>
        <r>
          <rPr>
            <sz val="10"/>
            <rFont val="宋体"/>
            <charset val="134"/>
          </rPr>
          <t>Use volume approximation from steel bullet and density of stone as 2.7g/cm^3.
- N7</t>
        </r>
      </text>
    </comment>
    <comment ref="I690" authorId="0">
      <text>
        <r>
          <rPr>
            <sz val="10"/>
            <rFont val="宋体"/>
            <charset val="134"/>
          </rPr>
          <t>Measurements based upon sling bullets in museum collections; ones I've found generally seem to range in the 25mm - 35mm range long.
- N7</t>
        </r>
      </text>
    </comment>
    <comment ref="H691" authorId="0">
      <text>
        <r>
          <rPr>
            <sz val="10"/>
            <rFont val="宋体"/>
            <charset val="134"/>
          </rPr>
          <t>Approximate sling bullet as a cylinder, find volume (~11cm^3) and multiply by the density of typical low-carbon steel (~7.87g/cm^3) and then round to a neat number.
- N7</t>
        </r>
      </text>
    </comment>
    <comment ref="I691" authorId="0">
      <text>
        <r>
          <rPr>
            <sz val="10"/>
            <rFont val="宋体"/>
            <charset val="134"/>
          </rPr>
          <t>Measurements based upon sling bullets in museum collections; ones I've found generally seem to range in the 25mm - 35mm range long.
- N7</t>
        </r>
      </text>
    </comment>
    <comment ref="H694" authorId="0">
      <text>
        <r>
          <rPr>
            <sz val="10"/>
            <rFont val="宋体"/>
            <charset val="134"/>
          </rPr>
          <t>00 buck
-Sam</t>
        </r>
      </text>
    </comment>
    <comment ref="L697" authorId="0">
      <text>
        <r>
          <rPr>
            <sz val="10"/>
            <rFont val="宋体"/>
            <charset val="134"/>
          </rPr>
          <t>Complete guesswork. I figure it probably can't penetrate power armor, but will still probably mulch anyone wearing it with blunt force.
- N7</t>
        </r>
      </text>
    </comment>
    <comment ref="B698" authorId="0">
      <text>
        <r>
          <rPr>
            <sz val="10"/>
            <rFont val="宋体"/>
            <charset val="134"/>
          </rPr>
          <t>For simplicity's sake, we'll assume it detonates on contact like other HE shells.</t>
        </r>
      </text>
    </comment>
    <comment ref="M698" authorId="0">
      <text>
        <r>
          <rPr>
            <sz val="10"/>
            <rFont val="宋体"/>
            <charset val="134"/>
          </rPr>
          <t>Assuming a hollow 114mm shell with 1mm thick outer wall, the shell has a capacity of ~0.65 liters.
This can hold ~1.13 kg of black powder, with a TNT RE factor of 0.55.
- N7</t>
        </r>
      </text>
    </comment>
    <comment ref="L700" authorId="0">
      <text>
        <r>
          <rPr>
            <sz val="10"/>
            <rFont val="宋体"/>
            <charset val="134"/>
          </rPr>
          <t>Like the Musket Ball (Fast), except markedly heavier.</t>
        </r>
      </text>
    </comment>
    <comment ref="M701" authorId="0">
      <text>
        <r>
          <rPr>
            <sz val="10"/>
            <rFont val="宋体"/>
            <charset val="134"/>
          </rPr>
          <t>Same deal as bursting cannon balls
- Sam</t>
        </r>
      </text>
    </comment>
    <comment ref="H704" authorId="0">
      <text>
        <r>
          <rPr>
            <sz val="10"/>
            <rFont val="宋体"/>
            <charset val="134"/>
          </rPr>
          <t>0.96 lbs for Mk3A2 grenades
- Sam</t>
        </r>
      </text>
    </comment>
    <comment ref="M704" authorId="0">
      <text>
        <r>
          <rPr>
            <sz val="10"/>
            <rFont val="宋体"/>
            <charset val="134"/>
          </rPr>
          <t>8 oz. of TNT charge
Inflated to 0.3kg for balance reasons
- Sam</t>
        </r>
      </text>
    </comment>
    <comment ref="M705" authorId="0">
      <text>
        <r>
          <rPr>
            <sz val="10"/>
            <rFont val="宋体"/>
            <charset val="134"/>
          </rPr>
          <t>180g Comp-B
-NIA</t>
        </r>
      </text>
    </comment>
    <comment ref="H707" authorId="0">
      <text>
        <r>
          <rPr>
            <sz val="10"/>
            <rFont val="宋体"/>
            <charset val="134"/>
          </rPr>
          <t>19 ounces for M18 smoke grenade
-NIA</t>
        </r>
      </text>
    </comment>
    <comment ref="M707" authorId="0">
      <text>
        <r>
          <rPr>
            <sz val="10"/>
            <rFont val="宋体"/>
            <charset val="134"/>
          </rPr>
          <t>11.5 ounces = 0.326g of filler on M18 smoke grenade
-NIA</t>
        </r>
      </text>
    </comment>
    <comment ref="H708" authorId="0">
      <text>
        <r>
          <rPr>
            <sz val="10"/>
            <rFont val="宋体"/>
            <charset val="134"/>
          </rPr>
          <t>236g for M84 grenade
-NIA</t>
        </r>
      </text>
    </comment>
    <comment ref="M708" authorId="0">
      <text>
        <r>
          <rPr>
            <sz val="10"/>
            <rFont val="宋体"/>
            <charset val="134"/>
          </rPr>
          <t>4.5g on M84
-NIA</t>
        </r>
      </text>
    </comment>
    <comment ref="E709" authorId="0">
      <text>
        <r>
          <rPr>
            <sz val="10"/>
            <rFont val="宋体"/>
            <charset val="134"/>
          </rPr>
          <t>For stick bombs, enter stick weight here
-NIA</t>
        </r>
      </text>
    </comment>
    <comment ref="H709" authorId="0">
      <text>
        <r>
          <rPr>
            <sz val="10"/>
            <rFont val="宋体"/>
            <charset val="134"/>
          </rPr>
          <t>For stick bombs, enter weight of explosive
-NIA</t>
        </r>
      </text>
    </comment>
    <comment ref="C713" authorId="0">
      <text>
        <r>
          <rPr>
            <sz val="10"/>
            <rFont val="宋体"/>
            <charset val="134"/>
          </rPr>
          <t>Estimate of the grenade's total length being the warhead, motor and booster
- Sam</t>
        </r>
      </text>
    </comment>
    <comment ref="F713" authorId="0">
      <text>
        <r>
          <rPr>
            <sz val="10"/>
            <rFont val="宋体"/>
            <charset val="134"/>
          </rPr>
          <t>Weighted sum of the warhead's diameter of 94mm and the motor + booster diameter of 40mm
x2 weight for the motor and booster
x1 weight for the warhead
As the majority of the bulk taken from the grenades when carried is from the motor and booster, the warhead usually sticks out of the backpack
- Sam</t>
        </r>
      </text>
    </comment>
    <comment ref="M713" authorId="0">
      <text>
        <r>
          <rPr>
            <sz val="10"/>
            <rFont val="宋体"/>
            <charset val="134"/>
          </rPr>
          <t>No data on OKFOL, using the HMX it's based on: 730g OKFOL * 1.7
-NIA</t>
        </r>
      </text>
    </comment>
    <comment ref="N713" authorId="0">
      <text>
        <r>
          <rPr>
            <sz val="10"/>
            <rFont val="宋体"/>
            <charset val="134"/>
          </rPr>
          <t>Guesstimate based on 1mm thick copper liner
-NIA</t>
        </r>
      </text>
    </comment>
    <comment ref="C714" authorId="0">
      <text>
        <r>
          <rPr>
            <sz val="10"/>
            <rFont val="宋体"/>
            <charset val="134"/>
          </rPr>
          <t>Estimate of the grenade's total length being the warhead, motor and booster
- Sam</t>
        </r>
      </text>
    </comment>
    <comment ref="F714" authorId="0">
      <text>
        <r>
          <rPr>
            <sz val="10"/>
            <rFont val="宋体"/>
            <charset val="134"/>
          </rPr>
          <t>Weighted sum of the warhead's diameter of 105mm and the motor + booster diameter of 40mm
x2 weight for the motor and booster
x1 weight for the warhead
As the majority of the bulk taken from the grenades when carried is from the motor and booster, the warhead usually sticks out of the backpack
- Sam</t>
        </r>
      </text>
    </comment>
    <comment ref="M714" authorId="0">
      <text>
        <r>
          <rPr>
            <sz val="10"/>
            <rFont val="宋体"/>
            <charset val="134"/>
          </rPr>
          <t>Could not find specs on OM-100MI-3L explosive but RPO yield is given at 5.5kg TNT. It has a 2.1kg filling vs the TBG's 1.9kg, so estimating at 4.95kg TNT.
-NIA</t>
        </r>
      </text>
    </comment>
    <comment ref="C715" authorId="0">
      <text>
        <r>
          <rPr>
            <sz val="10"/>
            <rFont val="宋体"/>
            <charset val="134"/>
          </rPr>
          <t>Estimate of the grenade's total length being the warhead, motor and booster
- Sam</t>
        </r>
      </text>
    </comment>
    <comment ref="M715" authorId="0">
      <text>
        <r>
          <rPr>
            <sz val="10"/>
            <rFont val="宋体"/>
            <charset val="134"/>
          </rPr>
          <t>210g A-IX-1, which is ~20% stronger than TNT
-NIA</t>
        </r>
      </text>
    </comment>
    <comment ref="M717" authorId="0">
      <text>
        <r>
          <rPr>
            <sz val="10"/>
            <rFont val="宋体"/>
            <charset val="134"/>
          </rPr>
          <t>2.1kg of "pyrogel" incendiary agent, unknown density, so approximated
- N7</t>
        </r>
      </text>
    </comment>
    <comment ref="L719" authorId="0">
      <text>
        <r>
          <rPr>
            <sz val="10"/>
            <rFont val="宋体"/>
            <charset val="134"/>
          </rPr>
          <t>Wikipedia state an uncited value of 400mm, 350mm is cited.</t>
        </r>
      </text>
    </comment>
    <comment ref="M719" authorId="0">
      <text>
        <r>
          <rPr>
            <sz val="10"/>
            <rFont val="宋体"/>
            <charset val="134"/>
          </rPr>
          <t>~0.32kg of RDX
- n7</t>
        </r>
      </text>
    </comment>
    <comment ref="N719" authorId="0">
      <text>
        <r>
          <rPr>
            <sz val="10"/>
            <rFont val="宋体"/>
            <charset val="134"/>
          </rPr>
          <t>Guess based on RPG
-NIA</t>
        </r>
      </text>
    </comment>
    <comment ref="A724" authorId="0">
      <text>
        <r>
          <rPr>
            <sz val="10"/>
            <rFont val="宋体"/>
            <charset val="134"/>
          </rPr>
          <t>From what I've found, the M6 and M6A1 were more or less functionally identical and interchangable.
- N7</t>
        </r>
      </text>
    </comment>
    <comment ref="M727" authorId="0">
      <text>
        <r>
          <rPr>
            <sz val="10"/>
            <rFont val="宋体"/>
            <charset val="134"/>
          </rPr>
          <t>450g Octol
-NIA</t>
        </r>
      </text>
    </comment>
    <comment ref="N727" authorId="0">
      <text>
        <r>
          <rPr>
            <sz val="10"/>
            <rFont val="宋体"/>
            <charset val="134"/>
          </rPr>
          <t>Guess based on RPG
-NIA</t>
        </r>
      </text>
    </comment>
    <comment ref="D728" authorId="0">
      <text>
        <r>
          <rPr>
            <sz val="10"/>
            <rFont val="宋体"/>
            <charset val="134"/>
          </rPr>
          <t>Guess, since the rounds are packaged bizarrely.
- N7</t>
        </r>
      </text>
    </comment>
    <comment ref="E728" authorId="0">
      <text>
        <r>
          <rPr>
            <sz val="10"/>
            <rFont val="宋体"/>
            <charset val="134"/>
          </rPr>
          <t>With this case + bullet weight, a pack of 4 rockets is the appropriate mass.
- N7</t>
        </r>
      </text>
    </comment>
    <comment ref="H728" authorId="0">
      <text>
        <r>
          <rPr>
            <sz val="10"/>
            <rFont val="宋体"/>
            <charset val="134"/>
          </rPr>
          <t>Rockets come in packs of 4, this is an estimate for weight of an individual rocket.
- N7</t>
        </r>
      </text>
    </comment>
    <comment ref="M728" authorId="0">
      <text>
        <r>
          <rPr>
            <sz val="10"/>
            <rFont val="宋体"/>
            <charset val="134"/>
          </rPr>
          <t>1.3lb to TPA, can't find a density so estimating based upon warhead size.
- N7</t>
        </r>
      </text>
    </comment>
    <comment ref="I729" authorId="0">
      <text>
        <r>
          <rPr>
            <sz val="10"/>
            <rFont val="宋体"/>
            <charset val="134"/>
          </rPr>
          <t>Guess based on image.
- N7</t>
        </r>
      </text>
    </comment>
    <comment ref="N729" authorId="0">
      <text>
        <r>
          <rPr>
            <sz val="10"/>
            <rFont val="宋体"/>
            <charset val="134"/>
          </rPr>
          <t>Guess based on LAW/RPG.
- N7</t>
        </r>
      </text>
    </comment>
    <comment ref="N730" authorId="0">
      <text>
        <r>
          <rPr>
            <sz val="10"/>
            <rFont val="宋体"/>
            <charset val="134"/>
          </rPr>
          <t>Guess based on LAW/RPG.
- N7</t>
        </r>
      </text>
    </comment>
    <comment ref="M731" authorId="0">
      <text>
        <r>
          <rPr>
            <sz val="10"/>
            <rFont val="宋体"/>
            <charset val="134"/>
          </rPr>
          <t xml:space="preserve">Estimate based upon similar RPG rounds.
- N7
</t>
        </r>
      </text>
    </comment>
    <comment ref="F732" authorId="0">
      <text>
        <r>
          <rPr>
            <sz val="10"/>
            <rFont val="宋体"/>
            <charset val="134"/>
          </rPr>
          <t>55mm in diameter, launched in a 57mm Tube</t>
        </r>
      </text>
    </comment>
    <comment ref="G732" authorId="0">
      <text>
        <r>
          <rPr>
            <sz val="10"/>
            <rFont val="宋体"/>
            <charset val="134"/>
          </rPr>
          <t>https://arconpartners.net/products/ammunition/uar-unguided-aircraft-rocket/57-mm-s-5ko-unguided-aircraft-rocket-with-anti-tank-high-explosive-fragmentation-warhead-heat-hefrag/</t>
        </r>
      </text>
    </comment>
    <comment ref="H732" authorId="0">
      <text>
        <r>
          <rPr>
            <sz val="10"/>
            <rFont val="宋体"/>
            <charset val="134"/>
          </rPr>
          <t>800g Warhead Weight</t>
        </r>
      </text>
    </comment>
    <comment ref="M732" authorId="0">
      <text>
        <r>
          <rPr>
            <sz val="10"/>
            <rFont val="宋体"/>
            <charset val="134"/>
          </rPr>
          <t>1.8kg NEQ of unknown explosive, assumed to be TNT for now
https://arconpartners.net/products/ammunition/uar-unguided-aircraft-rocket/57-mm-s-5mo-unguided-aircraft-rocket-with-high-explosive-fragmentation-warhead-he-frag/</t>
        </r>
      </text>
    </comment>
    <comment ref="F733" authorId="0">
      <text>
        <r>
          <rPr>
            <sz val="10"/>
            <rFont val="宋体"/>
            <charset val="134"/>
          </rPr>
          <t>55mm in diameter, launched in a 57mm Tube</t>
        </r>
      </text>
    </comment>
    <comment ref="G733" authorId="0">
      <text>
        <r>
          <rPr>
            <sz val="10"/>
            <rFont val="宋体"/>
            <charset val="134"/>
          </rPr>
          <t>https://arconpartners.net/products/ammunition/uar-unguided-aircraft-rocket/57-mm-s-5ko-unguided-aircraft-rocket-with-anti-tank-high-explosive-fragmentation-warhead-heat-hefrag/</t>
        </r>
      </text>
    </comment>
    <comment ref="H733" authorId="0">
      <text>
        <r>
          <rPr>
            <sz val="10"/>
            <rFont val="宋体"/>
            <charset val="134"/>
          </rPr>
          <t>1360g Warhead Weight</t>
        </r>
      </text>
    </comment>
    <comment ref="L733" authorId="0">
      <text>
        <r>
          <rPr>
            <sz val="10"/>
            <rFont val="宋体"/>
            <charset val="134"/>
          </rPr>
          <t>172mm RHA
https://arconpartners.net/products/ammunition/uar-unguided-aircraft-rocket/57-mm-s-5ko-unguided-aircraft-rocket-with-anti-tank-high-explosive-fragmentation-warhead-heat-hefrag/</t>
        </r>
      </text>
    </comment>
    <comment ref="M733" authorId="0">
      <text>
        <r>
          <rPr>
            <sz val="10"/>
            <rFont val="宋体"/>
            <charset val="134"/>
          </rPr>
          <t>330g A-IX-2 RE: 1.54
Reference: 
Explosive Ordnance Guide for Ukraine, GICHD, 2022; Second Edition</t>
        </r>
      </text>
    </comment>
    <comment ref="N733" authorId="0">
      <text>
        <r>
          <rPr>
            <sz val="10"/>
            <rFont val="宋体"/>
            <charset val="134"/>
          </rPr>
          <t>2% of bullet/warhead mass</t>
        </r>
      </text>
    </comment>
    <comment ref="A734" authorId="0">
      <text>
        <r>
          <rPr>
            <sz val="10"/>
            <rFont val="宋体"/>
            <charset val="134"/>
          </rPr>
          <t>Using dimensions of S-5KPB as the one in arcon partners only gave the NEQ of thermobaric explosives
https://en.wikipedia.org/wiki/S-5_rocket
https://arconpartners.net/products/ammunition/uar-unguided-aircraft-rocket/57-mm-s-5tb-unguided-aircraft-rocket-with-thermobaric-warhead/</t>
        </r>
      </text>
    </comment>
    <comment ref="F734" authorId="0">
      <text>
        <r>
          <rPr>
            <sz val="10"/>
            <rFont val="宋体"/>
            <charset val="134"/>
          </rPr>
          <t>55mm in diameter, launched in a 57mm Tube</t>
        </r>
      </text>
    </comment>
    <comment ref="G734" authorId="0">
      <text>
        <r>
          <rPr>
            <sz val="10"/>
            <rFont val="宋体"/>
            <charset val="134"/>
          </rPr>
          <t>https://arconpartners.net/products/ammunition/uar-unguided-aircraft-rocket/57-mm-s-5ko-unguided-aircraft-rocket-with-anti-tank-high-explosive-fragmentation-warhead-heat-hefrag/</t>
        </r>
      </text>
    </comment>
    <comment ref="H734" authorId="0">
      <text>
        <r>
          <rPr>
            <sz val="10"/>
            <rFont val="宋体"/>
            <charset val="134"/>
          </rPr>
          <t>1800g Warhead weight</t>
        </r>
      </text>
    </comment>
    <comment ref="M734" authorId="0">
      <text>
        <r>
          <rPr>
            <sz val="10"/>
            <rFont val="宋体"/>
            <charset val="134"/>
          </rPr>
          <t>Unknown explosive, assumed to be TNT for now
https://arconpartners.net/products/ammunition/uar-unguided-aircraft-rocket/57-mm-s-5tb-unguided-aircraft-rocket-with-thermobaric-warhead/</t>
        </r>
      </text>
    </comment>
    <comment ref="M735" authorId="0">
      <text>
        <r>
          <rPr>
            <sz val="10"/>
            <rFont val="宋体"/>
            <charset val="134"/>
          </rPr>
          <t>Equivalent to 450 kg of PBXN
(R.E. Factor = 1.17)
-sumghai</t>
        </r>
      </text>
    </comment>
    <comment ref="G736" authorId="0">
      <text>
        <r>
          <rPr>
            <sz val="10"/>
            <rFont val="宋体"/>
            <charset val="134"/>
          </rPr>
          <t>1000m in 4.6s
- N7</t>
        </r>
      </text>
    </comment>
    <comment ref="M736" authorId="0">
      <text>
        <r>
          <rPr>
            <sz val="10"/>
            <rFont val="宋体"/>
            <charset val="134"/>
          </rPr>
          <t>8.4kg of unknown explosive.
- N7</t>
        </r>
      </text>
    </comment>
    <comment ref="N736" authorId="0">
      <text>
        <r>
          <rPr>
            <sz val="10"/>
            <rFont val="宋体"/>
            <charset val="134"/>
          </rPr>
          <t>Tandem HEAT warhead.
- N7</t>
        </r>
      </text>
    </comment>
    <comment ref="A737" authorId="0">
      <text>
        <r>
          <rPr>
            <sz val="10"/>
            <rFont val="宋体"/>
            <charset val="134"/>
          </rPr>
          <t>Chinese PLA rocket artillery
Source: https://fas.org/man/dod-101/sys/land/row/type-63-130.htm
-sumghai</t>
        </r>
      </text>
    </comment>
    <comment ref="G737" authorId="0">
      <text>
        <r>
          <rPr>
            <sz val="10"/>
            <rFont val="宋体"/>
            <charset val="134"/>
          </rPr>
          <t>Source: https://www.globalsecurity.org/military/world/china/type-63-130.htm
-sumghai</t>
        </r>
      </text>
    </comment>
    <comment ref="M737" authorId="0">
      <text>
        <r>
          <rPr>
            <sz val="10"/>
            <rFont val="宋体"/>
            <charset val="134"/>
          </rPr>
          <t>3 kg TNT
-sumghai</t>
        </r>
      </text>
    </comment>
    <comment ref="M738" authorId="0">
      <text>
        <r>
          <rPr>
            <sz val="10"/>
            <rFont val="宋体"/>
            <charset val="134"/>
          </rPr>
          <t xml:space="preserve">Filling is 4.8kg of TNT - N7
</t>
        </r>
      </text>
    </comment>
    <comment ref="O738" authorId="0">
      <text>
        <r>
          <rPr>
            <sz val="10"/>
            <rFont val="宋体"/>
            <charset val="134"/>
          </rPr>
          <t xml:space="preserve">Set to 4, since the Katyusha can load a total of 16 at a time. - N7
</t>
        </r>
      </text>
    </comment>
    <comment ref="I739" authorId="0">
      <text>
        <r>
          <rPr>
            <sz val="10"/>
            <rFont val="宋体"/>
            <charset val="134"/>
          </rPr>
          <t>Guess based on image.
- N7</t>
        </r>
      </text>
    </comment>
    <comment ref="M739" authorId="0">
      <text>
        <r>
          <rPr>
            <sz val="10"/>
            <rFont val="宋体"/>
            <charset val="134"/>
          </rPr>
          <t>Estimate based on warhead size compared to Javelin.
- N7</t>
        </r>
      </text>
    </comment>
    <comment ref="N739" authorId="0">
      <text>
        <r>
          <rPr>
            <sz val="10"/>
            <rFont val="宋体"/>
            <charset val="134"/>
          </rPr>
          <t>Guess based on LAW/RPG.
- N7</t>
        </r>
      </text>
    </comment>
    <comment ref="I740" authorId="0">
      <text>
        <r>
          <rPr>
            <sz val="10"/>
            <rFont val="宋体"/>
            <charset val="134"/>
          </rPr>
          <t>Estimate based on images, doesn't include fuze probe.
- N7</t>
        </r>
      </text>
    </comment>
    <comment ref="M740" authorId="0">
      <text>
        <r>
          <rPr>
            <sz val="10"/>
            <rFont val="宋体"/>
            <charset val="134"/>
          </rPr>
          <t>Estimate based on AT4
- N7</t>
        </r>
      </text>
    </comment>
    <comment ref="N740" authorId="0">
      <text>
        <r>
          <rPr>
            <sz val="10"/>
            <rFont val="宋体"/>
            <charset val="134"/>
          </rPr>
          <t>Guess based on LAW/RPG.
- N7</t>
        </r>
      </text>
    </comment>
    <comment ref="M741" authorId="0">
      <text>
        <r>
          <rPr>
            <sz val="10"/>
            <rFont val="宋体"/>
            <charset val="134"/>
          </rPr>
          <t>700g mix of TNT and RDX in a 40-60 ratio.
- N7</t>
        </r>
      </text>
    </comment>
    <comment ref="N741" authorId="0">
      <text>
        <r>
          <rPr>
            <sz val="10"/>
            <rFont val="宋体"/>
            <charset val="134"/>
          </rPr>
          <t>Blind guess based on warhead size.
- N7</t>
        </r>
      </text>
    </comment>
    <comment ref="M742" authorId="0">
      <text>
        <r>
          <rPr>
            <sz val="10"/>
            <rFont val="宋体"/>
            <charset val="134"/>
          </rPr>
          <t>~440g of HMX, RE of about 1:1.6.
- N7</t>
        </r>
      </text>
    </comment>
    <comment ref="N742" authorId="0">
      <text>
        <r>
          <rPr>
            <sz val="10"/>
            <rFont val="宋体"/>
            <charset val="134"/>
          </rPr>
          <t>Guess based on LAW/RPG.
- N7</t>
        </r>
      </text>
    </comment>
    <comment ref="M743" authorId="0">
      <text>
        <r>
          <rPr>
            <sz val="10"/>
            <rFont val="宋体"/>
            <charset val="134"/>
          </rPr>
          <t>580g of PBXN-110
See note on the caliber column
RE factor of 1.28, based on datamined warthunder values
See Note on HE</t>
        </r>
      </text>
    </comment>
    <comment ref="N743" authorId="0">
      <text>
        <r>
          <rPr>
            <sz val="10"/>
            <rFont val="宋体"/>
            <charset val="134"/>
          </rPr>
          <t>Guess based on LAW/RPG.
- N7</t>
        </r>
      </text>
    </comment>
    <comment ref="A744" authorId="0">
      <text>
        <r>
          <rPr>
            <sz val="10"/>
            <rFont val="宋体"/>
            <charset val="134"/>
          </rPr>
          <t>Anti-Structure Munition
https://armypubs.army.mil/epubs/DR_pubs/DR_a/pdf/web/ARN18072_TC%203-22x84%20FINAL%20WEB.pdf</t>
        </r>
      </text>
    </comment>
    <comment ref="M744" authorId="0">
      <text>
        <r>
          <rPr>
            <sz val="10"/>
            <rFont val="宋体"/>
            <charset val="134"/>
          </rPr>
          <t>2kg PAX-47 
See note on the caliber column
cannot find RE factor for thermobaric or FAE explosives so it will be treated as-is</t>
        </r>
      </text>
    </comment>
    <comment ref="M745" authorId="0">
      <text>
        <r>
          <rPr>
            <sz val="10"/>
            <rFont val="宋体"/>
            <charset val="134"/>
          </rPr>
          <t>0.7kg of unspecified explosive, assume 1:1.8 RE.
- N7</t>
        </r>
      </text>
    </comment>
    <comment ref="M746" authorId="0">
      <text>
        <r>
          <rPr>
            <sz val="10"/>
            <rFont val="宋体"/>
            <charset val="134"/>
          </rPr>
          <t>0.7kg of unspecified explosive, assume 1:1.8 RE.
- N7</t>
        </r>
      </text>
    </comment>
    <comment ref="A747" authorId="0">
      <text>
        <r>
          <rPr>
            <sz val="10"/>
            <rFont val="宋体"/>
            <charset val="134"/>
          </rPr>
          <t>https://armypubs.army.mil/epubs/DR_pubs/DR_a/pdf/web/ARN18072_TC%203-22x84%20FINAL%20WEB.pdf</t>
        </r>
      </text>
    </comment>
    <comment ref="M747" authorId="0">
      <text>
        <r>
          <rPr>
            <sz val="10"/>
            <rFont val="宋体"/>
            <charset val="134"/>
          </rPr>
          <t>590g of PBXN-110
See note on the caliber column
Datamined Warthunder sets
PBXN 110, 1:1.28 TNT equivalent
https://www.reddit.com/r/Warthunder/comments/yep4uu/datamine_220022_221010/</t>
        </r>
      </text>
    </comment>
    <comment ref="A748" authorId="0">
      <text>
        <r>
          <rPr>
            <sz val="10"/>
            <rFont val="宋体"/>
            <charset val="134"/>
          </rPr>
          <t>https://armypubs.army.mil/epubs/DR_pubs/DR_a/pdf/web/ARN18072_TC%203-22x84%20FINAL%20WEB.pdf</t>
        </r>
      </text>
    </comment>
    <comment ref="M748" authorId="0">
      <text>
        <r>
          <rPr>
            <sz val="10"/>
            <rFont val="宋体"/>
            <charset val="134"/>
          </rPr>
          <t>590g of PBXN-110
See note on the caliber column
Datamined Warthunder sets
PBXN 110, 1:1.28 TNT equivalent
https://www.reddit.com/r/Warthunder/comments/yep4uu/datamine_220022_221010/</t>
        </r>
      </text>
    </comment>
    <comment ref="A749" authorId="0">
      <text>
        <r>
          <rPr>
            <sz val="10"/>
            <rFont val="宋体"/>
            <charset val="134"/>
          </rPr>
          <t>Area Defense Munition
Treated as a Canister round for now
https://armypubs.army.mil/epubs/DR_pubs/DR_a/pdf/web/ARN18072_TC%203-22x84%20FINAL%20WEB.pdf</t>
        </r>
      </text>
    </comment>
    <comment ref="A751" authorId="0">
      <text>
        <r>
          <rPr>
            <sz val="10"/>
            <rFont val="宋体"/>
            <charset val="134"/>
          </rPr>
          <t>https://armypubs.army.mil/epubs/DR_pubs/DR_a/pdf/web/ARN18072_TC%203-22x84%20FINAL%20WEB.pdf</t>
        </r>
      </text>
    </comment>
    <comment ref="M751" authorId="0">
      <text>
        <r>
          <rPr>
            <sz val="10"/>
            <rFont val="宋体"/>
            <charset val="134"/>
          </rPr>
          <t>0.7kg of unspecified explosive, assume 1:1.8 RE.
- N7</t>
        </r>
      </text>
    </comment>
    <comment ref="N751" authorId="0">
      <text>
        <r>
          <rPr>
            <sz val="10"/>
            <rFont val="宋体"/>
            <charset val="134"/>
          </rPr>
          <t>Guess based on LAW/RPG.
- N7</t>
        </r>
      </text>
    </comment>
    <comment ref="A752" authorId="0">
      <text>
        <r>
          <rPr>
            <sz val="10"/>
            <rFont val="宋体"/>
            <charset val="134"/>
          </rPr>
          <t>https://armypubs.army.mil/epubs/DR_pubs/DR_a/pdf/web/ARN18072_TC%203-22x84%20FINAL%20WEB.pdf</t>
        </r>
      </text>
    </comment>
    <comment ref="M752" authorId="0">
      <text>
        <r>
          <rPr>
            <sz val="10"/>
            <rFont val="宋体"/>
            <charset val="134"/>
          </rPr>
          <t>800g of smoke composition</t>
        </r>
      </text>
    </comment>
    <comment ref="M753" authorId="0">
      <text>
        <r>
          <rPr>
            <sz val="10"/>
            <rFont val="宋体"/>
            <charset val="134"/>
          </rPr>
          <t>Guess based off Gustav.
- N7</t>
        </r>
      </text>
    </comment>
    <comment ref="N753" authorId="0">
      <text>
        <r>
          <rPr>
            <sz val="10"/>
            <rFont val="宋体"/>
            <charset val="134"/>
          </rPr>
          <t>Guess based on LAW/RPG.
- N7</t>
        </r>
      </text>
    </comment>
    <comment ref="M754" authorId="0">
      <text>
        <r>
          <rPr>
            <sz val="10"/>
            <rFont val="宋体"/>
            <charset val="134"/>
          </rPr>
          <t>Guess based off of Gustav.
- N7</t>
        </r>
      </text>
    </comment>
    <comment ref="M755" authorId="0">
      <text>
        <r>
          <rPr>
            <sz val="10"/>
            <rFont val="宋体"/>
            <charset val="134"/>
          </rPr>
          <t>1.8kg of PBXIH-135. Roughly estimated to be 1:2.5 TNT equivalence.
- N7</t>
        </r>
      </text>
    </comment>
    <comment ref="L756" authorId="0">
      <text>
        <r>
          <rPr>
            <sz val="10"/>
            <rFont val="宋体"/>
            <charset val="134"/>
          </rPr>
          <t>Armor penetration approximately equal to that of the M72 LAW
Source: https://bulletpicker.com/rocket-warhead_-2_75-inch-hedp.html
-sumghai</t>
        </r>
      </text>
    </comment>
    <comment ref="M756" authorId="0">
      <text>
        <r>
          <rPr>
            <sz val="10"/>
            <rFont val="宋体"/>
            <charset val="134"/>
          </rPr>
          <t>M247 High-explosive anti-tank (HEAT)/high-explosive dual purpose (HEDP) warhead with 2.0 pounds (0.91 kg) Comp B HE (RE factor 1.33)
-sumghai</t>
        </r>
      </text>
    </comment>
    <comment ref="N756" authorId="0">
      <text>
        <r>
          <rPr>
            <sz val="10"/>
            <rFont val="宋体"/>
            <charset val="134"/>
          </rPr>
          <t>Roughly the same copper liner as the M72 LAW warhead
Source: https://bulletpicker.com/rocket-warhead_-2_75-inch-hedp.html
-sumghai</t>
        </r>
      </text>
    </comment>
    <comment ref="M757" authorId="0">
      <text>
        <r>
          <rPr>
            <sz val="10"/>
            <rFont val="宋体"/>
            <charset val="134"/>
          </rPr>
          <t>19g of unknown explosive. Using RDX to estimate.
- N7</t>
        </r>
      </text>
    </comment>
    <comment ref="G761" authorId="0">
      <text>
        <r>
          <rPr>
            <sz val="10"/>
            <rFont val="宋体"/>
            <charset val="134"/>
          </rPr>
          <t>https://en.wikipedia.org/wiki/F-1_grenade_(Russia)</t>
        </r>
      </text>
    </comment>
    <comment ref="A764" authorId="0">
      <text>
        <r>
          <rPr>
            <sz val="10"/>
            <rFont val="宋体"/>
            <charset val="134"/>
          </rPr>
          <t>Based on the American M42/M46 grenade, used by 105mm and 155m DPICM shells.
Source: https://www.bulletpicker.com/pdf/TM%2043-0001-28,%20Artillery%20Ammunition.pdf#page=850</t>
        </r>
      </text>
    </comment>
    <comment ref="L764" authorId="0">
      <text>
        <r>
          <rPr>
            <sz val="10"/>
            <rFont val="宋体"/>
            <charset val="134"/>
          </rPr>
          <t>Listed as 3.25" of homogenous armor. - N7</t>
        </r>
      </text>
    </comment>
    <comment ref="M764" authorId="0">
      <text>
        <r>
          <rPr>
            <sz val="10"/>
            <rFont val="宋体"/>
            <charset val="134"/>
          </rPr>
          <t>30.5 g of Comp A-5
- N7</t>
        </r>
      </text>
    </comment>
    <comment ref="G769" authorId="0">
      <text>
        <r>
          <rPr>
            <sz val="10"/>
            <rFont val="宋体"/>
            <charset val="134"/>
          </rPr>
          <t>Velocity of a typical pneumatic nail gun is about 134 fp/s. - N7</t>
        </r>
      </text>
    </comment>
    <comment ref="G770" authorId="0">
      <text>
        <r>
          <rPr>
            <sz val="10"/>
            <rFont val="宋体"/>
            <charset val="134"/>
          </rPr>
          <t>Roughly typical value for a medium-velocity commercial powder-actuated fastener. - N7
https://www.mecampbell.com/media/pdf/POWFASE00171_1-15_29_30_33.pdf</t>
        </r>
      </text>
    </comment>
  </commentList>
</comments>
</file>

<file path=xl/comments2.xml><?xml version="1.0" encoding="utf-8"?>
<comments xmlns="http://schemas.openxmlformats.org/spreadsheetml/2006/main">
  <authors>
    <author/>
  </authors>
  <commentList>
    <comment ref="J1" authorId="0">
      <text>
        <r>
          <rPr>
            <sz val="10"/>
            <rFont val="宋体"/>
            <charset val="134"/>
          </rPr>
          <t>Assume 601.17 kPa @ 2.42m from 1kg TNT
-NIA</t>
        </r>
      </text>
    </comment>
    <comment ref="K1" authorId="0">
      <text>
        <r>
          <rPr>
            <sz val="10"/>
            <rFont val="宋体"/>
            <charset val="134"/>
          </rPr>
          <t>For explosives that have a secondary explosion with a different radius than the main blast effect.
Useful in cases like Incendiary (Heavy), where we want a more lethal effect at the point of impact.
- N7</t>
        </r>
      </text>
    </comment>
  </commentList>
</comments>
</file>

<file path=xl/comments3.xml><?xml version="1.0" encoding="utf-8"?>
<comments xmlns="http://schemas.openxmlformats.org/spreadsheetml/2006/main">
  <authors>
    <author/>
  </authors>
  <commentList>
    <comment ref="I1" authorId="0">
      <text>
        <r>
          <rPr>
            <sz val="10"/>
            <rFont val="宋体"/>
            <charset val="134"/>
          </rPr>
          <t>Assume 1kg of TNT equivalent is 39493.49 kPa at 0.5m from blast center
-NIA</t>
        </r>
      </text>
    </comment>
  </commentList>
</comments>
</file>

<file path=xl/comments4.xml><?xml version="1.0" encoding="utf-8"?>
<comments xmlns="http://schemas.openxmlformats.org/spreadsheetml/2006/main">
  <authors>
    <author/>
  </authors>
  <commentList>
    <comment ref="K1" authorId="0">
      <text>
        <r>
          <rPr>
            <sz val="10"/>
            <rFont val="宋体"/>
            <charset val="134"/>
          </rPr>
          <t>For projectiles such as AP-I or AP-HE, where the projectile velocity should be not included in damage calculations.
If true, it will use projectile mass for secondary damage instead of base damage (which factors in velocity).</t>
        </r>
      </text>
    </comment>
    <comment ref="L1" authorId="0">
      <text>
        <r>
          <rPr>
            <sz val="10"/>
            <rFont val="宋体"/>
            <charset val="134"/>
          </rPr>
          <t>For cases where we want a different blast radius for the ammo type's secondary explosion damage.</t>
        </r>
      </text>
    </comment>
    <comment ref="A17" authorId="0">
      <text>
        <r>
          <rPr>
            <sz val="10"/>
            <rFont val="宋体"/>
            <charset val="134"/>
          </rPr>
          <t>For crude incendiary weapons that lack a true explosive component to spread the fuel, like the molotov.
- N7</t>
        </r>
      </text>
    </comment>
    <comment ref="A19" authorId="0">
      <text>
        <r>
          <rPr>
            <sz val="10"/>
            <rFont val="宋体"/>
            <charset val="134"/>
          </rPr>
          <t>For heavy incendiary shells that should have a thermobaric element at the core.
- N7</t>
        </r>
      </text>
    </comment>
    <comment ref="G29" authorId="0">
      <text>
        <r>
          <rPr>
            <sz val="10"/>
            <rFont val="宋体"/>
            <charset val="134"/>
          </rPr>
          <t>For railguns:
Casing diameter = sabot size
Bullet diameter = penetrator size
∴ Area Factor = 1
In contrast, regular sabot rounds have a sabot of the same diameter as the standard FMJ version of the round, pushing an even smaller penetrator, hence a further reduction in Area Factor
-sumghai</t>
        </r>
      </text>
    </comment>
    <comment ref="B46" authorId="0">
      <text>
        <r>
          <rPr>
            <sz val="10"/>
            <rFont val="宋体"/>
            <charset val="134"/>
          </rPr>
          <t>Higher damage due to not having a proper case
-NIA</t>
        </r>
      </text>
    </comment>
  </commentList>
</comments>
</file>

<file path=xl/comments5.xml><?xml version="1.0" encoding="utf-8"?>
<comments xmlns="http://schemas.openxmlformats.org/spreadsheetml/2006/main">
  <authors>
    <author/>
  </authors>
  <commentList>
    <comment ref="C1" authorId="0">
      <text>
        <r>
          <rPr>
            <sz val="10"/>
            <rFont val="宋体"/>
            <charset val="134"/>
          </rPr>
          <t>As per the ingame item
-NIA</t>
        </r>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<sst xmlns="http://schemas.openxmlformats.org/spreadsheetml/2006/main" count="3237" uniqueCount="388">
  <si>
    <t>Caliber</t>
  </si>
  <si>
    <t>Ammo Type</t>
  </si>
  <si>
    <t>Overall length (mm)</t>
  </si>
  <si>
    <t>Base case diameter (mm)</t>
  </si>
  <si>
    <t>Bullet Case Mass (g)</t>
  </si>
  <si>
    <t>Bullet Diameter (mm)</t>
  </si>
  <si>
    <t>Muzzle Velocity (m/s)</t>
  </si>
  <si>
    <t>Bullet Mass (g)</t>
  </si>
  <si>
    <t>Bullet length (mm)</t>
  </si>
  <si>
    <t>Pellet Count</t>
  </si>
  <si>
    <t>Gel penetration (mm)</t>
  </si>
  <si>
    <t>RHA penetration at 100m (mm)</t>
  </si>
  <si>
    <t>Explosive filling (kg)</t>
  </si>
  <si>
    <t>Jet mass (HEAT) (g)</t>
  </si>
  <si>
    <t xml:space="preserve">Amount per bill
</t>
  </si>
  <si>
    <t xml:space="preserve">Is rocket-propelled
</t>
  </si>
  <si>
    <t>Is guided</t>
  </si>
  <si>
    <t>Is mechanoid ammo</t>
  </si>
  <si>
    <t>Advanced</t>
  </si>
  <si>
    <t>10x18mm Charged</t>
  </si>
  <si>
    <t>Charge</t>
  </si>
  <si>
    <t>Charge (Concentrated)</t>
  </si>
  <si>
    <t>Charge (Ion)</t>
  </si>
  <si>
    <t>5x35mm Charged</t>
  </si>
  <si>
    <t>5x50mm caseless (LV)</t>
  </si>
  <si>
    <t>Sabot</t>
  </si>
  <si>
    <t>5x50mm caseless</t>
  </si>
  <si>
    <t>5x50mm caseless (HV/Toxic)</t>
  </si>
  <si>
    <t>5x16mm Charged</t>
  </si>
  <si>
    <t>6mm Railgun</t>
  </si>
  <si>
    <t>Railgun (Sabot)</t>
  </si>
  <si>
    <t>6x18mm Charged</t>
  </si>
  <si>
    <t>6x22mm Charged</t>
  </si>
  <si>
    <t>6x24mm Charged</t>
  </si>
  <si>
    <t>8mm Railgun</t>
  </si>
  <si>
    <t>8x35mm Charged</t>
  </si>
  <si>
    <t>8x40mm Charged</t>
  </si>
  <si>
    <t>8x50mm Charged</t>
  </si>
  <si>
    <t>12 Gauge Charged</t>
  </si>
  <si>
    <t>Charge (Scatter)</t>
  </si>
  <si>
    <t>Charge (Slug)</t>
  </si>
  <si>
    <t>Charge (Ion Scatter)</t>
  </si>
  <si>
    <t>12mm Railgun</t>
  </si>
  <si>
    <t>12x64mm Charged</t>
  </si>
  <si>
    <t>12x72mm Charged</t>
  </si>
  <si>
    <t>15x65mm Diffusing</t>
  </si>
  <si>
    <t>20x105mm Charged</t>
  </si>
  <si>
    <t>30x64mm FC</t>
  </si>
  <si>
    <t>Incendiary</t>
  </si>
  <si>
    <t>Thermobaric</t>
  </si>
  <si>
    <t>Foam</t>
  </si>
  <si>
    <t>60x225 Gamma Shell</t>
  </si>
  <si>
    <t>Radiation</t>
  </si>
  <si>
    <t>70mm Mechanoid Grenade</t>
  </si>
  <si>
    <t>HE</t>
  </si>
  <si>
    <t>EMP</t>
  </si>
  <si>
    <t>80x256mm FC</t>
  </si>
  <si>
    <t>Incendiary (Heavy)</t>
  </si>
  <si>
    <t>66mm Thermal Bolt</t>
  </si>
  <si>
    <t>Plasma Cell (Heavy)</t>
  </si>
  <si>
    <t>Plasma (Bolt)</t>
  </si>
  <si>
    <t>Plasma Cell (Pistol)</t>
  </si>
  <si>
    <t>Plasma Cell (Rifle)</t>
  </si>
  <si>
    <t>Grenades</t>
  </si>
  <si>
    <t>20x42mm Grenade</t>
  </si>
  <si>
    <t>AP</t>
  </si>
  <si>
    <t>AP-I</t>
  </si>
  <si>
    <t>AP-HE</t>
  </si>
  <si>
    <t>Frag</t>
  </si>
  <si>
    <t>Smoke</t>
  </si>
  <si>
    <t>25x40mm Grenade</t>
  </si>
  <si>
    <t>25x59mm Grenade</t>
  </si>
  <si>
    <t>HEDP</t>
  </si>
  <si>
    <t>30x29mm Grenade</t>
  </si>
  <si>
    <t>35x32mmSR Grenade</t>
  </si>
  <si>
    <t>40x46mm Grenade</t>
  </si>
  <si>
    <t>40x47mm Grenade</t>
  </si>
  <si>
    <t>40x53mm Grenade</t>
  </si>
  <si>
    <t>40x53mm VOG25 Grenade</t>
  </si>
  <si>
    <t>50mm GS50 Grenade</t>
  </si>
  <si>
    <t>83mm PIAT Grenade</t>
  </si>
  <si>
    <t>HEAT</t>
  </si>
  <si>
    <t>High Caliber</t>
  </si>
  <si>
    <t>2 Bore</t>
  </si>
  <si>
    <t>FMJ</t>
  </si>
  <si>
    <t>12.7x108mm Soviet</t>
  </si>
  <si>
    <t>13.2x92mm TuF</t>
  </si>
  <si>
    <t>.338 Lapua Magnum</t>
  </si>
  <si>
    <t>.338 Norma Magnum</t>
  </si>
  <si>
    <t>.50 BMG</t>
  </si>
  <si>
    <t>.55 Boys</t>
  </si>
  <si>
    <t>7.92x94mm Patronen</t>
  </si>
  <si>
    <t>14.5x114mm Soviet</t>
  </si>
  <si>
    <t>15.2x169mm</t>
  </si>
  <si>
    <t>.300 Win Mag</t>
  </si>
  <si>
    <t>.408 CheyTac</t>
  </si>
  <si>
    <t>20x82mm Mauser</t>
  </si>
  <si>
    <t>20x99mm ShVAK</t>
  </si>
  <si>
    <t>20x102mm NATO</t>
  </si>
  <si>
    <t>20x110 Hispano</t>
  </si>
  <si>
    <t>20x128mm Oerlikon</t>
  </si>
  <si>
    <t>20x138mmB</t>
  </si>
  <si>
    <t>20x139mm</t>
  </si>
  <si>
    <t>23x152mmB</t>
  </si>
  <si>
    <t>30x170mm</t>
  </si>
  <si>
    <t>23x115mm</t>
  </si>
  <si>
    <t>23x115mm(HV)</t>
  </si>
  <si>
    <t>30x165mm</t>
  </si>
  <si>
    <t>30x173mm NATO</t>
  </si>
  <si>
    <t>40x311mmR</t>
  </si>
  <si>
    <t>.470 NE</t>
  </si>
  <si>
    <t>.600 NE</t>
  </si>
  <si>
    <t>.950 JDJ</t>
  </si>
  <si>
    <t>Pistol</t>
  </si>
  <si>
    <t>.41 Rimfire</t>
  </si>
  <si>
    <t>HP</t>
  </si>
  <si>
    <t>.32 ACP</t>
  </si>
  <si>
    <t>5.7x28mm FN</t>
  </si>
  <si>
    <t>7.5 FK</t>
  </si>
  <si>
    <t>9x19mm Parabellum</t>
  </si>
  <si>
    <t>.455 Webley</t>
  </si>
  <si>
    <t>.45 ACP</t>
  </si>
  <si>
    <t>.50 AE</t>
  </si>
  <si>
    <t>.500 S&amp;W</t>
  </si>
  <si>
    <t>.460 S&amp;W</t>
  </si>
  <si>
    <t>.22 LR</t>
  </si>
  <si>
    <t>.357 Magnum</t>
  </si>
  <si>
    <t>.44 Magnum</t>
  </si>
  <si>
    <t>.44 Magnum HV</t>
  </si>
  <si>
    <t>.44 S&amp;W Special</t>
  </si>
  <si>
    <t>.45 Colt</t>
  </si>
  <si>
    <t>.45 Colt HV</t>
  </si>
  <si>
    <t>.45 Schofield</t>
  </si>
  <si>
    <t>10mm Auto</t>
  </si>
  <si>
    <t>13mm Gyrojet</t>
  </si>
  <si>
    <t>.22 Short</t>
  </si>
  <si>
    <t>.40 SW</t>
  </si>
  <si>
    <t>9x21mm Gyurza</t>
  </si>
  <si>
    <t>9mm Makarov</t>
  </si>
  <si>
    <t>.25 ACP</t>
  </si>
  <si>
    <t>4.6x30mm</t>
  </si>
  <si>
    <t>7.62x25mm Tokarev</t>
  </si>
  <si>
    <t>7.62x38mmR</t>
  </si>
  <si>
    <t>7.63x25mm Mauser</t>
  </si>
  <si>
    <t>7.65x20mm Longue</t>
  </si>
  <si>
    <t>.357 SIG</t>
  </si>
  <si>
    <t>.38 S&amp;W</t>
  </si>
  <si>
    <t>.38 ACP</t>
  </si>
  <si>
    <t>.38 Special</t>
  </si>
  <si>
    <t>.380 ACP</t>
  </si>
  <si>
    <t>.38 Super</t>
  </si>
  <si>
    <t>.454 Casull</t>
  </si>
  <si>
    <t>8×22mm Nambu</t>
  </si>
  <si>
    <t>5.8x21mm DAP9</t>
  </si>
  <si>
    <t>Rifle</t>
  </si>
  <si>
    <t>.17 HMR</t>
  </si>
  <si>
    <t>.22 WMR</t>
  </si>
  <si>
    <t>.22 Hornet</t>
  </si>
  <si>
    <t>5.45x39mm Soviet</t>
  </si>
  <si>
    <t>5.45x39mm Soviet (Slow)</t>
  </si>
  <si>
    <t>5.56x45mm NATO</t>
  </si>
  <si>
    <t>5.56x45mm NATO (Slow)</t>
  </si>
  <si>
    <t>7.62x39mm Soviet</t>
  </si>
  <si>
    <t>7.62x39mm Soviet (Slow)</t>
  </si>
  <si>
    <t>4.85x49mm</t>
  </si>
  <si>
    <t>.280 British</t>
  </si>
  <si>
    <t>.303 British</t>
  </si>
  <si>
    <t>.277 Fury</t>
  </si>
  <si>
    <t>7.62x51mm NATO</t>
  </si>
  <si>
    <t>7.62x54mmR</t>
  </si>
  <si>
    <t>6.5mm Creedmoor</t>
  </si>
  <si>
    <t>.243 Winchester</t>
  </si>
  <si>
    <t>.56-56 Spencer</t>
  </si>
  <si>
    <t>12.7x55mm</t>
  </si>
  <si>
    <t>.30-06 Springfield</t>
  </si>
  <si>
    <t>8.6mm Blackout</t>
  </si>
  <si>
    <t>.300 AAC Blackout</t>
  </si>
  <si>
    <t>.30 Carbine</t>
  </si>
  <si>
    <t>.30-30 Winchester</t>
  </si>
  <si>
    <t>.38-55 Winchester</t>
  </si>
  <si>
    <t>.44-40 Winchester</t>
  </si>
  <si>
    <t>.45-70 Government</t>
  </si>
  <si>
    <t>.458 SOCOM</t>
  </si>
  <si>
    <t>.50 Beowulf</t>
  </si>
  <si>
    <t>679+</t>
  </si>
  <si>
    <t>4.73x33mm caseless</t>
  </si>
  <si>
    <t>5.8x42mm DBP10</t>
  </si>
  <si>
    <t>6.5×50mmSR Arisaka</t>
  </si>
  <si>
    <t>6.5×52mm Carcano</t>
  </si>
  <si>
    <t>7.92x57mm Mauser</t>
  </si>
  <si>
    <t>7.5x54mm French</t>
  </si>
  <si>
    <t>7.7×58mm Arisaka</t>
  </si>
  <si>
    <t>7.92×33mm Kurz</t>
  </si>
  <si>
    <t>8x50mmR Mannlicher</t>
  </si>
  <si>
    <t>8x50mmR Lebel</t>
  </si>
  <si>
    <t>9×39mm Soviet</t>
  </si>
  <si>
    <t>Shotgun</t>
  </si>
  <si>
    <t>.410 Bore</t>
  </si>
  <si>
    <t>Buck</t>
  </si>
  <si>
    <t>Slug</t>
  </si>
  <si>
    <t>Beanbag</t>
  </si>
  <si>
    <t>EMP Slug</t>
  </si>
  <si>
    <t>.410 Bore (Slow)</t>
  </si>
  <si>
    <t>20 Gauge</t>
  </si>
  <si>
    <t>16 Gauge</t>
  </si>
  <si>
    <t>12 Gauge</t>
  </si>
  <si>
    <t>12 Gauge (Slow)</t>
  </si>
  <si>
    <t>10 Gauge</t>
  </si>
  <si>
    <t>23x75mmR</t>
  </si>
  <si>
    <t>Shells &amp; Mortars</t>
  </si>
  <si>
    <t>100x695mmR Cannon</t>
  </si>
  <si>
    <t>105x607mmR</t>
  </si>
  <si>
    <t>105x617mmR</t>
  </si>
  <si>
    <t>120mm Cannon</t>
  </si>
  <si>
    <t>105mm Howitzer</t>
  </si>
  <si>
    <t>Airburst</t>
  </si>
  <si>
    <t>155mm Howitzer</t>
  </si>
  <si>
    <t>28 cm Spgr.</t>
  </si>
  <si>
    <t>37x223mmSR</t>
  </si>
  <si>
    <t>40x365mm Bofors</t>
  </si>
  <si>
    <t>57x307mmR</t>
  </si>
  <si>
    <t>57x438mm Bofors</t>
  </si>
  <si>
    <t>75x350mmR</t>
  </si>
  <si>
    <t>APCR</t>
  </si>
  <si>
    <t>77x230mmR</t>
  </si>
  <si>
    <t>76.2x385mmR Cannon</t>
  </si>
  <si>
    <t>76.2x539mmR</t>
  </si>
  <si>
    <t>81mm Mortar</t>
  </si>
  <si>
    <t>60mm Mortar</t>
  </si>
  <si>
    <t>50mm Type 89</t>
  </si>
  <si>
    <t>90mm Cannon</t>
  </si>
  <si>
    <t>Neolithic &amp; Medieval</t>
  </si>
  <si>
    <t>Crossbow Bolt</t>
  </si>
  <si>
    <t>Arrow (Stone)</t>
  </si>
  <si>
    <t>Arrow (Steel)</t>
  </si>
  <si>
    <t>Arrow (Plasteel)</t>
  </si>
  <si>
    <t>Arrow (Venom)</t>
  </si>
  <si>
    <t>Arrow (Flaming)</t>
  </si>
  <si>
    <t>Arrow</t>
  </si>
  <si>
    <t>Streamlined Arrow</t>
  </si>
  <si>
    <t>Great Arrow</t>
  </si>
  <si>
    <t>Javelin</t>
  </si>
  <si>
    <t>Javelin (Fired)</t>
  </si>
  <si>
    <t>Sling Stone (Stone)</t>
  </si>
  <si>
    <t>Sling Bullet (Stone)</t>
  </si>
  <si>
    <t>Sling Stone (Steel)</t>
  </si>
  <si>
    <t>Sling Bullet (Steel)</t>
  </si>
  <si>
    <t>Musket Ball (Fast)</t>
  </si>
  <si>
    <t>Musket Ball (Slow)</t>
  </si>
  <si>
    <t>Blunderbuss Shot</t>
  </si>
  <si>
    <t>Mini Cannon Ball</t>
  </si>
  <si>
    <t>Cannon Ball</t>
  </si>
  <si>
    <t>Mortar Grenade</t>
  </si>
  <si>
    <t>Nerve Spiker Bolt</t>
  </si>
  <si>
    <t>Hand Grenades</t>
  </si>
  <si>
    <t>Concussion grenade</t>
  </si>
  <si>
    <t>Concussion bomb</t>
  </si>
  <si>
    <t>Frag grenade</t>
  </si>
  <si>
    <t>EMP grenade</t>
  </si>
  <si>
    <t>Smoke grenade</t>
  </si>
  <si>
    <t>Flashbang</t>
  </si>
  <si>
    <t>Stick bomb</t>
  </si>
  <si>
    <t>Foam grenade</t>
  </si>
  <si>
    <t>Molotov</t>
  </si>
  <si>
    <t>Fire bomb</t>
  </si>
  <si>
    <t>Rockets &amp; Missiles</t>
  </si>
  <si>
    <t>RPG 7</t>
  </si>
  <si>
    <t>RPO</t>
  </si>
  <si>
    <t>SPG-9</t>
  </si>
  <si>
    <t>M6</t>
  </si>
  <si>
    <t>M6A1</t>
  </si>
  <si>
    <t>M6A3</t>
  </si>
  <si>
    <t>M72 LAW</t>
  </si>
  <si>
    <t>M74</t>
  </si>
  <si>
    <t>RPG 28</t>
  </si>
  <si>
    <t>RPG 32</t>
  </si>
  <si>
    <t>S-5MO 57mm Rocket</t>
  </si>
  <si>
    <t>S-5KO 57mm Rocket</t>
  </si>
  <si>
    <t>S-5TB 57mm Rocket</t>
  </si>
  <si>
    <t>Tomahawk TLAM</t>
  </si>
  <si>
    <t>127mm Javelin</t>
  </si>
  <si>
    <t>130mm Type 63</t>
  </si>
  <si>
    <t>132mm M13</t>
  </si>
  <si>
    <t>150 MBT LAW</t>
  </si>
  <si>
    <t>90mm Matador</t>
  </si>
  <si>
    <t>88 RPzB</t>
  </si>
  <si>
    <t>84mm AT4</t>
  </si>
  <si>
    <t>84x246mmR</t>
  </si>
  <si>
    <t>84x246mmR (Airburst)</t>
  </si>
  <si>
    <t>83mm SMAW</t>
  </si>
  <si>
    <t>70mm APKWS</t>
  </si>
  <si>
    <t>20mm Fliegerfaust</t>
  </si>
  <si>
    <t>90mm recoilless</t>
  </si>
  <si>
    <t>Miscellaneous</t>
  </si>
  <si>
    <t>Frag (Small)</t>
  </si>
  <si>
    <t>Frag (Medium)</t>
  </si>
  <si>
    <t>Frag (Large)</t>
  </si>
  <si>
    <t>Frag (Bomblet)</t>
  </si>
  <si>
    <t>Ballistic Knife</t>
  </si>
  <si>
    <t>Finger Spike</t>
  </si>
  <si>
    <t>Tough Spike</t>
  </si>
  <si>
    <t>Gorehulk Spike</t>
  </si>
  <si>
    <t>Nail (Slow)</t>
  </si>
  <si>
    <t>Nail (Fast)</t>
  </si>
  <si>
    <t>Bulk</t>
  </si>
  <si>
    <t>Mass</t>
  </si>
  <si>
    <t>Stack Size</t>
  </si>
  <si>
    <t>Speed</t>
  </si>
  <si>
    <t>Muzzle Energy(J)</t>
  </si>
  <si>
    <t>Damage</t>
  </si>
  <si>
    <t>Damage Alt</t>
  </si>
  <si>
    <t>Explosion Radius</t>
  </si>
  <si>
    <t>Secondary Explosion Radius</t>
  </si>
  <si>
    <t>AP MPa</t>
  </si>
  <si>
    <t>AP RHA</t>
  </si>
  <si>
    <t>Craft Stack</t>
  </si>
  <si>
    <t>Value</t>
  </si>
  <si>
    <t>Work</t>
  </si>
  <si>
    <t>Steel</t>
  </si>
  <si>
    <t>Wood</t>
  </si>
  <si>
    <t>Uranium</t>
  </si>
  <si>
    <t>Chemfuel</t>
  </si>
  <si>
    <t>Plasteel</t>
  </si>
  <si>
    <t>Components</t>
  </si>
  <si>
    <t>Prometheum</t>
  </si>
  <si>
    <t>FSX</t>
  </si>
  <si>
    <t>Meat</t>
  </si>
  <si>
    <t>Cloth</t>
  </si>
  <si>
    <t>MedicineHerbal</t>
  </si>
  <si>
    <t>StoneChunks</t>
  </si>
  <si>
    <t>Spread</t>
  </si>
  <si>
    <t>Large Frag</t>
  </si>
  <si>
    <t>Small Frag</t>
  </si>
  <si>
    <t>Suppression Factor</t>
  </si>
  <si>
    <t>Airborne Suppression Factor</t>
  </si>
  <si>
    <t>Danger Factor</t>
  </si>
  <si>
    <t>"Non</t>
  </si>
  <si>
    <t>Grenade</t>
  </si>
  <si>
    <t>#N/A</t>
  </si>
  <si>
    <t>Base damage</t>
  </si>
  <si>
    <t>Effective damage</t>
  </si>
  <si>
    <t>Secondary damage</t>
  </si>
  <si>
    <t>Force (N)</t>
  </si>
  <si>
    <t>Area (cm2)</t>
  </si>
  <si>
    <t>Pressure (Bullet) (MPa)</t>
  </si>
  <si>
    <t>Pressure (Explosion) (MPa)</t>
  </si>
  <si>
    <t>Blast damage</t>
  </si>
  <si>
    <t>Blunt damage (Bullet)</t>
  </si>
  <si>
    <t>Stack size</t>
  </si>
  <si>
    <t>Small frag %</t>
  </si>
  <si>
    <t>Calculated Large Frag</t>
  </si>
  <si>
    <t>Calculated Small Frag</t>
  </si>
  <si>
    <t>Alt. Secondary Damage</t>
  </si>
  <si>
    <t>None</t>
  </si>
  <si>
    <t>Ammo Type Factors</t>
  </si>
  <si>
    <t>Damage %</t>
  </si>
  <si>
    <t>Secondary Damage %</t>
  </si>
  <si>
    <t>Primary Damage Type</t>
  </si>
  <si>
    <t>Secondary Damage Type</t>
  </si>
  <si>
    <t>Area Factor</t>
  </si>
  <si>
    <t xml:space="preserve">Primary is blast
</t>
  </si>
  <si>
    <t>Bullet material</t>
  </si>
  <si>
    <t>Has fuze</t>
  </si>
  <si>
    <t xml:space="preserve">Mass for Secondary Damage
</t>
  </si>
  <si>
    <t>Secondary Blast Effect</t>
  </si>
  <si>
    <t>Frag factor</t>
  </si>
  <si>
    <t>Work Factor (%)</t>
  </si>
  <si>
    <t>Steel Factor</t>
  </si>
  <si>
    <t>Components Factor</t>
  </si>
  <si>
    <t>Prometheum Factor</t>
  </si>
  <si>
    <t>FSX Factor</t>
  </si>
  <si>
    <t>Bullet</t>
  </si>
  <si>
    <t>Flame_Secondary</t>
  </si>
  <si>
    <t>Bomb_Secondary</t>
  </si>
  <si>
    <t>Bomb</t>
  </si>
  <si>
    <t>Flame</t>
  </si>
  <si>
    <t>Extinguish</t>
  </si>
  <si>
    <t>Thump</t>
  </si>
  <si>
    <t>ArrowVenom</t>
  </si>
  <si>
    <t>Arrow (Bioferrite)</t>
  </si>
  <si>
    <t>Blunt</t>
  </si>
  <si>
    <t>Stab</t>
  </si>
  <si>
    <t>Burn</t>
  </si>
  <si>
    <t>Stun</t>
  </si>
  <si>
    <t>Name</t>
  </si>
  <si>
    <t>Market value</t>
  </si>
  <si>
    <t>Work to process</t>
  </si>
  <si>
    <t>Bioferrite</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</si>
</sst>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
  </numFmts>
  <fonts count="35">
    <font>
      <sz val="11"/>
      <color rgb="FF000000"/>
      <name val="Calibri"/>
      <charset val="134"/>
    </font>
    <font>
      <b/>
      <sz val="11"/>
      <name val="Calibri"/>
      <charset val="134"/>
    </font>
    <font>
      <sz val="11"/>
      <name val="Calibri"/>
      <charset val="134"/>
    </font>
    <font>
      <b/>
      <sz val="11"/>
      <color rgb="FF000000"/>
      <name val="Calibri"/>
      <charset val="134"/>
    </font>
    <font>
      <b/>
      <sz val="11"/>
      <color rgb="FFFFFFFF"/>
      <name val="Calibri"/>
      <charset val="134"/>
    </font>
    <font>
      <sz val="11"/>
      <color rgb="FFFF0000"/>
      <name val="Calibri"/>
      <charset val="134"/>
    </font>
    <font>
      <b/>
      <i/>
      <sz val="11"/>
      <name val="Calibri"/>
      <charset val="134"/>
    </font>
    <font>
      <b/>
      <i/>
      <sz val="11"/>
      <color rgb="FFFF0000"/>
      <name val="Calibri"/>
      <charset val="134"/>
    </font>
    <font>
      <sz val="11"/>
      <color rgb="FF222222"/>
      <name val="Calibri"/>
      <charset val="134"/>
    </font>
    <font>
      <sz val="9"/>
      <color rgb="FF1F1F1F"/>
      <name val="&quot;Google Sans&quot;"/>
      <charset val="134"/>
    </font>
    <font>
      <strike/>
      <sz val="11"/>
      <name val="Calibri"/>
      <charset val="134"/>
    </font>
    <font>
      <sz val="11"/>
      <color rgb="FF000000"/>
      <name val="Docs-Calibri"/>
      <charset val="134"/>
    </font>
    <font>
      <sz val="11"/>
      <name val="Docs-Calibri"/>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宋体"/>
      <charset val="134"/>
    </font>
    <font>
      <sz val="9"/>
      <name val="宋体"/>
      <charset val="134"/>
    </font>
  </fonts>
  <fills count="35">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41"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4" borderId="4"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5" applyNumberFormat="0" applyFill="0" applyAlignment="0" applyProtection="0">
      <alignment vertical="center"/>
    </xf>
    <xf numFmtId="0" fontId="20" fillId="0" borderId="5" applyNumberFormat="0" applyFill="0" applyAlignment="0" applyProtection="0">
      <alignment vertical="center"/>
    </xf>
    <xf numFmtId="0" fontId="21" fillId="0" borderId="6" applyNumberFormat="0" applyFill="0" applyAlignment="0" applyProtection="0">
      <alignment vertical="center"/>
    </xf>
    <xf numFmtId="0" fontId="21" fillId="0" borderId="0" applyNumberFormat="0" applyFill="0" applyBorder="0" applyAlignment="0" applyProtection="0">
      <alignment vertical="center"/>
    </xf>
    <xf numFmtId="0" fontId="22" fillId="5" borderId="7" applyNumberFormat="0" applyAlignment="0" applyProtection="0">
      <alignment vertical="center"/>
    </xf>
    <xf numFmtId="0" fontId="23" fillId="6" borderId="8" applyNumberFormat="0" applyAlignment="0" applyProtection="0">
      <alignment vertical="center"/>
    </xf>
    <xf numFmtId="0" fontId="24" fillId="6" borderId="7" applyNumberFormat="0" applyAlignment="0" applyProtection="0">
      <alignment vertical="center"/>
    </xf>
    <xf numFmtId="0" fontId="25" fillId="7" borderId="9" applyNumberFormat="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8" fillId="8" borderId="0" applyNumberFormat="0" applyBorder="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2"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1" fillId="34" borderId="0" applyNumberFormat="0" applyBorder="0" applyAlignment="0" applyProtection="0">
      <alignment vertical="center"/>
    </xf>
  </cellStyleXfs>
  <cellXfs count="51">
    <xf numFmtId="0" fontId="0" fillId="0" borderId="0" xfId="0" applyFont="1" applyAlignment="1"/>
    <xf numFmtId="0" fontId="1" fillId="0" borderId="0" xfId="0" applyFont="1"/>
    <xf numFmtId="0" fontId="1" fillId="0" borderId="0" xfId="0" applyFont="1" applyAlignment="1"/>
    <xf numFmtId="0" fontId="2" fillId="0" borderId="0" xfId="0" applyFont="1" applyAlignment="1"/>
    <xf numFmtId="0" fontId="1" fillId="0" borderId="0" xfId="0" applyFont="1" applyAlignment="1">
      <alignment horizontal="center" vertical="center" wrapText="1"/>
    </xf>
    <xf numFmtId="9" fontId="1" fillId="0" borderId="0" xfId="0" applyNumberFormat="1" applyFont="1" applyAlignment="1">
      <alignment horizontal="center" vertical="center" wrapText="1"/>
    </xf>
    <xf numFmtId="9" fontId="2" fillId="0" borderId="0" xfId="0" applyNumberFormat="1" applyFont="1" applyAlignment="1"/>
    <xf numFmtId="9" fontId="2" fillId="0" borderId="0" xfId="0" applyNumberFormat="1" applyFont="1" applyAlignment="1">
      <alignment horizontal="right"/>
    </xf>
    <xf numFmtId="0" fontId="2" fillId="0" borderId="0" xfId="0" applyFont="1" applyAlignment="1">
      <alignment horizontal="right"/>
    </xf>
    <xf numFmtId="0" fontId="2" fillId="0" borderId="0" xfId="0" applyFont="1" applyAlignment="1">
      <alignment horizontal="center"/>
    </xf>
    <xf numFmtId="0" fontId="2" fillId="0" borderId="0" xfId="0" applyFont="1"/>
    <xf numFmtId="9" fontId="2" fillId="0" borderId="0" xfId="0" applyNumberFormat="1" applyFont="1"/>
    <xf numFmtId="11" fontId="2" fillId="0" borderId="0" xfId="0" applyNumberFormat="1" applyFont="1" applyAlignment="1"/>
    <xf numFmtId="0" fontId="3" fillId="0" borderId="0" xfId="0" applyFont="1" applyAlignment="1">
      <alignment horizontal="center" vertical="center" wrapText="1"/>
    </xf>
    <xf numFmtId="0" fontId="4" fillId="2" borderId="0" xfId="0" applyFont="1" applyFill="1" applyAlignment="1">
      <alignment horizontal="center"/>
    </xf>
    <xf numFmtId="0" fontId="0" fillId="2" borderId="0" xfId="0" applyFont="1" applyFill="1" applyAlignment="1"/>
    <xf numFmtId="4" fontId="2" fillId="0" borderId="0" xfId="0" applyNumberFormat="1" applyFont="1"/>
    <xf numFmtId="0" fontId="5" fillId="0" borderId="1" xfId="0" applyFont="1" applyBorder="1" applyAlignment="1"/>
    <xf numFmtId="0" fontId="5" fillId="0" borderId="2" xfId="0" applyFont="1" applyBorder="1" applyAlignment="1"/>
    <xf numFmtId="0" fontId="5" fillId="0" borderId="3" xfId="0" applyFont="1" applyBorder="1" applyAlignment="1"/>
    <xf numFmtId="4" fontId="2" fillId="0" borderId="0" xfId="0" applyNumberFormat="1" applyFont="1" applyAlignment="1">
      <alignment horizontal="right"/>
    </xf>
    <xf numFmtId="0" fontId="1" fillId="2" borderId="0" xfId="0" applyFont="1" applyFill="1"/>
    <xf numFmtId="4" fontId="2" fillId="2" borderId="0" xfId="0" applyNumberFormat="1" applyFont="1" applyFill="1"/>
    <xf numFmtId="0" fontId="2" fillId="2" borderId="0" xfId="0" applyFont="1" applyFill="1"/>
    <xf numFmtId="0" fontId="6" fillId="0" borderId="0" xfId="0" applyFont="1"/>
    <xf numFmtId="0" fontId="0" fillId="0" borderId="0" xfId="0" applyFont="1" applyAlignment="1">
      <alignment horizontal="right"/>
    </xf>
    <xf numFmtId="0" fontId="0" fillId="2" borderId="0" xfId="0" applyFont="1" applyFill="1" applyAlignment="1">
      <alignment horizontal="right"/>
    </xf>
    <xf numFmtId="0" fontId="2" fillId="2" borderId="0" xfId="0" applyFont="1" applyFill="1" applyAlignment="1"/>
    <xf numFmtId="0" fontId="3" fillId="0" borderId="0" xfId="0" applyFont="1" applyAlignment="1">
      <alignment horizontal="center" wrapText="1"/>
    </xf>
    <xf numFmtId="0" fontId="0" fillId="2" borderId="0" xfId="0" applyFont="1" applyFill="1"/>
    <xf numFmtId="0" fontId="0" fillId="3" borderId="0" xfId="0" applyFont="1" applyFill="1"/>
    <xf numFmtId="0" fontId="7" fillId="0" borderId="1" xfId="0" applyFont="1" applyBorder="1"/>
    <xf numFmtId="0" fontId="7" fillId="0" borderId="2" xfId="0" applyFont="1" applyBorder="1"/>
    <xf numFmtId="0" fontId="7" fillId="0" borderId="3" xfId="0" applyFont="1" applyBorder="1"/>
    <xf numFmtId="1" fontId="0" fillId="0" borderId="0" xfId="0" applyNumberFormat="1" applyFont="1" applyAlignment="1">
      <alignment horizontal="right"/>
    </xf>
    <xf numFmtId="0" fontId="6" fillId="0" borderId="0" xfId="0" applyFont="1" applyAlignment="1"/>
    <xf numFmtId="0" fontId="8" fillId="0" borderId="0" xfId="0" applyFont="1" applyAlignment="1">
      <alignment horizontal="right"/>
    </xf>
    <xf numFmtId="2" fontId="0" fillId="0" borderId="0" xfId="0" applyNumberFormat="1" applyFont="1" applyAlignment="1">
      <alignment horizontal="right"/>
    </xf>
    <xf numFmtId="0" fontId="8" fillId="0" borderId="0" xfId="0" applyFont="1" applyAlignment="1"/>
    <xf numFmtId="176" fontId="0" fillId="0" borderId="0" xfId="0" applyNumberFormat="1" applyFont="1" applyAlignment="1">
      <alignment horizontal="right"/>
    </xf>
    <xf numFmtId="0" fontId="1" fillId="0" borderId="0" xfId="0" applyFont="1" applyAlignment="1">
      <alignment horizontal="center" wrapText="1"/>
    </xf>
    <xf numFmtId="0" fontId="2" fillId="0" borderId="0" xfId="0" applyFont="1" applyAlignment="1">
      <alignment horizontal="center" vertical="center" wrapText="1"/>
    </xf>
    <xf numFmtId="0" fontId="9" fillId="3" borderId="0" xfId="0" applyFont="1" applyFill="1" applyAlignment="1"/>
    <xf numFmtId="0" fontId="3" fillId="0" borderId="0" xfId="0" applyFont="1" applyAlignment="1"/>
    <xf numFmtId="0" fontId="3" fillId="0" borderId="0" xfId="0" applyFont="1" applyAlignment="1">
      <alignment horizontal="right"/>
    </xf>
    <xf numFmtId="0" fontId="10" fillId="0" borderId="0" xfId="0" applyFont="1"/>
    <xf numFmtId="2" fontId="2" fillId="0" borderId="0" xfId="0" applyNumberFormat="1" applyFont="1" applyAlignment="1">
      <alignment horizontal="right"/>
    </xf>
    <xf numFmtId="0" fontId="11" fillId="3" borderId="0" xfId="0" applyFont="1" applyFill="1" applyAlignment="1"/>
    <xf numFmtId="1" fontId="2" fillId="0" borderId="0" xfId="0" applyNumberFormat="1" applyFont="1" applyAlignment="1">
      <alignment horizontal="right"/>
    </xf>
    <xf numFmtId="0" fontId="12" fillId="0" borderId="0" xfId="0" applyFont="1" applyAlignment="1">
      <alignment horizontal="right"/>
    </xf>
    <xf numFmtId="1" fontId="2" fillId="0" borderId="0" xfId="0" applyNumberFormat="1" applyFont="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fgColor rgb="FFF4C7C3"/>
          <bgColor rgb="FFF4C7C3"/>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eetMetadata" Target="metadata.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E1622"/>
  <sheetViews>
    <sheetView tabSelected="1" zoomScale="90" zoomScaleNormal="90" workbookViewId="0">
      <pane xSplit="2" ySplit="1" topLeftCell="C168" activePane="bottomRight" state="frozen"/>
      <selection/>
      <selection pane="topRight"/>
      <selection pane="bottomLeft"/>
      <selection pane="bottomRight" activeCell="G184" sqref="G184"/>
    </sheetView>
  </sheetViews>
  <sheetFormatPr defaultColWidth="14.4259259259259" defaultRowHeight="15" customHeight="1"/>
  <cols>
    <col min="1" max="1" width="26.4259259259259" customWidth="1"/>
    <col min="2" max="2" width="22.712962962963" customWidth="1"/>
    <col min="3" max="3" width="12.5740740740741" customWidth="1"/>
    <col min="4" max="4" width="15.287037037037" customWidth="1"/>
    <col min="5" max="5" width="12.1388888888889" customWidth="1"/>
    <col min="6" max="6" width="14.4259259259259" customWidth="1"/>
    <col min="7" max="7" width="13" customWidth="1"/>
    <col min="8" max="8" width="10.1388888888889" customWidth="1"/>
    <col min="9" max="9" width="12.287037037037" customWidth="1"/>
    <col min="10" max="10" width="8.28703703703704" customWidth="1"/>
    <col min="11" max="11" width="16.1388888888889" customWidth="1"/>
    <col min="12" max="12" width="15.1388888888889" customWidth="1"/>
    <col min="13" max="13" width="9.86111111111111" customWidth="1"/>
    <col min="14" max="14" width="10.5740740740741" customWidth="1"/>
    <col min="15" max="15" width="8.71296296296296" customWidth="1"/>
    <col min="16" max="17" width="11.287037037037" customWidth="1"/>
    <col min="18" max="18" width="12.4259259259259" customWidth="1"/>
    <col min="19" max="31" width="8.71296296296296" customWidth="1"/>
  </cols>
  <sheetData>
    <row r="1" ht="30" customHeight="1" spans="1:31">
      <c r="A1" s="13" t="s">
        <v>0</v>
      </c>
      <c r="B1" s="13" t="s">
        <v>1</v>
      </c>
      <c r="C1" s="13" t="s">
        <v>2</v>
      </c>
      <c r="D1" s="13" t="s">
        <v>3</v>
      </c>
      <c r="E1" s="13" t="s">
        <v>4</v>
      </c>
      <c r="F1" s="13" t="s">
        <v>5</v>
      </c>
      <c r="G1" s="13" t="s">
        <v>6</v>
      </c>
      <c r="H1" s="13" t="s">
        <v>7</v>
      </c>
      <c r="I1" s="13" t="s">
        <v>8</v>
      </c>
      <c r="J1" s="13" t="s">
        <v>9</v>
      </c>
      <c r="K1" s="13" t="s">
        <v>10</v>
      </c>
      <c r="L1" s="13" t="s">
        <v>11</v>
      </c>
      <c r="M1" s="13" t="s">
        <v>12</v>
      </c>
      <c r="N1" s="4" t="s">
        <v>13</v>
      </c>
      <c r="O1" s="4" t="s">
        <v>14</v>
      </c>
      <c r="P1" s="4" t="s">
        <v>15</v>
      </c>
      <c r="Q1" s="4" t="s">
        <v>16</v>
      </c>
      <c r="R1" s="40" t="s">
        <v>17</v>
      </c>
      <c r="S1" s="41"/>
      <c r="T1" s="41"/>
      <c r="U1" s="41"/>
      <c r="V1" s="41"/>
      <c r="W1" s="41"/>
      <c r="X1" s="41"/>
      <c r="Y1" s="41"/>
      <c r="Z1" s="41"/>
      <c r="AA1" s="41"/>
      <c r="AB1" s="41"/>
      <c r="AC1" s="41"/>
      <c r="AD1" s="41"/>
      <c r="AE1" s="41"/>
    </row>
    <row r="2" ht="14.4" spans="1:31">
      <c r="A2" s="14" t="s">
        <v>18</v>
      </c>
      <c r="B2" s="15"/>
      <c r="C2" s="15"/>
      <c r="D2" s="15"/>
      <c r="E2" s="15"/>
      <c r="F2" s="15"/>
      <c r="G2" s="15"/>
      <c r="H2" s="15"/>
      <c r="I2" s="15"/>
      <c r="J2" s="15"/>
      <c r="K2" s="15"/>
      <c r="L2" s="15"/>
      <c r="M2" s="15"/>
      <c r="N2" s="23"/>
      <c r="O2" s="27"/>
      <c r="P2" s="23"/>
      <c r="Q2" s="23"/>
      <c r="R2" s="27"/>
      <c r="S2" s="10"/>
      <c r="T2" s="10"/>
      <c r="U2" s="10"/>
      <c r="V2" s="10"/>
      <c r="W2" s="10"/>
      <c r="X2" s="10"/>
      <c r="Y2" s="10"/>
      <c r="Z2" s="10"/>
      <c r="AA2" s="10"/>
      <c r="AB2" s="10"/>
      <c r="AC2" s="10"/>
      <c r="AD2" s="10"/>
      <c r="AE2" s="10"/>
    </row>
    <row r="3" ht="14.4" spans="1:31">
      <c r="A3" t="s">
        <v>19</v>
      </c>
      <c r="B3" t="s">
        <v>20</v>
      </c>
      <c r="C3" s="25">
        <v>28</v>
      </c>
      <c r="D3" s="25">
        <v>12</v>
      </c>
      <c r="E3" s="25">
        <v>7</v>
      </c>
      <c r="F3" s="25">
        <v>10</v>
      </c>
      <c r="G3" s="25">
        <v>475</v>
      </c>
      <c r="H3" s="25">
        <v>10</v>
      </c>
      <c r="I3" s="3"/>
      <c r="J3" s="3">
        <v>0</v>
      </c>
      <c r="K3" s="3"/>
      <c r="L3" s="25">
        <v>13</v>
      </c>
      <c r="M3" s="3"/>
      <c r="N3" s="3"/>
      <c r="O3" s="8">
        <v>500</v>
      </c>
      <c r="P3" t="b">
        <v>0</v>
      </c>
      <c r="Q3" t="b">
        <v>0</v>
      </c>
      <c r="R3" s="9" t="b">
        <v>0</v>
      </c>
      <c r="S3" s="10"/>
      <c r="T3" s="10"/>
      <c r="U3" s="10"/>
      <c r="V3" s="10"/>
      <c r="W3" s="10"/>
      <c r="X3" s="10"/>
      <c r="Y3" s="10"/>
      <c r="Z3" s="10"/>
      <c r="AA3" s="10"/>
      <c r="AB3" s="10"/>
      <c r="AC3" s="10"/>
      <c r="AD3" s="10"/>
      <c r="AE3" s="10"/>
    </row>
    <row r="4" ht="14.4" spans="1:31">
      <c r="A4" t="s">
        <v>19</v>
      </c>
      <c r="B4" t="s">
        <v>21</v>
      </c>
      <c r="C4" s="25">
        <v>28</v>
      </c>
      <c r="D4" s="25">
        <v>12</v>
      </c>
      <c r="E4" s="25">
        <v>7</v>
      </c>
      <c r="F4" s="25">
        <v>10</v>
      </c>
      <c r="G4" s="25">
        <v>475</v>
      </c>
      <c r="H4" s="25">
        <v>10</v>
      </c>
      <c r="I4" s="3"/>
      <c r="J4" s="3"/>
      <c r="K4" s="3"/>
      <c r="L4" s="25">
        <v>26</v>
      </c>
      <c r="M4" s="3"/>
      <c r="N4" s="3"/>
      <c r="O4" s="8">
        <v>500</v>
      </c>
      <c r="P4" t="b">
        <v>0</v>
      </c>
      <c r="Q4" t="b">
        <v>0</v>
      </c>
      <c r="R4" s="9" t="b">
        <v>0</v>
      </c>
      <c r="S4" s="10"/>
      <c r="T4" s="10"/>
      <c r="U4" s="10"/>
      <c r="V4" s="10"/>
      <c r="W4" s="10"/>
      <c r="X4" s="10"/>
      <c r="Y4" s="10"/>
      <c r="Z4" s="10"/>
      <c r="AA4" s="10"/>
      <c r="AB4" s="10"/>
      <c r="AC4" s="10"/>
      <c r="AD4" s="10"/>
      <c r="AE4" s="10"/>
    </row>
    <row r="5" ht="14.4" spans="1:31">
      <c r="A5" t="s">
        <v>19</v>
      </c>
      <c r="B5" t="s">
        <v>22</v>
      </c>
      <c r="C5" s="25">
        <v>28</v>
      </c>
      <c r="D5" s="25">
        <v>12</v>
      </c>
      <c r="E5" s="25">
        <v>7</v>
      </c>
      <c r="F5" s="25">
        <v>10</v>
      </c>
      <c r="G5" s="25">
        <v>475</v>
      </c>
      <c r="H5" s="25">
        <v>10</v>
      </c>
      <c r="I5" s="3"/>
      <c r="J5" s="3"/>
      <c r="K5" s="3"/>
      <c r="L5" s="25">
        <v>19.5</v>
      </c>
      <c r="M5" s="3"/>
      <c r="N5" s="3"/>
      <c r="O5" s="8">
        <v>500</v>
      </c>
      <c r="P5" t="b">
        <v>0</v>
      </c>
      <c r="Q5" t="b">
        <v>0</v>
      </c>
      <c r="R5" s="9" t="b">
        <v>0</v>
      </c>
      <c r="S5" s="10"/>
      <c r="T5" s="10"/>
      <c r="U5" s="10"/>
      <c r="V5" s="10"/>
      <c r="W5" s="10"/>
      <c r="X5" s="10"/>
      <c r="Y5" s="10"/>
      <c r="Z5" s="10"/>
      <c r="AA5" s="10"/>
      <c r="AB5" s="10"/>
      <c r="AC5" s="10"/>
      <c r="AD5" s="10"/>
      <c r="AE5" s="10"/>
    </row>
    <row r="6" ht="14.4" spans="1:31">
      <c r="A6" t="s">
        <v>23</v>
      </c>
      <c r="B6" t="s">
        <v>21</v>
      </c>
      <c r="C6">
        <v>50</v>
      </c>
      <c r="D6">
        <v>7</v>
      </c>
      <c r="E6">
        <v>9</v>
      </c>
      <c r="F6">
        <v>7</v>
      </c>
      <c r="G6">
        <v>1000</v>
      </c>
      <c r="H6">
        <v>6</v>
      </c>
      <c r="L6">
        <v>30</v>
      </c>
      <c r="N6" s="10"/>
      <c r="O6" s="3">
        <v>500</v>
      </c>
      <c r="P6" t="b">
        <v>0</v>
      </c>
      <c r="Q6" t="b">
        <v>0</v>
      </c>
      <c r="R6" s="9" t="b">
        <v>1</v>
      </c>
      <c r="S6" s="10"/>
      <c r="T6" s="10"/>
      <c r="U6" s="10"/>
      <c r="V6" s="10"/>
      <c r="W6" s="10"/>
      <c r="X6" s="10"/>
      <c r="Y6" s="10"/>
      <c r="Z6" s="10"/>
      <c r="AA6" s="10"/>
      <c r="AB6" s="10"/>
      <c r="AC6" s="10"/>
      <c r="AD6" s="10"/>
      <c r="AE6" s="10"/>
    </row>
    <row r="7" ht="14.4" spans="1:31">
      <c r="A7" s="3" t="s">
        <v>24</v>
      </c>
      <c r="B7" t="s">
        <v>25</v>
      </c>
      <c r="C7" s="8">
        <v>50</v>
      </c>
      <c r="D7" s="8">
        <v>10</v>
      </c>
      <c r="E7" s="8">
        <v>10</v>
      </c>
      <c r="F7" s="8">
        <v>5</v>
      </c>
      <c r="G7" s="8">
        <v>900</v>
      </c>
      <c r="H7" s="8">
        <v>5</v>
      </c>
      <c r="I7" s="8">
        <v>25</v>
      </c>
      <c r="J7" s="3"/>
      <c r="K7" s="3"/>
      <c r="L7" s="25">
        <v>21</v>
      </c>
      <c r="M7" s="3"/>
      <c r="N7" s="3"/>
      <c r="O7" s="8">
        <v>500</v>
      </c>
      <c r="P7" t="b">
        <v>0</v>
      </c>
      <c r="Q7" t="b">
        <v>0</v>
      </c>
      <c r="R7" s="9" t="b">
        <v>1</v>
      </c>
      <c r="S7" s="3"/>
      <c r="T7" s="3"/>
      <c r="U7" s="3"/>
      <c r="V7" s="3"/>
      <c r="W7" s="3"/>
      <c r="X7" s="3"/>
      <c r="Y7" s="3"/>
      <c r="Z7" s="3"/>
      <c r="AA7" s="3"/>
      <c r="AB7" s="3"/>
      <c r="AC7" s="3"/>
      <c r="AD7" s="3"/>
      <c r="AE7" s="3"/>
    </row>
    <row r="8" ht="14.4" spans="1:31">
      <c r="A8" s="3" t="s">
        <v>26</v>
      </c>
      <c r="B8" t="s">
        <v>25</v>
      </c>
      <c r="C8" s="8">
        <v>50</v>
      </c>
      <c r="D8" s="8">
        <v>10</v>
      </c>
      <c r="E8" s="8">
        <v>10</v>
      </c>
      <c r="F8" s="8">
        <v>5</v>
      </c>
      <c r="G8" s="8">
        <v>1210</v>
      </c>
      <c r="H8" s="8">
        <v>5</v>
      </c>
      <c r="I8" s="8">
        <v>25</v>
      </c>
      <c r="J8" s="3"/>
      <c r="K8" s="3"/>
      <c r="L8" s="25">
        <v>21</v>
      </c>
      <c r="M8" s="3"/>
      <c r="N8" s="3"/>
      <c r="O8" s="8">
        <v>500</v>
      </c>
      <c r="P8" t="b">
        <v>0</v>
      </c>
      <c r="Q8" t="b">
        <v>0</v>
      </c>
      <c r="R8" s="9" t="b">
        <v>1</v>
      </c>
      <c r="S8" s="3"/>
      <c r="T8" s="3"/>
      <c r="U8" s="3"/>
      <c r="V8" s="3"/>
      <c r="W8" s="3"/>
      <c r="X8" s="3"/>
      <c r="Y8" s="3"/>
      <c r="Z8" s="3"/>
      <c r="AA8" s="3"/>
      <c r="AB8" s="3"/>
      <c r="AC8" s="3"/>
      <c r="AD8" s="3"/>
      <c r="AE8" s="3"/>
    </row>
    <row r="9" ht="14.4" spans="1:31">
      <c r="A9" s="3" t="s">
        <v>27</v>
      </c>
      <c r="B9" t="s">
        <v>25</v>
      </c>
      <c r="C9" s="8">
        <v>50</v>
      </c>
      <c r="D9" s="8">
        <v>10</v>
      </c>
      <c r="E9" s="8">
        <v>10</v>
      </c>
      <c r="F9" s="8">
        <v>5</v>
      </c>
      <c r="G9" s="8">
        <v>1500</v>
      </c>
      <c r="H9" s="8">
        <v>5</v>
      </c>
      <c r="I9" s="8">
        <v>25</v>
      </c>
      <c r="J9" s="3"/>
      <c r="K9" s="3"/>
      <c r="L9" s="25">
        <v>26</v>
      </c>
      <c r="M9" s="3"/>
      <c r="N9" s="3"/>
      <c r="O9" s="8">
        <v>500</v>
      </c>
      <c r="P9" t="b">
        <v>0</v>
      </c>
      <c r="Q9" t="b">
        <v>0</v>
      </c>
      <c r="R9" s="9" t="b">
        <v>1</v>
      </c>
      <c r="S9" s="3"/>
      <c r="T9" s="3"/>
      <c r="U9" s="3"/>
      <c r="V9" s="3"/>
      <c r="W9" s="3"/>
      <c r="X9" s="3"/>
      <c r="Y9" s="3"/>
      <c r="Z9" s="3"/>
      <c r="AA9" s="3"/>
      <c r="AB9" s="3"/>
      <c r="AC9" s="3"/>
      <c r="AD9" s="3"/>
      <c r="AE9" s="3"/>
    </row>
    <row r="10" ht="14.4" spans="1:18">
      <c r="A10" t="s">
        <v>28</v>
      </c>
      <c r="B10" t="s">
        <v>20</v>
      </c>
      <c r="C10" s="25">
        <v>22</v>
      </c>
      <c r="D10" s="25">
        <v>7</v>
      </c>
      <c r="E10" s="25">
        <v>3</v>
      </c>
      <c r="F10" s="25">
        <v>5</v>
      </c>
      <c r="G10" s="25">
        <v>600</v>
      </c>
      <c r="H10" s="25">
        <v>3</v>
      </c>
      <c r="I10" s="3"/>
      <c r="J10" s="3"/>
      <c r="K10" s="3"/>
      <c r="L10" s="25">
        <v>8</v>
      </c>
      <c r="M10" s="3"/>
      <c r="N10" s="3"/>
      <c r="O10" s="8">
        <v>500</v>
      </c>
      <c r="P10" t="b">
        <v>0</v>
      </c>
      <c r="Q10" t="b">
        <v>0</v>
      </c>
      <c r="R10" s="9" t="b">
        <v>1</v>
      </c>
    </row>
    <row r="11" ht="14.4" spans="1:31">
      <c r="A11" t="s">
        <v>29</v>
      </c>
      <c r="B11" t="s">
        <v>30</v>
      </c>
      <c r="C11" s="25">
        <v>36</v>
      </c>
      <c r="D11" s="25">
        <v>6</v>
      </c>
      <c r="E11" s="25">
        <v>0.58</v>
      </c>
      <c r="F11" s="25">
        <f>D11*0.75</f>
        <v>4.5</v>
      </c>
      <c r="G11" s="25">
        <v>2000</v>
      </c>
      <c r="H11" s="25">
        <v>7.27</v>
      </c>
      <c r="I11" s="25">
        <v>36</v>
      </c>
      <c r="J11" s="3"/>
      <c r="K11" s="3"/>
      <c r="L11" s="25">
        <v>59</v>
      </c>
      <c r="M11" s="3"/>
      <c r="N11" s="3"/>
      <c r="O11" s="8">
        <v>500</v>
      </c>
      <c r="P11" t="b">
        <v>0</v>
      </c>
      <c r="Q11" t="b">
        <v>0</v>
      </c>
      <c r="R11" s="9" t="b">
        <v>0</v>
      </c>
      <c r="S11" s="3"/>
      <c r="T11" s="3"/>
      <c r="U11" s="3"/>
      <c r="V11" s="3"/>
      <c r="W11" s="3"/>
      <c r="X11" s="3"/>
      <c r="Y11" s="3"/>
      <c r="Z11" s="3"/>
      <c r="AA11" s="3"/>
      <c r="AB11" s="3"/>
      <c r="AC11" s="3"/>
      <c r="AD11" s="3"/>
      <c r="AE11" s="3"/>
    </row>
    <row r="12" ht="14.4" spans="1:31">
      <c r="A12" t="s">
        <v>31</v>
      </c>
      <c r="B12" t="s">
        <v>20</v>
      </c>
      <c r="C12">
        <v>24</v>
      </c>
      <c r="D12">
        <v>6</v>
      </c>
      <c r="E12">
        <v>4</v>
      </c>
      <c r="F12">
        <v>6</v>
      </c>
      <c r="G12">
        <v>600</v>
      </c>
      <c r="H12">
        <v>4</v>
      </c>
      <c r="L12">
        <v>12</v>
      </c>
      <c r="N12" s="10"/>
      <c r="O12" s="3">
        <v>500</v>
      </c>
      <c r="P12" t="b">
        <v>0</v>
      </c>
      <c r="Q12" t="b">
        <v>0</v>
      </c>
      <c r="R12" s="9" t="b">
        <v>0</v>
      </c>
      <c r="S12" s="10"/>
      <c r="T12" s="10"/>
      <c r="U12" s="10"/>
      <c r="V12" s="10"/>
      <c r="W12" s="10"/>
      <c r="X12" s="10"/>
      <c r="Y12" s="10"/>
      <c r="Z12" s="10"/>
      <c r="AA12" s="10"/>
      <c r="AB12" s="10"/>
      <c r="AC12" s="10"/>
      <c r="AD12" s="10"/>
      <c r="AE12" s="10"/>
    </row>
    <row r="13" ht="14.4" spans="1:31">
      <c r="A13" t="s">
        <v>31</v>
      </c>
      <c r="B13" t="s">
        <v>21</v>
      </c>
      <c r="C13">
        <v>24</v>
      </c>
      <c r="D13">
        <v>6</v>
      </c>
      <c r="E13">
        <v>4</v>
      </c>
      <c r="F13">
        <v>6</v>
      </c>
      <c r="G13">
        <v>600</v>
      </c>
      <c r="H13">
        <v>4</v>
      </c>
      <c r="L13">
        <v>24</v>
      </c>
      <c r="N13" s="10"/>
      <c r="O13" s="3">
        <v>500</v>
      </c>
      <c r="P13" t="b">
        <v>0</v>
      </c>
      <c r="Q13" t="b">
        <v>0</v>
      </c>
      <c r="R13" s="9" t="b">
        <v>0</v>
      </c>
      <c r="S13" s="10"/>
      <c r="T13" s="10"/>
      <c r="U13" s="10"/>
      <c r="V13" s="10"/>
      <c r="W13" s="10"/>
      <c r="X13" s="10"/>
      <c r="Y13" s="10"/>
      <c r="Z13" s="10"/>
      <c r="AA13" s="10"/>
      <c r="AB13" s="10"/>
      <c r="AC13" s="10"/>
      <c r="AD13" s="10"/>
      <c r="AE13" s="10"/>
    </row>
    <row r="14" ht="14.4" spans="1:31">
      <c r="A14" t="s">
        <v>31</v>
      </c>
      <c r="B14" t="s">
        <v>22</v>
      </c>
      <c r="C14">
        <v>24</v>
      </c>
      <c r="D14">
        <v>6</v>
      </c>
      <c r="E14">
        <v>4</v>
      </c>
      <c r="F14">
        <v>6</v>
      </c>
      <c r="G14">
        <v>600</v>
      </c>
      <c r="H14">
        <v>4</v>
      </c>
      <c r="L14">
        <f>L12*1.5</f>
        <v>18</v>
      </c>
      <c r="N14" s="10"/>
      <c r="O14" s="3">
        <v>500</v>
      </c>
      <c r="P14" t="b">
        <v>0</v>
      </c>
      <c r="Q14" t="b">
        <v>0</v>
      </c>
      <c r="R14" s="9" t="b">
        <v>0</v>
      </c>
      <c r="S14" s="10"/>
      <c r="T14" s="10"/>
      <c r="U14" s="10"/>
      <c r="V14" s="10"/>
      <c r="W14" s="10"/>
      <c r="X14" s="10"/>
      <c r="Y14" s="10"/>
      <c r="Z14" s="10"/>
      <c r="AA14" s="10"/>
      <c r="AB14" s="10"/>
      <c r="AC14" s="10"/>
      <c r="AD14" s="10"/>
      <c r="AE14" s="10"/>
    </row>
    <row r="15" ht="14.4" spans="1:31">
      <c r="A15" t="s">
        <v>32</v>
      </c>
      <c r="B15" t="s">
        <v>20</v>
      </c>
      <c r="C15" s="25">
        <v>30</v>
      </c>
      <c r="D15" s="25">
        <v>6</v>
      </c>
      <c r="E15" s="25">
        <v>6</v>
      </c>
      <c r="F15" s="25">
        <v>6</v>
      </c>
      <c r="G15" s="25">
        <v>800</v>
      </c>
      <c r="H15" s="25">
        <v>4</v>
      </c>
      <c r="I15" s="3"/>
      <c r="J15" s="3"/>
      <c r="K15" s="3"/>
      <c r="L15" s="25">
        <v>15</v>
      </c>
      <c r="M15" s="3"/>
      <c r="N15" s="3"/>
      <c r="O15" s="8">
        <v>500</v>
      </c>
      <c r="P15" t="b">
        <v>0</v>
      </c>
      <c r="Q15" t="b">
        <v>0</v>
      </c>
      <c r="R15" s="9" t="b">
        <v>1</v>
      </c>
      <c r="S15" s="10"/>
      <c r="T15" s="10"/>
      <c r="U15" s="10"/>
      <c r="V15" s="10"/>
      <c r="W15" s="10"/>
      <c r="X15" s="10"/>
      <c r="Y15" s="10"/>
      <c r="Z15" s="10"/>
      <c r="AA15" s="10"/>
      <c r="AB15" s="10"/>
      <c r="AC15" s="10"/>
      <c r="AD15" s="10"/>
      <c r="AE15" s="10"/>
    </row>
    <row r="16" ht="14.4" spans="1:31">
      <c r="A16" t="s">
        <v>33</v>
      </c>
      <c r="B16" t="s">
        <v>20</v>
      </c>
      <c r="C16">
        <v>30</v>
      </c>
      <c r="D16">
        <v>6</v>
      </c>
      <c r="E16">
        <v>6</v>
      </c>
      <c r="F16">
        <v>6</v>
      </c>
      <c r="G16">
        <v>800</v>
      </c>
      <c r="H16">
        <v>4</v>
      </c>
      <c r="L16">
        <v>15</v>
      </c>
      <c r="N16" s="10"/>
      <c r="O16" s="3">
        <v>500</v>
      </c>
      <c r="P16" t="b">
        <v>0</v>
      </c>
      <c r="Q16" t="b">
        <v>0</v>
      </c>
      <c r="R16" s="9" t="b">
        <v>0</v>
      </c>
      <c r="S16" s="10"/>
      <c r="T16" s="10"/>
      <c r="U16" s="10"/>
      <c r="V16" s="10"/>
      <c r="W16" s="10"/>
      <c r="X16" s="10"/>
      <c r="Y16" s="10"/>
      <c r="Z16" s="10"/>
      <c r="AA16" s="10"/>
      <c r="AB16" s="10"/>
      <c r="AC16" s="10"/>
      <c r="AD16" s="10"/>
      <c r="AE16" s="10"/>
    </row>
    <row r="17" ht="14.4" spans="1:31">
      <c r="A17" t="s">
        <v>33</v>
      </c>
      <c r="B17" t="s">
        <v>21</v>
      </c>
      <c r="C17">
        <v>30</v>
      </c>
      <c r="D17">
        <v>6</v>
      </c>
      <c r="E17">
        <v>6</v>
      </c>
      <c r="F17">
        <v>6</v>
      </c>
      <c r="G17">
        <v>800</v>
      </c>
      <c r="H17">
        <v>4</v>
      </c>
      <c r="L17">
        <v>30</v>
      </c>
      <c r="N17" s="10"/>
      <c r="O17" s="3">
        <v>500</v>
      </c>
      <c r="P17" t="b">
        <v>0</v>
      </c>
      <c r="Q17" t="b">
        <v>0</v>
      </c>
      <c r="R17" s="9" t="b">
        <v>0</v>
      </c>
      <c r="S17" s="10"/>
      <c r="T17" s="10"/>
      <c r="U17" s="10"/>
      <c r="V17" s="10"/>
      <c r="W17" s="10"/>
      <c r="X17" s="10"/>
      <c r="Y17" s="10"/>
      <c r="Z17" s="10"/>
      <c r="AA17" s="10"/>
      <c r="AB17" s="10"/>
      <c r="AC17" s="10"/>
      <c r="AD17" s="10"/>
      <c r="AE17" s="10"/>
    </row>
    <row r="18" ht="14.4" spans="1:31">
      <c r="A18" t="s">
        <v>33</v>
      </c>
      <c r="B18" t="s">
        <v>22</v>
      </c>
      <c r="C18">
        <v>30</v>
      </c>
      <c r="D18">
        <v>6</v>
      </c>
      <c r="E18">
        <v>6</v>
      </c>
      <c r="F18">
        <v>6</v>
      </c>
      <c r="G18">
        <v>800</v>
      </c>
      <c r="H18">
        <v>4</v>
      </c>
      <c r="L18">
        <f>L16*1.5</f>
        <v>22.5</v>
      </c>
      <c r="N18" s="10"/>
      <c r="O18" s="3">
        <v>500</v>
      </c>
      <c r="P18" t="b">
        <v>0</v>
      </c>
      <c r="Q18" t="b">
        <v>0</v>
      </c>
      <c r="R18" s="9" t="b">
        <v>0</v>
      </c>
      <c r="S18" s="10"/>
      <c r="T18" s="10"/>
      <c r="U18" s="10"/>
      <c r="V18" s="10"/>
      <c r="W18" s="10"/>
      <c r="X18" s="10"/>
      <c r="Y18" s="10"/>
      <c r="Z18" s="10"/>
      <c r="AA18" s="10"/>
      <c r="AB18" s="10"/>
      <c r="AC18" s="10"/>
      <c r="AD18" s="10"/>
      <c r="AE18" s="10"/>
    </row>
    <row r="19" ht="14.4" spans="1:31">
      <c r="A19" t="s">
        <v>34</v>
      </c>
      <c r="B19" t="s">
        <v>30</v>
      </c>
      <c r="C19" s="25">
        <v>20</v>
      </c>
      <c r="D19" s="25">
        <v>8</v>
      </c>
      <c r="E19" s="25">
        <v>0.45</v>
      </c>
      <c r="F19" s="25">
        <f>D19*0.75</f>
        <v>6</v>
      </c>
      <c r="G19" s="25">
        <v>1800</v>
      </c>
      <c r="H19" s="25">
        <v>7.8</v>
      </c>
      <c r="I19" s="25">
        <v>20</v>
      </c>
      <c r="J19" s="3"/>
      <c r="K19" s="3"/>
      <c r="L19" s="25">
        <v>55</v>
      </c>
      <c r="M19" s="3"/>
      <c r="N19" s="3"/>
      <c r="O19" s="8">
        <v>500</v>
      </c>
      <c r="P19" t="b">
        <v>0</v>
      </c>
      <c r="Q19" t="b">
        <v>0</v>
      </c>
      <c r="R19" s="9" t="b">
        <v>0</v>
      </c>
      <c r="S19" s="3"/>
      <c r="T19" s="3"/>
      <c r="U19" s="3"/>
      <c r="V19" s="3"/>
      <c r="W19" s="3"/>
      <c r="X19" s="3"/>
      <c r="Y19" s="3"/>
      <c r="Z19" s="3"/>
      <c r="AA19" s="3"/>
      <c r="AB19" s="3"/>
      <c r="AC19" s="3"/>
      <c r="AD19" s="3"/>
      <c r="AE19" s="3"/>
    </row>
    <row r="20" ht="14.4" spans="1:31">
      <c r="A20" t="s">
        <v>35</v>
      </c>
      <c r="B20" t="s">
        <v>20</v>
      </c>
      <c r="C20">
        <v>45</v>
      </c>
      <c r="D20">
        <v>10</v>
      </c>
      <c r="E20">
        <v>9</v>
      </c>
      <c r="F20">
        <v>8</v>
      </c>
      <c r="G20">
        <v>800</v>
      </c>
      <c r="H20">
        <v>9</v>
      </c>
      <c r="L20">
        <v>16</v>
      </c>
      <c r="N20" s="10"/>
      <c r="O20" s="3">
        <v>500</v>
      </c>
      <c r="P20" t="b">
        <v>0</v>
      </c>
      <c r="Q20" t="b">
        <v>0</v>
      </c>
      <c r="R20" s="9" t="b">
        <v>0</v>
      </c>
      <c r="S20" s="10"/>
      <c r="T20" s="10"/>
      <c r="U20" s="10"/>
      <c r="V20" s="10"/>
      <c r="W20" s="10"/>
      <c r="X20" s="10"/>
      <c r="Y20" s="10"/>
      <c r="Z20" s="10"/>
      <c r="AA20" s="10"/>
      <c r="AB20" s="10"/>
      <c r="AC20" s="10"/>
      <c r="AD20" s="10"/>
      <c r="AE20" s="10"/>
    </row>
    <row r="21" ht="14.4" spans="1:31">
      <c r="A21" t="s">
        <v>35</v>
      </c>
      <c r="B21" t="s">
        <v>21</v>
      </c>
      <c r="C21">
        <v>45</v>
      </c>
      <c r="D21">
        <v>10</v>
      </c>
      <c r="E21">
        <v>9</v>
      </c>
      <c r="F21">
        <v>8</v>
      </c>
      <c r="G21">
        <v>800</v>
      </c>
      <c r="H21">
        <v>9</v>
      </c>
      <c r="L21">
        <v>32</v>
      </c>
      <c r="N21" s="10"/>
      <c r="O21" s="3">
        <v>500</v>
      </c>
      <c r="P21" t="b">
        <v>0</v>
      </c>
      <c r="Q21" t="b">
        <v>0</v>
      </c>
      <c r="R21" s="9" t="b">
        <v>0</v>
      </c>
      <c r="S21" s="10"/>
      <c r="T21" s="10"/>
      <c r="U21" s="10"/>
      <c r="V21" s="10"/>
      <c r="W21" s="10"/>
      <c r="X21" s="10"/>
      <c r="Y21" s="10"/>
      <c r="Z21" s="10"/>
      <c r="AA21" s="10"/>
      <c r="AB21" s="10"/>
      <c r="AC21" s="10"/>
      <c r="AD21" s="10"/>
      <c r="AE21" s="10"/>
    </row>
    <row r="22" ht="14.4" spans="1:31">
      <c r="A22" t="s">
        <v>35</v>
      </c>
      <c r="B22" t="s">
        <v>22</v>
      </c>
      <c r="C22">
        <v>45</v>
      </c>
      <c r="D22">
        <v>10</v>
      </c>
      <c r="E22">
        <v>9</v>
      </c>
      <c r="F22">
        <v>8</v>
      </c>
      <c r="G22">
        <v>800</v>
      </c>
      <c r="H22">
        <v>9</v>
      </c>
      <c r="L22">
        <f>L20*1.5</f>
        <v>24</v>
      </c>
      <c r="N22" s="10"/>
      <c r="O22" s="3">
        <v>500</v>
      </c>
      <c r="P22" t="b">
        <v>0</v>
      </c>
      <c r="Q22" t="b">
        <v>0</v>
      </c>
      <c r="R22" s="9" t="b">
        <v>0</v>
      </c>
      <c r="S22" s="10"/>
      <c r="T22" s="10"/>
      <c r="U22" s="10"/>
      <c r="V22" s="10"/>
      <c r="W22" s="10"/>
      <c r="X22" s="10"/>
      <c r="Y22" s="10"/>
      <c r="Z22" s="10"/>
      <c r="AA22" s="10"/>
      <c r="AB22" s="10"/>
      <c r="AC22" s="10"/>
      <c r="AD22" s="10"/>
      <c r="AE22" s="10"/>
    </row>
    <row r="23" ht="14.4" spans="1:31">
      <c r="A23" t="s">
        <v>36</v>
      </c>
      <c r="B23" t="s">
        <v>20</v>
      </c>
      <c r="C23" s="25">
        <v>55</v>
      </c>
      <c r="D23">
        <v>10</v>
      </c>
      <c r="E23" s="25">
        <v>12</v>
      </c>
      <c r="F23" s="25">
        <v>8</v>
      </c>
      <c r="G23" s="25">
        <v>1000</v>
      </c>
      <c r="H23" s="25">
        <v>9</v>
      </c>
      <c r="I23" s="3"/>
      <c r="J23" s="3"/>
      <c r="K23" s="3"/>
      <c r="L23" s="25">
        <v>16</v>
      </c>
      <c r="M23" s="3"/>
      <c r="N23" s="3"/>
      <c r="O23" s="8">
        <v>500</v>
      </c>
      <c r="P23" t="b">
        <v>0</v>
      </c>
      <c r="Q23" t="b">
        <v>0</v>
      </c>
      <c r="R23" s="9" t="b">
        <v>1</v>
      </c>
      <c r="S23" s="10"/>
      <c r="T23" s="10"/>
      <c r="U23" s="10"/>
      <c r="V23" s="10"/>
      <c r="W23" s="10"/>
      <c r="X23" s="10"/>
      <c r="Y23" s="10"/>
      <c r="Z23" s="10"/>
      <c r="AA23" s="10"/>
      <c r="AB23" s="10"/>
      <c r="AC23" s="10"/>
      <c r="AD23" s="10"/>
      <c r="AE23" s="10"/>
    </row>
    <row r="24" ht="14.4" spans="1:31">
      <c r="A24" t="s">
        <v>37</v>
      </c>
      <c r="B24" t="s">
        <v>20</v>
      </c>
      <c r="C24" s="25">
        <v>64</v>
      </c>
      <c r="D24">
        <v>10</v>
      </c>
      <c r="E24" s="25">
        <v>15</v>
      </c>
      <c r="F24" s="25">
        <v>8</v>
      </c>
      <c r="G24" s="25">
        <v>1000</v>
      </c>
      <c r="H24" s="25">
        <v>12</v>
      </c>
      <c r="I24" s="3"/>
      <c r="J24" s="3"/>
      <c r="K24" s="3"/>
      <c r="L24" s="25">
        <v>18</v>
      </c>
      <c r="M24" s="3"/>
      <c r="N24" s="3"/>
      <c r="O24" s="8">
        <v>500</v>
      </c>
      <c r="P24" t="b">
        <v>0</v>
      </c>
      <c r="Q24" t="b">
        <v>0</v>
      </c>
      <c r="R24" s="9" t="b">
        <v>0</v>
      </c>
      <c r="S24" s="10"/>
      <c r="T24" s="10"/>
      <c r="U24" s="10"/>
      <c r="V24" s="10"/>
      <c r="W24" s="10"/>
      <c r="X24" s="10"/>
      <c r="Y24" s="10"/>
      <c r="Z24" s="10"/>
      <c r="AA24" s="10"/>
      <c r="AB24" s="10"/>
      <c r="AC24" s="10"/>
      <c r="AD24" s="10"/>
      <c r="AE24" s="10"/>
    </row>
    <row r="25" ht="14.4" spans="1:31">
      <c r="A25" t="s">
        <v>37</v>
      </c>
      <c r="B25" t="s">
        <v>21</v>
      </c>
      <c r="C25" s="25">
        <v>64</v>
      </c>
      <c r="D25">
        <v>10</v>
      </c>
      <c r="E25" s="25">
        <v>15</v>
      </c>
      <c r="F25" s="25">
        <v>8</v>
      </c>
      <c r="G25" s="25">
        <v>1000</v>
      </c>
      <c r="H25" s="25">
        <v>12</v>
      </c>
      <c r="I25" s="3"/>
      <c r="J25" s="3"/>
      <c r="K25" s="3"/>
      <c r="L25" s="25">
        <f>L24*2</f>
        <v>36</v>
      </c>
      <c r="M25" s="3"/>
      <c r="N25" s="3"/>
      <c r="O25" s="8">
        <v>500</v>
      </c>
      <c r="P25" t="b">
        <v>0</v>
      </c>
      <c r="Q25" t="b">
        <v>0</v>
      </c>
      <c r="R25" s="9" t="b">
        <v>0</v>
      </c>
      <c r="S25" s="10"/>
      <c r="T25" s="10"/>
      <c r="U25" s="10"/>
      <c r="V25" s="10"/>
      <c r="W25" s="10"/>
      <c r="X25" s="10"/>
      <c r="Y25" s="10"/>
      <c r="Z25" s="10"/>
      <c r="AA25" s="10"/>
      <c r="AB25" s="10"/>
      <c r="AC25" s="10"/>
      <c r="AD25" s="10"/>
      <c r="AE25" s="10"/>
    </row>
    <row r="26" ht="14.4" spans="1:31">
      <c r="A26" t="s">
        <v>37</v>
      </c>
      <c r="B26" t="s">
        <v>22</v>
      </c>
      <c r="C26" s="25">
        <v>64</v>
      </c>
      <c r="D26">
        <v>10</v>
      </c>
      <c r="E26" s="25">
        <v>15</v>
      </c>
      <c r="F26" s="25">
        <v>8</v>
      </c>
      <c r="G26" s="25">
        <v>1000</v>
      </c>
      <c r="H26" s="25">
        <v>12</v>
      </c>
      <c r="I26" s="3"/>
      <c r="J26" s="3"/>
      <c r="K26" s="3"/>
      <c r="L26" s="25">
        <f>L24*1.5</f>
        <v>27</v>
      </c>
      <c r="M26" s="3"/>
      <c r="N26" s="3"/>
      <c r="O26" s="8">
        <v>500</v>
      </c>
      <c r="P26" t="b">
        <v>0</v>
      </c>
      <c r="Q26" t="b">
        <v>0</v>
      </c>
      <c r="R26" s="9" t="b">
        <v>0</v>
      </c>
      <c r="S26" s="10"/>
      <c r="T26" s="10"/>
      <c r="U26" s="10"/>
      <c r="V26" s="10"/>
      <c r="W26" s="10"/>
      <c r="X26" s="10"/>
      <c r="Y26" s="10"/>
      <c r="Z26" s="10"/>
      <c r="AA26" s="10"/>
      <c r="AB26" s="10"/>
      <c r="AC26" s="10"/>
      <c r="AD26" s="10"/>
      <c r="AE26" s="10"/>
    </row>
    <row r="27" ht="14.4" spans="1:31">
      <c r="A27" t="s">
        <v>38</v>
      </c>
      <c r="B27" t="s">
        <v>39</v>
      </c>
      <c r="C27" s="25">
        <v>50</v>
      </c>
      <c r="D27" s="36">
        <v>22</v>
      </c>
      <c r="E27" s="25">
        <v>23</v>
      </c>
      <c r="F27" s="25">
        <v>5</v>
      </c>
      <c r="G27" s="25">
        <v>600</v>
      </c>
      <c r="H27" s="25">
        <v>4</v>
      </c>
      <c r="I27" s="3"/>
      <c r="J27" s="25">
        <v>6</v>
      </c>
      <c r="K27" s="3"/>
      <c r="L27" s="25">
        <v>10</v>
      </c>
      <c r="M27" s="3"/>
      <c r="N27" s="3"/>
      <c r="O27" s="8">
        <v>200</v>
      </c>
      <c r="P27" s="9" t="b">
        <v>0</v>
      </c>
      <c r="Q27" s="9" t="b">
        <v>0</v>
      </c>
      <c r="R27" s="9" t="b">
        <v>0</v>
      </c>
      <c r="S27" s="3"/>
      <c r="T27" s="3"/>
      <c r="U27" s="3"/>
      <c r="V27" s="3"/>
      <c r="W27" s="3"/>
      <c r="X27" s="3"/>
      <c r="Y27" s="3"/>
      <c r="Z27" s="3"/>
      <c r="AA27" s="10"/>
      <c r="AB27" s="10"/>
      <c r="AC27" s="10"/>
      <c r="AD27" s="10"/>
      <c r="AE27" s="10"/>
    </row>
    <row r="28" ht="14.4" spans="1:31">
      <c r="A28" t="s">
        <v>38</v>
      </c>
      <c r="B28" t="s">
        <v>40</v>
      </c>
      <c r="C28" s="25">
        <v>50</v>
      </c>
      <c r="D28" s="36">
        <v>22</v>
      </c>
      <c r="E28" s="25">
        <v>18</v>
      </c>
      <c r="F28" s="25">
        <v>11</v>
      </c>
      <c r="G28" s="25">
        <v>600</v>
      </c>
      <c r="H28" s="25">
        <v>25</v>
      </c>
      <c r="I28" s="3"/>
      <c r="J28" s="3"/>
      <c r="K28" s="3"/>
      <c r="L28" s="25">
        <v>15</v>
      </c>
      <c r="M28" s="3"/>
      <c r="N28" s="3"/>
      <c r="O28" s="8">
        <v>200</v>
      </c>
      <c r="P28" s="9" t="b">
        <v>0</v>
      </c>
      <c r="Q28" s="9" t="b">
        <v>0</v>
      </c>
      <c r="R28" s="9" t="b">
        <v>0</v>
      </c>
      <c r="S28" s="3"/>
      <c r="T28" s="3"/>
      <c r="U28" s="3"/>
      <c r="V28" s="3"/>
      <c r="W28" s="3"/>
      <c r="X28" s="3"/>
      <c r="Y28" s="3"/>
      <c r="Z28" s="3"/>
      <c r="AA28" s="10"/>
      <c r="AB28" s="10"/>
      <c r="AC28" s="10"/>
      <c r="AD28" s="10"/>
      <c r="AE28" s="10"/>
    </row>
    <row r="29" ht="14.4" spans="1:31">
      <c r="A29" t="s">
        <v>38</v>
      </c>
      <c r="B29" t="s">
        <v>41</v>
      </c>
      <c r="C29" s="25">
        <v>50</v>
      </c>
      <c r="D29" s="36">
        <v>22</v>
      </c>
      <c r="E29" s="25">
        <v>23</v>
      </c>
      <c r="F29" s="25">
        <v>5</v>
      </c>
      <c r="G29" s="25">
        <v>600</v>
      </c>
      <c r="H29" s="25">
        <v>4</v>
      </c>
      <c r="I29" s="3"/>
      <c r="J29" s="25">
        <v>6</v>
      </c>
      <c r="K29" s="3"/>
      <c r="L29" s="25">
        <v>12.5</v>
      </c>
      <c r="M29" s="3"/>
      <c r="N29" s="3"/>
      <c r="O29" s="8">
        <v>200</v>
      </c>
      <c r="P29" s="9" t="b">
        <v>0</v>
      </c>
      <c r="Q29" s="9" t="b">
        <v>0</v>
      </c>
      <c r="R29" s="9" t="b">
        <v>0</v>
      </c>
      <c r="S29" s="3"/>
      <c r="T29" s="3"/>
      <c r="U29" s="3"/>
      <c r="V29" s="3"/>
      <c r="W29" s="3"/>
      <c r="X29" s="3"/>
      <c r="Y29" s="3"/>
      <c r="Z29" s="3"/>
      <c r="AA29" s="10"/>
      <c r="AB29" s="10"/>
      <c r="AC29" s="10"/>
      <c r="AD29" s="10"/>
      <c r="AE29" s="10"/>
    </row>
    <row r="30" ht="14.4" spans="1:31">
      <c r="A30" t="s">
        <v>42</v>
      </c>
      <c r="B30" t="s">
        <v>30</v>
      </c>
      <c r="C30" s="25">
        <v>100</v>
      </c>
      <c r="D30" s="25">
        <v>12</v>
      </c>
      <c r="E30" s="25">
        <v>3.85</v>
      </c>
      <c r="F30" s="25">
        <f>D30*0.75</f>
        <v>9</v>
      </c>
      <c r="G30" s="25">
        <v>2500</v>
      </c>
      <c r="H30" s="25">
        <v>116</v>
      </c>
      <c r="I30" s="25">
        <v>100</v>
      </c>
      <c r="J30" s="3"/>
      <c r="K30" s="3"/>
      <c r="L30" s="25">
        <v>130</v>
      </c>
      <c r="M30" s="3"/>
      <c r="N30" s="3"/>
      <c r="O30" s="8">
        <v>200</v>
      </c>
      <c r="P30" t="b">
        <v>0</v>
      </c>
      <c r="Q30" t="b">
        <v>0</v>
      </c>
      <c r="R30" s="9" t="b">
        <v>0</v>
      </c>
      <c r="S30" s="3"/>
      <c r="T30" s="3"/>
      <c r="U30" s="3"/>
      <c r="V30" s="3"/>
      <c r="W30" s="3"/>
      <c r="X30" s="3"/>
      <c r="Y30" s="3"/>
      <c r="Z30" s="3"/>
      <c r="AA30" s="3"/>
      <c r="AB30" s="3"/>
      <c r="AC30" s="3"/>
      <c r="AD30" s="3"/>
      <c r="AE30" s="3"/>
    </row>
    <row r="31" ht="14.4" spans="1:31">
      <c r="A31" t="s">
        <v>43</v>
      </c>
      <c r="B31" t="s">
        <v>20</v>
      </c>
      <c r="C31">
        <v>90</v>
      </c>
      <c r="D31">
        <v>14</v>
      </c>
      <c r="E31">
        <v>18</v>
      </c>
      <c r="F31">
        <v>12</v>
      </c>
      <c r="G31">
        <v>900</v>
      </c>
      <c r="H31">
        <v>40</v>
      </c>
      <c r="L31">
        <v>30</v>
      </c>
      <c r="N31" s="10"/>
      <c r="O31" s="3">
        <v>200</v>
      </c>
      <c r="P31" t="b">
        <v>0</v>
      </c>
      <c r="Q31" t="b">
        <v>0</v>
      </c>
      <c r="R31" s="9" t="b">
        <v>1</v>
      </c>
      <c r="S31" s="10"/>
      <c r="T31" s="10"/>
      <c r="U31" s="10"/>
      <c r="V31" s="10"/>
      <c r="W31" s="10"/>
      <c r="X31" s="10"/>
      <c r="Y31" s="10"/>
      <c r="Z31" s="10"/>
      <c r="AA31" s="10"/>
      <c r="AB31" s="10"/>
      <c r="AC31" s="10"/>
      <c r="AD31" s="10"/>
      <c r="AE31" s="10"/>
    </row>
    <row r="32" ht="14.4" spans="1:31">
      <c r="A32" t="s">
        <v>44</v>
      </c>
      <c r="B32" t="s">
        <v>20</v>
      </c>
      <c r="C32" s="25">
        <v>90</v>
      </c>
      <c r="D32" s="25">
        <v>14</v>
      </c>
      <c r="E32" s="25">
        <v>18</v>
      </c>
      <c r="F32" s="25">
        <v>12</v>
      </c>
      <c r="G32" s="25">
        <v>900</v>
      </c>
      <c r="H32" s="25">
        <v>40</v>
      </c>
      <c r="I32" s="3"/>
      <c r="J32" s="3"/>
      <c r="K32" s="3"/>
      <c r="L32" s="25">
        <v>30</v>
      </c>
      <c r="M32" s="3"/>
      <c r="N32" s="3"/>
      <c r="O32" s="8">
        <v>200</v>
      </c>
      <c r="P32" t="b">
        <v>0</v>
      </c>
      <c r="Q32" t="b">
        <v>0</v>
      </c>
      <c r="R32" s="9" t="b">
        <v>0</v>
      </c>
      <c r="S32" s="10"/>
      <c r="T32" s="10"/>
      <c r="U32" s="10"/>
      <c r="V32" s="10"/>
      <c r="W32" s="10"/>
      <c r="X32" s="10"/>
      <c r="Y32" s="10"/>
      <c r="Z32" s="10"/>
      <c r="AA32" s="10"/>
      <c r="AB32" s="10"/>
      <c r="AC32" s="10"/>
      <c r="AD32" s="10"/>
      <c r="AE32" s="10"/>
    </row>
    <row r="33" ht="14.4" spans="1:31">
      <c r="A33" t="s">
        <v>44</v>
      </c>
      <c r="B33" t="s">
        <v>21</v>
      </c>
      <c r="C33" s="25">
        <v>90</v>
      </c>
      <c r="D33" s="25">
        <v>14</v>
      </c>
      <c r="E33" s="25">
        <v>18</v>
      </c>
      <c r="F33" s="25">
        <v>12</v>
      </c>
      <c r="G33" s="25">
        <v>900</v>
      </c>
      <c r="H33" s="25">
        <v>40</v>
      </c>
      <c r="I33" s="3"/>
      <c r="J33" s="3"/>
      <c r="K33" s="3"/>
      <c r="L33" s="25">
        <v>60</v>
      </c>
      <c r="M33" s="3"/>
      <c r="N33" s="3"/>
      <c r="O33" s="8">
        <v>200</v>
      </c>
      <c r="P33" t="b">
        <v>0</v>
      </c>
      <c r="Q33" t="b">
        <v>0</v>
      </c>
      <c r="R33" s="9" t="b">
        <v>0</v>
      </c>
      <c r="S33" s="10"/>
      <c r="T33" s="10"/>
      <c r="U33" s="10"/>
      <c r="V33" s="10"/>
      <c r="W33" s="10"/>
      <c r="X33" s="10"/>
      <c r="Y33" s="10"/>
      <c r="Z33" s="10"/>
      <c r="AA33" s="10"/>
      <c r="AB33" s="10"/>
      <c r="AC33" s="10"/>
      <c r="AD33" s="10"/>
      <c r="AE33" s="10"/>
    </row>
    <row r="34" ht="14.4" spans="1:31">
      <c r="A34" t="s">
        <v>44</v>
      </c>
      <c r="B34" t="s">
        <v>22</v>
      </c>
      <c r="C34" s="25">
        <v>90</v>
      </c>
      <c r="D34" s="25">
        <v>14</v>
      </c>
      <c r="E34" s="25">
        <v>18</v>
      </c>
      <c r="F34" s="25">
        <v>12</v>
      </c>
      <c r="G34" s="25">
        <v>900</v>
      </c>
      <c r="H34" s="25">
        <v>40</v>
      </c>
      <c r="I34" s="3"/>
      <c r="J34" s="3"/>
      <c r="K34" s="3"/>
      <c r="L34" s="25">
        <v>45</v>
      </c>
      <c r="M34" s="3"/>
      <c r="N34" s="3"/>
      <c r="O34" s="8">
        <v>200</v>
      </c>
      <c r="P34" t="b">
        <v>0</v>
      </c>
      <c r="Q34" t="b">
        <v>0</v>
      </c>
      <c r="R34" s="9" t="b">
        <v>0</v>
      </c>
      <c r="S34" s="10"/>
      <c r="T34" s="10"/>
      <c r="U34" s="10"/>
      <c r="V34" s="10"/>
      <c r="W34" s="10"/>
      <c r="X34" s="10"/>
      <c r="Y34" s="10"/>
      <c r="Z34" s="10"/>
      <c r="AA34" s="10"/>
      <c r="AB34" s="10"/>
      <c r="AC34" s="10"/>
      <c r="AD34" s="10"/>
      <c r="AE34" s="10"/>
    </row>
    <row r="35" ht="14.4" spans="1:31">
      <c r="A35" t="s">
        <v>45</v>
      </c>
      <c r="B35" t="s">
        <v>39</v>
      </c>
      <c r="C35">
        <v>65</v>
      </c>
      <c r="D35">
        <v>17</v>
      </c>
      <c r="E35">
        <v>35</v>
      </c>
      <c r="F35">
        <v>15</v>
      </c>
      <c r="G35">
        <v>580</v>
      </c>
      <c r="H35">
        <v>15</v>
      </c>
      <c r="J35">
        <v>5</v>
      </c>
      <c r="L35">
        <v>8</v>
      </c>
      <c r="N35" s="10"/>
      <c r="O35" s="3">
        <v>200</v>
      </c>
      <c r="P35" t="b">
        <v>0</v>
      </c>
      <c r="Q35" t="b">
        <v>0</v>
      </c>
      <c r="R35" s="9" t="b">
        <v>1</v>
      </c>
      <c r="S35" s="10"/>
      <c r="T35" s="10"/>
      <c r="U35" s="10"/>
      <c r="V35" s="10"/>
      <c r="W35" s="10"/>
      <c r="X35" s="10"/>
      <c r="Y35" s="10"/>
      <c r="Z35" s="10"/>
      <c r="AA35" s="10"/>
      <c r="AB35" s="10"/>
      <c r="AC35" s="10"/>
      <c r="AD35" s="10"/>
      <c r="AE35" s="10"/>
    </row>
    <row r="36" ht="14.4" spans="1:31">
      <c r="A36" t="s">
        <v>46</v>
      </c>
      <c r="B36" t="s">
        <v>20</v>
      </c>
      <c r="C36" s="25">
        <v>120</v>
      </c>
      <c r="D36" s="25">
        <v>22</v>
      </c>
      <c r="E36" s="25">
        <v>30</v>
      </c>
      <c r="F36" s="25">
        <v>20</v>
      </c>
      <c r="G36" s="25">
        <v>1000</v>
      </c>
      <c r="H36" s="25">
        <v>100</v>
      </c>
      <c r="I36" s="3"/>
      <c r="J36" s="3"/>
      <c r="K36" s="3"/>
      <c r="L36" s="25">
        <v>40</v>
      </c>
      <c r="M36" s="3"/>
      <c r="N36" s="3"/>
      <c r="O36" s="8">
        <v>100</v>
      </c>
      <c r="P36" t="b">
        <v>0</v>
      </c>
      <c r="Q36" t="b">
        <v>0</v>
      </c>
      <c r="R36" s="9" t="b">
        <v>0</v>
      </c>
      <c r="S36" s="3"/>
      <c r="T36" s="3"/>
      <c r="U36" s="3"/>
      <c r="V36" s="3"/>
      <c r="W36" s="3"/>
      <c r="X36" s="3"/>
      <c r="Y36" s="3"/>
      <c r="Z36" s="3"/>
      <c r="AA36" s="3"/>
      <c r="AB36" s="3"/>
      <c r="AC36" s="3"/>
      <c r="AD36" s="3"/>
      <c r="AE36" s="3"/>
    </row>
    <row r="37" ht="14.4" spans="1:31">
      <c r="A37" t="s">
        <v>46</v>
      </c>
      <c r="B37" t="s">
        <v>21</v>
      </c>
      <c r="C37" s="25">
        <v>120</v>
      </c>
      <c r="D37" s="25">
        <v>22</v>
      </c>
      <c r="E37" s="25">
        <v>30</v>
      </c>
      <c r="F37" s="25">
        <v>20</v>
      </c>
      <c r="G37" s="25">
        <v>1000</v>
      </c>
      <c r="H37" s="25">
        <v>100</v>
      </c>
      <c r="I37" s="3"/>
      <c r="J37" s="3"/>
      <c r="K37" s="3"/>
      <c r="L37" s="25">
        <v>80</v>
      </c>
      <c r="M37" s="3"/>
      <c r="N37" s="3"/>
      <c r="O37" s="8">
        <v>100</v>
      </c>
      <c r="P37" t="b">
        <v>0</v>
      </c>
      <c r="Q37" t="b">
        <v>0</v>
      </c>
      <c r="R37" s="9" t="b">
        <v>0</v>
      </c>
      <c r="S37" s="3"/>
      <c r="T37" s="3"/>
      <c r="U37" s="3"/>
      <c r="V37" s="3"/>
      <c r="W37" s="3"/>
      <c r="X37" s="3"/>
      <c r="Y37" s="3"/>
      <c r="Z37" s="3"/>
      <c r="AA37" s="3"/>
      <c r="AB37" s="3"/>
      <c r="AC37" s="3"/>
      <c r="AD37" s="3"/>
      <c r="AE37" s="3"/>
    </row>
    <row r="38" ht="14.4" spans="1:31">
      <c r="A38" t="s">
        <v>46</v>
      </c>
      <c r="B38" t="s">
        <v>22</v>
      </c>
      <c r="C38" s="25">
        <v>120</v>
      </c>
      <c r="D38" s="25">
        <v>22</v>
      </c>
      <c r="E38" s="25">
        <v>30</v>
      </c>
      <c r="F38" s="25">
        <v>20</v>
      </c>
      <c r="G38" s="25">
        <v>1000</v>
      </c>
      <c r="H38" s="25">
        <v>100</v>
      </c>
      <c r="I38" s="3"/>
      <c r="J38" s="3"/>
      <c r="K38" s="3"/>
      <c r="L38" s="25">
        <v>60</v>
      </c>
      <c r="M38" s="3"/>
      <c r="N38" s="3"/>
      <c r="O38" s="8">
        <v>100</v>
      </c>
      <c r="P38" t="b">
        <v>0</v>
      </c>
      <c r="Q38" t="b">
        <v>0</v>
      </c>
      <c r="R38" s="9" t="b">
        <v>0</v>
      </c>
      <c r="S38" s="3"/>
      <c r="T38" s="3"/>
      <c r="U38" s="3"/>
      <c r="V38" s="3"/>
      <c r="W38" s="3"/>
      <c r="X38" s="3"/>
      <c r="Y38" s="3"/>
      <c r="Z38" s="3"/>
      <c r="AA38" s="3"/>
      <c r="AB38" s="3"/>
      <c r="AC38" s="3"/>
      <c r="AD38" s="3"/>
      <c r="AE38" s="3"/>
    </row>
    <row r="39" ht="14.4" spans="1:31">
      <c r="A39" t="s">
        <v>47</v>
      </c>
      <c r="B39" t="s">
        <v>48</v>
      </c>
      <c r="C39">
        <v>64</v>
      </c>
      <c r="D39">
        <v>30</v>
      </c>
      <c r="E39">
        <v>100</v>
      </c>
      <c r="F39">
        <v>30</v>
      </c>
      <c r="G39">
        <v>200</v>
      </c>
      <c r="H39">
        <v>300</v>
      </c>
      <c r="M39">
        <v>0.6</v>
      </c>
      <c r="N39" s="10"/>
      <c r="O39" s="3">
        <v>50</v>
      </c>
      <c r="P39" t="b">
        <v>0</v>
      </c>
      <c r="Q39" t="b">
        <v>0</v>
      </c>
      <c r="R39" s="9" t="b">
        <v>0</v>
      </c>
      <c r="S39" s="10"/>
      <c r="T39" s="10"/>
      <c r="U39" s="10"/>
      <c r="V39" s="10"/>
      <c r="W39" s="10"/>
      <c r="X39" s="10"/>
      <c r="Y39" s="10"/>
      <c r="Z39" s="10"/>
      <c r="AA39" s="10"/>
      <c r="AB39" s="10"/>
      <c r="AC39" s="10"/>
      <c r="AD39" s="10"/>
      <c r="AE39" s="10"/>
    </row>
    <row r="40" ht="14.4" spans="1:31">
      <c r="A40" t="s">
        <v>47</v>
      </c>
      <c r="B40" t="s">
        <v>49</v>
      </c>
      <c r="C40">
        <v>64</v>
      </c>
      <c r="D40">
        <v>30</v>
      </c>
      <c r="E40">
        <v>100</v>
      </c>
      <c r="F40">
        <v>30</v>
      </c>
      <c r="G40">
        <v>200</v>
      </c>
      <c r="H40">
        <v>300</v>
      </c>
      <c r="M40">
        <v>0.6</v>
      </c>
      <c r="N40" s="10"/>
      <c r="O40" s="3">
        <v>50</v>
      </c>
      <c r="P40" t="b">
        <v>0</v>
      </c>
      <c r="Q40" t="b">
        <v>0</v>
      </c>
      <c r="R40" s="9" t="b">
        <v>0</v>
      </c>
      <c r="S40" s="10"/>
      <c r="T40" s="10"/>
      <c r="U40" s="10"/>
      <c r="V40" s="10"/>
      <c r="W40" s="10"/>
      <c r="X40" s="10"/>
      <c r="Y40" s="10"/>
      <c r="Z40" s="10"/>
      <c r="AA40" s="10"/>
      <c r="AB40" s="10"/>
      <c r="AC40" s="10"/>
      <c r="AD40" s="10"/>
      <c r="AE40" s="10"/>
    </row>
    <row r="41" ht="14.4" spans="1:31">
      <c r="A41" t="s">
        <v>47</v>
      </c>
      <c r="B41" t="s">
        <v>50</v>
      </c>
      <c r="C41">
        <v>64</v>
      </c>
      <c r="D41">
        <v>30</v>
      </c>
      <c r="E41">
        <v>100</v>
      </c>
      <c r="F41">
        <v>30</v>
      </c>
      <c r="G41">
        <v>200</v>
      </c>
      <c r="H41">
        <v>300</v>
      </c>
      <c r="M41">
        <v>0.6</v>
      </c>
      <c r="N41" s="10"/>
      <c r="O41" s="3">
        <v>50</v>
      </c>
      <c r="P41" t="b">
        <v>0</v>
      </c>
      <c r="Q41" t="b">
        <v>0</v>
      </c>
      <c r="R41" s="9" t="b">
        <v>0</v>
      </c>
      <c r="S41" s="10"/>
      <c r="T41" s="10"/>
      <c r="U41" s="10"/>
      <c r="V41" s="10"/>
      <c r="W41" s="10"/>
      <c r="X41" s="10"/>
      <c r="Y41" s="10"/>
      <c r="Z41" s="10"/>
      <c r="AA41" s="10"/>
      <c r="AB41" s="10"/>
      <c r="AC41" s="10"/>
      <c r="AD41" s="10"/>
      <c r="AE41" s="10"/>
    </row>
    <row r="42" ht="14.4" spans="1:31">
      <c r="A42" t="s">
        <v>51</v>
      </c>
      <c r="B42" t="s">
        <v>52</v>
      </c>
      <c r="C42">
        <v>500</v>
      </c>
      <c r="D42">
        <v>60</v>
      </c>
      <c r="E42">
        <v>500</v>
      </c>
      <c r="F42">
        <v>60</v>
      </c>
      <c r="G42">
        <v>300</v>
      </c>
      <c r="H42">
        <v>5000</v>
      </c>
      <c r="M42">
        <v>1</v>
      </c>
      <c r="N42" s="10"/>
      <c r="O42" s="3">
        <v>5</v>
      </c>
      <c r="P42" t="b">
        <v>0</v>
      </c>
      <c r="Q42" t="b">
        <v>0</v>
      </c>
      <c r="R42" s="9" t="b">
        <v>1</v>
      </c>
      <c r="S42" s="10"/>
      <c r="T42" s="10"/>
      <c r="U42" s="10"/>
      <c r="V42" s="10"/>
      <c r="W42" s="10"/>
      <c r="X42" s="10"/>
      <c r="Y42" s="10"/>
      <c r="Z42" s="10"/>
      <c r="AA42" s="10"/>
      <c r="AB42" s="10"/>
      <c r="AC42" s="10"/>
      <c r="AD42" s="10"/>
      <c r="AE42" s="10"/>
    </row>
    <row r="43" ht="14.4" spans="1:31">
      <c r="A43" t="s">
        <v>53</v>
      </c>
      <c r="B43" t="s">
        <v>54</v>
      </c>
      <c r="C43">
        <v>250</v>
      </c>
      <c r="D43">
        <v>70</v>
      </c>
      <c r="E43">
        <v>80</v>
      </c>
      <c r="F43">
        <v>70</v>
      </c>
      <c r="G43">
        <v>100</v>
      </c>
      <c r="H43">
        <v>1500</v>
      </c>
      <c r="M43">
        <v>1</v>
      </c>
      <c r="N43" s="10"/>
      <c r="O43" s="3">
        <v>5</v>
      </c>
      <c r="P43" t="b">
        <v>0</v>
      </c>
      <c r="Q43" t="b">
        <v>0</v>
      </c>
      <c r="R43" s="9" t="b">
        <v>1</v>
      </c>
      <c r="S43" s="10"/>
      <c r="T43" s="10"/>
      <c r="U43" s="10"/>
      <c r="V43" s="10"/>
      <c r="W43" s="10"/>
      <c r="X43" s="10"/>
      <c r="Y43" s="10"/>
      <c r="Z43" s="10"/>
      <c r="AA43" s="10"/>
      <c r="AB43" s="10"/>
      <c r="AC43" s="10"/>
      <c r="AD43" s="10"/>
      <c r="AE43" s="10"/>
    </row>
    <row r="44" ht="14.4" spans="1:31">
      <c r="A44" t="s">
        <v>53</v>
      </c>
      <c r="B44" t="s">
        <v>55</v>
      </c>
      <c r="C44">
        <v>250</v>
      </c>
      <c r="D44">
        <v>70</v>
      </c>
      <c r="E44">
        <v>80</v>
      </c>
      <c r="F44">
        <v>70</v>
      </c>
      <c r="G44">
        <v>100</v>
      </c>
      <c r="H44">
        <v>1500</v>
      </c>
      <c r="M44">
        <v>1</v>
      </c>
      <c r="N44" s="10"/>
      <c r="O44" s="3">
        <v>5</v>
      </c>
      <c r="P44" t="b">
        <v>0</v>
      </c>
      <c r="Q44" t="b">
        <v>0</v>
      </c>
      <c r="R44" s="9" t="b">
        <v>1</v>
      </c>
      <c r="S44" s="10"/>
      <c r="T44" s="10"/>
      <c r="U44" s="10"/>
      <c r="V44" s="10"/>
      <c r="W44" s="10"/>
      <c r="X44" s="10"/>
      <c r="Y44" s="10"/>
      <c r="Z44" s="10"/>
      <c r="AA44" s="10"/>
      <c r="AB44" s="10"/>
      <c r="AC44" s="10"/>
      <c r="AD44" s="10"/>
      <c r="AE44" s="10"/>
    </row>
    <row r="45" ht="14.4" spans="1:31">
      <c r="A45" t="s">
        <v>56</v>
      </c>
      <c r="B45" t="s">
        <v>57</v>
      </c>
      <c r="C45" s="37">
        <v>256</v>
      </c>
      <c r="D45" s="25">
        <v>80</v>
      </c>
      <c r="E45" s="37">
        <v>500</v>
      </c>
      <c r="F45" s="25">
        <v>80</v>
      </c>
      <c r="G45" s="25">
        <v>300</v>
      </c>
      <c r="H45" s="37">
        <v>1500</v>
      </c>
      <c r="I45" s="25">
        <v>64</v>
      </c>
      <c r="J45" s="3"/>
      <c r="K45" s="3"/>
      <c r="L45" s="3"/>
      <c r="M45" s="39">
        <v>0.75</v>
      </c>
      <c r="N45" s="3"/>
      <c r="O45" s="8">
        <v>5</v>
      </c>
      <c r="P45" s="9" t="b">
        <v>0</v>
      </c>
      <c r="Q45" s="9" t="b">
        <v>0</v>
      </c>
      <c r="R45" s="9" t="b">
        <v>1</v>
      </c>
      <c r="S45" s="3"/>
      <c r="T45" s="3"/>
      <c r="U45" s="3"/>
      <c r="V45" s="3"/>
      <c r="W45" s="3"/>
      <c r="X45" s="3"/>
      <c r="Y45" s="3"/>
      <c r="Z45" s="3"/>
      <c r="AA45" s="10"/>
      <c r="AB45" s="10"/>
      <c r="AC45" s="10"/>
      <c r="AD45" s="10"/>
      <c r="AE45" s="10"/>
    </row>
    <row r="46" ht="14.4" spans="1:31">
      <c r="A46" t="s">
        <v>58</v>
      </c>
      <c r="B46" t="s">
        <v>57</v>
      </c>
      <c r="C46" s="37">
        <v>250</v>
      </c>
      <c r="D46" s="3"/>
      <c r="E46" s="37">
        <v>0</v>
      </c>
      <c r="F46" s="25">
        <v>66</v>
      </c>
      <c r="G46" s="3"/>
      <c r="H46" s="37">
        <v>2500</v>
      </c>
      <c r="I46" s="3"/>
      <c r="J46" s="3"/>
      <c r="K46" s="3"/>
      <c r="L46" s="3"/>
      <c r="M46" s="39">
        <v>0.3</v>
      </c>
      <c r="N46" s="3"/>
      <c r="O46" s="25">
        <v>5</v>
      </c>
      <c r="P46" s="9" t="b">
        <v>0</v>
      </c>
      <c r="Q46" s="9" t="b">
        <v>0</v>
      </c>
      <c r="R46" s="9" t="b">
        <v>1</v>
      </c>
      <c r="S46" s="3"/>
      <c r="T46" s="3"/>
      <c r="U46" s="3"/>
      <c r="V46" s="3"/>
      <c r="W46" s="3"/>
      <c r="X46" s="3"/>
      <c r="Y46" s="3"/>
      <c r="Z46" s="3"/>
      <c r="AA46" s="3"/>
      <c r="AB46" s="3"/>
      <c r="AC46" s="3"/>
      <c r="AD46" s="3"/>
      <c r="AE46" s="3"/>
    </row>
    <row r="47" ht="14.4" spans="1:31">
      <c r="A47" t="s">
        <v>59</v>
      </c>
      <c r="B47" t="s">
        <v>60</v>
      </c>
      <c r="C47" s="37">
        <f>100/3</f>
        <v>33.3333333333333</v>
      </c>
      <c r="D47" s="25">
        <f t="shared" ref="D47:D49" si="0">F47</f>
        <v>80</v>
      </c>
      <c r="E47" s="37">
        <f>400/3</f>
        <v>133.333333333333</v>
      </c>
      <c r="F47" s="25">
        <v>80</v>
      </c>
      <c r="G47" s="25">
        <v>900</v>
      </c>
      <c r="H47" s="37">
        <f t="shared" ref="H47:H49" si="1">(PI()*(F47/2)^2*I47)*2.3*10^-5</f>
        <v>27.7465463165051</v>
      </c>
      <c r="I47" s="25">
        <v>240</v>
      </c>
      <c r="J47" s="3"/>
      <c r="K47" s="3"/>
      <c r="L47" s="3"/>
      <c r="M47" s="39">
        <f t="shared" ref="M47:M49" si="2">H47/1000*1.34</f>
        <v>0.0371803720641168</v>
      </c>
      <c r="N47" s="3"/>
      <c r="O47" s="25">
        <v>75</v>
      </c>
      <c r="P47" t="b">
        <v>0</v>
      </c>
      <c r="Q47" t="b">
        <v>0</v>
      </c>
      <c r="R47" s="9" t="b">
        <v>0</v>
      </c>
      <c r="S47" s="10"/>
      <c r="T47" s="10"/>
      <c r="U47" s="10"/>
      <c r="V47" s="10"/>
      <c r="W47" s="10"/>
      <c r="X47" s="10"/>
      <c r="Y47" s="10"/>
      <c r="Z47" s="10"/>
      <c r="AA47" s="10"/>
      <c r="AB47" s="10"/>
      <c r="AC47" s="10"/>
      <c r="AD47" s="10"/>
      <c r="AE47" s="10"/>
    </row>
    <row r="48" ht="14.4" spans="1:31">
      <c r="A48" t="s">
        <v>61</v>
      </c>
      <c r="B48" t="s">
        <v>60</v>
      </c>
      <c r="C48" s="37">
        <f>80/15</f>
        <v>5.33333333333333</v>
      </c>
      <c r="D48" s="25">
        <f t="shared" si="0"/>
        <v>20</v>
      </c>
      <c r="E48" s="37">
        <f>200/15</f>
        <v>13.3333333333333</v>
      </c>
      <c r="F48" s="25">
        <v>20</v>
      </c>
      <c r="G48" s="25">
        <v>700</v>
      </c>
      <c r="H48" s="37">
        <f t="shared" si="1"/>
        <v>0.578053048260522</v>
      </c>
      <c r="I48" s="25">
        <v>80</v>
      </c>
      <c r="J48" s="3"/>
      <c r="K48" s="3"/>
      <c r="L48" s="3"/>
      <c r="M48" s="39">
        <f t="shared" si="2"/>
        <v>0.000774591084669099</v>
      </c>
      <c r="N48" s="3"/>
      <c r="O48" s="25">
        <v>500</v>
      </c>
      <c r="P48" t="b">
        <v>0</v>
      </c>
      <c r="Q48" t="b">
        <v>0</v>
      </c>
      <c r="R48" s="9" t="b">
        <v>0</v>
      </c>
      <c r="S48" s="10"/>
      <c r="T48" s="10"/>
      <c r="U48" s="10"/>
      <c r="V48" s="10"/>
      <c r="W48" s="10"/>
      <c r="X48" s="10"/>
      <c r="Y48" s="10"/>
      <c r="Z48" s="10"/>
      <c r="AA48" s="10"/>
      <c r="AB48" s="10"/>
      <c r="AC48" s="10"/>
      <c r="AD48" s="10"/>
      <c r="AE48" s="10"/>
    </row>
    <row r="49" ht="14.4" spans="1:31">
      <c r="A49" t="s">
        <v>62</v>
      </c>
      <c r="B49" t="s">
        <v>60</v>
      </c>
      <c r="C49" s="37">
        <f>140/30</f>
        <v>4.66666666666667</v>
      </c>
      <c r="D49" s="25">
        <f t="shared" si="0"/>
        <v>20</v>
      </c>
      <c r="E49" s="37">
        <f>500/30</f>
        <v>16.6666666666667</v>
      </c>
      <c r="F49" s="25">
        <v>20</v>
      </c>
      <c r="G49" s="25">
        <v>1000</v>
      </c>
      <c r="H49" s="37">
        <f t="shared" si="1"/>
        <v>0.867079572390783</v>
      </c>
      <c r="I49" s="25">
        <v>120</v>
      </c>
      <c r="J49" s="3"/>
      <c r="K49" s="3"/>
      <c r="L49" s="3"/>
      <c r="M49" s="39">
        <f t="shared" si="2"/>
        <v>0.00116188662700365</v>
      </c>
      <c r="N49" s="3"/>
      <c r="O49" s="25">
        <v>500</v>
      </c>
      <c r="P49" t="b">
        <v>0</v>
      </c>
      <c r="Q49" t="b">
        <v>0</v>
      </c>
      <c r="R49" s="9" t="b">
        <v>0</v>
      </c>
      <c r="S49" s="10"/>
      <c r="T49" s="10"/>
      <c r="U49" s="10"/>
      <c r="V49" s="10"/>
      <c r="W49" s="10"/>
      <c r="X49" s="10"/>
      <c r="Y49" s="10"/>
      <c r="Z49" s="10"/>
      <c r="AA49" s="10"/>
      <c r="AB49" s="10"/>
      <c r="AC49" s="10"/>
      <c r="AD49" s="10"/>
      <c r="AE49" s="10"/>
    </row>
    <row r="50" ht="14.4" spans="1:31">
      <c r="A50" s="14" t="s">
        <v>63</v>
      </c>
      <c r="B50" s="15"/>
      <c r="C50" s="15"/>
      <c r="D50" s="15"/>
      <c r="E50" s="15"/>
      <c r="F50" s="15"/>
      <c r="G50" s="15"/>
      <c r="H50" s="15"/>
      <c r="I50" s="15"/>
      <c r="J50" s="15"/>
      <c r="K50" s="15"/>
      <c r="L50" s="15"/>
      <c r="M50" s="15"/>
      <c r="N50" s="23"/>
      <c r="O50" s="27"/>
      <c r="P50" s="23"/>
      <c r="Q50" s="23"/>
      <c r="R50" s="27"/>
      <c r="S50" s="10"/>
      <c r="T50" s="10"/>
      <c r="U50" s="10"/>
      <c r="V50" s="10"/>
      <c r="W50" s="10"/>
      <c r="X50" s="10"/>
      <c r="Y50" s="10"/>
      <c r="Z50" s="10"/>
      <c r="AA50" s="10"/>
      <c r="AB50" s="10"/>
      <c r="AC50" s="10"/>
      <c r="AD50" s="10"/>
      <c r="AE50" s="10"/>
    </row>
    <row r="51" ht="14.4" spans="1:31">
      <c r="A51" t="s">
        <v>64</v>
      </c>
      <c r="B51" t="s">
        <v>65</v>
      </c>
      <c r="C51" s="25">
        <v>105</v>
      </c>
      <c r="D51" s="25">
        <v>20</v>
      </c>
      <c r="E51" s="25">
        <v>52</v>
      </c>
      <c r="F51" s="25">
        <v>20</v>
      </c>
      <c r="G51" s="25">
        <v>310</v>
      </c>
      <c r="H51" s="36">
        <v>110</v>
      </c>
      <c r="I51" s="3"/>
      <c r="J51" s="3"/>
      <c r="K51" s="3"/>
      <c r="L51" s="25">
        <v>12</v>
      </c>
      <c r="M51"/>
      <c r="N51" s="3"/>
      <c r="O51" s="8">
        <v>100</v>
      </c>
      <c r="P51" t="b">
        <v>0</v>
      </c>
      <c r="Q51" t="b">
        <v>0</v>
      </c>
      <c r="R51" s="9" t="b">
        <v>0</v>
      </c>
      <c r="S51" s="3"/>
      <c r="T51" s="3"/>
      <c r="U51" s="3"/>
      <c r="V51" s="3"/>
      <c r="W51" s="3"/>
      <c r="X51" s="3"/>
      <c r="Y51" s="3"/>
      <c r="Z51" s="3"/>
      <c r="AA51" s="3"/>
      <c r="AB51" s="3"/>
      <c r="AC51" s="3"/>
      <c r="AD51" s="3"/>
      <c r="AE51" s="3"/>
    </row>
    <row r="52" ht="14.4" spans="1:31">
      <c r="A52" t="s">
        <v>64</v>
      </c>
      <c r="B52" t="s">
        <v>66</v>
      </c>
      <c r="C52" s="25">
        <v>105</v>
      </c>
      <c r="D52" s="25">
        <v>20</v>
      </c>
      <c r="E52" s="25">
        <v>52</v>
      </c>
      <c r="F52" s="25">
        <v>20</v>
      </c>
      <c r="G52" s="25">
        <v>310</v>
      </c>
      <c r="H52" s="36">
        <v>110</v>
      </c>
      <c r="I52" s="3"/>
      <c r="J52" s="3"/>
      <c r="K52" s="3"/>
      <c r="L52" s="25">
        <v>12</v>
      </c>
      <c r="N52" s="3"/>
      <c r="O52" s="8">
        <v>100</v>
      </c>
      <c r="P52" t="b">
        <v>0</v>
      </c>
      <c r="Q52" t="b">
        <v>0</v>
      </c>
      <c r="R52" s="9" t="b">
        <v>0</v>
      </c>
      <c r="S52" s="3"/>
      <c r="T52" s="3"/>
      <c r="U52" s="3"/>
      <c r="V52" s="3"/>
      <c r="W52" s="3"/>
      <c r="X52" s="3"/>
      <c r="Y52" s="3"/>
      <c r="Z52" s="3"/>
      <c r="AA52" s="3"/>
      <c r="AB52" s="3"/>
      <c r="AC52" s="3"/>
      <c r="AD52" s="3"/>
      <c r="AE52" s="3"/>
    </row>
    <row r="53" ht="14.4" spans="1:31">
      <c r="A53" t="s">
        <v>64</v>
      </c>
      <c r="B53" t="s">
        <v>67</v>
      </c>
      <c r="C53" s="25">
        <v>105</v>
      </c>
      <c r="D53" s="25">
        <v>20</v>
      </c>
      <c r="E53" s="25">
        <v>52</v>
      </c>
      <c r="F53" s="25">
        <v>20</v>
      </c>
      <c r="G53" s="25">
        <v>310</v>
      </c>
      <c r="H53" s="36">
        <v>110</v>
      </c>
      <c r="I53" s="3"/>
      <c r="J53" s="3"/>
      <c r="K53" s="3"/>
      <c r="L53" s="25">
        <v>6</v>
      </c>
      <c r="N53" s="3"/>
      <c r="O53" s="8">
        <v>100</v>
      </c>
      <c r="P53" t="b">
        <v>0</v>
      </c>
      <c r="Q53" t="b">
        <v>0</v>
      </c>
      <c r="R53" s="9" t="b">
        <v>0</v>
      </c>
      <c r="S53" s="3"/>
      <c r="T53" s="3"/>
      <c r="U53" s="3"/>
      <c r="V53" s="3"/>
      <c r="W53" s="3"/>
      <c r="X53" s="3"/>
      <c r="Y53" s="3"/>
      <c r="Z53" s="3"/>
      <c r="AA53" s="3"/>
      <c r="AB53" s="3"/>
      <c r="AC53" s="3"/>
      <c r="AD53" s="3"/>
      <c r="AE53" s="3"/>
    </row>
    <row r="54" ht="14.4" spans="1:31">
      <c r="A54" t="s">
        <v>64</v>
      </c>
      <c r="B54" t="s">
        <v>68</v>
      </c>
      <c r="C54" s="25">
        <v>105</v>
      </c>
      <c r="D54" s="25">
        <v>20</v>
      </c>
      <c r="E54" s="25">
        <v>52</v>
      </c>
      <c r="F54" s="25">
        <v>20</v>
      </c>
      <c r="G54" s="25">
        <v>310</v>
      </c>
      <c r="H54" s="36">
        <v>110</v>
      </c>
      <c r="I54" s="3"/>
      <c r="J54" s="3"/>
      <c r="K54" s="3"/>
      <c r="L54" s="3"/>
      <c r="M54" s="25">
        <v>0.0378</v>
      </c>
      <c r="N54" s="3"/>
      <c r="O54" s="8">
        <v>100</v>
      </c>
      <c r="P54" t="b">
        <v>0</v>
      </c>
      <c r="Q54" t="b">
        <v>0</v>
      </c>
      <c r="R54" s="9" t="b">
        <v>0</v>
      </c>
      <c r="S54" s="3"/>
      <c r="T54" s="3"/>
      <c r="U54" s="3"/>
      <c r="V54" s="3"/>
      <c r="W54" s="3"/>
      <c r="X54" s="3"/>
      <c r="Y54" s="3"/>
      <c r="Z54" s="3"/>
      <c r="AA54" s="3"/>
      <c r="AB54" s="3"/>
      <c r="AC54" s="3"/>
      <c r="AD54" s="3"/>
      <c r="AE54" s="3"/>
    </row>
    <row r="55" ht="14.4" spans="1:31">
      <c r="A55" t="s">
        <v>64</v>
      </c>
      <c r="B55" t="s">
        <v>55</v>
      </c>
      <c r="C55" s="25">
        <v>105</v>
      </c>
      <c r="D55" s="25">
        <v>20</v>
      </c>
      <c r="E55" s="25">
        <v>52</v>
      </c>
      <c r="F55" s="25">
        <v>20</v>
      </c>
      <c r="G55" s="25">
        <v>310</v>
      </c>
      <c r="H55" s="36">
        <v>110</v>
      </c>
      <c r="I55" s="3"/>
      <c r="J55" s="3"/>
      <c r="K55" s="3"/>
      <c r="L55" s="3"/>
      <c r="M55" s="25">
        <v>0.0378</v>
      </c>
      <c r="N55" s="3"/>
      <c r="O55" s="8">
        <v>100</v>
      </c>
      <c r="P55" t="b">
        <v>0</v>
      </c>
      <c r="Q55" t="b">
        <v>0</v>
      </c>
      <c r="R55" s="9" t="b">
        <v>0</v>
      </c>
      <c r="S55" s="3"/>
      <c r="T55" s="3"/>
      <c r="U55" s="3"/>
      <c r="V55" s="3"/>
      <c r="W55" s="3"/>
      <c r="X55" s="3"/>
      <c r="Y55" s="3"/>
      <c r="Z55" s="3"/>
      <c r="AA55" s="3"/>
      <c r="AB55" s="3"/>
      <c r="AC55" s="3"/>
      <c r="AD55" s="3"/>
      <c r="AE55" s="3"/>
    </row>
    <row r="56" ht="14.4" spans="1:31">
      <c r="A56" t="s">
        <v>64</v>
      </c>
      <c r="B56" t="s">
        <v>69</v>
      </c>
      <c r="C56" s="25">
        <v>105</v>
      </c>
      <c r="D56" s="25">
        <v>20</v>
      </c>
      <c r="E56" s="25">
        <v>52</v>
      </c>
      <c r="F56" s="25">
        <v>20</v>
      </c>
      <c r="G56" s="25">
        <v>310</v>
      </c>
      <c r="H56" s="36">
        <v>110</v>
      </c>
      <c r="I56" s="3"/>
      <c r="J56" s="3"/>
      <c r="K56" s="3"/>
      <c r="L56" s="3"/>
      <c r="M56" s="25">
        <v>0.0378</v>
      </c>
      <c r="N56" s="3"/>
      <c r="O56" s="8">
        <v>100</v>
      </c>
      <c r="P56" t="b">
        <v>0</v>
      </c>
      <c r="Q56" t="b">
        <v>0</v>
      </c>
      <c r="R56" s="9" t="b">
        <v>0</v>
      </c>
      <c r="S56" s="3"/>
      <c r="T56" s="3"/>
      <c r="U56" s="3"/>
      <c r="V56" s="3"/>
      <c r="W56" s="3"/>
      <c r="X56" s="3"/>
      <c r="Y56" s="3"/>
      <c r="Z56" s="3"/>
      <c r="AA56" s="3"/>
      <c r="AB56" s="3"/>
      <c r="AC56" s="3"/>
      <c r="AD56" s="3"/>
      <c r="AE56" s="3"/>
    </row>
    <row r="57" ht="14.4" spans="1:31">
      <c r="A57" t="s">
        <v>70</v>
      </c>
      <c r="B57" t="s">
        <v>68</v>
      </c>
      <c r="C57">
        <v>98.8</v>
      </c>
      <c r="D57">
        <v>25</v>
      </c>
      <c r="E57">
        <v>21</v>
      </c>
      <c r="F57">
        <v>25</v>
      </c>
      <c r="G57">
        <v>210</v>
      </c>
      <c r="H57" s="38">
        <v>123</v>
      </c>
      <c r="M57">
        <v>0.035</v>
      </c>
      <c r="N57" s="10"/>
      <c r="O57" s="3">
        <v>100</v>
      </c>
      <c r="P57" t="b">
        <v>0</v>
      </c>
      <c r="Q57" t="b">
        <v>0</v>
      </c>
      <c r="R57" s="9" t="b">
        <v>0</v>
      </c>
      <c r="S57" s="10"/>
      <c r="T57" s="10"/>
      <c r="U57" s="10"/>
      <c r="V57" s="10"/>
      <c r="W57" s="10"/>
      <c r="X57" s="10"/>
      <c r="Y57" s="10"/>
      <c r="Z57" s="10"/>
      <c r="AA57" s="10"/>
      <c r="AB57" s="10"/>
      <c r="AC57" s="10"/>
      <c r="AD57" s="10"/>
      <c r="AE57" s="10"/>
    </row>
    <row r="58" ht="14.4" spans="1:31">
      <c r="A58" t="s">
        <v>70</v>
      </c>
      <c r="B58" t="s">
        <v>55</v>
      </c>
      <c r="C58">
        <v>98.8</v>
      </c>
      <c r="D58">
        <v>25</v>
      </c>
      <c r="E58">
        <v>21</v>
      </c>
      <c r="F58">
        <v>25</v>
      </c>
      <c r="G58">
        <v>210</v>
      </c>
      <c r="H58" s="38">
        <v>123</v>
      </c>
      <c r="M58">
        <v>0.035</v>
      </c>
      <c r="N58" s="10"/>
      <c r="O58" s="3">
        <v>100</v>
      </c>
      <c r="P58" t="b">
        <v>0</v>
      </c>
      <c r="Q58" t="b">
        <v>0</v>
      </c>
      <c r="R58" s="9" t="b">
        <v>0</v>
      </c>
      <c r="S58" s="10"/>
      <c r="T58" s="10"/>
      <c r="U58" s="10"/>
      <c r="V58" s="10"/>
      <c r="W58" s="10"/>
      <c r="X58" s="10"/>
      <c r="Y58" s="10"/>
      <c r="Z58" s="10"/>
      <c r="AA58" s="10"/>
      <c r="AB58" s="10"/>
      <c r="AC58" s="10"/>
      <c r="AD58" s="10"/>
      <c r="AE58" s="10"/>
    </row>
    <row r="59" ht="14.4" spans="1:31">
      <c r="A59" t="s">
        <v>70</v>
      </c>
      <c r="B59" t="s">
        <v>69</v>
      </c>
      <c r="C59">
        <v>98.8</v>
      </c>
      <c r="D59">
        <v>25</v>
      </c>
      <c r="E59">
        <v>21</v>
      </c>
      <c r="F59">
        <v>25</v>
      </c>
      <c r="G59">
        <v>210</v>
      </c>
      <c r="H59" s="38">
        <v>123</v>
      </c>
      <c r="M59">
        <v>0.035</v>
      </c>
      <c r="N59" s="10"/>
      <c r="O59" s="3">
        <v>100</v>
      </c>
      <c r="P59" t="b">
        <v>0</v>
      </c>
      <c r="Q59" t="b">
        <v>0</v>
      </c>
      <c r="R59" s="9" t="b">
        <v>0</v>
      </c>
      <c r="S59" s="10"/>
      <c r="T59" s="10"/>
      <c r="U59" s="10"/>
      <c r="V59" s="10"/>
      <c r="W59" s="10"/>
      <c r="X59" s="10"/>
      <c r="Y59" s="10"/>
      <c r="Z59" s="10"/>
      <c r="AA59" s="10"/>
      <c r="AB59" s="10"/>
      <c r="AC59" s="10"/>
      <c r="AD59" s="10"/>
      <c r="AE59" s="10"/>
    </row>
    <row r="60" ht="14.4" spans="1:31">
      <c r="A60" t="s">
        <v>71</v>
      </c>
      <c r="B60" t="s">
        <v>68</v>
      </c>
      <c r="C60">
        <v>120</v>
      </c>
      <c r="D60">
        <v>26.5</v>
      </c>
      <c r="E60">
        <v>50</v>
      </c>
      <c r="F60">
        <v>25</v>
      </c>
      <c r="G60">
        <v>425</v>
      </c>
      <c r="H60">
        <v>240</v>
      </c>
      <c r="M60">
        <v>0.04</v>
      </c>
      <c r="N60" s="3"/>
      <c r="O60" s="3">
        <v>100</v>
      </c>
      <c r="P60" t="b">
        <v>0</v>
      </c>
      <c r="Q60" t="b">
        <v>0</v>
      </c>
      <c r="R60" s="9" t="b">
        <v>0</v>
      </c>
      <c r="S60" s="10"/>
      <c r="T60" s="10"/>
      <c r="U60" s="10"/>
      <c r="V60" s="10"/>
      <c r="W60" s="10"/>
      <c r="X60" s="10"/>
      <c r="Y60" s="10"/>
      <c r="Z60" s="10"/>
      <c r="AA60" s="10"/>
      <c r="AB60" s="10"/>
      <c r="AC60" s="10"/>
      <c r="AD60" s="10"/>
      <c r="AE60" s="10"/>
    </row>
    <row r="61" ht="14.4" spans="1:31">
      <c r="A61" t="s">
        <v>71</v>
      </c>
      <c r="B61" t="s">
        <v>72</v>
      </c>
      <c r="C61">
        <v>120</v>
      </c>
      <c r="D61">
        <v>26.5</v>
      </c>
      <c r="E61">
        <v>50</v>
      </c>
      <c r="F61">
        <v>25</v>
      </c>
      <c r="G61">
        <v>425</v>
      </c>
      <c r="H61">
        <v>240</v>
      </c>
      <c r="L61">
        <v>50</v>
      </c>
      <c r="M61">
        <v>0.03</v>
      </c>
      <c r="N61" s="3">
        <v>10</v>
      </c>
      <c r="O61" s="3">
        <v>100</v>
      </c>
      <c r="P61" t="b">
        <v>0</v>
      </c>
      <c r="Q61" t="b">
        <v>0</v>
      </c>
      <c r="R61" s="9" t="b">
        <v>0</v>
      </c>
      <c r="S61" s="10"/>
      <c r="T61" s="10"/>
      <c r="U61" s="10"/>
      <c r="V61" s="10"/>
      <c r="W61" s="10"/>
      <c r="X61" s="10"/>
      <c r="Y61" s="10"/>
      <c r="Z61" s="10"/>
      <c r="AA61" s="10"/>
      <c r="AB61" s="10"/>
      <c r="AC61" s="10"/>
      <c r="AD61" s="10"/>
      <c r="AE61" s="10"/>
    </row>
    <row r="62" ht="14.4" spans="1:31">
      <c r="A62" t="s">
        <v>71</v>
      </c>
      <c r="B62" t="s">
        <v>55</v>
      </c>
      <c r="C62">
        <v>120</v>
      </c>
      <c r="D62">
        <v>26.5</v>
      </c>
      <c r="E62">
        <v>50</v>
      </c>
      <c r="F62">
        <v>25</v>
      </c>
      <c r="G62">
        <v>425</v>
      </c>
      <c r="H62">
        <v>240</v>
      </c>
      <c r="M62">
        <v>0.04</v>
      </c>
      <c r="N62" s="10"/>
      <c r="O62" s="3">
        <v>100</v>
      </c>
      <c r="P62" t="b">
        <v>0</v>
      </c>
      <c r="Q62" t="b">
        <v>0</v>
      </c>
      <c r="R62" s="9" t="b">
        <v>0</v>
      </c>
      <c r="S62" s="10"/>
      <c r="T62" s="10"/>
      <c r="U62" s="10"/>
      <c r="V62" s="10"/>
      <c r="W62" s="10"/>
      <c r="X62" s="10"/>
      <c r="Y62" s="10"/>
      <c r="Z62" s="10"/>
      <c r="AA62" s="10"/>
      <c r="AB62" s="10"/>
      <c r="AC62" s="10"/>
      <c r="AD62" s="10"/>
      <c r="AE62" s="10"/>
    </row>
    <row r="63" ht="14.4" spans="1:31">
      <c r="A63" t="s">
        <v>71</v>
      </c>
      <c r="B63" t="s">
        <v>69</v>
      </c>
      <c r="C63">
        <v>120</v>
      </c>
      <c r="D63">
        <v>26.5</v>
      </c>
      <c r="E63">
        <v>50</v>
      </c>
      <c r="F63">
        <v>25</v>
      </c>
      <c r="G63">
        <v>425</v>
      </c>
      <c r="H63">
        <v>240</v>
      </c>
      <c r="M63">
        <v>0.04</v>
      </c>
      <c r="N63" s="10"/>
      <c r="O63" s="3">
        <v>100</v>
      </c>
      <c r="P63" t="b">
        <v>0</v>
      </c>
      <c r="Q63" t="b">
        <v>0</v>
      </c>
      <c r="R63" s="9" t="b">
        <v>0</v>
      </c>
      <c r="S63" s="10"/>
      <c r="T63" s="10"/>
      <c r="U63" s="10"/>
      <c r="V63" s="10"/>
      <c r="W63" s="10"/>
      <c r="X63" s="10"/>
      <c r="Y63" s="10"/>
      <c r="Z63" s="10"/>
      <c r="AA63" s="10"/>
      <c r="AB63" s="10"/>
      <c r="AC63" s="10"/>
      <c r="AD63" s="10"/>
      <c r="AE63" s="10"/>
    </row>
    <row r="64" ht="14.4" spans="1:31">
      <c r="A64" t="s">
        <v>73</v>
      </c>
      <c r="B64" t="s">
        <v>68</v>
      </c>
      <c r="C64">
        <v>132</v>
      </c>
      <c r="D64">
        <v>30</v>
      </c>
      <c r="E64">
        <v>87</v>
      </c>
      <c r="F64">
        <v>30</v>
      </c>
      <c r="G64">
        <v>185</v>
      </c>
      <c r="H64">
        <v>273</v>
      </c>
      <c r="M64">
        <v>0.051</v>
      </c>
      <c r="N64" s="10"/>
      <c r="O64" s="3">
        <v>100</v>
      </c>
      <c r="P64" t="b">
        <v>0</v>
      </c>
      <c r="Q64" t="b">
        <v>0</v>
      </c>
      <c r="R64" s="9" t="b">
        <v>0</v>
      </c>
      <c r="S64" s="10"/>
      <c r="T64" s="10"/>
      <c r="U64" s="10"/>
      <c r="V64" s="10"/>
      <c r="W64" s="10"/>
      <c r="X64" s="10"/>
      <c r="Y64" s="10"/>
      <c r="Z64" s="10"/>
      <c r="AA64" s="10"/>
      <c r="AB64" s="10"/>
      <c r="AC64" s="10"/>
      <c r="AD64" s="10"/>
      <c r="AE64" s="10"/>
    </row>
    <row r="65" ht="14.4" spans="1:31">
      <c r="A65" t="s">
        <v>73</v>
      </c>
      <c r="B65" t="s">
        <v>72</v>
      </c>
      <c r="C65" s="25">
        <v>132</v>
      </c>
      <c r="D65" s="25">
        <v>30</v>
      </c>
      <c r="E65" s="25">
        <v>87</v>
      </c>
      <c r="F65" s="25">
        <v>30</v>
      </c>
      <c r="G65" s="25">
        <v>185</v>
      </c>
      <c r="H65" s="25">
        <v>273</v>
      </c>
      <c r="I65" s="3"/>
      <c r="J65" s="3"/>
      <c r="K65" s="3"/>
      <c r="L65" s="25">
        <v>45</v>
      </c>
      <c r="M65" s="25">
        <v>0.0382</v>
      </c>
      <c r="N65" s="8">
        <v>12.8</v>
      </c>
      <c r="O65" s="8">
        <v>100</v>
      </c>
      <c r="P65" t="b">
        <v>0</v>
      </c>
      <c r="Q65" t="b">
        <v>0</v>
      </c>
      <c r="R65" s="9" t="b">
        <v>0</v>
      </c>
      <c r="S65" s="3"/>
      <c r="T65" s="3"/>
      <c r="U65" s="3"/>
      <c r="V65" s="3"/>
      <c r="W65" s="3"/>
      <c r="X65" s="3"/>
      <c r="Y65" s="3"/>
      <c r="Z65" s="3"/>
      <c r="AA65" s="10"/>
      <c r="AB65" s="10"/>
      <c r="AC65" s="10"/>
      <c r="AD65" s="10"/>
      <c r="AE65" s="10"/>
    </row>
    <row r="66" ht="14.4" spans="1:31">
      <c r="A66" t="s">
        <v>73</v>
      </c>
      <c r="B66" t="s">
        <v>55</v>
      </c>
      <c r="C66">
        <v>132</v>
      </c>
      <c r="D66">
        <v>30</v>
      </c>
      <c r="E66">
        <v>87</v>
      </c>
      <c r="F66">
        <v>30</v>
      </c>
      <c r="G66">
        <v>185</v>
      </c>
      <c r="H66">
        <v>273</v>
      </c>
      <c r="M66">
        <v>0.051</v>
      </c>
      <c r="N66" s="10"/>
      <c r="O66" s="3">
        <v>100</v>
      </c>
      <c r="P66" t="b">
        <v>0</v>
      </c>
      <c r="Q66" t="b">
        <v>0</v>
      </c>
      <c r="R66" s="9" t="b">
        <v>0</v>
      </c>
      <c r="S66" s="10"/>
      <c r="T66" s="10"/>
      <c r="U66" s="10"/>
      <c r="V66" s="10"/>
      <c r="W66" s="10"/>
      <c r="X66" s="10"/>
      <c r="Y66" s="10"/>
      <c r="Z66" s="10"/>
      <c r="AA66" s="10"/>
      <c r="AB66" s="10"/>
      <c r="AC66" s="10"/>
      <c r="AD66" s="10"/>
      <c r="AE66" s="10"/>
    </row>
    <row r="67" ht="14.4" spans="1:31">
      <c r="A67" t="s">
        <v>73</v>
      </c>
      <c r="B67" t="s">
        <v>69</v>
      </c>
      <c r="C67">
        <v>132</v>
      </c>
      <c r="D67">
        <v>30</v>
      </c>
      <c r="E67">
        <v>87</v>
      </c>
      <c r="F67">
        <v>30</v>
      </c>
      <c r="G67">
        <v>185</v>
      </c>
      <c r="H67">
        <v>273</v>
      </c>
      <c r="M67">
        <v>0.051</v>
      </c>
      <c r="N67" s="10"/>
      <c r="O67" s="3">
        <v>100</v>
      </c>
      <c r="P67" t="b">
        <v>0</v>
      </c>
      <c r="Q67" t="b">
        <v>0</v>
      </c>
      <c r="R67" s="9" t="b">
        <v>0</v>
      </c>
      <c r="S67" s="10"/>
      <c r="T67" s="10"/>
      <c r="U67" s="10"/>
      <c r="V67" s="10"/>
      <c r="W67" s="10"/>
      <c r="X67" s="10"/>
      <c r="Y67" s="10"/>
      <c r="Z67" s="10"/>
      <c r="AA67" s="10"/>
      <c r="AB67" s="10"/>
      <c r="AC67" s="10"/>
      <c r="AD67" s="10"/>
      <c r="AE67" s="10"/>
    </row>
    <row r="68" ht="14.4" spans="1:31">
      <c r="A68" t="s">
        <v>74</v>
      </c>
      <c r="B68" t="s">
        <v>68</v>
      </c>
      <c r="C68" s="25">
        <v>110</v>
      </c>
      <c r="D68" s="25">
        <v>36.5</v>
      </c>
      <c r="E68" s="25">
        <v>50</v>
      </c>
      <c r="F68" s="25">
        <v>35</v>
      </c>
      <c r="G68" s="25">
        <v>190</v>
      </c>
      <c r="H68" s="25">
        <v>200</v>
      </c>
      <c r="I68" s="3"/>
      <c r="J68" s="3"/>
      <c r="K68" s="3"/>
      <c r="L68" s="3"/>
      <c r="M68" s="25">
        <v>0.042</v>
      </c>
      <c r="N68" s="3"/>
      <c r="O68" s="8">
        <v>100</v>
      </c>
      <c r="P68" s="9" t="b">
        <v>0</v>
      </c>
      <c r="Q68" s="9" t="b">
        <v>0</v>
      </c>
      <c r="R68" s="9" t="b">
        <v>0</v>
      </c>
      <c r="S68" s="3"/>
      <c r="T68" s="3"/>
      <c r="U68" s="3"/>
      <c r="V68" s="3"/>
      <c r="W68" s="3"/>
      <c r="X68" s="3"/>
      <c r="Y68" s="3"/>
      <c r="Z68" s="3"/>
      <c r="AA68" s="10"/>
      <c r="AB68" s="10"/>
      <c r="AC68" s="10"/>
      <c r="AD68" s="10"/>
      <c r="AE68" s="10"/>
    </row>
    <row r="69" ht="14.4" spans="1:31">
      <c r="A69" t="s">
        <v>74</v>
      </c>
      <c r="B69" t="s">
        <v>72</v>
      </c>
      <c r="C69" s="25">
        <v>110</v>
      </c>
      <c r="D69" s="25">
        <v>36.5</v>
      </c>
      <c r="E69" s="25">
        <v>50</v>
      </c>
      <c r="F69" s="25">
        <v>35</v>
      </c>
      <c r="G69" s="25">
        <v>190</v>
      </c>
      <c r="H69" s="25">
        <v>200</v>
      </c>
      <c r="I69" s="3"/>
      <c r="J69" s="3"/>
      <c r="K69" s="3"/>
      <c r="L69" s="25">
        <v>55</v>
      </c>
      <c r="M69" s="25">
        <v>0.0315</v>
      </c>
      <c r="N69" s="8">
        <v>10.5</v>
      </c>
      <c r="O69" s="8">
        <v>100</v>
      </c>
      <c r="P69" s="9" t="b">
        <v>0</v>
      </c>
      <c r="Q69" s="9" t="b">
        <v>0</v>
      </c>
      <c r="R69" s="9" t="b">
        <v>0</v>
      </c>
      <c r="S69" s="3"/>
      <c r="T69" s="3"/>
      <c r="U69" s="3"/>
      <c r="V69" s="3"/>
      <c r="W69" s="3"/>
      <c r="X69" s="3"/>
      <c r="Y69" s="3"/>
      <c r="Z69" s="3"/>
      <c r="AA69" s="10"/>
      <c r="AB69" s="10"/>
      <c r="AC69" s="10"/>
      <c r="AD69" s="10"/>
      <c r="AE69" s="10"/>
    </row>
    <row r="70" ht="14.4" spans="1:31">
      <c r="A70" t="s">
        <v>74</v>
      </c>
      <c r="B70" t="s">
        <v>55</v>
      </c>
      <c r="C70" s="25">
        <v>110</v>
      </c>
      <c r="D70" s="25">
        <v>36.5</v>
      </c>
      <c r="E70" s="25">
        <v>50</v>
      </c>
      <c r="F70" s="25">
        <v>35</v>
      </c>
      <c r="G70" s="25">
        <v>190</v>
      </c>
      <c r="H70" s="25">
        <v>200</v>
      </c>
      <c r="I70" s="3"/>
      <c r="J70" s="3"/>
      <c r="K70" s="3"/>
      <c r="L70" s="3"/>
      <c r="M70" s="25">
        <v>0.042</v>
      </c>
      <c r="N70" s="3"/>
      <c r="O70" s="8">
        <v>100</v>
      </c>
      <c r="P70" s="9" t="b">
        <v>0</v>
      </c>
      <c r="Q70" s="9" t="b">
        <v>0</v>
      </c>
      <c r="R70" s="9" t="b">
        <v>0</v>
      </c>
      <c r="S70" s="3"/>
      <c r="T70" s="3"/>
      <c r="U70" s="3"/>
      <c r="V70" s="3"/>
      <c r="W70" s="3"/>
      <c r="X70" s="3"/>
      <c r="Y70" s="3"/>
      <c r="Z70" s="3"/>
      <c r="AA70" s="10"/>
      <c r="AB70" s="10"/>
      <c r="AC70" s="10"/>
      <c r="AD70" s="10"/>
      <c r="AE70" s="10"/>
    </row>
    <row r="71" ht="14.4" spans="1:31">
      <c r="A71" t="s">
        <v>74</v>
      </c>
      <c r="B71" t="s">
        <v>69</v>
      </c>
      <c r="C71" s="25">
        <v>110</v>
      </c>
      <c r="D71" s="25">
        <v>36.5</v>
      </c>
      <c r="E71" s="25">
        <v>50</v>
      </c>
      <c r="F71" s="25">
        <v>35</v>
      </c>
      <c r="G71" s="25">
        <v>190</v>
      </c>
      <c r="H71" s="25">
        <v>200</v>
      </c>
      <c r="I71" s="3"/>
      <c r="J71" s="3"/>
      <c r="K71" s="3"/>
      <c r="L71" s="3"/>
      <c r="M71" s="25">
        <v>0.042</v>
      </c>
      <c r="N71" s="3"/>
      <c r="O71" s="8">
        <v>100</v>
      </c>
      <c r="P71" s="9" t="b">
        <v>0</v>
      </c>
      <c r="Q71" s="9" t="b">
        <v>0</v>
      </c>
      <c r="R71" s="9" t="b">
        <v>0</v>
      </c>
      <c r="S71" s="3"/>
      <c r="T71" s="3"/>
      <c r="U71" s="3"/>
      <c r="V71" s="3"/>
      <c r="W71" s="3"/>
      <c r="X71" s="3"/>
      <c r="Y71" s="3"/>
      <c r="Z71" s="3"/>
      <c r="AA71" s="10"/>
      <c r="AB71" s="10"/>
      <c r="AC71" s="10"/>
      <c r="AD71" s="10"/>
      <c r="AE71" s="10"/>
    </row>
    <row r="72" ht="14.4" spans="1:31">
      <c r="A72" t="s">
        <v>75</v>
      </c>
      <c r="B72" t="s">
        <v>68</v>
      </c>
      <c r="C72">
        <v>106</v>
      </c>
      <c r="D72">
        <v>40</v>
      </c>
      <c r="E72" s="3">
        <v>53</v>
      </c>
      <c r="F72">
        <v>40</v>
      </c>
      <c r="G72">
        <v>78</v>
      </c>
      <c r="H72">
        <v>186</v>
      </c>
      <c r="M72" s="25">
        <v>0.05054</v>
      </c>
      <c r="O72" s="3">
        <v>100</v>
      </c>
      <c r="P72" t="b">
        <v>0</v>
      </c>
      <c r="Q72" t="b">
        <v>0</v>
      </c>
      <c r="R72" s="9" t="b">
        <v>0</v>
      </c>
      <c r="S72" s="10"/>
      <c r="T72" s="10"/>
      <c r="U72" s="10"/>
      <c r="V72" s="10"/>
      <c r="W72" s="10"/>
      <c r="X72" s="10"/>
      <c r="Y72" s="10"/>
      <c r="Z72" s="10"/>
      <c r="AA72" s="10"/>
      <c r="AB72" s="10"/>
      <c r="AC72" s="10"/>
      <c r="AD72" s="10"/>
      <c r="AE72" s="10"/>
    </row>
    <row r="73" ht="14.4" spans="1:31">
      <c r="A73" s="3" t="s">
        <v>75</v>
      </c>
      <c r="B73" s="42" t="s">
        <v>72</v>
      </c>
      <c r="C73" s="8">
        <v>106</v>
      </c>
      <c r="D73" s="8">
        <v>40</v>
      </c>
      <c r="E73" s="8">
        <v>53</v>
      </c>
      <c r="F73" s="8">
        <v>40</v>
      </c>
      <c r="G73" s="8">
        <v>78</v>
      </c>
      <c r="H73" s="8">
        <v>186</v>
      </c>
      <c r="I73" s="3"/>
      <c r="J73" s="3"/>
      <c r="K73" s="3"/>
      <c r="L73" s="8">
        <v>63</v>
      </c>
      <c r="M73" s="25">
        <v>0.0379</v>
      </c>
      <c r="N73" s="8">
        <v>12.6</v>
      </c>
      <c r="O73" s="8">
        <v>100</v>
      </c>
      <c r="P73" t="b">
        <v>0</v>
      </c>
      <c r="Q73" t="b">
        <v>0</v>
      </c>
      <c r="R73" s="9" t="b">
        <v>0</v>
      </c>
      <c r="S73" s="3"/>
      <c r="T73" s="3"/>
      <c r="U73" s="3"/>
      <c r="V73" s="3"/>
      <c r="W73" s="3"/>
      <c r="X73" s="3"/>
      <c r="Y73" s="3"/>
      <c r="Z73" s="3"/>
      <c r="AA73" s="3"/>
      <c r="AB73" s="3"/>
      <c r="AC73" s="3"/>
      <c r="AD73" s="3"/>
      <c r="AE73" s="3"/>
    </row>
    <row r="74" ht="14.4" spans="1:31">
      <c r="A74" t="s">
        <v>75</v>
      </c>
      <c r="B74" t="s">
        <v>55</v>
      </c>
      <c r="C74">
        <v>106</v>
      </c>
      <c r="D74">
        <v>40</v>
      </c>
      <c r="E74" s="3">
        <v>53</v>
      </c>
      <c r="F74">
        <v>40</v>
      </c>
      <c r="G74">
        <v>78</v>
      </c>
      <c r="H74">
        <v>186</v>
      </c>
      <c r="M74" s="25">
        <v>0.05054</v>
      </c>
      <c r="N74" s="10"/>
      <c r="O74" s="3">
        <v>100</v>
      </c>
      <c r="P74" t="b">
        <v>0</v>
      </c>
      <c r="Q74" t="b">
        <v>0</v>
      </c>
      <c r="R74" s="9" t="b">
        <v>0</v>
      </c>
      <c r="S74" s="10"/>
      <c r="T74" s="10"/>
      <c r="U74" s="10"/>
      <c r="V74" s="10"/>
      <c r="W74" s="10"/>
      <c r="X74" s="10"/>
      <c r="Y74" s="10"/>
      <c r="Z74" s="10"/>
      <c r="AA74" s="10"/>
      <c r="AB74" s="10"/>
      <c r="AC74" s="10"/>
      <c r="AD74" s="10"/>
      <c r="AE74" s="10"/>
    </row>
    <row r="75" ht="14.4" spans="1:31">
      <c r="A75" t="s">
        <v>75</v>
      </c>
      <c r="B75" t="s">
        <v>69</v>
      </c>
      <c r="C75">
        <v>106</v>
      </c>
      <c r="D75">
        <v>40</v>
      </c>
      <c r="E75" s="3">
        <v>53</v>
      </c>
      <c r="F75">
        <v>40</v>
      </c>
      <c r="G75">
        <v>78</v>
      </c>
      <c r="H75">
        <v>186</v>
      </c>
      <c r="M75" s="25">
        <v>0.05054</v>
      </c>
      <c r="N75" s="10"/>
      <c r="O75" s="3">
        <v>100</v>
      </c>
      <c r="P75" t="b">
        <v>0</v>
      </c>
      <c r="Q75" t="b">
        <v>0</v>
      </c>
      <c r="R75" s="9" t="b">
        <v>0</v>
      </c>
      <c r="S75" s="10"/>
      <c r="T75" s="10"/>
      <c r="U75" s="10"/>
      <c r="V75" s="10"/>
      <c r="W75" s="10"/>
      <c r="X75" s="10"/>
      <c r="Y75" s="10"/>
      <c r="Z75" s="10"/>
      <c r="AA75" s="10"/>
      <c r="AB75" s="10"/>
      <c r="AC75" s="10"/>
      <c r="AD75" s="10"/>
      <c r="AE75" s="10"/>
    </row>
    <row r="76" ht="14.4" spans="1:31">
      <c r="A76" t="s">
        <v>76</v>
      </c>
      <c r="B76" t="s">
        <v>68</v>
      </c>
      <c r="C76">
        <v>105</v>
      </c>
      <c r="D76">
        <v>41.5</v>
      </c>
      <c r="E76" s="3">
        <v>60</v>
      </c>
      <c r="F76">
        <v>40</v>
      </c>
      <c r="G76">
        <v>77</v>
      </c>
      <c r="H76">
        <v>200</v>
      </c>
      <c r="M76">
        <v>0.049</v>
      </c>
      <c r="N76" s="10"/>
      <c r="O76" s="3">
        <v>100</v>
      </c>
      <c r="P76" t="b">
        <v>0</v>
      </c>
      <c r="Q76" t="b">
        <v>0</v>
      </c>
      <c r="R76" s="9" t="b">
        <v>0</v>
      </c>
      <c r="S76" s="10"/>
      <c r="T76" s="10"/>
      <c r="U76" s="10"/>
      <c r="V76" s="10"/>
      <c r="W76" s="10"/>
      <c r="X76" s="10"/>
      <c r="Y76" s="10"/>
      <c r="Z76" s="10"/>
      <c r="AA76" s="10"/>
      <c r="AB76" s="10"/>
      <c r="AC76" s="10"/>
      <c r="AD76" s="10"/>
      <c r="AE76" s="10"/>
    </row>
    <row r="77" ht="14.4" spans="1:31">
      <c r="A77" t="s">
        <v>76</v>
      </c>
      <c r="B77" t="s">
        <v>55</v>
      </c>
      <c r="C77">
        <v>105</v>
      </c>
      <c r="D77">
        <v>41.5</v>
      </c>
      <c r="E77" s="3">
        <v>60</v>
      </c>
      <c r="F77">
        <v>40</v>
      </c>
      <c r="G77">
        <v>77</v>
      </c>
      <c r="H77">
        <v>200</v>
      </c>
      <c r="M77">
        <v>0.049</v>
      </c>
      <c r="N77" s="10"/>
      <c r="O77" s="3">
        <v>100</v>
      </c>
      <c r="P77" t="b">
        <v>0</v>
      </c>
      <c r="Q77" t="b">
        <v>0</v>
      </c>
      <c r="R77" s="9" t="b">
        <v>0</v>
      </c>
      <c r="S77" s="10"/>
      <c r="T77" s="10"/>
      <c r="U77" s="10"/>
      <c r="V77" s="10"/>
      <c r="W77" s="10"/>
      <c r="X77" s="10"/>
      <c r="Y77" s="10"/>
      <c r="Z77" s="10"/>
      <c r="AA77" s="10"/>
      <c r="AB77" s="10"/>
      <c r="AC77" s="10"/>
      <c r="AD77" s="10"/>
      <c r="AE77" s="10"/>
    </row>
    <row r="78" ht="14.4" spans="1:31">
      <c r="A78" t="s">
        <v>76</v>
      </c>
      <c r="B78" t="s">
        <v>69</v>
      </c>
      <c r="C78">
        <v>105</v>
      </c>
      <c r="D78">
        <v>41.5</v>
      </c>
      <c r="E78" s="3">
        <v>60</v>
      </c>
      <c r="F78">
        <v>40</v>
      </c>
      <c r="G78">
        <v>77</v>
      </c>
      <c r="H78">
        <v>200</v>
      </c>
      <c r="M78">
        <v>0.049</v>
      </c>
      <c r="N78" s="10"/>
      <c r="O78" s="3">
        <v>100</v>
      </c>
      <c r="P78" t="b">
        <v>0</v>
      </c>
      <c r="Q78" t="b">
        <v>0</v>
      </c>
      <c r="R78" s="9" t="b">
        <v>0</v>
      </c>
      <c r="S78" s="10"/>
      <c r="T78" s="10"/>
      <c r="U78" s="10"/>
      <c r="V78" s="10"/>
      <c r="W78" s="10"/>
      <c r="X78" s="10"/>
      <c r="Y78" s="10"/>
      <c r="Z78" s="10"/>
      <c r="AA78" s="10"/>
      <c r="AB78" s="10"/>
      <c r="AC78" s="10"/>
      <c r="AD78" s="10"/>
      <c r="AE78" s="10"/>
    </row>
    <row r="79" ht="14.4" spans="1:31">
      <c r="A79" t="s">
        <v>77</v>
      </c>
      <c r="B79" t="s">
        <v>68</v>
      </c>
      <c r="C79" s="25">
        <v>112</v>
      </c>
      <c r="D79" s="25">
        <v>40</v>
      </c>
      <c r="E79" s="8">
        <v>30</v>
      </c>
      <c r="F79" s="25">
        <v>40</v>
      </c>
      <c r="G79" s="25">
        <v>242</v>
      </c>
      <c r="H79" s="8">
        <v>345</v>
      </c>
      <c r="I79" s="25">
        <v>82</v>
      </c>
      <c r="J79" s="3"/>
      <c r="K79" s="3"/>
      <c r="L79" s="3"/>
      <c r="M79" s="25">
        <v>0.054</v>
      </c>
      <c r="N79" s="3"/>
      <c r="O79" s="8">
        <v>100</v>
      </c>
      <c r="P79" s="9" t="b">
        <v>0</v>
      </c>
      <c r="Q79" s="9" t="b">
        <v>0</v>
      </c>
      <c r="R79" s="9" t="b">
        <v>0</v>
      </c>
      <c r="S79" s="3"/>
      <c r="T79" s="3"/>
      <c r="U79" s="3"/>
      <c r="V79" s="3"/>
      <c r="W79" s="3"/>
      <c r="X79" s="3"/>
      <c r="Y79" s="3"/>
      <c r="Z79" s="3"/>
      <c r="AA79" s="10"/>
      <c r="AB79" s="10"/>
      <c r="AC79" s="10"/>
      <c r="AD79" s="10"/>
      <c r="AE79" s="10"/>
    </row>
    <row r="80" ht="14.4" spans="1:31">
      <c r="A80" s="3" t="s">
        <v>77</v>
      </c>
      <c r="B80" t="s">
        <v>72</v>
      </c>
      <c r="C80" s="8">
        <v>112</v>
      </c>
      <c r="D80" s="8">
        <v>40</v>
      </c>
      <c r="E80" s="8">
        <v>30</v>
      </c>
      <c r="F80" s="8">
        <v>40</v>
      </c>
      <c r="G80" s="8">
        <v>242</v>
      </c>
      <c r="H80" s="8">
        <v>345</v>
      </c>
      <c r="I80" s="8">
        <v>82</v>
      </c>
      <c r="J80" s="3"/>
      <c r="K80" s="3"/>
      <c r="L80" s="8">
        <v>76</v>
      </c>
      <c r="M80" s="25">
        <v>0.0405</v>
      </c>
      <c r="N80" s="8">
        <v>13.5</v>
      </c>
      <c r="O80" s="8">
        <v>100</v>
      </c>
      <c r="P80" s="9" t="b">
        <v>0</v>
      </c>
      <c r="Q80" s="9" t="b">
        <v>0</v>
      </c>
      <c r="R80" s="9" t="b">
        <v>0</v>
      </c>
      <c r="S80" s="3"/>
      <c r="T80" s="3"/>
      <c r="U80" s="3"/>
      <c r="V80" s="3"/>
      <c r="W80" s="3"/>
      <c r="X80" s="3"/>
      <c r="Y80" s="3"/>
      <c r="Z80" s="3"/>
      <c r="AA80" s="10"/>
      <c r="AB80" s="10"/>
      <c r="AC80" s="10"/>
      <c r="AD80" s="10"/>
      <c r="AE80" s="10"/>
    </row>
    <row r="81" ht="14.4" spans="1:31">
      <c r="A81" t="s">
        <v>77</v>
      </c>
      <c r="B81" t="s">
        <v>55</v>
      </c>
      <c r="C81" s="25">
        <v>112</v>
      </c>
      <c r="D81" s="25">
        <v>40</v>
      </c>
      <c r="E81" s="8">
        <v>30</v>
      </c>
      <c r="F81" s="25">
        <v>40</v>
      </c>
      <c r="G81" s="25">
        <v>242</v>
      </c>
      <c r="H81" s="8">
        <v>345</v>
      </c>
      <c r="I81" s="25">
        <v>82</v>
      </c>
      <c r="J81" s="3"/>
      <c r="K81" s="3"/>
      <c r="L81" s="3"/>
      <c r="M81" s="25">
        <v>0.054</v>
      </c>
      <c r="N81" s="3"/>
      <c r="O81" s="8">
        <v>100</v>
      </c>
      <c r="P81" s="9" t="b">
        <v>0</v>
      </c>
      <c r="Q81" s="9" t="b">
        <v>0</v>
      </c>
      <c r="R81" s="9" t="b">
        <v>0</v>
      </c>
      <c r="S81" s="3"/>
      <c r="T81" s="3"/>
      <c r="U81" s="3"/>
      <c r="V81" s="3"/>
      <c r="W81" s="3"/>
      <c r="X81" s="3"/>
      <c r="Y81" s="3"/>
      <c r="Z81" s="3"/>
      <c r="AA81" s="10"/>
      <c r="AB81" s="10"/>
      <c r="AC81" s="10"/>
      <c r="AD81" s="10"/>
      <c r="AE81" s="10"/>
    </row>
    <row r="82" ht="14.4" spans="1:31">
      <c r="A82" t="s">
        <v>77</v>
      </c>
      <c r="B82" t="s">
        <v>69</v>
      </c>
      <c r="C82" s="25">
        <v>112</v>
      </c>
      <c r="D82" s="25">
        <v>40</v>
      </c>
      <c r="E82" s="8">
        <v>30</v>
      </c>
      <c r="F82" s="25">
        <v>40</v>
      </c>
      <c r="G82" s="25">
        <v>242</v>
      </c>
      <c r="H82" s="8">
        <v>345</v>
      </c>
      <c r="I82" s="25">
        <v>82</v>
      </c>
      <c r="J82" s="3"/>
      <c r="K82" s="3"/>
      <c r="L82" s="3"/>
      <c r="M82" s="25">
        <v>0.054</v>
      </c>
      <c r="N82" s="3"/>
      <c r="O82" s="8">
        <v>100</v>
      </c>
      <c r="P82" s="9" t="b">
        <v>0</v>
      </c>
      <c r="Q82" s="9" t="b">
        <v>0</v>
      </c>
      <c r="R82" s="9" t="b">
        <v>0</v>
      </c>
      <c r="S82" s="3"/>
      <c r="T82" s="3"/>
      <c r="U82" s="3"/>
      <c r="V82" s="3"/>
      <c r="W82" s="3"/>
      <c r="X82" s="3"/>
      <c r="Y82" s="3"/>
      <c r="Z82" s="3"/>
      <c r="AA82" s="10"/>
      <c r="AB82" s="10"/>
      <c r="AC82" s="10"/>
      <c r="AD82" s="10"/>
      <c r="AE82" s="10"/>
    </row>
    <row r="83" ht="14.4" spans="1:31">
      <c r="A83" t="s">
        <v>78</v>
      </c>
      <c r="B83" t="s">
        <v>68</v>
      </c>
      <c r="C83">
        <v>102.6</v>
      </c>
      <c r="E83" s="3">
        <v>30</v>
      </c>
      <c r="F83">
        <v>40</v>
      </c>
      <c r="G83">
        <v>76.5</v>
      </c>
      <c r="H83">
        <v>220</v>
      </c>
      <c r="M83" s="25">
        <v>0.065</v>
      </c>
      <c r="N83" s="10"/>
      <c r="O83" s="3">
        <v>100</v>
      </c>
      <c r="P83" t="b">
        <v>0</v>
      </c>
      <c r="Q83" t="b">
        <v>0</v>
      </c>
      <c r="R83" s="9" t="b">
        <v>0</v>
      </c>
      <c r="S83" s="10"/>
      <c r="T83" s="10"/>
      <c r="U83" s="10"/>
      <c r="V83" s="10"/>
      <c r="W83" s="10"/>
      <c r="X83" s="10"/>
      <c r="Y83" s="10"/>
      <c r="Z83" s="10"/>
      <c r="AA83" s="10"/>
      <c r="AB83" s="10"/>
      <c r="AC83" s="10"/>
      <c r="AD83" s="10"/>
      <c r="AE83" s="10"/>
    </row>
    <row r="84" ht="14.4" spans="1:31">
      <c r="A84" t="s">
        <v>78</v>
      </c>
      <c r="B84" t="s">
        <v>55</v>
      </c>
      <c r="C84">
        <v>102.6</v>
      </c>
      <c r="E84" s="3">
        <v>30</v>
      </c>
      <c r="F84">
        <v>40</v>
      </c>
      <c r="G84">
        <v>76.5</v>
      </c>
      <c r="H84">
        <v>220</v>
      </c>
      <c r="M84" s="25">
        <v>0.065</v>
      </c>
      <c r="N84" s="10"/>
      <c r="O84" s="3">
        <v>100</v>
      </c>
      <c r="P84" t="b">
        <v>0</v>
      </c>
      <c r="Q84" t="b">
        <v>0</v>
      </c>
      <c r="R84" s="9" t="b">
        <v>0</v>
      </c>
      <c r="S84" s="10"/>
      <c r="T84" s="10"/>
      <c r="U84" s="10"/>
      <c r="V84" s="10"/>
      <c r="W84" s="10"/>
      <c r="X84" s="10"/>
      <c r="Y84" s="10"/>
      <c r="Z84" s="10"/>
      <c r="AA84" s="10"/>
      <c r="AB84" s="10"/>
      <c r="AC84" s="10"/>
      <c r="AD84" s="10"/>
      <c r="AE84" s="10"/>
    </row>
    <row r="85" ht="14.4" spans="1:31">
      <c r="A85" t="s">
        <v>78</v>
      </c>
      <c r="B85" t="s">
        <v>69</v>
      </c>
      <c r="C85">
        <v>102.6</v>
      </c>
      <c r="E85" s="3">
        <v>30</v>
      </c>
      <c r="F85">
        <v>40</v>
      </c>
      <c r="G85">
        <v>76.5</v>
      </c>
      <c r="H85">
        <v>220</v>
      </c>
      <c r="M85" s="25">
        <v>0.065</v>
      </c>
      <c r="N85" s="10"/>
      <c r="O85" s="3">
        <v>100</v>
      </c>
      <c r="P85" t="b">
        <v>0</v>
      </c>
      <c r="Q85" t="b">
        <v>0</v>
      </c>
      <c r="R85" s="9" t="b">
        <v>0</v>
      </c>
      <c r="S85" s="10"/>
      <c r="T85" s="10"/>
      <c r="U85" s="10"/>
      <c r="V85" s="10"/>
      <c r="W85" s="10"/>
      <c r="X85" s="10"/>
      <c r="Y85" s="10"/>
      <c r="Z85" s="10"/>
      <c r="AA85" s="10"/>
      <c r="AB85" s="10"/>
      <c r="AC85" s="10"/>
      <c r="AD85" s="10"/>
      <c r="AE85" s="10"/>
    </row>
    <row r="86" ht="14.4" spans="1:31">
      <c r="A86" t="s">
        <v>79</v>
      </c>
      <c r="B86" t="s">
        <v>68</v>
      </c>
      <c r="C86" s="25">
        <v>285</v>
      </c>
      <c r="D86" s="25">
        <v>56</v>
      </c>
      <c r="E86" s="25">
        <v>45</v>
      </c>
      <c r="F86" s="25">
        <v>50</v>
      </c>
      <c r="G86" s="25">
        <v>92</v>
      </c>
      <c r="H86" s="25">
        <v>395</v>
      </c>
      <c r="I86" s="3"/>
      <c r="J86" s="3"/>
      <c r="K86" s="3"/>
      <c r="L86" s="3"/>
      <c r="M86" s="39">
        <v>0.062</v>
      </c>
      <c r="N86" s="3"/>
      <c r="O86" s="8">
        <v>50</v>
      </c>
      <c r="P86" t="b">
        <v>0</v>
      </c>
      <c r="Q86" t="b">
        <v>0</v>
      </c>
      <c r="R86" s="9" t="b">
        <v>0</v>
      </c>
      <c r="S86" s="10"/>
      <c r="T86" s="10"/>
      <c r="U86" s="10"/>
      <c r="V86" s="10"/>
      <c r="W86" s="10"/>
      <c r="X86" s="10"/>
      <c r="Y86" s="10"/>
      <c r="Z86" s="10"/>
      <c r="AA86" s="10"/>
      <c r="AB86" s="10"/>
      <c r="AC86" s="10"/>
      <c r="AD86" s="10"/>
      <c r="AE86" s="10"/>
    </row>
    <row r="87" ht="14.4" spans="1:31">
      <c r="A87" t="s">
        <v>79</v>
      </c>
      <c r="B87" t="s">
        <v>55</v>
      </c>
      <c r="C87" s="25">
        <v>285</v>
      </c>
      <c r="D87" s="25">
        <v>56</v>
      </c>
      <c r="E87" s="25">
        <v>45</v>
      </c>
      <c r="F87" s="25">
        <v>50</v>
      </c>
      <c r="G87" s="25">
        <v>92</v>
      </c>
      <c r="H87" s="25">
        <v>395</v>
      </c>
      <c r="I87" s="3"/>
      <c r="J87" s="3"/>
      <c r="K87" s="3"/>
      <c r="L87" s="3"/>
      <c r="M87" s="39">
        <v>0.062</v>
      </c>
      <c r="N87" s="3"/>
      <c r="O87" s="8">
        <v>50</v>
      </c>
      <c r="P87" t="b">
        <v>0</v>
      </c>
      <c r="Q87" t="b">
        <v>0</v>
      </c>
      <c r="R87" s="9" t="b">
        <v>0</v>
      </c>
      <c r="S87" s="10"/>
      <c r="T87" s="10"/>
      <c r="U87" s="10"/>
      <c r="V87" s="10"/>
      <c r="W87" s="10"/>
      <c r="X87" s="10"/>
      <c r="Y87" s="10"/>
      <c r="Z87" s="10"/>
      <c r="AA87" s="10"/>
      <c r="AB87" s="10"/>
      <c r="AC87" s="10"/>
      <c r="AD87" s="10"/>
      <c r="AE87" s="10"/>
    </row>
    <row r="88" ht="14.4" spans="1:31">
      <c r="A88" t="s">
        <v>79</v>
      </c>
      <c r="B88" t="s">
        <v>69</v>
      </c>
      <c r="C88" s="25">
        <v>285</v>
      </c>
      <c r="D88" s="25">
        <v>56</v>
      </c>
      <c r="E88" s="25">
        <v>45</v>
      </c>
      <c r="F88" s="25">
        <v>50</v>
      </c>
      <c r="G88" s="25">
        <v>92</v>
      </c>
      <c r="H88" s="25">
        <v>395</v>
      </c>
      <c r="I88" s="3"/>
      <c r="J88" s="3"/>
      <c r="K88" s="3"/>
      <c r="L88" s="3"/>
      <c r="M88" s="39">
        <v>0.062</v>
      </c>
      <c r="N88" s="3"/>
      <c r="O88" s="8">
        <v>50</v>
      </c>
      <c r="P88" t="b">
        <v>0</v>
      </c>
      <c r="Q88" t="b">
        <v>0</v>
      </c>
      <c r="R88" s="9" t="b">
        <v>0</v>
      </c>
      <c r="S88" s="10"/>
      <c r="T88" s="10"/>
      <c r="U88" s="10"/>
      <c r="V88" s="10"/>
      <c r="W88" s="10"/>
      <c r="X88" s="10"/>
      <c r="Y88" s="10"/>
      <c r="Z88" s="10"/>
      <c r="AA88" s="10"/>
      <c r="AB88" s="10"/>
      <c r="AC88" s="10"/>
      <c r="AD88" s="10"/>
      <c r="AE88" s="10"/>
    </row>
    <row r="89" ht="14.4" spans="1:31">
      <c r="A89" t="s">
        <v>80</v>
      </c>
      <c r="B89" t="s">
        <v>81</v>
      </c>
      <c r="C89">
        <v>400.05</v>
      </c>
      <c r="E89" s="3">
        <v>2175.15</v>
      </c>
      <c r="F89">
        <v>83</v>
      </c>
      <c r="G89">
        <v>76</v>
      </c>
      <c r="H89">
        <v>1000</v>
      </c>
      <c r="L89">
        <v>100</v>
      </c>
      <c r="M89">
        <v>1.1</v>
      </c>
      <c r="N89" s="3">
        <v>125</v>
      </c>
      <c r="O89" s="3">
        <v>5</v>
      </c>
      <c r="P89" t="b">
        <v>0</v>
      </c>
      <c r="Q89" t="b">
        <v>0</v>
      </c>
      <c r="R89" s="9" t="b">
        <v>0</v>
      </c>
      <c r="S89" s="10"/>
      <c r="T89" s="10"/>
      <c r="U89" s="10"/>
      <c r="V89" s="10"/>
      <c r="W89" s="10"/>
      <c r="X89" s="10"/>
      <c r="Y89" s="10"/>
      <c r="Z89" s="10"/>
      <c r="AA89" s="10"/>
      <c r="AB89" s="10"/>
      <c r="AC89" s="10"/>
      <c r="AD89" s="10"/>
      <c r="AE89" s="10"/>
    </row>
    <row r="90" ht="14.4" spans="1:31">
      <c r="A90" t="s">
        <v>80</v>
      </c>
      <c r="B90" t="s">
        <v>68</v>
      </c>
      <c r="C90">
        <v>400.05</v>
      </c>
      <c r="E90" s="3">
        <v>2175.15</v>
      </c>
      <c r="F90">
        <v>83</v>
      </c>
      <c r="G90">
        <v>76</v>
      </c>
      <c r="H90">
        <v>1000</v>
      </c>
      <c r="M90">
        <v>1.1</v>
      </c>
      <c r="N90" s="10"/>
      <c r="O90" s="3">
        <v>5</v>
      </c>
      <c r="P90" t="b">
        <v>0</v>
      </c>
      <c r="Q90" t="b">
        <v>0</v>
      </c>
      <c r="R90" s="9" t="b">
        <v>0</v>
      </c>
      <c r="S90" s="10"/>
      <c r="T90" s="10"/>
      <c r="U90" s="10"/>
      <c r="V90" s="10"/>
      <c r="W90" s="10"/>
      <c r="X90" s="10"/>
      <c r="Y90" s="10"/>
      <c r="Z90" s="10"/>
      <c r="AA90" s="10"/>
      <c r="AB90" s="10"/>
      <c r="AC90" s="10"/>
      <c r="AD90" s="10"/>
      <c r="AE90" s="10"/>
    </row>
    <row r="91" ht="14.4" spans="1:31">
      <c r="A91" t="s">
        <v>80</v>
      </c>
      <c r="B91" t="s">
        <v>55</v>
      </c>
      <c r="C91">
        <v>400.05</v>
      </c>
      <c r="E91" s="3">
        <v>2175.15</v>
      </c>
      <c r="F91">
        <v>83</v>
      </c>
      <c r="G91">
        <v>76</v>
      </c>
      <c r="H91">
        <v>1000</v>
      </c>
      <c r="M91">
        <v>1.1</v>
      </c>
      <c r="N91" s="10"/>
      <c r="O91" s="3">
        <v>5</v>
      </c>
      <c r="P91" t="b">
        <v>0</v>
      </c>
      <c r="Q91" t="b">
        <v>0</v>
      </c>
      <c r="R91" s="9" t="b">
        <v>0</v>
      </c>
      <c r="S91" s="10"/>
      <c r="T91" s="10"/>
      <c r="U91" s="10"/>
      <c r="V91" s="10"/>
      <c r="W91" s="10"/>
      <c r="X91" s="10"/>
      <c r="Y91" s="10"/>
      <c r="Z91" s="10"/>
      <c r="AA91" s="10"/>
      <c r="AB91" s="10"/>
      <c r="AC91" s="10"/>
      <c r="AD91" s="10"/>
      <c r="AE91" s="10"/>
    </row>
    <row r="92" ht="14.4" spans="1:31">
      <c r="A92" s="14" t="s">
        <v>82</v>
      </c>
      <c r="B92" s="15"/>
      <c r="C92" s="15"/>
      <c r="D92" s="15"/>
      <c r="E92" s="15"/>
      <c r="F92" s="15"/>
      <c r="G92" s="15"/>
      <c r="H92" s="15"/>
      <c r="I92" s="15"/>
      <c r="J92" s="15"/>
      <c r="K92" s="15"/>
      <c r="L92" s="15"/>
      <c r="M92" s="15"/>
      <c r="N92" s="23"/>
      <c r="O92" s="27"/>
      <c r="P92" s="23"/>
      <c r="Q92" s="23"/>
      <c r="R92" s="27"/>
      <c r="S92" s="10"/>
      <c r="T92" s="10"/>
      <c r="U92" s="10"/>
      <c r="V92" s="10"/>
      <c r="W92" s="10"/>
      <c r="X92" s="10"/>
      <c r="Y92" s="10"/>
      <c r="Z92" s="10"/>
      <c r="AA92" s="10"/>
      <c r="AB92" s="10"/>
      <c r="AC92" s="10"/>
      <c r="AD92" s="10"/>
      <c r="AE92" s="10"/>
    </row>
    <row r="93" ht="15.75" customHeight="1" spans="1:31">
      <c r="A93" t="s">
        <v>83</v>
      </c>
      <c r="B93" t="s">
        <v>84</v>
      </c>
      <c r="C93">
        <v>105.75</v>
      </c>
      <c r="D93">
        <v>37.85</v>
      </c>
      <c r="E93">
        <v>250</v>
      </c>
      <c r="F93">
        <v>33.7</v>
      </c>
      <c r="G93">
        <v>390</v>
      </c>
      <c r="H93">
        <v>227</v>
      </c>
      <c r="I93">
        <v>33.7</v>
      </c>
      <c r="L93">
        <v>12</v>
      </c>
      <c r="N93" s="10"/>
      <c r="O93" s="3">
        <v>200</v>
      </c>
      <c r="P93" t="b">
        <v>0</v>
      </c>
      <c r="Q93" t="b">
        <v>0</v>
      </c>
      <c r="R93" s="9" t="b">
        <v>0</v>
      </c>
      <c r="S93" s="10"/>
      <c r="T93" s="10"/>
      <c r="U93" s="10"/>
      <c r="V93" s="10"/>
      <c r="W93" s="10"/>
      <c r="X93" s="10"/>
      <c r="Y93" s="10"/>
      <c r="Z93" s="10"/>
      <c r="AA93" s="10"/>
      <c r="AB93" s="10"/>
      <c r="AC93" s="10"/>
      <c r="AD93" s="10"/>
      <c r="AE93" s="10"/>
    </row>
    <row r="94" ht="15.75" customHeight="1" spans="1:31">
      <c r="A94" t="s">
        <v>83</v>
      </c>
      <c r="B94" t="s">
        <v>65</v>
      </c>
      <c r="C94">
        <v>105.75</v>
      </c>
      <c r="D94">
        <v>37.85</v>
      </c>
      <c r="E94">
        <v>250</v>
      </c>
      <c r="F94">
        <v>33.7</v>
      </c>
      <c r="G94">
        <v>390</v>
      </c>
      <c r="H94">
        <v>227</v>
      </c>
      <c r="I94">
        <v>33.7</v>
      </c>
      <c r="L94">
        <v>24</v>
      </c>
      <c r="N94" s="10"/>
      <c r="O94" s="3">
        <v>200</v>
      </c>
      <c r="P94" t="b">
        <v>0</v>
      </c>
      <c r="Q94" t="b">
        <v>0</v>
      </c>
      <c r="R94" s="9" t="b">
        <v>0</v>
      </c>
      <c r="S94" s="10"/>
      <c r="T94" s="10"/>
      <c r="U94" s="10"/>
      <c r="V94" s="10"/>
      <c r="W94" s="10"/>
      <c r="X94" s="10"/>
      <c r="Y94" s="10"/>
      <c r="Z94" s="10"/>
      <c r="AA94" s="10"/>
      <c r="AB94" s="10"/>
      <c r="AC94" s="10"/>
      <c r="AD94" s="10"/>
      <c r="AE94" s="10"/>
    </row>
    <row r="95" ht="15.75" customHeight="1" spans="1:31">
      <c r="A95" t="s">
        <v>83</v>
      </c>
      <c r="B95" t="s">
        <v>66</v>
      </c>
      <c r="C95">
        <v>105.75</v>
      </c>
      <c r="D95">
        <v>37.85</v>
      </c>
      <c r="E95">
        <v>250</v>
      </c>
      <c r="F95">
        <v>33.7</v>
      </c>
      <c r="G95">
        <v>390</v>
      </c>
      <c r="H95">
        <v>227</v>
      </c>
      <c r="I95">
        <v>33.7</v>
      </c>
      <c r="L95">
        <v>24</v>
      </c>
      <c r="N95" s="10"/>
      <c r="O95" s="3">
        <v>200</v>
      </c>
      <c r="P95" t="b">
        <v>0</v>
      </c>
      <c r="Q95" t="b">
        <v>0</v>
      </c>
      <c r="R95" s="9" t="b">
        <v>0</v>
      </c>
      <c r="S95" s="10"/>
      <c r="T95" s="10"/>
      <c r="U95" s="10"/>
      <c r="V95" s="10"/>
      <c r="W95" s="10"/>
      <c r="X95" s="10"/>
      <c r="Y95" s="10"/>
      <c r="Z95" s="10"/>
      <c r="AA95" s="10"/>
      <c r="AB95" s="10"/>
      <c r="AC95" s="10"/>
      <c r="AD95" s="10"/>
      <c r="AE95" s="10"/>
    </row>
    <row r="96" ht="15.75" customHeight="1" spans="1:31">
      <c r="A96" t="s">
        <v>83</v>
      </c>
      <c r="B96" t="s">
        <v>67</v>
      </c>
      <c r="C96">
        <v>105.75</v>
      </c>
      <c r="D96">
        <v>37.85</v>
      </c>
      <c r="E96">
        <v>250</v>
      </c>
      <c r="F96">
        <v>33.7</v>
      </c>
      <c r="G96">
        <v>390</v>
      </c>
      <c r="H96">
        <v>227</v>
      </c>
      <c r="I96">
        <v>33.7</v>
      </c>
      <c r="L96">
        <v>12</v>
      </c>
      <c r="N96" s="10"/>
      <c r="O96" s="3">
        <v>200</v>
      </c>
      <c r="P96" t="b">
        <v>0</v>
      </c>
      <c r="Q96" t="b">
        <v>0</v>
      </c>
      <c r="R96" s="9" t="b">
        <v>0</v>
      </c>
      <c r="S96" s="10"/>
      <c r="T96" s="10"/>
      <c r="U96" s="10"/>
      <c r="V96" s="10"/>
      <c r="W96" s="10"/>
      <c r="X96" s="10"/>
      <c r="Y96" s="10"/>
      <c r="Z96" s="10"/>
      <c r="AA96" s="10"/>
      <c r="AB96" s="10"/>
      <c r="AC96" s="10"/>
      <c r="AD96" s="10"/>
      <c r="AE96" s="10"/>
    </row>
    <row r="97" ht="15.75" customHeight="1" spans="1:31">
      <c r="A97" t="s">
        <v>83</v>
      </c>
      <c r="B97" t="s">
        <v>25</v>
      </c>
      <c r="C97">
        <v>105.75</v>
      </c>
      <c r="D97">
        <v>37.85</v>
      </c>
      <c r="E97">
        <v>250</v>
      </c>
      <c r="F97">
        <v>23.6</v>
      </c>
      <c r="G97">
        <v>585</v>
      </c>
      <c r="H97">
        <v>129.4</v>
      </c>
      <c r="I97">
        <v>33.7</v>
      </c>
      <c r="L97">
        <v>44</v>
      </c>
      <c r="N97" s="10"/>
      <c r="O97" s="3">
        <v>200</v>
      </c>
      <c r="P97" t="b">
        <v>0</v>
      </c>
      <c r="Q97" t="b">
        <v>0</v>
      </c>
      <c r="R97" s="9" t="b">
        <v>0</v>
      </c>
      <c r="S97" s="10"/>
      <c r="T97" s="10"/>
      <c r="U97" s="10"/>
      <c r="V97" s="10"/>
      <c r="W97" s="10"/>
      <c r="X97" s="10"/>
      <c r="Y97" s="10"/>
      <c r="Z97" s="10"/>
      <c r="AA97" s="10"/>
      <c r="AB97" s="10"/>
      <c r="AC97" s="10"/>
      <c r="AD97" s="10"/>
      <c r="AE97" s="10"/>
    </row>
    <row r="98" ht="15.75" customHeight="1" spans="1:31">
      <c r="A98" t="s">
        <v>85</v>
      </c>
      <c r="B98" t="s">
        <v>84</v>
      </c>
      <c r="C98">
        <v>147.5</v>
      </c>
      <c r="D98">
        <v>21.75</v>
      </c>
      <c r="E98">
        <v>84</v>
      </c>
      <c r="F98">
        <v>12.98</v>
      </c>
      <c r="G98">
        <v>860</v>
      </c>
      <c r="H98">
        <v>48.3</v>
      </c>
      <c r="I98">
        <v>64.6</v>
      </c>
      <c r="L98">
        <v>14</v>
      </c>
      <c r="N98" s="10"/>
      <c r="O98" s="3">
        <v>200</v>
      </c>
      <c r="P98" t="b">
        <v>0</v>
      </c>
      <c r="Q98" t="b">
        <v>0</v>
      </c>
      <c r="R98" s="9" t="b">
        <v>0</v>
      </c>
      <c r="S98" s="10"/>
      <c r="T98" s="10"/>
      <c r="U98" s="10"/>
      <c r="V98" s="10"/>
      <c r="W98" s="10"/>
      <c r="X98" s="10"/>
      <c r="Y98" s="10"/>
      <c r="Z98" s="10"/>
      <c r="AA98" s="10"/>
      <c r="AB98" s="10"/>
      <c r="AC98" s="10"/>
      <c r="AD98" s="10"/>
      <c r="AE98" s="10"/>
    </row>
    <row r="99" ht="15.75" customHeight="1" spans="1:31">
      <c r="A99" t="s">
        <v>85</v>
      </c>
      <c r="B99" t="s">
        <v>65</v>
      </c>
      <c r="C99">
        <v>147.5</v>
      </c>
      <c r="D99">
        <v>21.75</v>
      </c>
      <c r="E99">
        <v>84</v>
      </c>
      <c r="F99">
        <v>12.98</v>
      </c>
      <c r="G99">
        <v>860</v>
      </c>
      <c r="H99">
        <v>48.3</v>
      </c>
      <c r="I99">
        <v>64.6</v>
      </c>
      <c r="L99">
        <v>28</v>
      </c>
      <c r="N99" s="10"/>
      <c r="O99" s="3">
        <v>200</v>
      </c>
      <c r="P99" t="b">
        <v>0</v>
      </c>
      <c r="Q99" t="b">
        <v>0</v>
      </c>
      <c r="R99" s="9" t="b">
        <v>0</v>
      </c>
      <c r="S99" s="10"/>
      <c r="T99" s="10"/>
      <c r="U99" s="10"/>
      <c r="V99" s="10"/>
      <c r="W99" s="10"/>
      <c r="X99" s="10"/>
      <c r="Y99" s="10"/>
      <c r="Z99" s="10"/>
      <c r="AA99" s="10"/>
      <c r="AB99" s="10"/>
      <c r="AC99" s="10"/>
      <c r="AD99" s="10"/>
      <c r="AE99" s="10"/>
    </row>
    <row r="100" ht="15.75" customHeight="1" spans="1:31">
      <c r="A100" t="s">
        <v>85</v>
      </c>
      <c r="B100" t="s">
        <v>66</v>
      </c>
      <c r="C100">
        <v>147.5</v>
      </c>
      <c r="D100">
        <v>21.75</v>
      </c>
      <c r="E100">
        <v>84</v>
      </c>
      <c r="F100">
        <v>12.98</v>
      </c>
      <c r="G100">
        <v>860</v>
      </c>
      <c r="H100">
        <v>48.3</v>
      </c>
      <c r="I100">
        <v>64</v>
      </c>
      <c r="L100">
        <v>28</v>
      </c>
      <c r="N100" s="10"/>
      <c r="O100" s="3">
        <v>200</v>
      </c>
      <c r="P100" t="b">
        <v>0</v>
      </c>
      <c r="Q100" t="b">
        <v>0</v>
      </c>
      <c r="R100" s="9" t="b">
        <v>0</v>
      </c>
      <c r="S100" s="10"/>
      <c r="T100" s="10"/>
      <c r="U100" s="10"/>
      <c r="V100" s="10"/>
      <c r="W100" s="10"/>
      <c r="X100" s="10"/>
      <c r="Y100" s="10"/>
      <c r="Z100" s="10"/>
      <c r="AA100" s="10"/>
      <c r="AB100" s="10"/>
      <c r="AC100" s="10"/>
      <c r="AD100" s="10"/>
      <c r="AE100" s="10"/>
    </row>
    <row r="101" ht="15.75" customHeight="1" spans="1:31">
      <c r="A101" t="s">
        <v>85</v>
      </c>
      <c r="B101" t="s">
        <v>67</v>
      </c>
      <c r="C101">
        <v>147.5</v>
      </c>
      <c r="D101">
        <v>21.75</v>
      </c>
      <c r="E101">
        <v>84</v>
      </c>
      <c r="F101">
        <v>12.98</v>
      </c>
      <c r="G101">
        <v>860</v>
      </c>
      <c r="H101">
        <v>48.3</v>
      </c>
      <c r="I101">
        <v>64</v>
      </c>
      <c r="L101">
        <v>14</v>
      </c>
      <c r="N101" s="10"/>
      <c r="O101" s="3">
        <v>200</v>
      </c>
      <c r="P101" t="b">
        <v>0</v>
      </c>
      <c r="Q101" t="b">
        <v>0</v>
      </c>
      <c r="R101" s="9" t="b">
        <v>0</v>
      </c>
      <c r="S101" s="10"/>
      <c r="T101" s="10"/>
      <c r="U101" s="10"/>
      <c r="V101" s="10"/>
      <c r="W101" s="10"/>
      <c r="X101" s="10"/>
      <c r="Y101" s="10"/>
      <c r="Z101" s="10"/>
      <c r="AA101" s="10"/>
      <c r="AB101" s="10"/>
      <c r="AC101" s="10"/>
      <c r="AD101" s="10"/>
      <c r="AE101" s="10"/>
    </row>
    <row r="102" ht="15.75" customHeight="1" spans="1:31">
      <c r="A102" t="s">
        <v>85</v>
      </c>
      <c r="B102" t="s">
        <v>25</v>
      </c>
      <c r="C102">
        <v>147.5</v>
      </c>
      <c r="D102">
        <v>21.75</v>
      </c>
      <c r="E102">
        <v>84</v>
      </c>
      <c r="F102">
        <v>9.08</v>
      </c>
      <c r="G102">
        <v>1170</v>
      </c>
      <c r="H102">
        <v>27.6</v>
      </c>
      <c r="I102">
        <v>64</v>
      </c>
      <c r="L102">
        <v>49</v>
      </c>
      <c r="N102" s="10"/>
      <c r="O102" s="3">
        <v>200</v>
      </c>
      <c r="P102" t="b">
        <v>0</v>
      </c>
      <c r="Q102" t="b">
        <v>0</v>
      </c>
      <c r="R102" s="9" t="b">
        <v>0</v>
      </c>
      <c r="S102" s="10"/>
      <c r="T102" s="10"/>
      <c r="U102" s="10"/>
      <c r="V102" s="10"/>
      <c r="W102" s="10"/>
      <c r="X102" s="10"/>
      <c r="Y102" s="10"/>
      <c r="Z102" s="10"/>
      <c r="AA102" s="10"/>
      <c r="AB102" s="10"/>
      <c r="AC102" s="10"/>
      <c r="AD102" s="10"/>
      <c r="AE102" s="10"/>
    </row>
    <row r="103" ht="15.75" customHeight="1" spans="1:31">
      <c r="A103" t="s">
        <v>86</v>
      </c>
      <c r="B103" t="s">
        <v>84</v>
      </c>
      <c r="C103">
        <v>133</v>
      </c>
      <c r="D103">
        <v>16.3</v>
      </c>
      <c r="E103">
        <v>90</v>
      </c>
      <c r="F103">
        <v>13.2</v>
      </c>
      <c r="G103">
        <v>785</v>
      </c>
      <c r="H103">
        <v>51.5</v>
      </c>
      <c r="L103">
        <v>13</v>
      </c>
      <c r="N103" s="10"/>
      <c r="O103" s="3">
        <v>200</v>
      </c>
      <c r="P103" t="b">
        <v>0</v>
      </c>
      <c r="Q103" t="b">
        <v>0</v>
      </c>
      <c r="R103" s="9" t="b">
        <v>0</v>
      </c>
      <c r="S103" s="10"/>
      <c r="T103" s="10"/>
      <c r="U103" s="10"/>
      <c r="V103" s="10"/>
      <c r="W103" s="10"/>
      <c r="X103" s="10"/>
      <c r="Y103" s="10"/>
      <c r="Z103" s="10"/>
      <c r="AA103" s="10"/>
      <c r="AB103" s="10"/>
      <c r="AC103" s="10"/>
      <c r="AD103" s="10"/>
      <c r="AE103" s="10"/>
    </row>
    <row r="104" ht="15.75" customHeight="1" spans="1:31">
      <c r="A104" t="s">
        <v>86</v>
      </c>
      <c r="B104" t="s">
        <v>65</v>
      </c>
      <c r="C104">
        <v>133</v>
      </c>
      <c r="D104">
        <v>16.3</v>
      </c>
      <c r="E104">
        <v>90</v>
      </c>
      <c r="F104">
        <v>13.2</v>
      </c>
      <c r="G104">
        <v>785</v>
      </c>
      <c r="H104">
        <v>51.5</v>
      </c>
      <c r="L104">
        <v>26</v>
      </c>
      <c r="N104" s="10"/>
      <c r="O104" s="3">
        <v>200</v>
      </c>
      <c r="P104" t="b">
        <v>0</v>
      </c>
      <c r="Q104" t="b">
        <v>0</v>
      </c>
      <c r="R104" s="9" t="b">
        <v>0</v>
      </c>
      <c r="S104" s="10"/>
      <c r="T104" s="10"/>
      <c r="U104" s="10"/>
      <c r="V104" s="10"/>
      <c r="W104" s="10"/>
      <c r="X104" s="10"/>
      <c r="Y104" s="10"/>
      <c r="Z104" s="10"/>
      <c r="AA104" s="10"/>
      <c r="AB104" s="10"/>
      <c r="AC104" s="10"/>
      <c r="AD104" s="10"/>
      <c r="AE104" s="10"/>
    </row>
    <row r="105" ht="15.75" customHeight="1" spans="1:31">
      <c r="A105" t="s">
        <v>86</v>
      </c>
      <c r="B105" t="s">
        <v>66</v>
      </c>
      <c r="C105">
        <v>133</v>
      </c>
      <c r="D105">
        <v>16.3</v>
      </c>
      <c r="E105">
        <v>90</v>
      </c>
      <c r="F105">
        <v>13.2</v>
      </c>
      <c r="G105">
        <v>785</v>
      </c>
      <c r="H105">
        <v>51.5</v>
      </c>
      <c r="L105">
        <v>26</v>
      </c>
      <c r="N105" s="10"/>
      <c r="O105" s="3">
        <v>200</v>
      </c>
      <c r="P105" t="b">
        <v>0</v>
      </c>
      <c r="Q105" t="b">
        <v>0</v>
      </c>
      <c r="R105" s="9" t="b">
        <v>0</v>
      </c>
      <c r="S105" s="10"/>
      <c r="T105" s="10"/>
      <c r="U105" s="10"/>
      <c r="V105" s="10"/>
      <c r="W105" s="10"/>
      <c r="X105" s="10"/>
      <c r="Y105" s="10"/>
      <c r="Z105" s="10"/>
      <c r="AA105" s="10"/>
      <c r="AB105" s="10"/>
      <c r="AC105" s="10"/>
      <c r="AD105" s="10"/>
      <c r="AE105" s="10"/>
    </row>
    <row r="106" ht="15.75" customHeight="1" spans="1:31">
      <c r="A106" t="s">
        <v>86</v>
      </c>
      <c r="B106" t="s">
        <v>67</v>
      </c>
      <c r="C106">
        <v>133</v>
      </c>
      <c r="D106">
        <v>16.3</v>
      </c>
      <c r="E106">
        <v>90</v>
      </c>
      <c r="F106">
        <v>13.2</v>
      </c>
      <c r="G106">
        <v>785</v>
      </c>
      <c r="H106">
        <v>51.5</v>
      </c>
      <c r="L106">
        <v>13</v>
      </c>
      <c r="N106" s="10"/>
      <c r="O106" s="3">
        <v>200</v>
      </c>
      <c r="P106" t="b">
        <v>0</v>
      </c>
      <c r="Q106" t="b">
        <v>0</v>
      </c>
      <c r="R106" s="9" t="b">
        <v>0</v>
      </c>
      <c r="S106" s="10"/>
      <c r="T106" s="10"/>
      <c r="U106" s="10"/>
      <c r="V106" s="10"/>
      <c r="W106" s="10"/>
      <c r="X106" s="10"/>
      <c r="Y106" s="10"/>
      <c r="Z106" s="10"/>
      <c r="AA106" s="10"/>
      <c r="AB106" s="10"/>
      <c r="AC106" s="10"/>
      <c r="AD106" s="10"/>
      <c r="AE106" s="10"/>
    </row>
    <row r="107" ht="15.75" customHeight="1" spans="1:31">
      <c r="A107" t="s">
        <v>86</v>
      </c>
      <c r="B107" t="s">
        <v>25</v>
      </c>
      <c r="C107">
        <v>133</v>
      </c>
      <c r="D107">
        <v>16.3</v>
      </c>
      <c r="E107">
        <v>90</v>
      </c>
      <c r="F107">
        <v>9.24</v>
      </c>
      <c r="G107">
        <v>1177.5</v>
      </c>
      <c r="H107">
        <v>29.35</v>
      </c>
      <c r="L107">
        <v>45.5</v>
      </c>
      <c r="N107" s="10"/>
      <c r="O107" s="3">
        <v>200</v>
      </c>
      <c r="P107" t="b">
        <v>0</v>
      </c>
      <c r="Q107" t="b">
        <v>0</v>
      </c>
      <c r="R107" s="9" t="b">
        <v>0</v>
      </c>
      <c r="S107" s="10"/>
      <c r="T107" s="10"/>
      <c r="U107" s="10"/>
      <c r="V107" s="10"/>
      <c r="W107" s="10"/>
      <c r="X107" s="10"/>
      <c r="Y107" s="10"/>
      <c r="Z107" s="10"/>
      <c r="AA107" s="10"/>
      <c r="AB107" s="10"/>
      <c r="AC107" s="10"/>
      <c r="AD107" s="10"/>
      <c r="AE107" s="10"/>
    </row>
    <row r="108" ht="15.75" customHeight="1" spans="1:31">
      <c r="A108" t="s">
        <v>87</v>
      </c>
      <c r="B108" t="s">
        <v>84</v>
      </c>
      <c r="C108">
        <v>93.5</v>
      </c>
      <c r="D108">
        <v>14.91</v>
      </c>
      <c r="E108">
        <v>26.8</v>
      </c>
      <c r="F108">
        <v>8.58</v>
      </c>
      <c r="G108">
        <v>910</v>
      </c>
      <c r="H108">
        <v>16.2</v>
      </c>
      <c r="I108">
        <v>46</v>
      </c>
      <c r="L108">
        <v>11</v>
      </c>
      <c r="N108" s="10"/>
      <c r="O108" s="3">
        <v>200</v>
      </c>
      <c r="P108" t="b">
        <v>0</v>
      </c>
      <c r="Q108" t="b">
        <v>0</v>
      </c>
      <c r="R108" s="9" t="b">
        <v>0</v>
      </c>
      <c r="S108" s="10"/>
      <c r="T108" s="10"/>
      <c r="U108" s="10"/>
      <c r="V108" s="10"/>
      <c r="W108" s="10"/>
      <c r="X108" s="10"/>
      <c r="Y108" s="10"/>
      <c r="Z108" s="10"/>
      <c r="AA108" s="10"/>
      <c r="AB108" s="10"/>
      <c r="AC108" s="10"/>
      <c r="AD108" s="10"/>
      <c r="AE108" s="10"/>
    </row>
    <row r="109" ht="15.75" customHeight="1" spans="1:31">
      <c r="A109" t="s">
        <v>87</v>
      </c>
      <c r="B109" t="s">
        <v>65</v>
      </c>
      <c r="C109">
        <v>93.5</v>
      </c>
      <c r="D109">
        <v>14.91</v>
      </c>
      <c r="E109">
        <v>26.8</v>
      </c>
      <c r="F109">
        <v>8.58</v>
      </c>
      <c r="G109">
        <v>910</v>
      </c>
      <c r="H109">
        <v>16.2</v>
      </c>
      <c r="I109">
        <v>46</v>
      </c>
      <c r="L109">
        <v>22</v>
      </c>
      <c r="N109" s="10"/>
      <c r="O109" s="3">
        <v>200</v>
      </c>
      <c r="P109" t="b">
        <v>0</v>
      </c>
      <c r="Q109" t="b">
        <v>0</v>
      </c>
      <c r="R109" s="9" t="b">
        <v>0</v>
      </c>
      <c r="S109" s="10"/>
      <c r="T109" s="10"/>
      <c r="U109" s="10"/>
      <c r="V109" s="10"/>
      <c r="W109" s="10"/>
      <c r="X109" s="10"/>
      <c r="Y109" s="10"/>
      <c r="Z109" s="10"/>
      <c r="AA109" s="10"/>
      <c r="AB109" s="10"/>
      <c r="AC109" s="10"/>
      <c r="AD109" s="10"/>
      <c r="AE109" s="10"/>
    </row>
    <row r="110" ht="15.75" customHeight="1" spans="1:31">
      <c r="A110" t="s">
        <v>87</v>
      </c>
      <c r="B110" t="s">
        <v>66</v>
      </c>
      <c r="C110">
        <v>93.5</v>
      </c>
      <c r="D110">
        <v>14.91</v>
      </c>
      <c r="E110">
        <v>26.8</v>
      </c>
      <c r="F110">
        <v>8.58</v>
      </c>
      <c r="G110">
        <v>910</v>
      </c>
      <c r="H110">
        <v>16.2</v>
      </c>
      <c r="I110">
        <v>46</v>
      </c>
      <c r="L110">
        <v>22</v>
      </c>
      <c r="N110" s="10"/>
      <c r="O110" s="3">
        <v>200</v>
      </c>
      <c r="P110" t="b">
        <v>0</v>
      </c>
      <c r="Q110" t="b">
        <v>0</v>
      </c>
      <c r="R110" s="9" t="b">
        <v>0</v>
      </c>
      <c r="S110" s="10"/>
      <c r="T110" s="10"/>
      <c r="U110" s="10"/>
      <c r="V110" s="10"/>
      <c r="W110" s="10"/>
      <c r="X110" s="10"/>
      <c r="Y110" s="10"/>
      <c r="Z110" s="10"/>
      <c r="AA110" s="10"/>
      <c r="AB110" s="10"/>
      <c r="AC110" s="10"/>
      <c r="AD110" s="10"/>
      <c r="AE110" s="10"/>
    </row>
    <row r="111" ht="15.75" customHeight="1" spans="1:31">
      <c r="A111" t="s">
        <v>87</v>
      </c>
      <c r="B111" t="s">
        <v>67</v>
      </c>
      <c r="C111">
        <v>93.5</v>
      </c>
      <c r="D111">
        <v>14.91</v>
      </c>
      <c r="E111">
        <v>26.8</v>
      </c>
      <c r="F111">
        <v>8.58</v>
      </c>
      <c r="G111">
        <v>910</v>
      </c>
      <c r="H111">
        <v>16.2</v>
      </c>
      <c r="I111">
        <v>46</v>
      </c>
      <c r="L111">
        <v>11</v>
      </c>
      <c r="N111" s="10"/>
      <c r="O111" s="3">
        <v>200</v>
      </c>
      <c r="P111" t="b">
        <v>0</v>
      </c>
      <c r="Q111" t="b">
        <v>0</v>
      </c>
      <c r="R111" s="9" t="b">
        <v>0</v>
      </c>
      <c r="S111" s="10"/>
      <c r="T111" s="10"/>
      <c r="U111" s="10"/>
      <c r="V111" s="10"/>
      <c r="W111" s="10"/>
      <c r="X111" s="10"/>
      <c r="Y111" s="10"/>
      <c r="Z111" s="10"/>
      <c r="AA111" s="10"/>
      <c r="AB111" s="10"/>
      <c r="AC111" s="10"/>
      <c r="AD111" s="10"/>
      <c r="AE111" s="10"/>
    </row>
    <row r="112" ht="15.75" customHeight="1" spans="1:31">
      <c r="A112" t="s">
        <v>87</v>
      </c>
      <c r="B112" t="s">
        <v>25</v>
      </c>
      <c r="C112">
        <v>93.5</v>
      </c>
      <c r="D112">
        <v>14.91</v>
      </c>
      <c r="E112">
        <v>26.8</v>
      </c>
      <c r="F112">
        <v>6.01</v>
      </c>
      <c r="G112">
        <v>1365</v>
      </c>
      <c r="H112">
        <v>9.23</v>
      </c>
      <c r="I112">
        <v>46</v>
      </c>
      <c r="L112">
        <v>39</v>
      </c>
      <c r="N112" s="10"/>
      <c r="O112" s="3">
        <v>200</v>
      </c>
      <c r="P112" t="b">
        <v>0</v>
      </c>
      <c r="Q112" t="b">
        <v>0</v>
      </c>
      <c r="R112" s="9" t="b">
        <v>0</v>
      </c>
      <c r="S112" s="10"/>
      <c r="T112" s="10"/>
      <c r="U112" s="10"/>
      <c r="V112" s="10"/>
      <c r="W112" s="10"/>
      <c r="X112" s="10"/>
      <c r="Y112" s="10"/>
      <c r="Z112" s="10"/>
      <c r="AA112" s="10"/>
      <c r="AB112" s="10"/>
      <c r="AC112" s="10"/>
      <c r="AD112" s="10"/>
      <c r="AE112" s="10"/>
    </row>
    <row r="113" ht="15.75" customHeight="1" spans="1:31">
      <c r="A113" t="s">
        <v>88</v>
      </c>
      <c r="B113" t="s">
        <v>84</v>
      </c>
      <c r="C113">
        <v>93.5</v>
      </c>
      <c r="D113">
        <v>14.93</v>
      </c>
      <c r="E113">
        <v>27</v>
      </c>
      <c r="F113">
        <v>8.59</v>
      </c>
      <c r="G113">
        <v>808</v>
      </c>
      <c r="H113">
        <v>19.4</v>
      </c>
      <c r="L113">
        <v>11</v>
      </c>
      <c r="N113" s="10"/>
      <c r="O113" s="3">
        <v>200</v>
      </c>
      <c r="P113" t="b">
        <v>0</v>
      </c>
      <c r="Q113" t="b">
        <v>0</v>
      </c>
      <c r="R113" s="9" t="b">
        <v>0</v>
      </c>
      <c r="S113" s="10"/>
      <c r="T113" s="10"/>
      <c r="U113" s="10"/>
      <c r="V113" s="10"/>
      <c r="W113" s="10"/>
      <c r="X113" s="10"/>
      <c r="Y113" s="10"/>
      <c r="Z113" s="10"/>
      <c r="AA113" s="10"/>
      <c r="AB113" s="10"/>
      <c r="AC113" s="10"/>
      <c r="AD113" s="10"/>
      <c r="AE113" s="10"/>
    </row>
    <row r="114" ht="15.75" customHeight="1" spans="1:31">
      <c r="A114" t="s">
        <v>88</v>
      </c>
      <c r="B114" t="s">
        <v>65</v>
      </c>
      <c r="C114">
        <v>93.5</v>
      </c>
      <c r="D114">
        <v>14.93</v>
      </c>
      <c r="E114">
        <v>27</v>
      </c>
      <c r="F114">
        <v>8.59</v>
      </c>
      <c r="G114">
        <v>808</v>
      </c>
      <c r="H114">
        <v>19.4</v>
      </c>
      <c r="L114">
        <v>22</v>
      </c>
      <c r="N114" s="10"/>
      <c r="O114" s="3">
        <v>200</v>
      </c>
      <c r="P114" t="b">
        <v>0</v>
      </c>
      <c r="Q114" t="b">
        <v>0</v>
      </c>
      <c r="R114" s="9" t="b">
        <v>0</v>
      </c>
      <c r="S114" s="10"/>
      <c r="T114" s="10"/>
      <c r="U114" s="10"/>
      <c r="V114" s="10"/>
      <c r="W114" s="10"/>
      <c r="X114" s="10"/>
      <c r="Y114" s="10"/>
      <c r="Z114" s="10"/>
      <c r="AA114" s="10"/>
      <c r="AB114" s="10"/>
      <c r="AC114" s="10"/>
      <c r="AD114" s="10"/>
      <c r="AE114" s="10"/>
    </row>
    <row r="115" ht="15.75" customHeight="1" spans="1:31">
      <c r="A115" t="s">
        <v>88</v>
      </c>
      <c r="B115" t="s">
        <v>66</v>
      </c>
      <c r="C115">
        <v>93.5</v>
      </c>
      <c r="D115">
        <v>14.93</v>
      </c>
      <c r="E115">
        <v>27</v>
      </c>
      <c r="F115">
        <v>8.59</v>
      </c>
      <c r="G115">
        <v>808</v>
      </c>
      <c r="H115">
        <v>19.4</v>
      </c>
      <c r="L115">
        <v>22</v>
      </c>
      <c r="N115" s="10"/>
      <c r="O115" s="3">
        <v>200</v>
      </c>
      <c r="P115" t="b">
        <v>0</v>
      </c>
      <c r="Q115" t="b">
        <v>0</v>
      </c>
      <c r="R115" s="9" t="b">
        <v>0</v>
      </c>
      <c r="S115" s="10"/>
      <c r="T115" s="10"/>
      <c r="U115" s="10"/>
      <c r="V115" s="10"/>
      <c r="W115" s="10"/>
      <c r="X115" s="10"/>
      <c r="Y115" s="10"/>
      <c r="Z115" s="10"/>
      <c r="AA115" s="10"/>
      <c r="AB115" s="10"/>
      <c r="AC115" s="10"/>
      <c r="AD115" s="10"/>
      <c r="AE115" s="10"/>
    </row>
    <row r="116" ht="15.75" customHeight="1" spans="1:31">
      <c r="A116" t="s">
        <v>88</v>
      </c>
      <c r="B116" t="s">
        <v>67</v>
      </c>
      <c r="C116">
        <v>93.5</v>
      </c>
      <c r="D116">
        <v>14.93</v>
      </c>
      <c r="E116">
        <v>27</v>
      </c>
      <c r="F116">
        <v>8.59</v>
      </c>
      <c r="G116">
        <v>808</v>
      </c>
      <c r="H116">
        <v>19.4</v>
      </c>
      <c r="L116">
        <v>11</v>
      </c>
      <c r="N116" s="10"/>
      <c r="O116" s="3">
        <v>200</v>
      </c>
      <c r="P116" t="b">
        <v>0</v>
      </c>
      <c r="Q116" t="b">
        <v>0</v>
      </c>
      <c r="R116" s="9" t="b">
        <v>0</v>
      </c>
      <c r="S116" s="10"/>
      <c r="T116" s="10"/>
      <c r="U116" s="10"/>
      <c r="V116" s="10"/>
      <c r="W116" s="10"/>
      <c r="X116" s="10"/>
      <c r="Y116" s="10"/>
      <c r="Z116" s="10"/>
      <c r="AA116" s="10"/>
      <c r="AB116" s="10"/>
      <c r="AC116" s="10"/>
      <c r="AD116" s="10"/>
      <c r="AE116" s="10"/>
    </row>
    <row r="117" ht="15.75" customHeight="1" spans="1:31">
      <c r="A117" t="s">
        <v>88</v>
      </c>
      <c r="B117" t="s">
        <v>25</v>
      </c>
      <c r="C117">
        <v>93.5</v>
      </c>
      <c r="D117">
        <v>14.93</v>
      </c>
      <c r="E117">
        <v>27</v>
      </c>
      <c r="F117">
        <v>6.01</v>
      </c>
      <c r="G117">
        <v>1212</v>
      </c>
      <c r="H117">
        <v>11.06</v>
      </c>
      <c r="L117">
        <v>39</v>
      </c>
      <c r="N117" s="10"/>
      <c r="O117" s="3">
        <v>200</v>
      </c>
      <c r="P117" t="b">
        <v>0</v>
      </c>
      <c r="Q117" t="b">
        <v>0</v>
      </c>
      <c r="R117" s="9" t="b">
        <v>0</v>
      </c>
      <c r="S117" s="10"/>
      <c r="T117" s="10"/>
      <c r="U117" s="10"/>
      <c r="V117" s="10"/>
      <c r="W117" s="10"/>
      <c r="X117" s="10"/>
      <c r="Y117" s="10"/>
      <c r="Z117" s="10"/>
      <c r="AA117" s="10"/>
      <c r="AB117" s="10"/>
      <c r="AC117" s="10"/>
      <c r="AD117" s="10"/>
      <c r="AE117" s="10"/>
    </row>
    <row r="118" ht="15.75" customHeight="1" spans="1:31">
      <c r="A118" t="s">
        <v>89</v>
      </c>
      <c r="B118" t="s">
        <v>84</v>
      </c>
      <c r="C118">
        <v>137.8</v>
      </c>
      <c r="D118">
        <v>20.4</v>
      </c>
      <c r="E118">
        <v>72</v>
      </c>
      <c r="F118">
        <v>13</v>
      </c>
      <c r="G118">
        <v>887</v>
      </c>
      <c r="H118" s="25">
        <v>45.8</v>
      </c>
      <c r="I118">
        <v>59</v>
      </c>
      <c r="L118" s="8">
        <v>14</v>
      </c>
      <c r="N118" s="10"/>
      <c r="O118" s="3">
        <v>200</v>
      </c>
      <c r="P118" t="b">
        <v>0</v>
      </c>
      <c r="Q118" t="b">
        <v>0</v>
      </c>
      <c r="R118" s="9" t="b">
        <v>0</v>
      </c>
      <c r="S118" s="10"/>
      <c r="T118" s="10"/>
      <c r="U118" s="10"/>
      <c r="V118" s="10"/>
      <c r="W118" s="10"/>
      <c r="X118" s="10"/>
      <c r="Y118" s="10"/>
      <c r="Z118" s="10"/>
      <c r="AA118" s="10"/>
      <c r="AB118" s="10"/>
      <c r="AC118" s="10"/>
      <c r="AD118" s="10"/>
      <c r="AE118" s="10"/>
    </row>
    <row r="119" ht="15.75" customHeight="1" spans="1:31">
      <c r="A119" t="s">
        <v>89</v>
      </c>
      <c r="B119" t="s">
        <v>65</v>
      </c>
      <c r="C119">
        <v>137.8</v>
      </c>
      <c r="D119">
        <v>20.4</v>
      </c>
      <c r="E119">
        <v>72</v>
      </c>
      <c r="F119">
        <v>13</v>
      </c>
      <c r="G119">
        <v>887</v>
      </c>
      <c r="H119" s="25">
        <v>45.8</v>
      </c>
      <c r="I119">
        <v>59</v>
      </c>
      <c r="L119" s="25">
        <v>28</v>
      </c>
      <c r="N119" s="10"/>
      <c r="O119" s="3">
        <v>200</v>
      </c>
      <c r="P119" t="b">
        <v>0</v>
      </c>
      <c r="Q119" t="b">
        <v>0</v>
      </c>
      <c r="R119" s="9" t="b">
        <v>0</v>
      </c>
      <c r="S119" s="10"/>
      <c r="T119" s="10"/>
      <c r="U119" s="10"/>
      <c r="V119" s="10"/>
      <c r="W119" s="10"/>
      <c r="X119" s="10"/>
      <c r="Y119" s="10"/>
      <c r="Z119" s="10"/>
      <c r="AA119" s="10"/>
      <c r="AB119" s="10"/>
      <c r="AC119" s="10"/>
      <c r="AD119" s="10"/>
      <c r="AE119" s="10"/>
    </row>
    <row r="120" ht="15.75" customHeight="1" spans="1:31">
      <c r="A120" t="s">
        <v>89</v>
      </c>
      <c r="B120" t="s">
        <v>66</v>
      </c>
      <c r="C120">
        <v>137.8</v>
      </c>
      <c r="D120">
        <v>20.4</v>
      </c>
      <c r="E120">
        <v>72</v>
      </c>
      <c r="F120">
        <v>13</v>
      </c>
      <c r="G120">
        <v>887</v>
      </c>
      <c r="H120" s="25">
        <v>45.8</v>
      </c>
      <c r="I120">
        <v>59</v>
      </c>
      <c r="L120" s="25">
        <v>28</v>
      </c>
      <c r="N120" s="10"/>
      <c r="O120" s="3">
        <v>200</v>
      </c>
      <c r="P120" t="b">
        <v>0</v>
      </c>
      <c r="Q120" t="b">
        <v>0</v>
      </c>
      <c r="R120" s="9" t="b">
        <v>0</v>
      </c>
      <c r="S120" s="10"/>
      <c r="T120" s="10"/>
      <c r="U120" s="10"/>
      <c r="V120" s="10"/>
      <c r="W120" s="10"/>
      <c r="X120" s="10"/>
      <c r="Y120" s="10"/>
      <c r="Z120" s="10"/>
      <c r="AA120" s="10"/>
      <c r="AB120" s="10"/>
      <c r="AC120" s="10"/>
      <c r="AD120" s="10"/>
      <c r="AE120" s="10"/>
    </row>
    <row r="121" ht="15.75" customHeight="1" spans="1:31">
      <c r="A121" t="s">
        <v>89</v>
      </c>
      <c r="B121" t="s">
        <v>67</v>
      </c>
      <c r="C121">
        <v>137.8</v>
      </c>
      <c r="D121">
        <v>20.4</v>
      </c>
      <c r="E121">
        <v>72</v>
      </c>
      <c r="F121">
        <v>13</v>
      </c>
      <c r="G121">
        <v>887</v>
      </c>
      <c r="H121" s="25">
        <v>45.8</v>
      </c>
      <c r="I121">
        <v>59</v>
      </c>
      <c r="L121" s="25">
        <v>14</v>
      </c>
      <c r="N121" s="10"/>
      <c r="O121" s="3">
        <v>200</v>
      </c>
      <c r="P121" t="b">
        <v>0</v>
      </c>
      <c r="Q121" t="b">
        <v>0</v>
      </c>
      <c r="R121" s="9" t="b">
        <v>0</v>
      </c>
      <c r="S121" s="10"/>
      <c r="T121" s="10"/>
      <c r="U121" s="10"/>
      <c r="V121" s="10"/>
      <c r="W121" s="10"/>
      <c r="X121" s="10"/>
      <c r="Y121" s="10"/>
      <c r="Z121" s="10"/>
      <c r="AA121" s="10"/>
      <c r="AB121" s="10"/>
      <c r="AC121" s="10"/>
      <c r="AD121" s="10"/>
      <c r="AE121" s="10"/>
    </row>
    <row r="122" ht="15.75" customHeight="1" spans="1:31">
      <c r="A122" t="s">
        <v>89</v>
      </c>
      <c r="B122" t="s">
        <v>25</v>
      </c>
      <c r="C122">
        <v>137.8</v>
      </c>
      <c r="D122">
        <v>20.4</v>
      </c>
      <c r="E122">
        <v>72</v>
      </c>
      <c r="F122">
        <v>7.62</v>
      </c>
      <c r="G122">
        <v>1219</v>
      </c>
      <c r="H122">
        <v>26.17</v>
      </c>
      <c r="I122">
        <v>37</v>
      </c>
      <c r="L122" s="25">
        <v>49</v>
      </c>
      <c r="N122" s="10"/>
      <c r="O122" s="3">
        <v>200</v>
      </c>
      <c r="P122" t="b">
        <v>0</v>
      </c>
      <c r="Q122" t="b">
        <v>0</v>
      </c>
      <c r="R122" s="9" t="b">
        <v>0</v>
      </c>
      <c r="S122" s="10"/>
      <c r="T122" s="10"/>
      <c r="U122" s="10"/>
      <c r="V122" s="10"/>
      <c r="W122" s="10"/>
      <c r="X122" s="10"/>
      <c r="Y122" s="10"/>
      <c r="Z122" s="10"/>
      <c r="AA122" s="10"/>
      <c r="AB122" s="10"/>
      <c r="AC122" s="10"/>
      <c r="AD122" s="10"/>
      <c r="AE122" s="10"/>
    </row>
    <row r="123" ht="15.75" customHeight="1" spans="1:31">
      <c r="A123" t="s">
        <v>90</v>
      </c>
      <c r="B123" t="s">
        <v>84</v>
      </c>
      <c r="C123">
        <v>133.43</v>
      </c>
      <c r="D123">
        <v>20.24</v>
      </c>
      <c r="E123">
        <v>72</v>
      </c>
      <c r="F123">
        <v>14.3</v>
      </c>
      <c r="G123">
        <v>884</v>
      </c>
      <c r="H123">
        <v>61</v>
      </c>
      <c r="L123" s="25">
        <v>12</v>
      </c>
      <c r="N123" s="10"/>
      <c r="O123" s="3">
        <v>200</v>
      </c>
      <c r="P123" t="b">
        <v>0</v>
      </c>
      <c r="Q123" t="b">
        <v>0</v>
      </c>
      <c r="R123" s="9" t="b">
        <v>0</v>
      </c>
      <c r="S123" s="10"/>
      <c r="T123" s="10"/>
      <c r="U123" s="10"/>
      <c r="V123" s="10"/>
      <c r="W123" s="10"/>
      <c r="X123" s="10"/>
      <c r="Y123" s="10"/>
      <c r="Z123" s="10"/>
      <c r="AA123" s="10"/>
      <c r="AB123" s="10"/>
      <c r="AC123" s="10"/>
      <c r="AD123" s="10"/>
      <c r="AE123" s="10"/>
    </row>
    <row r="124" ht="15.75" customHeight="1" spans="1:31">
      <c r="A124" t="s">
        <v>90</v>
      </c>
      <c r="B124" t="s">
        <v>65</v>
      </c>
      <c r="C124" s="25">
        <v>133.43</v>
      </c>
      <c r="D124" s="25">
        <v>20.24</v>
      </c>
      <c r="E124" s="25">
        <v>72</v>
      </c>
      <c r="F124" s="25">
        <v>14.3</v>
      </c>
      <c r="G124" s="25">
        <v>884</v>
      </c>
      <c r="H124" s="25">
        <v>61</v>
      </c>
      <c r="I124" s="3"/>
      <c r="J124" s="3"/>
      <c r="K124" s="3"/>
      <c r="L124" s="25">
        <v>24</v>
      </c>
      <c r="M124" s="3"/>
      <c r="N124" s="3"/>
      <c r="O124" s="8">
        <v>200</v>
      </c>
      <c r="P124" t="b">
        <v>0</v>
      </c>
      <c r="Q124" t="b">
        <v>0</v>
      </c>
      <c r="R124" s="9" t="b">
        <v>0</v>
      </c>
      <c r="S124" s="3"/>
      <c r="T124" s="3"/>
      <c r="U124" s="3"/>
      <c r="V124" s="3"/>
      <c r="W124" s="3"/>
      <c r="X124" s="3"/>
      <c r="Y124" s="3"/>
      <c r="Z124" s="3"/>
      <c r="AA124" s="3"/>
      <c r="AB124" s="3"/>
      <c r="AC124" s="3"/>
      <c r="AD124" s="3"/>
      <c r="AE124" s="3"/>
    </row>
    <row r="125" ht="15.75" customHeight="1" spans="1:31">
      <c r="A125" t="s">
        <v>90</v>
      </c>
      <c r="B125" t="s">
        <v>66</v>
      </c>
      <c r="C125">
        <v>133.43</v>
      </c>
      <c r="D125">
        <v>20.24</v>
      </c>
      <c r="E125">
        <v>72</v>
      </c>
      <c r="F125">
        <v>14.3</v>
      </c>
      <c r="G125">
        <v>884</v>
      </c>
      <c r="H125">
        <v>61</v>
      </c>
      <c r="L125" s="25">
        <v>24</v>
      </c>
      <c r="N125" s="10"/>
      <c r="O125" s="3">
        <v>200</v>
      </c>
      <c r="P125" t="b">
        <v>0</v>
      </c>
      <c r="Q125" t="b">
        <v>0</v>
      </c>
      <c r="R125" s="9" t="b">
        <v>0</v>
      </c>
      <c r="S125" s="10"/>
      <c r="T125" s="10"/>
      <c r="U125" s="10"/>
      <c r="V125" s="10"/>
      <c r="W125" s="10"/>
      <c r="X125" s="10"/>
      <c r="Y125" s="10"/>
      <c r="Z125" s="10"/>
      <c r="AA125" s="10"/>
      <c r="AB125" s="10"/>
      <c r="AC125" s="10"/>
      <c r="AD125" s="10"/>
      <c r="AE125" s="10"/>
    </row>
    <row r="126" ht="15.75" customHeight="1" spans="1:31">
      <c r="A126" t="s">
        <v>90</v>
      </c>
      <c r="B126" t="s">
        <v>67</v>
      </c>
      <c r="C126">
        <v>133.43</v>
      </c>
      <c r="D126">
        <v>20.24</v>
      </c>
      <c r="E126">
        <v>72</v>
      </c>
      <c r="F126">
        <v>14.3</v>
      </c>
      <c r="G126">
        <v>884</v>
      </c>
      <c r="H126">
        <v>61</v>
      </c>
      <c r="L126" s="25">
        <v>12</v>
      </c>
      <c r="N126" s="10"/>
      <c r="O126" s="3">
        <v>200</v>
      </c>
      <c r="P126" t="b">
        <v>0</v>
      </c>
      <c r="Q126" t="b">
        <v>0</v>
      </c>
      <c r="R126" s="9" t="b">
        <v>0</v>
      </c>
      <c r="S126" s="10"/>
      <c r="T126" s="10"/>
      <c r="U126" s="10"/>
      <c r="V126" s="10"/>
      <c r="W126" s="10"/>
      <c r="X126" s="10"/>
      <c r="Y126" s="10"/>
      <c r="Z126" s="10"/>
      <c r="AA126" s="10"/>
      <c r="AB126" s="10"/>
      <c r="AC126" s="10"/>
      <c r="AD126" s="10"/>
      <c r="AE126" s="10"/>
    </row>
    <row r="127" ht="15.75" customHeight="1" spans="1:31">
      <c r="A127" t="s">
        <v>90</v>
      </c>
      <c r="B127" t="s">
        <v>25</v>
      </c>
      <c r="C127">
        <v>133.43</v>
      </c>
      <c r="D127">
        <v>20.24</v>
      </c>
      <c r="E127">
        <v>72</v>
      </c>
      <c r="F127">
        <v>10.01</v>
      </c>
      <c r="G127">
        <v>1326</v>
      </c>
      <c r="H127">
        <v>34.77</v>
      </c>
      <c r="L127" s="25">
        <v>42</v>
      </c>
      <c r="N127" s="10"/>
      <c r="O127" s="3">
        <v>200</v>
      </c>
      <c r="P127" t="b">
        <v>0</v>
      </c>
      <c r="Q127" t="b">
        <v>0</v>
      </c>
      <c r="R127" s="9" t="b">
        <v>0</v>
      </c>
      <c r="S127" s="10"/>
      <c r="T127" s="10"/>
      <c r="U127" s="10"/>
      <c r="V127" s="10"/>
      <c r="W127" s="10"/>
      <c r="X127" s="10"/>
      <c r="Y127" s="10"/>
      <c r="Z127" s="10"/>
      <c r="AA127" s="10"/>
      <c r="AB127" s="10"/>
      <c r="AC127" s="10"/>
      <c r="AD127" s="10"/>
      <c r="AE127" s="10"/>
    </row>
    <row r="128" ht="15.75" customHeight="1" spans="1:31">
      <c r="A128" t="s">
        <v>91</v>
      </c>
      <c r="B128" t="s">
        <v>84</v>
      </c>
      <c r="C128" s="25">
        <v>118</v>
      </c>
      <c r="D128" s="25">
        <v>20.91</v>
      </c>
      <c r="E128" s="25">
        <v>110</v>
      </c>
      <c r="F128" s="25">
        <v>8.24</v>
      </c>
      <c r="G128" s="25">
        <v>1210</v>
      </c>
      <c r="H128" s="25">
        <v>14.58</v>
      </c>
      <c r="L128" s="25">
        <v>15</v>
      </c>
      <c r="N128" s="3"/>
      <c r="O128" s="8">
        <v>200</v>
      </c>
      <c r="P128" t="b">
        <v>0</v>
      </c>
      <c r="Q128" t="b">
        <v>0</v>
      </c>
      <c r="R128" s="9" t="b">
        <v>0</v>
      </c>
      <c r="S128" s="10"/>
      <c r="T128" s="10"/>
      <c r="U128" s="10"/>
      <c r="V128" s="10"/>
      <c r="W128" s="10"/>
      <c r="X128" s="10"/>
      <c r="Y128" s="10"/>
      <c r="Z128" s="10"/>
      <c r="AA128" s="10"/>
      <c r="AB128" s="10"/>
      <c r="AC128" s="10"/>
      <c r="AD128" s="10"/>
      <c r="AE128" s="10"/>
    </row>
    <row r="129" ht="15.75" customHeight="1" spans="1:31">
      <c r="A129" t="s">
        <v>91</v>
      </c>
      <c r="B129" t="s">
        <v>65</v>
      </c>
      <c r="C129" s="25">
        <v>118</v>
      </c>
      <c r="D129" s="25">
        <v>20.91</v>
      </c>
      <c r="E129" s="25">
        <v>110</v>
      </c>
      <c r="F129" s="25">
        <v>8.24</v>
      </c>
      <c r="G129" s="25">
        <v>1210</v>
      </c>
      <c r="H129" s="25">
        <v>14.58</v>
      </c>
      <c r="I129" s="3"/>
      <c r="J129" s="3"/>
      <c r="K129" s="3"/>
      <c r="L129" s="25">
        <v>30</v>
      </c>
      <c r="M129" s="3"/>
      <c r="N129" s="3"/>
      <c r="O129" s="8">
        <v>200</v>
      </c>
      <c r="P129" t="b">
        <v>0</v>
      </c>
      <c r="Q129" t="b">
        <v>0</v>
      </c>
      <c r="R129" s="9" t="b">
        <v>0</v>
      </c>
      <c r="S129" s="3"/>
      <c r="T129" s="3"/>
      <c r="U129" s="3"/>
      <c r="V129" s="3"/>
      <c r="W129" s="3"/>
      <c r="X129" s="3"/>
      <c r="Y129" s="3"/>
      <c r="Z129" s="3"/>
      <c r="AA129" s="3"/>
      <c r="AB129" s="3"/>
      <c r="AC129" s="3"/>
      <c r="AD129" s="3"/>
      <c r="AE129" s="3"/>
    </row>
    <row r="130" ht="15.75" customHeight="1" spans="1:31">
      <c r="A130" t="s">
        <v>91</v>
      </c>
      <c r="B130" t="s">
        <v>66</v>
      </c>
      <c r="C130" s="25">
        <v>118</v>
      </c>
      <c r="D130" s="25">
        <v>20.91</v>
      </c>
      <c r="E130" s="25">
        <v>110</v>
      </c>
      <c r="F130" s="25">
        <v>8.24</v>
      </c>
      <c r="G130" s="25">
        <v>1210</v>
      </c>
      <c r="H130" s="25">
        <v>14.58</v>
      </c>
      <c r="L130" s="25">
        <v>30</v>
      </c>
      <c r="N130" s="3"/>
      <c r="O130" s="8">
        <v>200</v>
      </c>
      <c r="P130" t="b">
        <v>0</v>
      </c>
      <c r="Q130" t="b">
        <v>0</v>
      </c>
      <c r="R130" s="9" t="b">
        <v>0</v>
      </c>
      <c r="S130" s="10"/>
      <c r="T130" s="10"/>
      <c r="U130" s="10"/>
      <c r="V130" s="10"/>
      <c r="W130" s="10"/>
      <c r="X130" s="10"/>
      <c r="Y130" s="10"/>
      <c r="Z130" s="10"/>
      <c r="AA130" s="10"/>
      <c r="AB130" s="10"/>
      <c r="AC130" s="10"/>
      <c r="AD130" s="10"/>
      <c r="AE130" s="10"/>
    </row>
    <row r="131" ht="15.75" customHeight="1" spans="1:31">
      <c r="A131" t="s">
        <v>91</v>
      </c>
      <c r="B131" t="s">
        <v>67</v>
      </c>
      <c r="C131" s="25">
        <v>118</v>
      </c>
      <c r="D131" s="25">
        <v>20.91</v>
      </c>
      <c r="E131" s="25">
        <v>110</v>
      </c>
      <c r="F131" s="25">
        <v>8.24</v>
      </c>
      <c r="G131" s="25">
        <v>1210</v>
      </c>
      <c r="H131" s="25">
        <v>14.58</v>
      </c>
      <c r="L131" s="25">
        <v>15</v>
      </c>
      <c r="N131" s="3"/>
      <c r="O131" s="8">
        <v>200</v>
      </c>
      <c r="P131" t="b">
        <v>0</v>
      </c>
      <c r="Q131" t="b">
        <v>0</v>
      </c>
      <c r="R131" s="9" t="b">
        <v>0</v>
      </c>
      <c r="S131" s="10"/>
      <c r="T131" s="10"/>
      <c r="U131" s="10"/>
      <c r="V131" s="10"/>
      <c r="W131" s="10"/>
      <c r="X131" s="10"/>
      <c r="Y131" s="10"/>
      <c r="Z131" s="10"/>
      <c r="AA131" s="10"/>
      <c r="AB131" s="10"/>
      <c r="AC131" s="10"/>
      <c r="AD131" s="10"/>
      <c r="AE131" s="10"/>
    </row>
    <row r="132" ht="15.75" customHeight="1" spans="1:31">
      <c r="A132" t="s">
        <v>91</v>
      </c>
      <c r="B132" t="s">
        <v>25</v>
      </c>
      <c r="C132" s="25">
        <v>118</v>
      </c>
      <c r="D132" s="25">
        <v>20.91</v>
      </c>
      <c r="E132" s="25">
        <v>110</v>
      </c>
      <c r="F132" s="25">
        <v>5.77</v>
      </c>
      <c r="G132" s="25">
        <v>1815</v>
      </c>
      <c r="H132" s="25">
        <v>8.38</v>
      </c>
      <c r="L132" s="25">
        <v>52.5</v>
      </c>
      <c r="N132" s="3"/>
      <c r="O132" s="8">
        <v>200</v>
      </c>
      <c r="P132" t="b">
        <v>0</v>
      </c>
      <c r="Q132" t="b">
        <v>0</v>
      </c>
      <c r="R132" s="9" t="b">
        <v>0</v>
      </c>
      <c r="S132" s="10"/>
      <c r="T132" s="10"/>
      <c r="U132" s="10"/>
      <c r="V132" s="10"/>
      <c r="W132" s="10"/>
      <c r="X132" s="10"/>
      <c r="Y132" s="10"/>
      <c r="Z132" s="10"/>
      <c r="AA132" s="10"/>
      <c r="AB132" s="10"/>
      <c r="AC132" s="10"/>
      <c r="AD132" s="10"/>
      <c r="AE132" s="10"/>
    </row>
    <row r="133" ht="15.75" customHeight="1" spans="1:31">
      <c r="A133" t="s">
        <v>92</v>
      </c>
      <c r="B133" t="s">
        <v>84</v>
      </c>
      <c r="C133">
        <v>155.8</v>
      </c>
      <c r="D133">
        <v>26.95</v>
      </c>
      <c r="E133">
        <v>122.5</v>
      </c>
      <c r="F133">
        <v>14.88</v>
      </c>
      <c r="G133">
        <v>1000</v>
      </c>
      <c r="H133">
        <v>63.4</v>
      </c>
      <c r="L133">
        <v>19</v>
      </c>
      <c r="N133" s="10"/>
      <c r="O133" s="3">
        <v>200</v>
      </c>
      <c r="P133" t="b">
        <v>0</v>
      </c>
      <c r="Q133" t="b">
        <v>0</v>
      </c>
      <c r="R133" s="9" t="b">
        <v>0</v>
      </c>
      <c r="S133" s="10"/>
      <c r="T133" s="10"/>
      <c r="U133" s="10"/>
      <c r="V133" s="10"/>
      <c r="W133" s="10"/>
      <c r="X133" s="10"/>
      <c r="Y133" s="10"/>
      <c r="Z133" s="10"/>
      <c r="AA133" s="10"/>
      <c r="AB133" s="10"/>
      <c r="AC133" s="10"/>
      <c r="AD133" s="10"/>
      <c r="AE133" s="10"/>
    </row>
    <row r="134" ht="15.75" customHeight="1" spans="1:31">
      <c r="A134" t="s">
        <v>92</v>
      </c>
      <c r="B134" t="s">
        <v>65</v>
      </c>
      <c r="C134">
        <v>155.8</v>
      </c>
      <c r="D134">
        <v>26.95</v>
      </c>
      <c r="E134">
        <v>122.5</v>
      </c>
      <c r="F134">
        <v>14.88</v>
      </c>
      <c r="G134">
        <v>1000</v>
      </c>
      <c r="H134">
        <v>63.4</v>
      </c>
      <c r="L134" s="43">
        <v>38</v>
      </c>
      <c r="N134" s="10"/>
      <c r="O134" s="3">
        <v>200</v>
      </c>
      <c r="P134" t="b">
        <v>0</v>
      </c>
      <c r="Q134" t="b">
        <v>0</v>
      </c>
      <c r="R134" s="9" t="b">
        <v>0</v>
      </c>
      <c r="S134" s="10"/>
      <c r="T134" s="10"/>
      <c r="U134" s="10"/>
      <c r="V134" s="10"/>
      <c r="W134" s="10"/>
      <c r="X134" s="10"/>
      <c r="Y134" s="10"/>
      <c r="Z134" s="10"/>
      <c r="AA134" s="10"/>
      <c r="AB134" s="10"/>
      <c r="AC134" s="10"/>
      <c r="AD134" s="10"/>
      <c r="AE134" s="10"/>
    </row>
    <row r="135" ht="15.75" customHeight="1" spans="1:31">
      <c r="A135" t="s">
        <v>92</v>
      </c>
      <c r="B135" t="s">
        <v>66</v>
      </c>
      <c r="C135">
        <v>155.8</v>
      </c>
      <c r="D135">
        <v>26.95</v>
      </c>
      <c r="E135">
        <v>122.5</v>
      </c>
      <c r="F135">
        <v>14.88</v>
      </c>
      <c r="G135">
        <v>1000</v>
      </c>
      <c r="H135">
        <v>63.4</v>
      </c>
      <c r="L135" s="43">
        <v>38</v>
      </c>
      <c r="N135" s="10"/>
      <c r="O135" s="3">
        <v>200</v>
      </c>
      <c r="P135" t="b">
        <v>0</v>
      </c>
      <c r="Q135" t="b">
        <v>0</v>
      </c>
      <c r="R135" s="9" t="b">
        <v>0</v>
      </c>
      <c r="S135" s="10"/>
      <c r="T135" s="10"/>
      <c r="U135" s="10"/>
      <c r="V135" s="10"/>
      <c r="W135" s="10"/>
      <c r="X135" s="10"/>
      <c r="Y135" s="10"/>
      <c r="Z135" s="10"/>
      <c r="AA135" s="10"/>
      <c r="AB135" s="10"/>
      <c r="AC135" s="10"/>
      <c r="AD135" s="10"/>
      <c r="AE135" s="10"/>
    </row>
    <row r="136" ht="15.75" customHeight="1" spans="1:31">
      <c r="A136" t="s">
        <v>92</v>
      </c>
      <c r="B136" t="s">
        <v>67</v>
      </c>
      <c r="C136">
        <v>155.8</v>
      </c>
      <c r="D136">
        <v>26.95</v>
      </c>
      <c r="E136">
        <v>122.5</v>
      </c>
      <c r="F136">
        <v>14.88</v>
      </c>
      <c r="G136">
        <v>1000</v>
      </c>
      <c r="H136">
        <v>63.4</v>
      </c>
      <c r="L136">
        <v>19</v>
      </c>
      <c r="N136" s="10"/>
      <c r="O136" s="3">
        <v>200</v>
      </c>
      <c r="P136" t="b">
        <v>0</v>
      </c>
      <c r="Q136" t="b">
        <v>0</v>
      </c>
      <c r="R136" s="9" t="b">
        <v>0</v>
      </c>
      <c r="S136" s="10"/>
      <c r="T136" s="10"/>
      <c r="U136" s="10"/>
      <c r="V136" s="10"/>
      <c r="W136" s="10"/>
      <c r="X136" s="10"/>
      <c r="Y136" s="10"/>
      <c r="Z136" s="10"/>
      <c r="AA136" s="10"/>
      <c r="AB136" s="10"/>
      <c r="AC136" s="10"/>
      <c r="AD136" s="10"/>
      <c r="AE136" s="10"/>
    </row>
    <row r="137" ht="15.75" customHeight="1" spans="1:31">
      <c r="A137" t="s">
        <v>92</v>
      </c>
      <c r="B137" t="s">
        <v>25</v>
      </c>
      <c r="C137">
        <v>155.8</v>
      </c>
      <c r="D137">
        <v>26.95</v>
      </c>
      <c r="E137">
        <v>122.5</v>
      </c>
      <c r="F137">
        <v>8.93</v>
      </c>
      <c r="G137">
        <v>1500</v>
      </c>
      <c r="H137">
        <v>36.46</v>
      </c>
      <c r="L137">
        <v>66.5</v>
      </c>
      <c r="N137" s="10"/>
      <c r="O137" s="3">
        <v>200</v>
      </c>
      <c r="P137" t="b">
        <v>0</v>
      </c>
      <c r="Q137" t="b">
        <v>0</v>
      </c>
      <c r="R137" s="9" t="b">
        <v>0</v>
      </c>
      <c r="S137" s="10"/>
      <c r="T137" s="10"/>
      <c r="U137" s="10"/>
      <c r="V137" s="10"/>
      <c r="W137" s="10"/>
      <c r="X137" s="10"/>
      <c r="Y137" s="10"/>
      <c r="Z137" s="10"/>
      <c r="AA137" s="10"/>
      <c r="AB137" s="10"/>
      <c r="AC137" s="10"/>
      <c r="AD137" s="10"/>
      <c r="AE137" s="10"/>
    </row>
    <row r="138" ht="15.75" customHeight="1" spans="1:31">
      <c r="A138" t="s">
        <v>93</v>
      </c>
      <c r="B138" t="s">
        <v>25</v>
      </c>
      <c r="C138">
        <v>207</v>
      </c>
      <c r="D138">
        <v>26</v>
      </c>
      <c r="E138">
        <v>115</v>
      </c>
      <c r="F138">
        <v>10.64</v>
      </c>
      <c r="G138">
        <v>2175</v>
      </c>
      <c r="H138">
        <v>19.95</v>
      </c>
      <c r="L138">
        <v>60</v>
      </c>
      <c r="N138" s="10"/>
      <c r="O138" s="3">
        <v>200</v>
      </c>
      <c r="P138" t="b">
        <v>0</v>
      </c>
      <c r="Q138" t="b">
        <v>0</v>
      </c>
      <c r="R138" s="9" t="b">
        <v>0</v>
      </c>
      <c r="S138" s="10"/>
      <c r="T138" s="10"/>
      <c r="U138" s="10"/>
      <c r="V138" s="10"/>
      <c r="W138" s="10"/>
      <c r="X138" s="10"/>
      <c r="Y138" s="10"/>
      <c r="Z138" s="10"/>
      <c r="AA138" s="10"/>
      <c r="AB138" s="10"/>
      <c r="AC138" s="10"/>
      <c r="AD138" s="10"/>
      <c r="AE138" s="10"/>
    </row>
    <row r="139" ht="15.75" customHeight="1" spans="1:31">
      <c r="A139" t="s">
        <v>94</v>
      </c>
      <c r="B139" t="s">
        <v>84</v>
      </c>
      <c r="C139">
        <v>85</v>
      </c>
      <c r="D139">
        <v>13</v>
      </c>
      <c r="E139">
        <v>21.3</v>
      </c>
      <c r="F139">
        <v>7.8</v>
      </c>
      <c r="G139">
        <v>1000</v>
      </c>
      <c r="H139">
        <v>10.7</v>
      </c>
      <c r="L139">
        <v>10</v>
      </c>
      <c r="N139" s="10"/>
      <c r="O139" s="3">
        <v>200</v>
      </c>
      <c r="P139" t="b">
        <v>0</v>
      </c>
      <c r="Q139" t="b">
        <v>0</v>
      </c>
      <c r="R139" s="9" t="b">
        <v>0</v>
      </c>
      <c r="S139" s="10"/>
      <c r="T139" s="10"/>
      <c r="U139" s="10"/>
      <c r="V139" s="10"/>
      <c r="W139" s="10"/>
      <c r="X139" s="10"/>
      <c r="Y139" s="10"/>
      <c r="Z139" s="10"/>
      <c r="AA139" s="10"/>
      <c r="AB139" s="10"/>
      <c r="AC139" s="10"/>
      <c r="AD139" s="10"/>
      <c r="AE139" s="10"/>
    </row>
    <row r="140" ht="15.75" customHeight="1" spans="1:31">
      <c r="A140" t="s">
        <v>94</v>
      </c>
      <c r="B140" t="s">
        <v>65</v>
      </c>
      <c r="C140">
        <v>85</v>
      </c>
      <c r="D140">
        <v>13</v>
      </c>
      <c r="E140">
        <v>21.3</v>
      </c>
      <c r="F140">
        <v>7.8</v>
      </c>
      <c r="G140">
        <v>1000</v>
      </c>
      <c r="H140">
        <v>10.7</v>
      </c>
      <c r="L140">
        <v>20</v>
      </c>
      <c r="N140" s="10"/>
      <c r="O140" s="3">
        <v>200</v>
      </c>
      <c r="P140" t="b">
        <v>0</v>
      </c>
      <c r="Q140" t="b">
        <v>0</v>
      </c>
      <c r="R140" s="9" t="b">
        <v>0</v>
      </c>
      <c r="S140" s="10"/>
      <c r="T140" s="10"/>
      <c r="U140" s="10"/>
      <c r="V140" s="10"/>
      <c r="W140" s="10"/>
      <c r="X140" s="10"/>
      <c r="Y140" s="10"/>
      <c r="Z140" s="10"/>
      <c r="AA140" s="10"/>
      <c r="AB140" s="10"/>
      <c r="AC140" s="10"/>
      <c r="AD140" s="10"/>
      <c r="AE140" s="10"/>
    </row>
    <row r="141" ht="15.75" customHeight="1" spans="1:31">
      <c r="A141" t="s">
        <v>94</v>
      </c>
      <c r="B141" t="s">
        <v>66</v>
      </c>
      <c r="C141">
        <v>85</v>
      </c>
      <c r="D141">
        <v>13</v>
      </c>
      <c r="E141">
        <v>21.3</v>
      </c>
      <c r="F141">
        <v>7.8</v>
      </c>
      <c r="G141">
        <v>1000</v>
      </c>
      <c r="H141">
        <v>10.7</v>
      </c>
      <c r="L141">
        <v>20</v>
      </c>
      <c r="N141" s="10"/>
      <c r="O141" s="3">
        <v>200</v>
      </c>
      <c r="P141" t="b">
        <v>0</v>
      </c>
      <c r="Q141" t="b">
        <v>0</v>
      </c>
      <c r="R141" s="9" t="b">
        <v>0</v>
      </c>
      <c r="S141" s="10"/>
      <c r="T141" s="10"/>
      <c r="U141" s="10"/>
      <c r="V141" s="10"/>
      <c r="W141" s="10"/>
      <c r="X141" s="10"/>
      <c r="Y141" s="10"/>
      <c r="Z141" s="10"/>
      <c r="AA141" s="10"/>
      <c r="AB141" s="10"/>
      <c r="AC141" s="10"/>
      <c r="AD141" s="10"/>
      <c r="AE141" s="10"/>
    </row>
    <row r="142" ht="15.75" customHeight="1" spans="1:31">
      <c r="A142" t="s">
        <v>94</v>
      </c>
      <c r="B142" t="s">
        <v>67</v>
      </c>
      <c r="C142">
        <v>85</v>
      </c>
      <c r="D142">
        <v>13</v>
      </c>
      <c r="E142">
        <v>21.3</v>
      </c>
      <c r="F142">
        <v>7.8</v>
      </c>
      <c r="G142">
        <v>1000</v>
      </c>
      <c r="H142">
        <v>10.7</v>
      </c>
      <c r="L142">
        <v>10</v>
      </c>
      <c r="N142" s="10"/>
      <c r="O142" s="3">
        <v>200</v>
      </c>
      <c r="P142" t="b">
        <v>0</v>
      </c>
      <c r="Q142" t="b">
        <v>0</v>
      </c>
      <c r="R142" s="9" t="b">
        <v>0</v>
      </c>
      <c r="S142" s="10"/>
      <c r="T142" s="10"/>
      <c r="U142" s="10"/>
      <c r="V142" s="10"/>
      <c r="W142" s="10"/>
      <c r="X142" s="10"/>
      <c r="Y142" s="10"/>
      <c r="Z142" s="10"/>
      <c r="AA142" s="10"/>
      <c r="AB142" s="10"/>
      <c r="AC142" s="10"/>
      <c r="AD142" s="10"/>
      <c r="AE142" s="10"/>
    </row>
    <row r="143" ht="15.75" customHeight="1" spans="1:31">
      <c r="A143" t="s">
        <v>94</v>
      </c>
      <c r="B143" t="s">
        <v>25</v>
      </c>
      <c r="C143">
        <v>85</v>
      </c>
      <c r="D143">
        <v>13</v>
      </c>
      <c r="E143">
        <v>21.3</v>
      </c>
      <c r="F143">
        <v>5.46</v>
      </c>
      <c r="G143">
        <v>1500</v>
      </c>
      <c r="H143">
        <v>6.1</v>
      </c>
      <c r="L143">
        <v>35</v>
      </c>
      <c r="N143" s="10"/>
      <c r="O143" s="3">
        <v>200</v>
      </c>
      <c r="P143" t="b">
        <v>0</v>
      </c>
      <c r="Q143" t="b">
        <v>0</v>
      </c>
      <c r="R143" s="9" t="b">
        <v>0</v>
      </c>
      <c r="S143" s="10"/>
      <c r="T143" s="10"/>
      <c r="U143" s="10"/>
      <c r="V143" s="10"/>
      <c r="W143" s="10"/>
      <c r="X143" s="10"/>
      <c r="Y143" s="10"/>
      <c r="Z143" s="10"/>
      <c r="AA143" s="10"/>
      <c r="AB143" s="10"/>
      <c r="AC143" s="10"/>
      <c r="AD143" s="10"/>
      <c r="AE143" s="10"/>
    </row>
    <row r="144" ht="15.75" customHeight="1" spans="1:31">
      <c r="A144" t="s">
        <v>95</v>
      </c>
      <c r="B144" t="s">
        <v>84</v>
      </c>
      <c r="C144">
        <v>115.5</v>
      </c>
      <c r="D144">
        <v>16.18</v>
      </c>
      <c r="E144">
        <v>59</v>
      </c>
      <c r="F144">
        <v>10.36</v>
      </c>
      <c r="G144">
        <v>1100</v>
      </c>
      <c r="H144">
        <v>20</v>
      </c>
      <c r="L144">
        <v>12</v>
      </c>
      <c r="N144" s="10"/>
      <c r="O144" s="3">
        <v>200</v>
      </c>
      <c r="P144" t="b">
        <v>0</v>
      </c>
      <c r="Q144" t="b">
        <v>0</v>
      </c>
      <c r="R144" s="9" t="b">
        <v>0</v>
      </c>
      <c r="S144" s="10"/>
      <c r="T144" s="10"/>
      <c r="U144" s="10"/>
      <c r="V144" s="10"/>
      <c r="W144" s="10"/>
      <c r="X144" s="10"/>
      <c r="Y144" s="10"/>
      <c r="Z144" s="10"/>
      <c r="AA144" s="10"/>
      <c r="AB144" s="10"/>
      <c r="AC144" s="10"/>
      <c r="AD144" s="10"/>
      <c r="AE144" s="10"/>
    </row>
    <row r="145" ht="15.75" customHeight="1" spans="1:31">
      <c r="A145" t="s">
        <v>95</v>
      </c>
      <c r="B145" t="s">
        <v>65</v>
      </c>
      <c r="C145">
        <v>115.5</v>
      </c>
      <c r="D145">
        <v>16.18</v>
      </c>
      <c r="E145">
        <v>59</v>
      </c>
      <c r="F145">
        <v>10.36</v>
      </c>
      <c r="G145">
        <v>1100</v>
      </c>
      <c r="H145">
        <v>20</v>
      </c>
      <c r="L145">
        <v>24</v>
      </c>
      <c r="N145" s="10"/>
      <c r="O145" s="3">
        <v>200</v>
      </c>
      <c r="P145" t="b">
        <v>0</v>
      </c>
      <c r="Q145" t="b">
        <v>0</v>
      </c>
      <c r="R145" s="9" t="b">
        <v>0</v>
      </c>
      <c r="S145" s="10"/>
      <c r="T145" s="10"/>
      <c r="U145" s="10"/>
      <c r="V145" s="10"/>
      <c r="W145" s="10"/>
      <c r="X145" s="10"/>
      <c r="Y145" s="10"/>
      <c r="Z145" s="10"/>
      <c r="AA145" s="10"/>
      <c r="AB145" s="10"/>
      <c r="AC145" s="10"/>
      <c r="AD145" s="10"/>
      <c r="AE145" s="10"/>
    </row>
    <row r="146" ht="15.75" customHeight="1" spans="1:31">
      <c r="A146" t="s">
        <v>95</v>
      </c>
      <c r="B146" t="s">
        <v>66</v>
      </c>
      <c r="C146">
        <v>115.5</v>
      </c>
      <c r="D146">
        <v>16.18</v>
      </c>
      <c r="E146">
        <v>59</v>
      </c>
      <c r="F146">
        <v>10.36</v>
      </c>
      <c r="G146">
        <v>1100</v>
      </c>
      <c r="H146">
        <v>20</v>
      </c>
      <c r="L146">
        <v>24</v>
      </c>
      <c r="N146" s="10"/>
      <c r="O146" s="3">
        <v>200</v>
      </c>
      <c r="P146" t="b">
        <v>0</v>
      </c>
      <c r="Q146" t="b">
        <v>0</v>
      </c>
      <c r="R146" s="9" t="b">
        <v>0</v>
      </c>
      <c r="S146" s="10"/>
      <c r="T146" s="10"/>
      <c r="U146" s="10"/>
      <c r="V146" s="10"/>
      <c r="W146" s="10"/>
      <c r="X146" s="10"/>
      <c r="Y146" s="10"/>
      <c r="Z146" s="10"/>
      <c r="AA146" s="10"/>
      <c r="AB146" s="10"/>
      <c r="AC146" s="10"/>
      <c r="AD146" s="10"/>
      <c r="AE146" s="10"/>
    </row>
    <row r="147" ht="15.75" customHeight="1" spans="1:31">
      <c r="A147" t="s">
        <v>95</v>
      </c>
      <c r="B147" t="s">
        <v>67</v>
      </c>
      <c r="C147">
        <v>115.5</v>
      </c>
      <c r="D147">
        <v>16.18</v>
      </c>
      <c r="E147">
        <v>59</v>
      </c>
      <c r="F147">
        <v>10.36</v>
      </c>
      <c r="G147">
        <v>1100</v>
      </c>
      <c r="H147">
        <v>20</v>
      </c>
      <c r="L147">
        <v>12</v>
      </c>
      <c r="N147" s="10"/>
      <c r="O147" s="3">
        <v>200</v>
      </c>
      <c r="P147" t="b">
        <v>0</v>
      </c>
      <c r="Q147" t="b">
        <v>0</v>
      </c>
      <c r="R147" s="9" t="b">
        <v>0</v>
      </c>
      <c r="S147" s="10"/>
      <c r="T147" s="10"/>
      <c r="U147" s="10"/>
      <c r="V147" s="10"/>
      <c r="W147" s="10"/>
      <c r="X147" s="10"/>
      <c r="Y147" s="10"/>
      <c r="Z147" s="10"/>
      <c r="AA147" s="10"/>
      <c r="AB147" s="10"/>
      <c r="AC147" s="10"/>
      <c r="AD147" s="10"/>
      <c r="AE147" s="10"/>
    </row>
    <row r="148" ht="15.75" customHeight="1" spans="1:31">
      <c r="A148" t="s">
        <v>95</v>
      </c>
      <c r="B148" t="s">
        <v>25</v>
      </c>
      <c r="C148">
        <v>115.5</v>
      </c>
      <c r="D148">
        <v>16.18</v>
      </c>
      <c r="E148">
        <v>59</v>
      </c>
      <c r="F148">
        <v>7.25</v>
      </c>
      <c r="G148">
        <v>1650</v>
      </c>
      <c r="H148">
        <v>11.4</v>
      </c>
      <c r="L148">
        <v>42</v>
      </c>
      <c r="N148" s="10"/>
      <c r="O148" s="3">
        <v>200</v>
      </c>
      <c r="P148" t="b">
        <v>0</v>
      </c>
      <c r="Q148" t="b">
        <v>0</v>
      </c>
      <c r="R148" s="9" t="b">
        <v>0</v>
      </c>
      <c r="S148" s="10"/>
      <c r="T148" s="10"/>
      <c r="U148" s="10"/>
      <c r="V148" s="10"/>
      <c r="W148" s="10"/>
      <c r="X148" s="10"/>
      <c r="Y148" s="10"/>
      <c r="Z148" s="10"/>
      <c r="AA148" s="10"/>
      <c r="AB148" s="10"/>
      <c r="AC148" s="10"/>
      <c r="AD148" s="10"/>
      <c r="AE148" s="10"/>
    </row>
    <row r="149" ht="15.75" customHeight="1" spans="1:31">
      <c r="A149" t="s">
        <v>96</v>
      </c>
      <c r="B149" t="s">
        <v>65</v>
      </c>
      <c r="C149" s="25">
        <v>147</v>
      </c>
      <c r="D149" s="25">
        <v>25</v>
      </c>
      <c r="E149" s="25">
        <v>95</v>
      </c>
      <c r="F149" s="25">
        <v>20</v>
      </c>
      <c r="G149" s="25">
        <v>720</v>
      </c>
      <c r="H149" s="25">
        <v>110</v>
      </c>
      <c r="L149">
        <v>26</v>
      </c>
      <c r="N149" s="10"/>
      <c r="O149" s="3">
        <v>200</v>
      </c>
      <c r="P149" t="b">
        <v>0</v>
      </c>
      <c r="Q149" t="b">
        <v>0</v>
      </c>
      <c r="R149" s="9" t="b">
        <v>0</v>
      </c>
      <c r="S149" s="10"/>
      <c r="T149" s="10"/>
      <c r="U149" s="10"/>
      <c r="V149" s="10"/>
      <c r="W149" s="10"/>
      <c r="X149" s="10"/>
      <c r="Y149" s="10"/>
      <c r="Z149" s="10"/>
      <c r="AA149" s="10"/>
      <c r="AB149" s="10"/>
      <c r="AC149" s="10"/>
      <c r="AD149" s="10"/>
      <c r="AE149" s="10"/>
    </row>
    <row r="150" ht="15.75" customHeight="1" spans="1:31">
      <c r="A150" t="s">
        <v>96</v>
      </c>
      <c r="B150" t="s">
        <v>66</v>
      </c>
      <c r="C150" s="25">
        <v>147</v>
      </c>
      <c r="D150" s="25">
        <v>25</v>
      </c>
      <c r="E150" s="25">
        <v>95</v>
      </c>
      <c r="F150" s="25">
        <v>20</v>
      </c>
      <c r="G150" s="25">
        <v>720</v>
      </c>
      <c r="H150" s="25">
        <v>110</v>
      </c>
      <c r="L150">
        <v>26</v>
      </c>
      <c r="N150" s="10"/>
      <c r="O150" s="3">
        <v>200</v>
      </c>
      <c r="P150" t="b">
        <v>0</v>
      </c>
      <c r="Q150" t="b">
        <v>0</v>
      </c>
      <c r="R150" s="9" t="b">
        <v>0</v>
      </c>
      <c r="S150" s="10"/>
      <c r="T150" s="10"/>
      <c r="U150" s="10"/>
      <c r="V150" s="10"/>
      <c r="W150" s="10"/>
      <c r="X150" s="10"/>
      <c r="Y150" s="10"/>
      <c r="Z150" s="10"/>
      <c r="AA150" s="10"/>
      <c r="AB150" s="10"/>
      <c r="AC150" s="10"/>
      <c r="AD150" s="10"/>
      <c r="AE150" s="10"/>
    </row>
    <row r="151" ht="15.75" customHeight="1" spans="1:31">
      <c r="A151" t="s">
        <v>96</v>
      </c>
      <c r="B151" t="s">
        <v>67</v>
      </c>
      <c r="C151" s="25">
        <v>147</v>
      </c>
      <c r="D151" s="25">
        <v>25</v>
      </c>
      <c r="E151" s="25">
        <v>95</v>
      </c>
      <c r="F151" s="25">
        <v>20</v>
      </c>
      <c r="G151" s="25">
        <v>720</v>
      </c>
      <c r="H151" s="25">
        <v>110</v>
      </c>
      <c r="L151">
        <v>13</v>
      </c>
      <c r="N151" s="10"/>
      <c r="O151" s="3">
        <v>200</v>
      </c>
      <c r="P151" t="b">
        <v>0</v>
      </c>
      <c r="Q151" t="b">
        <v>0</v>
      </c>
      <c r="R151" s="9" t="b">
        <v>0</v>
      </c>
      <c r="S151" s="10"/>
      <c r="T151" s="10"/>
      <c r="U151" s="10"/>
      <c r="V151" s="10"/>
      <c r="W151" s="10"/>
      <c r="X151" s="10"/>
      <c r="Y151" s="10"/>
      <c r="Z151" s="10"/>
      <c r="AA151" s="10"/>
      <c r="AB151" s="10"/>
      <c r="AC151" s="10"/>
      <c r="AD151" s="10"/>
      <c r="AE151" s="10"/>
    </row>
    <row r="152" ht="15.75" customHeight="1" spans="1:31">
      <c r="A152" t="s">
        <v>96</v>
      </c>
      <c r="B152" t="s">
        <v>25</v>
      </c>
      <c r="C152" s="25">
        <v>147</v>
      </c>
      <c r="D152" s="25">
        <v>25</v>
      </c>
      <c r="E152" s="25">
        <v>95</v>
      </c>
      <c r="F152" s="25">
        <v>14</v>
      </c>
      <c r="G152" s="25">
        <v>1080</v>
      </c>
      <c r="H152" s="25">
        <v>63</v>
      </c>
      <c r="L152">
        <v>45.5</v>
      </c>
      <c r="N152" s="10"/>
      <c r="O152" s="3">
        <v>200</v>
      </c>
      <c r="P152" t="b">
        <v>0</v>
      </c>
      <c r="Q152" t="b">
        <v>0</v>
      </c>
      <c r="R152" s="9" t="b">
        <v>0</v>
      </c>
      <c r="S152" s="10"/>
      <c r="T152" s="10"/>
      <c r="U152" s="10"/>
      <c r="V152" s="10"/>
      <c r="W152" s="10"/>
      <c r="X152" s="10"/>
      <c r="Y152" s="10"/>
      <c r="Z152" s="10"/>
      <c r="AA152" s="10"/>
      <c r="AB152" s="10"/>
      <c r="AC152" s="10"/>
      <c r="AD152" s="10"/>
      <c r="AE152" s="10"/>
    </row>
    <row r="153" ht="15.75" customHeight="1" spans="1:31">
      <c r="A153" t="s">
        <v>97</v>
      </c>
      <c r="B153" t="s">
        <v>65</v>
      </c>
      <c r="C153">
        <v>145</v>
      </c>
      <c r="D153">
        <v>25</v>
      </c>
      <c r="E153">
        <v>120</v>
      </c>
      <c r="F153" s="25">
        <v>20</v>
      </c>
      <c r="G153">
        <v>750</v>
      </c>
      <c r="H153">
        <v>96</v>
      </c>
      <c r="L153">
        <v>32</v>
      </c>
      <c r="N153" s="10"/>
      <c r="O153" s="3">
        <v>200</v>
      </c>
      <c r="P153" t="b">
        <v>0</v>
      </c>
      <c r="Q153" t="b">
        <v>0</v>
      </c>
      <c r="R153" s="9" t="b">
        <v>0</v>
      </c>
      <c r="S153" s="10"/>
      <c r="T153" s="10"/>
      <c r="U153" s="10"/>
      <c r="V153" s="10"/>
      <c r="W153" s="10"/>
      <c r="X153" s="10"/>
      <c r="Y153" s="10"/>
      <c r="Z153" s="10"/>
      <c r="AA153" s="10"/>
      <c r="AB153" s="10"/>
      <c r="AC153" s="10"/>
      <c r="AD153" s="10"/>
      <c r="AE153" s="10"/>
    </row>
    <row r="154" ht="15.75" customHeight="1" spans="1:31">
      <c r="A154" t="s">
        <v>97</v>
      </c>
      <c r="B154" t="s">
        <v>66</v>
      </c>
      <c r="C154">
        <v>145</v>
      </c>
      <c r="D154">
        <v>25</v>
      </c>
      <c r="E154">
        <v>120</v>
      </c>
      <c r="F154" s="25">
        <v>20</v>
      </c>
      <c r="G154">
        <v>750</v>
      </c>
      <c r="H154">
        <v>96</v>
      </c>
      <c r="L154">
        <v>32</v>
      </c>
      <c r="N154" s="10"/>
      <c r="O154" s="3">
        <v>200</v>
      </c>
      <c r="P154" t="b">
        <v>0</v>
      </c>
      <c r="Q154" t="b">
        <v>0</v>
      </c>
      <c r="R154" s="9" t="b">
        <v>0</v>
      </c>
      <c r="S154" s="10"/>
      <c r="T154" s="10"/>
      <c r="U154" s="10"/>
      <c r="V154" s="10"/>
      <c r="W154" s="10"/>
      <c r="X154" s="10"/>
      <c r="Y154" s="10"/>
      <c r="Z154" s="10"/>
      <c r="AA154" s="10"/>
      <c r="AB154" s="10"/>
      <c r="AC154" s="10"/>
      <c r="AD154" s="10"/>
      <c r="AE154" s="10"/>
    </row>
    <row r="155" ht="15.75" customHeight="1" spans="1:31">
      <c r="A155" t="s">
        <v>97</v>
      </c>
      <c r="B155" t="s">
        <v>67</v>
      </c>
      <c r="C155">
        <v>145</v>
      </c>
      <c r="D155">
        <v>25</v>
      </c>
      <c r="E155">
        <v>120</v>
      </c>
      <c r="F155" s="25">
        <v>20</v>
      </c>
      <c r="G155">
        <v>750</v>
      </c>
      <c r="H155">
        <v>96</v>
      </c>
      <c r="L155">
        <v>16</v>
      </c>
      <c r="N155" s="10"/>
      <c r="O155" s="3">
        <v>200</v>
      </c>
      <c r="P155" t="b">
        <v>0</v>
      </c>
      <c r="Q155" t="b">
        <v>0</v>
      </c>
      <c r="R155" s="9" t="b">
        <v>0</v>
      </c>
      <c r="S155" s="10"/>
      <c r="T155" s="10"/>
      <c r="U155" s="10"/>
      <c r="V155" s="10"/>
      <c r="W155" s="10"/>
      <c r="X155" s="10"/>
      <c r="Y155" s="10"/>
      <c r="Z155" s="10"/>
      <c r="AA155" s="10"/>
      <c r="AB155" s="10"/>
      <c r="AC155" s="10"/>
      <c r="AD155" s="10"/>
      <c r="AE155" s="10"/>
    </row>
    <row r="156" ht="15.75" customHeight="1" spans="1:31">
      <c r="A156" t="s">
        <v>97</v>
      </c>
      <c r="B156" t="s">
        <v>25</v>
      </c>
      <c r="C156">
        <v>145</v>
      </c>
      <c r="D156">
        <v>25</v>
      </c>
      <c r="E156">
        <v>120</v>
      </c>
      <c r="F156" s="25">
        <v>14</v>
      </c>
      <c r="G156">
        <v>1125</v>
      </c>
      <c r="H156">
        <v>55</v>
      </c>
      <c r="L156">
        <v>56</v>
      </c>
      <c r="N156" s="10"/>
      <c r="O156" s="3">
        <v>200</v>
      </c>
      <c r="P156" t="b">
        <v>0</v>
      </c>
      <c r="Q156" t="b">
        <v>0</v>
      </c>
      <c r="R156" s="9" t="b">
        <v>0</v>
      </c>
      <c r="S156" s="10"/>
      <c r="T156" s="10"/>
      <c r="U156" s="10"/>
      <c r="V156" s="10"/>
      <c r="W156" s="10"/>
      <c r="X156" s="10"/>
      <c r="Y156" s="10"/>
      <c r="Z156" s="10"/>
      <c r="AA156" s="10"/>
      <c r="AB156" s="10"/>
      <c r="AC156" s="10"/>
      <c r="AD156" s="10"/>
      <c r="AE156" s="10"/>
    </row>
    <row r="157" ht="15.75" customHeight="1" spans="1:31">
      <c r="A157" s="3" t="s">
        <v>98</v>
      </c>
      <c r="B157" t="s">
        <v>65</v>
      </c>
      <c r="C157" s="25">
        <v>167</v>
      </c>
      <c r="D157" s="25">
        <v>29.09</v>
      </c>
      <c r="E157" s="25">
        <v>157</v>
      </c>
      <c r="F157" s="25">
        <v>20</v>
      </c>
      <c r="G157" s="25">
        <v>1030</v>
      </c>
      <c r="H157" s="25">
        <v>97</v>
      </c>
      <c r="L157">
        <v>26</v>
      </c>
      <c r="N157" s="10"/>
      <c r="O157" s="3">
        <v>200</v>
      </c>
      <c r="P157" t="b">
        <v>0</v>
      </c>
      <c r="Q157" t="b">
        <v>0</v>
      </c>
      <c r="R157" s="9" t="b">
        <v>0</v>
      </c>
      <c r="S157" s="10"/>
      <c r="T157" s="10"/>
      <c r="U157" s="10"/>
      <c r="V157" s="10"/>
      <c r="W157" s="10"/>
      <c r="X157" s="10"/>
      <c r="Y157" s="10"/>
      <c r="Z157" s="10"/>
      <c r="AA157" s="10"/>
      <c r="AB157" s="10"/>
      <c r="AC157" s="10"/>
      <c r="AD157" s="10"/>
      <c r="AE157" s="10"/>
    </row>
    <row r="158" ht="15.75" customHeight="1" spans="1:31">
      <c r="A158" s="3" t="s">
        <v>98</v>
      </c>
      <c r="B158" t="s">
        <v>66</v>
      </c>
      <c r="C158" s="25">
        <v>167</v>
      </c>
      <c r="D158" s="25">
        <v>29.09</v>
      </c>
      <c r="E158" s="25">
        <v>157</v>
      </c>
      <c r="F158" s="25">
        <v>20</v>
      </c>
      <c r="G158" s="25">
        <v>1030</v>
      </c>
      <c r="H158" s="25">
        <v>97</v>
      </c>
      <c r="I158" s="3"/>
      <c r="J158" s="3"/>
      <c r="K158" s="3"/>
      <c r="L158" s="25">
        <f>L159*2</f>
        <v>26</v>
      </c>
      <c r="M158" s="3"/>
      <c r="N158" s="3"/>
      <c r="O158" s="3">
        <v>200</v>
      </c>
      <c r="P158" t="b">
        <v>0</v>
      </c>
      <c r="Q158" t="b">
        <v>0</v>
      </c>
      <c r="R158" s="9" t="b">
        <v>0</v>
      </c>
      <c r="S158" s="10"/>
      <c r="T158" s="10"/>
      <c r="U158" s="10"/>
      <c r="V158" s="10"/>
      <c r="W158" s="10"/>
      <c r="X158" s="10"/>
      <c r="Y158" s="10"/>
      <c r="Z158" s="10"/>
      <c r="AA158" s="10"/>
      <c r="AB158" s="10"/>
      <c r="AC158" s="10"/>
      <c r="AD158" s="10"/>
      <c r="AE158" s="10"/>
    </row>
    <row r="159" ht="15.75" customHeight="1" spans="1:31">
      <c r="A159" s="3" t="s">
        <v>98</v>
      </c>
      <c r="B159" t="s">
        <v>67</v>
      </c>
      <c r="C159" s="25">
        <v>167</v>
      </c>
      <c r="D159" s="25">
        <v>29.09</v>
      </c>
      <c r="E159" s="25">
        <v>157</v>
      </c>
      <c r="F159" s="25">
        <v>20</v>
      </c>
      <c r="G159" s="25">
        <v>1030</v>
      </c>
      <c r="H159" s="25">
        <v>97</v>
      </c>
      <c r="I159" s="3"/>
      <c r="J159" s="3"/>
      <c r="K159" s="3"/>
      <c r="L159" s="25">
        <v>13</v>
      </c>
      <c r="M159" s="3"/>
      <c r="N159" s="3"/>
      <c r="O159" s="3">
        <v>200</v>
      </c>
      <c r="P159" t="b">
        <v>0</v>
      </c>
      <c r="Q159" t="b">
        <v>0</v>
      </c>
      <c r="R159" s="9" t="b">
        <v>0</v>
      </c>
      <c r="S159" s="10"/>
      <c r="T159" s="10"/>
      <c r="U159" s="10"/>
      <c r="V159" s="10"/>
      <c r="W159" s="10"/>
      <c r="X159" s="10"/>
      <c r="Y159" s="10"/>
      <c r="Z159" s="10"/>
      <c r="AA159" s="10"/>
      <c r="AB159" s="10"/>
      <c r="AC159" s="10"/>
      <c r="AD159" s="10"/>
      <c r="AE159" s="10"/>
    </row>
    <row r="160" ht="15.75" customHeight="1" spans="1:31">
      <c r="A160" s="3" t="s">
        <v>98</v>
      </c>
      <c r="B160" t="s">
        <v>25</v>
      </c>
      <c r="C160" s="25">
        <v>167</v>
      </c>
      <c r="D160" s="25">
        <v>29.09</v>
      </c>
      <c r="E160" s="25">
        <v>157</v>
      </c>
      <c r="F160" s="25">
        <v>14</v>
      </c>
      <c r="G160" s="25">
        <v>1545</v>
      </c>
      <c r="H160" s="25">
        <v>55.3</v>
      </c>
      <c r="I160" s="3"/>
      <c r="J160" s="3"/>
      <c r="K160" s="3"/>
      <c r="L160" s="34">
        <f>L158*1.75</f>
        <v>45.5</v>
      </c>
      <c r="M160" s="3"/>
      <c r="N160" s="3"/>
      <c r="O160" s="3">
        <v>200</v>
      </c>
      <c r="P160" t="b">
        <v>0</v>
      </c>
      <c r="Q160" t="b">
        <v>0</v>
      </c>
      <c r="R160" s="9" t="b">
        <v>0</v>
      </c>
      <c r="S160" s="10"/>
      <c r="T160" s="10"/>
      <c r="U160" s="10"/>
      <c r="V160" s="10"/>
      <c r="W160" s="10"/>
      <c r="X160" s="10"/>
      <c r="Y160" s="10"/>
      <c r="Z160" s="10"/>
      <c r="AA160" s="10"/>
      <c r="AB160" s="10"/>
      <c r="AC160" s="10"/>
      <c r="AD160" s="10"/>
      <c r="AE160" s="10"/>
    </row>
    <row r="161" ht="15.75" customHeight="1" spans="1:31">
      <c r="A161" t="s">
        <v>99</v>
      </c>
      <c r="B161" t="s">
        <v>65</v>
      </c>
      <c r="C161">
        <v>184</v>
      </c>
      <c r="D161">
        <v>24.5</v>
      </c>
      <c r="E161">
        <v>135</v>
      </c>
      <c r="F161">
        <v>20</v>
      </c>
      <c r="G161">
        <v>844</v>
      </c>
      <c r="H161">
        <v>122</v>
      </c>
      <c r="L161">
        <v>28</v>
      </c>
      <c r="N161" s="10"/>
      <c r="O161" s="3">
        <v>200</v>
      </c>
      <c r="P161" t="b">
        <v>0</v>
      </c>
      <c r="Q161" t="b">
        <v>0</v>
      </c>
      <c r="R161" s="9" t="b">
        <v>0</v>
      </c>
      <c r="S161" s="10"/>
      <c r="T161" s="10"/>
      <c r="U161" s="10"/>
      <c r="V161" s="10"/>
      <c r="W161" s="10"/>
      <c r="X161" s="10"/>
      <c r="Y161" s="10"/>
      <c r="Z161" s="10"/>
      <c r="AA161" s="10"/>
      <c r="AB161" s="10"/>
      <c r="AC161" s="10"/>
      <c r="AD161" s="10"/>
      <c r="AE161" s="10"/>
    </row>
    <row r="162" ht="15.75" customHeight="1" spans="1:31">
      <c r="A162" t="s">
        <v>99</v>
      </c>
      <c r="B162" t="s">
        <v>66</v>
      </c>
      <c r="C162">
        <v>184</v>
      </c>
      <c r="D162">
        <v>24.5</v>
      </c>
      <c r="E162">
        <v>135</v>
      </c>
      <c r="F162">
        <v>20</v>
      </c>
      <c r="G162">
        <v>844</v>
      </c>
      <c r="H162">
        <v>122</v>
      </c>
      <c r="L162">
        <v>28</v>
      </c>
      <c r="N162" s="10"/>
      <c r="O162" s="3">
        <v>200</v>
      </c>
      <c r="P162" t="b">
        <v>0</v>
      </c>
      <c r="Q162" t="b">
        <v>0</v>
      </c>
      <c r="R162" s="9" t="b">
        <v>0</v>
      </c>
      <c r="S162" s="10"/>
      <c r="T162" s="10"/>
      <c r="U162" s="10"/>
      <c r="V162" s="10"/>
      <c r="W162" s="10"/>
      <c r="X162" s="10"/>
      <c r="Y162" s="10"/>
      <c r="Z162" s="10"/>
      <c r="AA162" s="10"/>
      <c r="AB162" s="10"/>
      <c r="AC162" s="10"/>
      <c r="AD162" s="10"/>
      <c r="AE162" s="10"/>
    </row>
    <row r="163" ht="15.75" customHeight="1" spans="1:31">
      <c r="A163" t="s">
        <v>99</v>
      </c>
      <c r="B163" t="s">
        <v>67</v>
      </c>
      <c r="C163">
        <v>184</v>
      </c>
      <c r="D163">
        <v>24.5</v>
      </c>
      <c r="E163">
        <v>135</v>
      </c>
      <c r="F163">
        <v>20</v>
      </c>
      <c r="G163">
        <v>844</v>
      </c>
      <c r="H163">
        <v>122</v>
      </c>
      <c r="L163">
        <v>14</v>
      </c>
      <c r="N163" s="10"/>
      <c r="O163" s="3">
        <v>200</v>
      </c>
      <c r="P163" t="b">
        <v>0</v>
      </c>
      <c r="Q163" t="b">
        <v>0</v>
      </c>
      <c r="R163" s="9" t="b">
        <v>0</v>
      </c>
      <c r="S163" s="10"/>
      <c r="T163" s="10"/>
      <c r="U163" s="10"/>
      <c r="V163" s="10"/>
      <c r="W163" s="10"/>
      <c r="X163" s="10"/>
      <c r="Y163" s="10"/>
      <c r="Z163" s="10"/>
      <c r="AA163" s="10"/>
      <c r="AB163" s="10"/>
      <c r="AC163" s="10"/>
      <c r="AD163" s="10"/>
      <c r="AE163" s="10"/>
    </row>
    <row r="164" ht="15.75" customHeight="1" spans="1:31">
      <c r="A164" t="s">
        <v>99</v>
      </c>
      <c r="B164" t="s">
        <v>25</v>
      </c>
      <c r="C164">
        <v>184</v>
      </c>
      <c r="D164">
        <v>24.5</v>
      </c>
      <c r="E164">
        <v>135</v>
      </c>
      <c r="F164">
        <v>14</v>
      </c>
      <c r="G164">
        <v>1266</v>
      </c>
      <c r="H164">
        <v>69.5</v>
      </c>
      <c r="L164">
        <v>70</v>
      </c>
      <c r="N164" s="10"/>
      <c r="O164" s="3">
        <v>200</v>
      </c>
      <c r="P164" t="b">
        <v>0</v>
      </c>
      <c r="Q164" t="b">
        <v>0</v>
      </c>
      <c r="R164" s="9" t="b">
        <v>0</v>
      </c>
      <c r="S164" s="10"/>
      <c r="T164" s="10"/>
      <c r="U164" s="10"/>
      <c r="V164" s="10"/>
      <c r="W164" s="10"/>
      <c r="X164" s="10"/>
      <c r="Y164" s="10"/>
      <c r="Z164" s="10"/>
      <c r="AA164" s="10"/>
      <c r="AB164" s="10"/>
      <c r="AC164" s="10"/>
      <c r="AD164" s="10"/>
      <c r="AE164" s="10"/>
    </row>
    <row r="165" ht="15.75" customHeight="1" spans="1:31">
      <c r="A165" s="3" t="s">
        <v>100</v>
      </c>
      <c r="B165" t="s">
        <v>65</v>
      </c>
      <c r="C165" s="25">
        <v>199.5</v>
      </c>
      <c r="D165" s="37">
        <v>31.49</v>
      </c>
      <c r="E165" s="25">
        <v>233.5</v>
      </c>
      <c r="F165" s="25">
        <v>20</v>
      </c>
      <c r="G165" s="25">
        <v>1035</v>
      </c>
      <c r="H165" s="25">
        <v>119.5</v>
      </c>
      <c r="K165" s="43"/>
      <c r="L165">
        <v>36</v>
      </c>
      <c r="N165" s="10"/>
      <c r="O165" s="3">
        <v>200</v>
      </c>
      <c r="P165" t="b">
        <v>0</v>
      </c>
      <c r="Q165" t="b">
        <v>0</v>
      </c>
      <c r="R165" s="9" t="b">
        <v>0</v>
      </c>
      <c r="S165" s="10"/>
      <c r="T165" s="10"/>
      <c r="U165" s="10"/>
      <c r="V165" s="10"/>
      <c r="W165" s="10"/>
      <c r="X165" s="10"/>
      <c r="Y165" s="10"/>
      <c r="Z165" s="10"/>
      <c r="AA165" s="10"/>
      <c r="AB165" s="10"/>
      <c r="AC165" s="10"/>
      <c r="AD165" s="10"/>
      <c r="AE165" s="10"/>
    </row>
    <row r="166" ht="15.75" customHeight="1" spans="1:31">
      <c r="A166" s="3" t="s">
        <v>100</v>
      </c>
      <c r="B166" t="s">
        <v>66</v>
      </c>
      <c r="C166" s="25">
        <v>199.5</v>
      </c>
      <c r="D166" s="37">
        <v>31.49</v>
      </c>
      <c r="E166" s="25">
        <v>233.5</v>
      </c>
      <c r="F166" s="25">
        <v>20</v>
      </c>
      <c r="G166" s="25">
        <v>1035</v>
      </c>
      <c r="H166" s="25">
        <v>119.5</v>
      </c>
      <c r="I166" s="3"/>
      <c r="J166" s="3"/>
      <c r="K166" s="3"/>
      <c r="L166" s="25">
        <v>36</v>
      </c>
      <c r="M166" s="3"/>
      <c r="N166" s="3"/>
      <c r="O166" s="3">
        <v>200</v>
      </c>
      <c r="P166" t="b">
        <v>0</v>
      </c>
      <c r="Q166" t="b">
        <v>0</v>
      </c>
      <c r="R166" s="9" t="b">
        <v>0</v>
      </c>
      <c r="S166" s="10"/>
      <c r="T166" s="10"/>
      <c r="U166" s="10"/>
      <c r="V166" s="10"/>
      <c r="W166" s="10"/>
      <c r="X166" s="10"/>
      <c r="Y166" s="10"/>
      <c r="Z166" s="10"/>
      <c r="AA166" s="10"/>
      <c r="AB166" s="10"/>
      <c r="AC166" s="10"/>
      <c r="AD166" s="10"/>
      <c r="AE166" s="10"/>
    </row>
    <row r="167" ht="15.75" customHeight="1" spans="1:31">
      <c r="A167" s="3" t="s">
        <v>100</v>
      </c>
      <c r="B167" t="s">
        <v>67</v>
      </c>
      <c r="C167" s="25">
        <v>199.5</v>
      </c>
      <c r="D167" s="37">
        <v>31.49</v>
      </c>
      <c r="E167" s="25">
        <v>233.5</v>
      </c>
      <c r="F167" s="25">
        <v>20</v>
      </c>
      <c r="G167" s="25">
        <v>1035</v>
      </c>
      <c r="H167" s="25">
        <v>119.5</v>
      </c>
      <c r="I167" s="3"/>
      <c r="J167" s="3"/>
      <c r="K167" s="3"/>
      <c r="L167" s="25">
        <f>L166/2</f>
        <v>18</v>
      </c>
      <c r="M167" s="3"/>
      <c r="N167" s="3"/>
      <c r="O167" s="3">
        <v>200</v>
      </c>
      <c r="P167" t="b">
        <v>0</v>
      </c>
      <c r="Q167" t="b">
        <v>0</v>
      </c>
      <c r="R167" s="9" t="b">
        <v>0</v>
      </c>
      <c r="S167" s="10"/>
      <c r="T167" s="10"/>
      <c r="U167" s="10"/>
      <c r="V167" s="10"/>
      <c r="W167" s="10"/>
      <c r="X167" s="10"/>
      <c r="Y167" s="10"/>
      <c r="Z167" s="10"/>
      <c r="AA167" s="10"/>
      <c r="AB167" s="10"/>
      <c r="AC167" s="10"/>
      <c r="AD167" s="10"/>
      <c r="AE167" s="10"/>
    </row>
    <row r="168" ht="15.75" customHeight="1" spans="1:31">
      <c r="A168" s="3" t="s">
        <v>100</v>
      </c>
      <c r="B168" t="s">
        <v>25</v>
      </c>
      <c r="C168" s="25">
        <v>199.5</v>
      </c>
      <c r="D168" s="37">
        <v>31.49</v>
      </c>
      <c r="E168" s="25">
        <v>233.5</v>
      </c>
      <c r="F168" s="25">
        <v>14</v>
      </c>
      <c r="G168" s="25">
        <v>1553</v>
      </c>
      <c r="H168" s="25">
        <v>68.1</v>
      </c>
      <c r="K168" s="43"/>
      <c r="L168">
        <v>63</v>
      </c>
      <c r="N168" s="10"/>
      <c r="O168" s="3">
        <v>200</v>
      </c>
      <c r="P168" t="b">
        <v>0</v>
      </c>
      <c r="Q168" t="b">
        <v>0</v>
      </c>
      <c r="R168" s="9" t="b">
        <v>0</v>
      </c>
      <c r="S168" s="10"/>
      <c r="T168" s="10"/>
      <c r="U168" s="10"/>
      <c r="V168" s="10"/>
      <c r="W168" s="10"/>
      <c r="X168" s="10"/>
      <c r="Y168" s="10"/>
      <c r="Z168" s="10"/>
      <c r="AA168" s="10"/>
      <c r="AB168" s="10"/>
      <c r="AC168" s="10"/>
      <c r="AD168" s="10"/>
      <c r="AE168" s="10"/>
    </row>
    <row r="169" ht="15.75" customHeight="1" spans="1:31">
      <c r="A169" s="3" t="s">
        <v>101</v>
      </c>
      <c r="B169" t="s">
        <v>65</v>
      </c>
      <c r="C169" s="25">
        <v>160</v>
      </c>
      <c r="D169" s="25">
        <v>26</v>
      </c>
      <c r="E169" s="25">
        <v>180</v>
      </c>
      <c r="F169" s="25">
        <v>20</v>
      </c>
      <c r="G169" s="25">
        <v>900</v>
      </c>
      <c r="H169" s="25">
        <v>120</v>
      </c>
      <c r="K169" s="43"/>
      <c r="L169">
        <v>34</v>
      </c>
      <c r="N169" s="10"/>
      <c r="O169" s="10">
        <v>200</v>
      </c>
      <c r="P169" t="b">
        <v>0</v>
      </c>
      <c r="Q169" t="b">
        <v>0</v>
      </c>
      <c r="R169" s="9" t="b">
        <v>0</v>
      </c>
      <c r="S169" s="10"/>
      <c r="T169" s="10"/>
      <c r="U169" s="10"/>
      <c r="V169" s="10"/>
      <c r="W169" s="10"/>
      <c r="X169" s="10"/>
      <c r="Y169" s="10"/>
      <c r="Z169" s="10"/>
      <c r="AA169" s="10"/>
      <c r="AB169" s="10"/>
      <c r="AC169" s="10"/>
      <c r="AD169" s="10"/>
      <c r="AE169" s="10"/>
    </row>
    <row r="170" ht="15.75" customHeight="1" spans="1:31">
      <c r="A170" s="3" t="s">
        <v>101</v>
      </c>
      <c r="B170" t="s">
        <v>66</v>
      </c>
      <c r="C170" s="25">
        <v>160</v>
      </c>
      <c r="D170" s="25">
        <v>26</v>
      </c>
      <c r="E170" s="25">
        <v>180</v>
      </c>
      <c r="F170" s="25">
        <v>20</v>
      </c>
      <c r="G170" s="25">
        <v>900</v>
      </c>
      <c r="H170" s="25">
        <v>120</v>
      </c>
      <c r="K170" s="43"/>
      <c r="L170">
        <v>34</v>
      </c>
      <c r="N170" s="10"/>
      <c r="O170" s="10">
        <v>200</v>
      </c>
      <c r="P170" t="b">
        <v>0</v>
      </c>
      <c r="Q170" t="b">
        <v>0</v>
      </c>
      <c r="R170" s="9" t="b">
        <v>0</v>
      </c>
      <c r="S170" s="10"/>
      <c r="T170" s="10"/>
      <c r="U170" s="10"/>
      <c r="V170" s="10"/>
      <c r="W170" s="10"/>
      <c r="X170" s="10"/>
      <c r="Y170" s="10"/>
      <c r="Z170" s="10"/>
      <c r="AA170" s="10"/>
      <c r="AB170" s="10"/>
      <c r="AC170" s="10"/>
      <c r="AD170" s="10"/>
      <c r="AE170" s="10"/>
    </row>
    <row r="171" ht="15.75" customHeight="1" spans="1:31">
      <c r="A171" s="3" t="s">
        <v>101</v>
      </c>
      <c r="B171" t="s">
        <v>67</v>
      </c>
      <c r="C171" s="25">
        <v>160</v>
      </c>
      <c r="D171" s="25">
        <v>26</v>
      </c>
      <c r="E171" s="25">
        <v>180</v>
      </c>
      <c r="F171" s="25">
        <v>20</v>
      </c>
      <c r="G171" s="25">
        <v>900</v>
      </c>
      <c r="H171" s="25">
        <v>120</v>
      </c>
      <c r="K171" s="43"/>
      <c r="L171">
        <v>17</v>
      </c>
      <c r="N171" s="10"/>
      <c r="O171" s="10">
        <v>200</v>
      </c>
      <c r="P171" t="b">
        <v>0</v>
      </c>
      <c r="Q171" t="b">
        <v>0</v>
      </c>
      <c r="R171" s="9" t="b">
        <v>0</v>
      </c>
      <c r="S171" s="10"/>
      <c r="T171" s="10"/>
      <c r="U171" s="10"/>
      <c r="V171" s="10"/>
      <c r="W171" s="10"/>
      <c r="X171" s="10"/>
      <c r="Y171" s="10"/>
      <c r="Z171" s="10"/>
      <c r="AA171" s="10"/>
      <c r="AB171" s="10"/>
      <c r="AC171" s="10"/>
      <c r="AD171" s="10"/>
      <c r="AE171" s="10"/>
    </row>
    <row r="172" ht="15.75" customHeight="1" spans="1:31">
      <c r="A172" s="3" t="s">
        <v>101</v>
      </c>
      <c r="B172" t="s">
        <v>25</v>
      </c>
      <c r="C172" s="25">
        <v>160</v>
      </c>
      <c r="D172" s="25">
        <v>26</v>
      </c>
      <c r="E172" s="25">
        <v>180</v>
      </c>
      <c r="F172" s="25">
        <v>14</v>
      </c>
      <c r="G172" s="25">
        <v>1350</v>
      </c>
      <c r="H172" s="25">
        <v>69</v>
      </c>
      <c r="K172" s="43"/>
      <c r="L172">
        <v>60</v>
      </c>
      <c r="N172" s="10"/>
      <c r="O172" s="10">
        <v>200</v>
      </c>
      <c r="P172" t="b">
        <v>0</v>
      </c>
      <c r="Q172" t="b">
        <v>0</v>
      </c>
      <c r="R172" s="9" t="b">
        <v>0</v>
      </c>
      <c r="S172" s="10"/>
      <c r="T172" s="10"/>
      <c r="U172" s="10"/>
      <c r="V172" s="10"/>
      <c r="W172" s="10"/>
      <c r="X172" s="10"/>
      <c r="Y172" s="10"/>
      <c r="Z172" s="10"/>
      <c r="AA172" s="10"/>
      <c r="AB172" s="10"/>
      <c r="AC172" s="10"/>
      <c r="AD172" s="10"/>
      <c r="AE172" s="10"/>
    </row>
    <row r="173" ht="15.75" customHeight="1" spans="1:31">
      <c r="A173" s="3" t="s">
        <v>102</v>
      </c>
      <c r="B173" t="s">
        <v>65</v>
      </c>
      <c r="C173" s="25">
        <v>212.9</v>
      </c>
      <c r="D173" s="25">
        <v>26</v>
      </c>
      <c r="E173" s="25">
        <v>180</v>
      </c>
      <c r="F173" s="25">
        <v>20</v>
      </c>
      <c r="G173" s="25">
        <v>1050</v>
      </c>
      <c r="H173" s="25">
        <v>122</v>
      </c>
      <c r="I173" s="3"/>
      <c r="J173" s="3"/>
      <c r="K173" s="3"/>
      <c r="L173" s="25">
        <v>38</v>
      </c>
      <c r="M173" s="3"/>
      <c r="N173" s="3"/>
      <c r="O173" s="8">
        <v>200</v>
      </c>
      <c r="P173" t="b">
        <v>0</v>
      </c>
      <c r="Q173" t="b">
        <v>0</v>
      </c>
      <c r="R173" s="9" t="b">
        <v>0</v>
      </c>
      <c r="S173" s="3"/>
      <c r="T173" s="3"/>
      <c r="U173" s="3"/>
      <c r="V173" s="3"/>
      <c r="W173" s="3"/>
      <c r="X173" s="3"/>
      <c r="Y173" s="3"/>
      <c r="Z173" s="3"/>
      <c r="AA173" s="3"/>
      <c r="AB173" s="3"/>
      <c r="AC173" s="3"/>
      <c r="AD173" s="3"/>
      <c r="AE173" s="3"/>
    </row>
    <row r="174" ht="15.75" customHeight="1" spans="1:31">
      <c r="A174" s="3" t="s">
        <v>102</v>
      </c>
      <c r="B174" t="s">
        <v>66</v>
      </c>
      <c r="C174" s="25">
        <v>212.9</v>
      </c>
      <c r="D174" s="25">
        <v>26</v>
      </c>
      <c r="E174" s="25">
        <v>180</v>
      </c>
      <c r="F174" s="25">
        <v>20</v>
      </c>
      <c r="G174" s="25">
        <v>1050</v>
      </c>
      <c r="H174" s="25">
        <v>122</v>
      </c>
      <c r="I174" s="3"/>
      <c r="J174" s="3"/>
      <c r="K174" s="3"/>
      <c r="L174" s="25">
        <v>38</v>
      </c>
      <c r="M174" s="3"/>
      <c r="N174" s="3"/>
      <c r="O174" s="8">
        <v>200</v>
      </c>
      <c r="P174" t="b">
        <v>0</v>
      </c>
      <c r="Q174" t="b">
        <v>0</v>
      </c>
      <c r="R174" s="9" t="b">
        <v>0</v>
      </c>
      <c r="S174" s="3"/>
      <c r="T174" s="3"/>
      <c r="U174" s="3"/>
      <c r="V174" s="3"/>
      <c r="W174" s="3"/>
      <c r="X174" s="3"/>
      <c r="Y174" s="3"/>
      <c r="Z174" s="3"/>
      <c r="AA174" s="3"/>
      <c r="AB174" s="3"/>
      <c r="AC174" s="3"/>
      <c r="AD174" s="3"/>
      <c r="AE174" s="3"/>
    </row>
    <row r="175" ht="15.75" customHeight="1" spans="1:31">
      <c r="A175" s="3" t="s">
        <v>102</v>
      </c>
      <c r="B175" t="s">
        <v>67</v>
      </c>
      <c r="C175" s="25">
        <v>212.9</v>
      </c>
      <c r="D175" s="25">
        <v>26</v>
      </c>
      <c r="E175" s="25">
        <v>180</v>
      </c>
      <c r="F175" s="25">
        <v>20</v>
      </c>
      <c r="G175" s="25">
        <v>1050</v>
      </c>
      <c r="H175" s="25">
        <v>122</v>
      </c>
      <c r="I175" s="3"/>
      <c r="J175" s="3"/>
      <c r="K175" s="3"/>
      <c r="L175" s="25">
        <v>19</v>
      </c>
      <c r="M175" s="3"/>
      <c r="N175" s="3"/>
      <c r="O175" s="8">
        <v>200</v>
      </c>
      <c r="P175" t="b">
        <v>0</v>
      </c>
      <c r="Q175" t="b">
        <v>0</v>
      </c>
      <c r="R175" s="9" t="b">
        <v>0</v>
      </c>
      <c r="S175" s="3"/>
      <c r="T175" s="3"/>
      <c r="U175" s="3"/>
      <c r="V175" s="3"/>
      <c r="W175" s="3"/>
      <c r="X175" s="3"/>
      <c r="Y175" s="3"/>
      <c r="Z175" s="3"/>
      <c r="AA175" s="3"/>
      <c r="AB175" s="3"/>
      <c r="AC175" s="3"/>
      <c r="AD175" s="3"/>
      <c r="AE175" s="3"/>
    </row>
    <row r="176" ht="15.75" customHeight="1" spans="1:31">
      <c r="A176" s="3" t="s">
        <v>102</v>
      </c>
      <c r="B176" t="s">
        <v>25</v>
      </c>
      <c r="C176" s="25">
        <v>212.9</v>
      </c>
      <c r="D176" s="25">
        <v>26</v>
      </c>
      <c r="E176" s="25">
        <v>180</v>
      </c>
      <c r="F176" s="25">
        <v>14</v>
      </c>
      <c r="G176" s="25">
        <v>1575</v>
      </c>
      <c r="H176" s="25">
        <v>70</v>
      </c>
      <c r="I176" s="3"/>
      <c r="J176" s="3"/>
      <c r="K176" s="3"/>
      <c r="L176" s="25">
        <v>66.5</v>
      </c>
      <c r="M176" s="3"/>
      <c r="N176" s="3"/>
      <c r="O176" s="8">
        <v>200</v>
      </c>
      <c r="P176" t="b">
        <v>0</v>
      </c>
      <c r="Q176" t="b">
        <v>0</v>
      </c>
      <c r="R176" s="9" t="b">
        <v>0</v>
      </c>
      <c r="S176" s="3"/>
      <c r="T176" s="3"/>
      <c r="U176" s="3"/>
      <c r="V176" s="3"/>
      <c r="W176" s="3"/>
      <c r="X176" s="3"/>
      <c r="Y176" s="3"/>
      <c r="Z176" s="3"/>
      <c r="AA176" s="3"/>
      <c r="AB176" s="3"/>
      <c r="AC176" s="3"/>
      <c r="AD176" s="3"/>
      <c r="AE176" s="3"/>
    </row>
    <row r="177" ht="15.75" customHeight="1" spans="1:31">
      <c r="A177" s="3" t="s">
        <v>103</v>
      </c>
      <c r="B177" t="s">
        <v>65</v>
      </c>
      <c r="C177" s="25">
        <v>235.6</v>
      </c>
      <c r="D177" s="25">
        <v>33.2</v>
      </c>
      <c r="E177" s="25">
        <v>260</v>
      </c>
      <c r="F177" s="25">
        <v>23</v>
      </c>
      <c r="G177" s="25">
        <v>970</v>
      </c>
      <c r="H177" s="25">
        <v>190</v>
      </c>
      <c r="I177" s="25"/>
      <c r="J177" s="3"/>
      <c r="K177" s="3"/>
      <c r="L177" s="25">
        <v>45</v>
      </c>
      <c r="M177" s="3"/>
      <c r="N177" s="3"/>
      <c r="O177" s="8">
        <v>200</v>
      </c>
      <c r="P177" t="b">
        <v>0</v>
      </c>
      <c r="Q177" t="b">
        <v>0</v>
      </c>
      <c r="R177" s="9" t="b">
        <v>0</v>
      </c>
      <c r="S177" s="10"/>
      <c r="T177" s="10"/>
      <c r="U177" s="10"/>
      <c r="V177" s="10"/>
      <c r="W177" s="10"/>
      <c r="X177" s="10"/>
      <c r="Y177" s="10"/>
      <c r="Z177" s="10"/>
      <c r="AA177" s="10"/>
      <c r="AB177" s="10"/>
      <c r="AC177" s="10"/>
      <c r="AD177" s="10"/>
      <c r="AE177" s="10"/>
    </row>
    <row r="178" ht="15.75" customHeight="1" spans="1:31">
      <c r="A178" s="3" t="s">
        <v>103</v>
      </c>
      <c r="B178" t="s">
        <v>66</v>
      </c>
      <c r="C178" s="25">
        <v>235.6</v>
      </c>
      <c r="D178" s="25">
        <v>33.2</v>
      </c>
      <c r="E178" s="25">
        <v>260</v>
      </c>
      <c r="F178" s="25">
        <v>23</v>
      </c>
      <c r="G178" s="25">
        <v>970</v>
      </c>
      <c r="H178" s="25">
        <v>190</v>
      </c>
      <c r="I178" s="25"/>
      <c r="J178" s="3"/>
      <c r="K178" s="3"/>
      <c r="L178" s="25">
        <v>45</v>
      </c>
      <c r="M178" s="3"/>
      <c r="N178" s="3"/>
      <c r="O178" s="8">
        <v>200</v>
      </c>
      <c r="P178" t="b">
        <v>0</v>
      </c>
      <c r="Q178" t="b">
        <v>0</v>
      </c>
      <c r="R178" s="9" t="b">
        <v>0</v>
      </c>
      <c r="S178" s="10"/>
      <c r="T178" s="10"/>
      <c r="U178" s="10"/>
      <c r="V178" s="10"/>
      <c r="W178" s="10"/>
      <c r="X178" s="10"/>
      <c r="Y178" s="10"/>
      <c r="Z178" s="10"/>
      <c r="AA178" s="10"/>
      <c r="AB178" s="10"/>
      <c r="AC178" s="10"/>
      <c r="AD178" s="10"/>
      <c r="AE178" s="10"/>
    </row>
    <row r="179" ht="15.75" customHeight="1" spans="1:31">
      <c r="A179" s="3" t="s">
        <v>103</v>
      </c>
      <c r="B179" t="s">
        <v>67</v>
      </c>
      <c r="C179" s="25">
        <v>235.6</v>
      </c>
      <c r="D179" s="25">
        <v>33.2</v>
      </c>
      <c r="E179" s="25">
        <v>260</v>
      </c>
      <c r="F179" s="25">
        <v>23</v>
      </c>
      <c r="G179" s="25">
        <v>970</v>
      </c>
      <c r="H179" s="25">
        <v>190</v>
      </c>
      <c r="I179" s="25"/>
      <c r="J179" s="3"/>
      <c r="K179" s="3"/>
      <c r="L179" s="25">
        <v>22.5</v>
      </c>
      <c r="M179" s="3"/>
      <c r="N179" s="3"/>
      <c r="O179" s="8">
        <v>200</v>
      </c>
      <c r="P179" t="b">
        <v>0</v>
      </c>
      <c r="Q179" t="b">
        <v>0</v>
      </c>
      <c r="R179" s="9" t="b">
        <v>0</v>
      </c>
      <c r="S179" s="10"/>
      <c r="T179" s="10"/>
      <c r="U179" s="10"/>
      <c r="V179" s="10"/>
      <c r="W179" s="10"/>
      <c r="X179" s="10"/>
      <c r="Y179" s="10"/>
      <c r="Z179" s="10"/>
      <c r="AA179" s="10"/>
      <c r="AB179" s="10"/>
      <c r="AC179" s="10"/>
      <c r="AD179" s="10"/>
      <c r="AE179" s="10"/>
    </row>
    <row r="180" ht="15.75" customHeight="1" spans="1:31">
      <c r="A180" s="3" t="s">
        <v>103</v>
      </c>
      <c r="B180" t="s">
        <v>25</v>
      </c>
      <c r="C180" s="25">
        <v>235.6</v>
      </c>
      <c r="D180" s="25">
        <v>33.2</v>
      </c>
      <c r="E180" s="25">
        <v>260</v>
      </c>
      <c r="F180" s="25">
        <v>23</v>
      </c>
      <c r="G180" s="25">
        <v>1455</v>
      </c>
      <c r="H180" s="25">
        <v>108</v>
      </c>
      <c r="I180" s="3"/>
      <c r="J180" s="3"/>
      <c r="K180" s="3"/>
      <c r="L180" s="25">
        <v>78.5</v>
      </c>
      <c r="M180" s="3"/>
      <c r="N180" s="3"/>
      <c r="O180" s="8">
        <v>200</v>
      </c>
      <c r="P180" t="b">
        <v>0</v>
      </c>
      <c r="Q180" t="b">
        <v>0</v>
      </c>
      <c r="R180" s="9" t="b">
        <v>0</v>
      </c>
      <c r="S180" s="10"/>
      <c r="T180" s="10"/>
      <c r="U180" s="10"/>
      <c r="V180" s="10"/>
      <c r="W180" s="10"/>
      <c r="X180" s="10"/>
      <c r="Y180" s="10"/>
      <c r="Z180" s="10"/>
      <c r="AA180" s="10"/>
      <c r="AB180" s="10"/>
      <c r="AC180" s="10"/>
      <c r="AD180" s="10"/>
      <c r="AE180" s="10"/>
    </row>
    <row r="181" ht="15.75" customHeight="1" spans="1:31">
      <c r="A181" s="17" t="s">
        <v>104</v>
      </c>
      <c r="B181" t="s">
        <v>65</v>
      </c>
      <c r="C181" s="25">
        <v>285</v>
      </c>
      <c r="D181" s="25">
        <v>43</v>
      </c>
      <c r="E181" s="25">
        <v>350</v>
      </c>
      <c r="F181" s="25">
        <v>30</v>
      </c>
      <c r="G181" s="25">
        <v>1080</v>
      </c>
      <c r="H181" s="25">
        <v>360</v>
      </c>
      <c r="K181" s="43"/>
      <c r="L181">
        <v>78</v>
      </c>
      <c r="N181" s="10"/>
      <c r="O181" s="3">
        <v>100</v>
      </c>
      <c r="P181" t="b">
        <v>0</v>
      </c>
      <c r="Q181" t="b">
        <v>0</v>
      </c>
      <c r="R181" s="9" t="b">
        <v>0</v>
      </c>
      <c r="S181" s="10"/>
      <c r="T181" s="10"/>
      <c r="U181" s="10"/>
      <c r="V181" s="10"/>
      <c r="W181" s="10"/>
      <c r="X181" s="10"/>
      <c r="Y181" s="10"/>
      <c r="Z181" s="10"/>
      <c r="AA181" s="10"/>
      <c r="AB181" s="10"/>
      <c r="AC181" s="10"/>
      <c r="AD181" s="10"/>
      <c r="AE181" s="10"/>
    </row>
    <row r="182" ht="15.75" customHeight="1" spans="1:31">
      <c r="A182" s="18" t="s">
        <v>104</v>
      </c>
      <c r="B182" t="s">
        <v>66</v>
      </c>
      <c r="C182" s="25">
        <v>285</v>
      </c>
      <c r="D182" s="25">
        <v>43</v>
      </c>
      <c r="E182" s="25">
        <v>350</v>
      </c>
      <c r="F182" s="25">
        <v>30</v>
      </c>
      <c r="G182" s="25">
        <v>1080</v>
      </c>
      <c r="H182" s="25">
        <v>360</v>
      </c>
      <c r="I182" s="3"/>
      <c r="J182" s="3"/>
      <c r="K182" s="3"/>
      <c r="L182" s="34">
        <v>78</v>
      </c>
      <c r="M182" s="3"/>
      <c r="N182" s="3"/>
      <c r="O182" s="3">
        <v>100</v>
      </c>
      <c r="P182" t="b">
        <v>0</v>
      </c>
      <c r="Q182" t="b">
        <v>0</v>
      </c>
      <c r="R182" s="9" t="b">
        <v>0</v>
      </c>
      <c r="S182" s="10"/>
      <c r="T182" s="10"/>
      <c r="U182" s="10"/>
      <c r="V182" s="10"/>
      <c r="W182" s="10"/>
      <c r="X182" s="10"/>
      <c r="Y182" s="10"/>
      <c r="Z182" s="10"/>
      <c r="AA182" s="10"/>
      <c r="AB182" s="10"/>
      <c r="AC182" s="10"/>
      <c r="AD182" s="10"/>
      <c r="AE182" s="10"/>
    </row>
    <row r="183" ht="15.75" customHeight="1" spans="1:31">
      <c r="A183" s="18" t="s">
        <v>104</v>
      </c>
      <c r="B183" t="s">
        <v>67</v>
      </c>
      <c r="C183" s="25">
        <v>285</v>
      </c>
      <c r="D183" s="25">
        <v>43</v>
      </c>
      <c r="E183" s="25">
        <v>350</v>
      </c>
      <c r="F183" s="25">
        <v>30</v>
      </c>
      <c r="G183" s="25">
        <v>1080</v>
      </c>
      <c r="H183" s="25">
        <v>360</v>
      </c>
      <c r="I183" s="3"/>
      <c r="J183" s="3"/>
      <c r="K183" s="3"/>
      <c r="L183" s="34">
        <v>39</v>
      </c>
      <c r="M183" s="3"/>
      <c r="N183" s="3"/>
      <c r="O183" s="3">
        <v>100</v>
      </c>
      <c r="P183" t="b">
        <v>0</v>
      </c>
      <c r="Q183" t="b">
        <v>0</v>
      </c>
      <c r="R183" s="9" t="b">
        <v>0</v>
      </c>
      <c r="S183" s="10"/>
      <c r="T183" s="10"/>
      <c r="U183" s="10"/>
      <c r="V183" s="10"/>
      <c r="W183" s="10"/>
      <c r="X183" s="10"/>
      <c r="Y183" s="10"/>
      <c r="Z183" s="10"/>
      <c r="AA183" s="10"/>
      <c r="AB183" s="10"/>
      <c r="AC183" s="10"/>
      <c r="AD183" s="10"/>
      <c r="AE183" s="10"/>
    </row>
    <row r="184" ht="15.75" customHeight="1" spans="1:31">
      <c r="A184" s="19" t="s">
        <v>104</v>
      </c>
      <c r="B184" t="s">
        <v>25</v>
      </c>
      <c r="C184" s="25">
        <v>285</v>
      </c>
      <c r="D184" s="25">
        <v>43</v>
      </c>
      <c r="E184" s="25">
        <v>350</v>
      </c>
      <c r="F184" s="25">
        <v>14</v>
      </c>
      <c r="G184" s="25">
        <v>1200</v>
      </c>
      <c r="H184" s="25">
        <v>290</v>
      </c>
      <c r="I184" s="3"/>
      <c r="J184" s="3"/>
      <c r="K184" s="3"/>
      <c r="L184" s="25">
        <v>101</v>
      </c>
      <c r="N184" s="10"/>
      <c r="O184" s="3">
        <v>100</v>
      </c>
      <c r="P184" t="b">
        <v>0</v>
      </c>
      <c r="Q184" t="b">
        <v>0</v>
      </c>
      <c r="R184" s="9" t="b">
        <v>0</v>
      </c>
      <c r="S184" s="10"/>
      <c r="T184" s="10"/>
      <c r="U184" s="10"/>
      <c r="V184" s="10"/>
      <c r="W184" s="10"/>
      <c r="X184" s="10"/>
      <c r="Y184" s="10"/>
      <c r="Z184" s="10"/>
      <c r="AA184" s="10"/>
      <c r="AB184" s="10"/>
      <c r="AC184" s="10"/>
      <c r="AD184" s="10"/>
      <c r="AE184" s="10"/>
    </row>
    <row r="185" ht="15.75" customHeight="1" spans="1:31">
      <c r="A185" s="17" t="s">
        <v>105</v>
      </c>
      <c r="B185" t="s">
        <v>65</v>
      </c>
      <c r="C185" s="25">
        <v>199</v>
      </c>
      <c r="D185" s="25">
        <v>27</v>
      </c>
      <c r="E185" s="25">
        <v>157</v>
      </c>
      <c r="F185" s="25">
        <v>23</v>
      </c>
      <c r="G185" s="25">
        <v>715</v>
      </c>
      <c r="H185" s="25">
        <v>174</v>
      </c>
      <c r="I185" s="3"/>
      <c r="J185" s="3"/>
      <c r="K185" s="3"/>
      <c r="L185">
        <v>29</v>
      </c>
      <c r="N185" s="10"/>
      <c r="O185" s="3">
        <v>200</v>
      </c>
      <c r="P185" t="b">
        <v>0</v>
      </c>
      <c r="Q185" t="b">
        <v>0</v>
      </c>
      <c r="R185" s="9" t="b">
        <v>0</v>
      </c>
      <c r="S185" s="10"/>
      <c r="T185" s="10"/>
      <c r="U185" s="10"/>
      <c r="V185" s="10"/>
      <c r="W185" s="10"/>
      <c r="X185" s="10"/>
      <c r="Y185" s="10"/>
      <c r="Z185" s="10"/>
      <c r="AA185" s="10"/>
      <c r="AB185" s="10"/>
      <c r="AC185" s="10"/>
      <c r="AD185" s="10"/>
      <c r="AE185" s="10"/>
    </row>
    <row r="186" ht="15.75" customHeight="1" spans="1:31">
      <c r="A186" s="18" t="s">
        <v>105</v>
      </c>
      <c r="B186" t="s">
        <v>66</v>
      </c>
      <c r="C186" s="25">
        <v>199</v>
      </c>
      <c r="D186" s="25">
        <v>27</v>
      </c>
      <c r="E186" s="25">
        <v>157</v>
      </c>
      <c r="F186" s="25">
        <v>23</v>
      </c>
      <c r="G186" s="25">
        <v>715</v>
      </c>
      <c r="H186" s="25">
        <v>174</v>
      </c>
      <c r="I186" s="3"/>
      <c r="J186" s="3"/>
      <c r="K186" s="3"/>
      <c r="L186">
        <v>29</v>
      </c>
      <c r="N186" s="10"/>
      <c r="O186" s="3">
        <v>200</v>
      </c>
      <c r="P186" t="b">
        <v>0</v>
      </c>
      <c r="Q186" t="b">
        <v>0</v>
      </c>
      <c r="R186" s="9" t="b">
        <v>0</v>
      </c>
      <c r="S186" s="10"/>
      <c r="T186" s="10"/>
      <c r="U186" s="10"/>
      <c r="V186" s="10"/>
      <c r="W186" s="10"/>
      <c r="X186" s="10"/>
      <c r="Y186" s="10"/>
      <c r="Z186" s="10"/>
      <c r="AA186" s="10"/>
      <c r="AB186" s="10"/>
      <c r="AC186" s="10"/>
      <c r="AD186" s="10"/>
      <c r="AE186" s="10"/>
    </row>
    <row r="187" ht="15.75" customHeight="1" spans="1:31">
      <c r="A187" s="18" t="s">
        <v>105</v>
      </c>
      <c r="B187" t="s">
        <v>67</v>
      </c>
      <c r="C187" s="25">
        <v>199</v>
      </c>
      <c r="D187" s="25">
        <v>27</v>
      </c>
      <c r="E187" s="25">
        <v>157</v>
      </c>
      <c r="F187" s="25">
        <v>23</v>
      </c>
      <c r="G187" s="25">
        <v>715</v>
      </c>
      <c r="H187" s="25">
        <v>174</v>
      </c>
      <c r="I187" s="3"/>
      <c r="J187" s="3"/>
      <c r="K187" s="3"/>
      <c r="L187">
        <v>14.5</v>
      </c>
      <c r="N187" s="10"/>
      <c r="O187" s="3">
        <v>200</v>
      </c>
      <c r="P187" t="b">
        <v>0</v>
      </c>
      <c r="Q187" t="b">
        <v>0</v>
      </c>
      <c r="R187" s="9" t="b">
        <v>0</v>
      </c>
      <c r="S187" s="10"/>
      <c r="T187" s="10"/>
      <c r="U187" s="10"/>
      <c r="V187" s="10"/>
      <c r="W187" s="10"/>
      <c r="X187" s="10"/>
      <c r="Y187" s="10"/>
      <c r="Z187" s="10"/>
      <c r="AA187" s="10"/>
      <c r="AB187" s="10"/>
      <c r="AC187" s="10"/>
      <c r="AD187" s="10"/>
      <c r="AE187" s="10"/>
    </row>
    <row r="188" ht="15.75" customHeight="1" spans="1:31">
      <c r="A188" s="19" t="s">
        <v>105</v>
      </c>
      <c r="B188" t="s">
        <v>25</v>
      </c>
      <c r="C188" s="25">
        <v>199</v>
      </c>
      <c r="D188" s="25">
        <v>27</v>
      </c>
      <c r="E188" s="25">
        <v>157</v>
      </c>
      <c r="F188" s="25">
        <v>23</v>
      </c>
      <c r="G188" s="25">
        <v>1072</v>
      </c>
      <c r="H188" s="25">
        <v>99.43</v>
      </c>
      <c r="I188" s="3"/>
      <c r="J188" s="3"/>
      <c r="K188" s="3"/>
      <c r="L188">
        <v>50.6</v>
      </c>
      <c r="N188" s="10"/>
      <c r="O188" s="3">
        <v>200</v>
      </c>
      <c r="P188" t="b">
        <v>0</v>
      </c>
      <c r="Q188" t="b">
        <v>0</v>
      </c>
      <c r="R188" s="9" t="b">
        <v>0</v>
      </c>
      <c r="S188" s="10"/>
      <c r="T188" s="10"/>
      <c r="U188" s="10"/>
      <c r="V188" s="10"/>
      <c r="W188" s="10"/>
      <c r="X188" s="10"/>
      <c r="Y188" s="10"/>
      <c r="Z188" s="10"/>
      <c r="AA188" s="10"/>
      <c r="AB188" s="10"/>
      <c r="AC188" s="10"/>
      <c r="AD188" s="10"/>
      <c r="AE188" s="10"/>
    </row>
    <row r="189" ht="15.75" customHeight="1" spans="1:31">
      <c r="A189" s="17" t="s">
        <v>106</v>
      </c>
      <c r="B189" t="s">
        <v>65</v>
      </c>
      <c r="C189" s="25">
        <v>199</v>
      </c>
      <c r="D189" s="37">
        <v>27</v>
      </c>
      <c r="E189" s="25">
        <v>157</v>
      </c>
      <c r="F189" s="25">
        <v>23</v>
      </c>
      <c r="G189" s="25">
        <v>815</v>
      </c>
      <c r="H189" s="25">
        <v>174</v>
      </c>
      <c r="I189" s="3"/>
      <c r="J189" s="3"/>
      <c r="K189" s="3"/>
      <c r="L189" s="25">
        <v>40</v>
      </c>
      <c r="M189" s="3"/>
      <c r="N189" s="3"/>
      <c r="O189" s="8">
        <v>200</v>
      </c>
      <c r="P189" t="b">
        <v>0</v>
      </c>
      <c r="Q189" t="b">
        <v>0</v>
      </c>
      <c r="R189" s="9" t="b">
        <v>0</v>
      </c>
      <c r="S189" s="10"/>
      <c r="T189" s="10"/>
      <c r="U189" s="10"/>
      <c r="V189" s="10"/>
      <c r="W189" s="10"/>
      <c r="X189" s="10"/>
      <c r="Y189" s="10"/>
      <c r="Z189" s="10"/>
      <c r="AA189" s="10"/>
      <c r="AB189" s="10"/>
      <c r="AC189" s="10"/>
      <c r="AD189" s="10"/>
      <c r="AE189" s="10"/>
    </row>
    <row r="190" ht="15.75" customHeight="1" spans="1:31">
      <c r="A190" s="18" t="s">
        <v>106</v>
      </c>
      <c r="B190" t="s">
        <v>66</v>
      </c>
      <c r="C190" s="25">
        <v>199</v>
      </c>
      <c r="D190" s="37">
        <v>27</v>
      </c>
      <c r="E190" s="25">
        <v>157</v>
      </c>
      <c r="F190" s="25">
        <v>23</v>
      </c>
      <c r="G190" s="25">
        <v>815</v>
      </c>
      <c r="H190" s="25">
        <v>174</v>
      </c>
      <c r="I190" s="3"/>
      <c r="J190" s="3"/>
      <c r="K190" s="3"/>
      <c r="L190" s="25">
        <v>40</v>
      </c>
      <c r="M190" s="3"/>
      <c r="N190" s="3"/>
      <c r="O190" s="8">
        <v>200</v>
      </c>
      <c r="P190" t="b">
        <v>0</v>
      </c>
      <c r="Q190" t="b">
        <v>0</v>
      </c>
      <c r="R190" s="9" t="b">
        <v>0</v>
      </c>
      <c r="S190" s="10"/>
      <c r="T190" s="10"/>
      <c r="U190" s="10"/>
      <c r="V190" s="10"/>
      <c r="W190" s="10"/>
      <c r="X190" s="10"/>
      <c r="Y190" s="10"/>
      <c r="Z190" s="10"/>
      <c r="AA190" s="10"/>
      <c r="AB190" s="10"/>
      <c r="AC190" s="10"/>
      <c r="AD190" s="10"/>
      <c r="AE190" s="10"/>
    </row>
    <row r="191" ht="15.75" customHeight="1" spans="1:31">
      <c r="A191" s="18" t="s">
        <v>106</v>
      </c>
      <c r="B191" t="s">
        <v>67</v>
      </c>
      <c r="C191" s="25">
        <v>199</v>
      </c>
      <c r="D191" s="37">
        <v>27</v>
      </c>
      <c r="E191" s="25">
        <v>157</v>
      </c>
      <c r="F191" s="25">
        <v>23</v>
      </c>
      <c r="G191" s="25">
        <v>815</v>
      </c>
      <c r="H191" s="25">
        <v>174</v>
      </c>
      <c r="I191" s="3"/>
      <c r="J191" s="3"/>
      <c r="K191" s="3"/>
      <c r="L191" s="25">
        <v>20</v>
      </c>
      <c r="M191" s="3"/>
      <c r="N191" s="3"/>
      <c r="O191" s="8">
        <v>200</v>
      </c>
      <c r="P191" t="b">
        <v>0</v>
      </c>
      <c r="Q191" t="b">
        <v>0</v>
      </c>
      <c r="R191" s="9" t="b">
        <v>0</v>
      </c>
      <c r="S191" s="10"/>
      <c r="T191" s="10"/>
      <c r="U191" s="10"/>
      <c r="V191" s="10"/>
      <c r="W191" s="10"/>
      <c r="X191" s="10"/>
      <c r="Y191" s="10"/>
      <c r="Z191" s="10"/>
      <c r="AA191" s="10"/>
      <c r="AB191" s="10"/>
      <c r="AC191" s="10"/>
      <c r="AD191" s="10"/>
      <c r="AE191" s="10"/>
    </row>
    <row r="192" ht="15.75" customHeight="1" spans="1:31">
      <c r="A192" s="19" t="s">
        <v>106</v>
      </c>
      <c r="B192" t="s">
        <v>25</v>
      </c>
      <c r="C192" s="25">
        <v>199</v>
      </c>
      <c r="D192" s="37">
        <v>27</v>
      </c>
      <c r="E192" s="25">
        <v>157</v>
      </c>
      <c r="F192" s="25">
        <v>23</v>
      </c>
      <c r="G192" s="25">
        <v>1222</v>
      </c>
      <c r="H192" s="25">
        <v>99.43</v>
      </c>
      <c r="I192" s="3"/>
      <c r="J192" s="3"/>
      <c r="K192" s="3"/>
      <c r="L192" s="25">
        <v>69.8</v>
      </c>
      <c r="M192" s="3"/>
      <c r="N192" s="3"/>
      <c r="O192" s="8">
        <v>200</v>
      </c>
      <c r="P192" t="b">
        <v>0</v>
      </c>
      <c r="Q192" t="b">
        <v>0</v>
      </c>
      <c r="R192" s="9" t="b">
        <v>0</v>
      </c>
      <c r="S192" s="10"/>
      <c r="T192" s="10"/>
      <c r="U192" s="10"/>
      <c r="V192" s="10"/>
      <c r="W192" s="10"/>
      <c r="X192" s="10"/>
      <c r="Y192" s="10"/>
      <c r="Z192" s="10"/>
      <c r="AA192" s="10"/>
      <c r="AB192" s="10"/>
      <c r="AC192" s="10"/>
      <c r="AD192" s="10"/>
      <c r="AE192" s="10"/>
    </row>
    <row r="193" ht="15.75" customHeight="1" spans="1:31">
      <c r="A193" s="3" t="s">
        <v>107</v>
      </c>
      <c r="B193" t="s">
        <v>65</v>
      </c>
      <c r="C193" s="25">
        <v>284</v>
      </c>
      <c r="D193" s="37">
        <v>32</v>
      </c>
      <c r="E193" s="25">
        <v>442</v>
      </c>
      <c r="F193" s="25">
        <v>30</v>
      </c>
      <c r="G193" s="25">
        <v>900</v>
      </c>
      <c r="H193" s="25">
        <v>390</v>
      </c>
      <c r="I193" s="3"/>
      <c r="J193" s="3"/>
      <c r="K193" s="3"/>
      <c r="L193" s="25">
        <v>57</v>
      </c>
      <c r="M193" s="3"/>
      <c r="N193" s="3"/>
      <c r="O193" s="8">
        <v>100</v>
      </c>
      <c r="P193" t="b">
        <v>0</v>
      </c>
      <c r="Q193" t="b">
        <v>0</v>
      </c>
      <c r="R193" s="9" t="b">
        <v>0</v>
      </c>
      <c r="S193" s="10"/>
      <c r="T193" s="10"/>
      <c r="U193" s="10"/>
      <c r="V193" s="10"/>
      <c r="W193" s="10"/>
      <c r="X193" s="10"/>
      <c r="Y193" s="10"/>
      <c r="Z193" s="10"/>
      <c r="AA193" s="10"/>
      <c r="AB193" s="10"/>
      <c r="AC193" s="10"/>
      <c r="AD193" s="10"/>
      <c r="AE193" s="10"/>
    </row>
    <row r="194" ht="15.75" customHeight="1" spans="1:31">
      <c r="A194" s="3" t="s">
        <v>107</v>
      </c>
      <c r="B194" t="s">
        <v>66</v>
      </c>
      <c r="C194" s="25">
        <v>284</v>
      </c>
      <c r="D194" s="37">
        <v>32</v>
      </c>
      <c r="E194" s="25">
        <v>442</v>
      </c>
      <c r="F194" s="25">
        <v>30</v>
      </c>
      <c r="G194" s="25">
        <v>900</v>
      </c>
      <c r="H194" s="25">
        <v>390</v>
      </c>
      <c r="I194" s="3"/>
      <c r="J194" s="3"/>
      <c r="K194" s="3"/>
      <c r="L194" s="25">
        <v>57</v>
      </c>
      <c r="M194" s="3"/>
      <c r="N194" s="3"/>
      <c r="O194" s="8">
        <v>100</v>
      </c>
      <c r="P194" t="b">
        <v>0</v>
      </c>
      <c r="Q194" t="b">
        <v>0</v>
      </c>
      <c r="R194" s="9" t="b">
        <v>0</v>
      </c>
      <c r="S194" s="10"/>
      <c r="T194" s="10"/>
      <c r="U194" s="10"/>
      <c r="V194" s="10"/>
      <c r="W194" s="10"/>
      <c r="X194" s="10"/>
      <c r="Y194" s="10"/>
      <c r="Z194" s="10"/>
      <c r="AA194" s="10"/>
      <c r="AB194" s="10"/>
      <c r="AC194" s="10"/>
      <c r="AD194" s="10"/>
      <c r="AE194" s="10"/>
    </row>
    <row r="195" ht="15.75" customHeight="1" spans="1:31">
      <c r="A195" s="3" t="s">
        <v>107</v>
      </c>
      <c r="B195" t="s">
        <v>67</v>
      </c>
      <c r="C195" s="25">
        <v>284</v>
      </c>
      <c r="D195" s="37">
        <v>32</v>
      </c>
      <c r="E195" s="25">
        <v>442</v>
      </c>
      <c r="F195" s="25">
        <v>30</v>
      </c>
      <c r="G195" s="25">
        <v>900</v>
      </c>
      <c r="H195" s="25">
        <v>390</v>
      </c>
      <c r="I195" s="3"/>
      <c r="J195" s="3"/>
      <c r="K195" s="3"/>
      <c r="L195" s="25">
        <v>28.5</v>
      </c>
      <c r="M195" s="3"/>
      <c r="N195" s="3"/>
      <c r="O195" s="8">
        <v>100</v>
      </c>
      <c r="P195" t="b">
        <v>0</v>
      </c>
      <c r="Q195" t="b">
        <v>0</v>
      </c>
      <c r="R195" s="9" t="b">
        <v>0</v>
      </c>
      <c r="S195" s="10"/>
      <c r="T195" s="10"/>
      <c r="U195" s="10"/>
      <c r="V195" s="10"/>
      <c r="W195" s="10"/>
      <c r="X195" s="10"/>
      <c r="Y195" s="10"/>
      <c r="Z195" s="10"/>
      <c r="AA195" s="10"/>
      <c r="AB195" s="10"/>
      <c r="AC195" s="10"/>
      <c r="AD195" s="10"/>
      <c r="AE195" s="10"/>
    </row>
    <row r="196" ht="15.75" customHeight="1" spans="1:31">
      <c r="A196" s="3" t="s">
        <v>107</v>
      </c>
      <c r="B196" t="s">
        <v>25</v>
      </c>
      <c r="C196" s="25">
        <v>284</v>
      </c>
      <c r="D196" s="37">
        <v>32</v>
      </c>
      <c r="E196" s="25">
        <v>442</v>
      </c>
      <c r="F196" s="25">
        <v>21</v>
      </c>
      <c r="G196" s="25">
        <v>1350</v>
      </c>
      <c r="H196" s="25">
        <v>222.3</v>
      </c>
      <c r="I196" s="3"/>
      <c r="J196" s="3"/>
      <c r="K196" s="3"/>
      <c r="L196" s="25">
        <v>100</v>
      </c>
      <c r="M196" s="3"/>
      <c r="N196" s="3"/>
      <c r="O196" s="8">
        <v>100</v>
      </c>
      <c r="P196" t="b">
        <v>0</v>
      </c>
      <c r="Q196" t="b">
        <v>0</v>
      </c>
      <c r="R196" s="9" t="b">
        <v>0</v>
      </c>
      <c r="S196" s="10"/>
      <c r="T196" s="10"/>
      <c r="U196" s="10"/>
      <c r="V196" s="10"/>
      <c r="W196" s="10"/>
      <c r="X196" s="10"/>
      <c r="Y196" s="10"/>
      <c r="Z196" s="10"/>
      <c r="AA196" s="10"/>
      <c r="AB196" s="10"/>
      <c r="AC196" s="10"/>
      <c r="AD196" s="10"/>
      <c r="AE196" s="10"/>
    </row>
    <row r="197" ht="15.75" customHeight="1" spans="1:31">
      <c r="A197" s="3" t="s">
        <v>108</v>
      </c>
      <c r="B197" t="s">
        <v>65</v>
      </c>
      <c r="C197" s="25">
        <v>290</v>
      </c>
      <c r="D197" s="37">
        <v>42.15</v>
      </c>
      <c r="E197" s="25">
        <v>467</v>
      </c>
      <c r="F197" s="25">
        <v>30</v>
      </c>
      <c r="G197" s="25">
        <v>1020</v>
      </c>
      <c r="H197" s="25">
        <v>370</v>
      </c>
      <c r="K197" s="43"/>
      <c r="L197">
        <v>70</v>
      </c>
      <c r="N197" s="10"/>
      <c r="O197" s="3">
        <v>100</v>
      </c>
      <c r="P197" t="b">
        <v>0</v>
      </c>
      <c r="Q197" t="b">
        <v>0</v>
      </c>
      <c r="R197" s="9" t="b">
        <v>0</v>
      </c>
      <c r="S197" s="10"/>
      <c r="T197" s="10"/>
      <c r="U197" s="10"/>
      <c r="V197" s="10"/>
      <c r="W197" s="10"/>
      <c r="X197" s="10"/>
      <c r="Y197" s="10"/>
      <c r="Z197" s="10"/>
      <c r="AA197" s="10"/>
      <c r="AB197" s="10"/>
      <c r="AC197" s="10"/>
      <c r="AD197" s="10"/>
      <c r="AE197" s="10"/>
    </row>
    <row r="198" ht="15.75" customHeight="1" spans="1:31">
      <c r="A198" s="3" t="s">
        <v>108</v>
      </c>
      <c r="B198" t="s">
        <v>66</v>
      </c>
      <c r="C198" s="25">
        <v>290</v>
      </c>
      <c r="D198" s="37">
        <v>42.15</v>
      </c>
      <c r="E198" s="25">
        <v>467</v>
      </c>
      <c r="F198" s="25">
        <v>30</v>
      </c>
      <c r="G198" s="25">
        <v>1020</v>
      </c>
      <c r="H198" s="25">
        <v>370</v>
      </c>
      <c r="I198" s="3"/>
      <c r="J198" s="3"/>
      <c r="K198" s="3"/>
      <c r="L198" s="34">
        <v>70</v>
      </c>
      <c r="N198" s="10"/>
      <c r="O198" s="3">
        <v>100</v>
      </c>
      <c r="P198" t="b">
        <v>0</v>
      </c>
      <c r="Q198" t="b">
        <v>0</v>
      </c>
      <c r="R198" s="9" t="b">
        <v>0</v>
      </c>
      <c r="S198" s="10"/>
      <c r="T198" s="10"/>
      <c r="U198" s="10"/>
      <c r="V198" s="10"/>
      <c r="W198" s="10"/>
      <c r="X198" s="10"/>
      <c r="Y198" s="10"/>
      <c r="Z198" s="10"/>
      <c r="AA198" s="10"/>
      <c r="AB198" s="10"/>
      <c r="AC198" s="10"/>
      <c r="AD198" s="10"/>
      <c r="AE198" s="10"/>
    </row>
    <row r="199" ht="15.75" customHeight="1" spans="1:31">
      <c r="A199" s="3" t="s">
        <v>108</v>
      </c>
      <c r="B199" t="s">
        <v>67</v>
      </c>
      <c r="C199" s="25">
        <v>290</v>
      </c>
      <c r="D199" s="37">
        <v>42.15</v>
      </c>
      <c r="E199" s="25">
        <v>467</v>
      </c>
      <c r="F199" s="25">
        <v>30</v>
      </c>
      <c r="G199" s="25">
        <v>1020</v>
      </c>
      <c r="H199" s="25">
        <v>370</v>
      </c>
      <c r="I199" s="3"/>
      <c r="J199" s="3"/>
      <c r="K199" s="3"/>
      <c r="L199" s="34">
        <f>L198/2</f>
        <v>35</v>
      </c>
      <c r="N199" s="10"/>
      <c r="O199" s="3">
        <v>100</v>
      </c>
      <c r="P199" t="b">
        <v>0</v>
      </c>
      <c r="Q199" t="b">
        <v>0</v>
      </c>
      <c r="R199" s="9" t="b">
        <v>0</v>
      </c>
      <c r="S199" s="10"/>
      <c r="T199" s="10"/>
      <c r="U199" s="10"/>
      <c r="V199" s="10"/>
      <c r="W199" s="10"/>
      <c r="X199" s="10"/>
      <c r="Y199" s="10"/>
      <c r="Z199" s="10"/>
      <c r="AA199" s="10"/>
      <c r="AB199" s="10"/>
      <c r="AC199" s="10"/>
      <c r="AD199" s="10"/>
      <c r="AE199" s="10"/>
    </row>
    <row r="200" ht="15.75" customHeight="1" spans="1:31">
      <c r="A200" s="3" t="s">
        <v>108</v>
      </c>
      <c r="B200" t="s">
        <v>25</v>
      </c>
      <c r="C200" s="25">
        <v>290</v>
      </c>
      <c r="D200" s="37">
        <v>42.15</v>
      </c>
      <c r="E200" s="25">
        <v>467</v>
      </c>
      <c r="F200" s="25">
        <v>14</v>
      </c>
      <c r="G200" s="25">
        <f>1.5*1020</f>
        <v>1530</v>
      </c>
      <c r="H200" s="25">
        <v>210.9</v>
      </c>
      <c r="I200" s="3"/>
      <c r="J200" s="3"/>
      <c r="K200" s="3"/>
      <c r="L200" s="34">
        <f>1.75*L198</f>
        <v>122.5</v>
      </c>
      <c r="N200" s="10"/>
      <c r="O200" s="3">
        <v>100</v>
      </c>
      <c r="P200" t="b">
        <v>0</v>
      </c>
      <c r="Q200" t="b">
        <v>0</v>
      </c>
      <c r="R200" s="9" t="b">
        <v>0</v>
      </c>
      <c r="S200" s="10"/>
      <c r="T200" s="10"/>
      <c r="U200" s="10"/>
      <c r="V200" s="10"/>
      <c r="W200" s="10"/>
      <c r="X200" s="10"/>
      <c r="Y200" s="10"/>
      <c r="Z200" s="10"/>
      <c r="AA200" s="10"/>
      <c r="AB200" s="10"/>
      <c r="AC200" s="10"/>
      <c r="AD200" s="10"/>
      <c r="AE200" s="10"/>
    </row>
    <row r="201" ht="15.75" customHeight="1" spans="1:31">
      <c r="A201" t="s">
        <v>109</v>
      </c>
      <c r="B201" t="s">
        <v>65</v>
      </c>
      <c r="C201">
        <v>447</v>
      </c>
      <c r="D201">
        <v>40</v>
      </c>
      <c r="E201">
        <v>1250</v>
      </c>
      <c r="F201">
        <v>40</v>
      </c>
      <c r="G201">
        <v>850</v>
      </c>
      <c r="H201">
        <v>900</v>
      </c>
      <c r="K201" s="43"/>
      <c r="L201">
        <v>100</v>
      </c>
      <c r="N201" s="10"/>
      <c r="O201" s="3">
        <v>50</v>
      </c>
      <c r="P201" t="b">
        <v>0</v>
      </c>
      <c r="Q201" t="b">
        <v>0</v>
      </c>
      <c r="R201" s="9" t="b">
        <v>0</v>
      </c>
      <c r="S201" s="10"/>
      <c r="T201" s="10"/>
      <c r="U201" s="10"/>
      <c r="V201" s="10"/>
      <c r="W201" s="10"/>
      <c r="X201" s="10"/>
      <c r="Y201" s="10"/>
      <c r="Z201" s="10"/>
      <c r="AA201" s="10"/>
      <c r="AB201" s="10"/>
      <c r="AC201" s="10"/>
      <c r="AD201" s="10"/>
      <c r="AE201" s="10"/>
    </row>
    <row r="202" ht="15.75" customHeight="1" spans="1:31">
      <c r="A202" t="s">
        <v>109</v>
      </c>
      <c r="B202" t="s">
        <v>66</v>
      </c>
      <c r="C202">
        <v>447</v>
      </c>
      <c r="D202">
        <v>40</v>
      </c>
      <c r="E202">
        <v>1250</v>
      </c>
      <c r="F202">
        <v>40</v>
      </c>
      <c r="G202">
        <v>850</v>
      </c>
      <c r="H202">
        <v>900</v>
      </c>
      <c r="K202" s="43"/>
      <c r="L202">
        <v>100</v>
      </c>
      <c r="N202" s="10"/>
      <c r="O202" s="3">
        <v>50</v>
      </c>
      <c r="P202" t="b">
        <v>0</v>
      </c>
      <c r="Q202" t="b">
        <v>0</v>
      </c>
      <c r="R202" s="9" t="b">
        <v>0</v>
      </c>
      <c r="S202" s="10"/>
      <c r="T202" s="10"/>
      <c r="U202" s="10"/>
      <c r="V202" s="10"/>
      <c r="W202" s="10"/>
      <c r="X202" s="10"/>
      <c r="Y202" s="10"/>
      <c r="Z202" s="10"/>
      <c r="AA202" s="10"/>
      <c r="AB202" s="10"/>
      <c r="AC202" s="10"/>
      <c r="AD202" s="10"/>
      <c r="AE202" s="10"/>
    </row>
    <row r="203" ht="15.75" customHeight="1" spans="1:31">
      <c r="A203" t="s">
        <v>109</v>
      </c>
      <c r="B203" t="s">
        <v>67</v>
      </c>
      <c r="C203">
        <v>447</v>
      </c>
      <c r="D203">
        <v>40</v>
      </c>
      <c r="E203">
        <v>1250</v>
      </c>
      <c r="F203">
        <v>40</v>
      </c>
      <c r="G203">
        <v>850</v>
      </c>
      <c r="H203">
        <v>900</v>
      </c>
      <c r="K203" s="43"/>
      <c r="L203">
        <v>50</v>
      </c>
      <c r="N203" s="10"/>
      <c r="O203" s="3">
        <v>50</v>
      </c>
      <c r="P203" t="b">
        <v>0</v>
      </c>
      <c r="Q203" t="b">
        <v>0</v>
      </c>
      <c r="R203" s="9" t="b">
        <v>0</v>
      </c>
      <c r="S203" s="10"/>
      <c r="T203" s="10"/>
      <c r="U203" s="10"/>
      <c r="V203" s="10"/>
      <c r="W203" s="10"/>
      <c r="X203" s="10"/>
      <c r="Y203" s="10"/>
      <c r="Z203" s="10"/>
      <c r="AA203" s="10"/>
      <c r="AB203" s="10"/>
      <c r="AC203" s="10"/>
      <c r="AD203" s="10"/>
      <c r="AE203" s="10"/>
    </row>
    <row r="204" ht="15.75" customHeight="1" spans="1:31">
      <c r="A204" t="s">
        <v>109</v>
      </c>
      <c r="B204" t="s">
        <v>25</v>
      </c>
      <c r="C204">
        <v>447</v>
      </c>
      <c r="D204">
        <v>40</v>
      </c>
      <c r="E204">
        <v>1250</v>
      </c>
      <c r="F204">
        <v>28</v>
      </c>
      <c r="G204">
        <v>1275</v>
      </c>
      <c r="H204">
        <v>513</v>
      </c>
      <c r="K204" s="43"/>
      <c r="L204">
        <v>175</v>
      </c>
      <c r="N204" s="10"/>
      <c r="O204" s="3">
        <v>50</v>
      </c>
      <c r="P204" t="b">
        <v>0</v>
      </c>
      <c r="Q204" t="b">
        <v>0</v>
      </c>
      <c r="R204" s="9" t="b">
        <v>0</v>
      </c>
      <c r="S204" s="10"/>
      <c r="T204" s="10"/>
      <c r="U204" s="10"/>
      <c r="V204" s="10"/>
      <c r="W204" s="10"/>
      <c r="X204" s="10"/>
      <c r="Y204" s="10"/>
      <c r="Z204" s="10"/>
      <c r="AA204" s="10"/>
      <c r="AB204" s="10"/>
      <c r="AC204" s="10"/>
      <c r="AD204" s="10"/>
      <c r="AE204" s="10"/>
    </row>
    <row r="205" ht="15.75" customHeight="1" spans="1:31">
      <c r="A205" t="s">
        <v>110</v>
      </c>
      <c r="B205" t="s">
        <v>84</v>
      </c>
      <c r="C205">
        <v>102</v>
      </c>
      <c r="D205">
        <v>14.5</v>
      </c>
      <c r="E205">
        <v>27.38</v>
      </c>
      <c r="F205">
        <v>12.1</v>
      </c>
      <c r="G205">
        <v>660</v>
      </c>
      <c r="H205">
        <v>32</v>
      </c>
      <c r="K205" s="43">
        <v>1016</v>
      </c>
      <c r="L205">
        <v>11</v>
      </c>
      <c r="N205" s="10"/>
      <c r="O205" s="3">
        <v>200</v>
      </c>
      <c r="P205" t="b">
        <v>0</v>
      </c>
      <c r="Q205" t="b">
        <v>0</v>
      </c>
      <c r="R205" s="9" t="b">
        <v>0</v>
      </c>
      <c r="S205" s="10"/>
      <c r="T205" s="10"/>
      <c r="U205" s="10"/>
      <c r="V205" s="10"/>
      <c r="W205" s="10"/>
      <c r="X205" s="10"/>
      <c r="Y205" s="10"/>
      <c r="Z205" s="10"/>
      <c r="AA205" s="10"/>
      <c r="AB205" s="10"/>
      <c r="AC205" s="10"/>
      <c r="AD205" s="10"/>
      <c r="AE205" s="10"/>
    </row>
    <row r="206" ht="15.75" customHeight="1" spans="1:31">
      <c r="A206" t="s">
        <v>110</v>
      </c>
      <c r="B206" t="s">
        <v>65</v>
      </c>
      <c r="C206">
        <v>102</v>
      </c>
      <c r="D206">
        <v>14.5</v>
      </c>
      <c r="E206">
        <v>27.38</v>
      </c>
      <c r="F206">
        <v>12.1</v>
      </c>
      <c r="G206">
        <v>660</v>
      </c>
      <c r="H206">
        <v>32</v>
      </c>
      <c r="K206" s="43"/>
      <c r="L206">
        <v>22</v>
      </c>
      <c r="N206" s="10"/>
      <c r="O206" s="3">
        <v>200</v>
      </c>
      <c r="P206" t="b">
        <v>0</v>
      </c>
      <c r="Q206" t="b">
        <v>0</v>
      </c>
      <c r="R206" s="9" t="b">
        <v>0</v>
      </c>
      <c r="S206" s="45"/>
      <c r="T206" s="45"/>
      <c r="U206" s="45"/>
      <c r="V206" s="45"/>
      <c r="W206" s="45"/>
      <c r="X206" s="45"/>
      <c r="Y206" s="45"/>
      <c r="Z206" s="45"/>
      <c r="AA206" s="45"/>
      <c r="AB206" s="45"/>
      <c r="AC206" s="45"/>
      <c r="AD206" s="45"/>
      <c r="AE206" s="45"/>
    </row>
    <row r="207" ht="15.75" customHeight="1" spans="1:31">
      <c r="A207" t="s">
        <v>110</v>
      </c>
      <c r="B207" t="s">
        <v>66</v>
      </c>
      <c r="C207">
        <v>102</v>
      </c>
      <c r="D207">
        <v>14.5</v>
      </c>
      <c r="E207">
        <v>27.38</v>
      </c>
      <c r="F207">
        <v>12.1</v>
      </c>
      <c r="G207">
        <v>660</v>
      </c>
      <c r="H207">
        <v>32</v>
      </c>
      <c r="K207" s="43"/>
      <c r="L207">
        <v>22</v>
      </c>
      <c r="N207" s="10"/>
      <c r="O207" s="3">
        <v>200</v>
      </c>
      <c r="P207" t="b">
        <v>0</v>
      </c>
      <c r="Q207" t="b">
        <v>0</v>
      </c>
      <c r="R207" s="9" t="b">
        <v>0</v>
      </c>
      <c r="S207" s="3"/>
      <c r="T207" s="3"/>
      <c r="U207" s="3"/>
      <c r="V207" s="3"/>
      <c r="W207" s="3"/>
      <c r="X207" s="3"/>
      <c r="Y207" s="3"/>
      <c r="Z207" s="3"/>
      <c r="AA207" s="3"/>
      <c r="AB207" s="3"/>
      <c r="AC207" s="3"/>
      <c r="AD207" s="3"/>
      <c r="AE207" s="3"/>
    </row>
    <row r="208" ht="15.75" customHeight="1" spans="1:31">
      <c r="A208" t="s">
        <v>110</v>
      </c>
      <c r="B208" t="s">
        <v>67</v>
      </c>
      <c r="C208">
        <v>102</v>
      </c>
      <c r="D208">
        <v>14.5</v>
      </c>
      <c r="E208">
        <v>27.38</v>
      </c>
      <c r="F208">
        <v>12.1</v>
      </c>
      <c r="G208">
        <v>660</v>
      </c>
      <c r="H208">
        <v>32</v>
      </c>
      <c r="K208" s="43"/>
      <c r="L208">
        <v>11</v>
      </c>
      <c r="N208" s="10"/>
      <c r="O208" s="3">
        <v>200</v>
      </c>
      <c r="P208" t="b">
        <v>0</v>
      </c>
      <c r="Q208" t="b">
        <v>0</v>
      </c>
      <c r="R208" s="9" t="b">
        <v>0</v>
      </c>
      <c r="S208" s="45"/>
      <c r="T208" s="45"/>
      <c r="U208" s="45"/>
      <c r="V208" s="45"/>
      <c r="W208" s="45"/>
      <c r="X208" s="45"/>
      <c r="Y208" s="45"/>
      <c r="Z208" s="45"/>
      <c r="AA208" s="45"/>
      <c r="AB208" s="45"/>
      <c r="AC208" s="45"/>
      <c r="AD208" s="45"/>
      <c r="AE208" s="45"/>
    </row>
    <row r="209" ht="15.75" customHeight="1" spans="1:31">
      <c r="A209" t="s">
        <v>110</v>
      </c>
      <c r="B209" t="s">
        <v>25</v>
      </c>
      <c r="C209">
        <v>102</v>
      </c>
      <c r="D209">
        <v>14.5</v>
      </c>
      <c r="E209">
        <v>27.38</v>
      </c>
      <c r="F209">
        <v>8.47</v>
      </c>
      <c r="G209">
        <v>990</v>
      </c>
      <c r="H209">
        <v>18.24</v>
      </c>
      <c r="K209" s="43"/>
      <c r="L209">
        <v>38.5</v>
      </c>
      <c r="N209" s="10"/>
      <c r="O209" s="3">
        <v>200</v>
      </c>
      <c r="P209" t="b">
        <v>0</v>
      </c>
      <c r="Q209" t="b">
        <v>0</v>
      </c>
      <c r="R209" s="9" t="b">
        <v>0</v>
      </c>
      <c r="S209" s="45"/>
      <c r="T209" s="45"/>
      <c r="U209" s="45"/>
      <c r="V209" s="45"/>
      <c r="W209" s="45"/>
      <c r="X209" s="45"/>
      <c r="Y209" s="45"/>
      <c r="Z209" s="45"/>
      <c r="AA209" s="45"/>
      <c r="AB209" s="45"/>
      <c r="AC209" s="45"/>
      <c r="AD209" s="45"/>
      <c r="AE209" s="45"/>
    </row>
    <row r="210" ht="15.75" customHeight="1" spans="1:31">
      <c r="A210" t="s">
        <v>111</v>
      </c>
      <c r="B210" t="s">
        <v>84</v>
      </c>
      <c r="C210">
        <v>93</v>
      </c>
      <c r="D210">
        <v>16.5</v>
      </c>
      <c r="E210">
        <v>50</v>
      </c>
      <c r="F210">
        <v>15.7</v>
      </c>
      <c r="G210">
        <v>620</v>
      </c>
      <c r="H210">
        <v>58</v>
      </c>
      <c r="K210" s="43"/>
      <c r="L210">
        <v>11</v>
      </c>
      <c r="N210" s="10"/>
      <c r="O210" s="3">
        <v>200</v>
      </c>
      <c r="P210" t="b">
        <v>0</v>
      </c>
      <c r="Q210" t="b">
        <v>0</v>
      </c>
      <c r="R210" s="9" t="b">
        <v>0</v>
      </c>
      <c r="S210" s="45"/>
      <c r="T210" s="45"/>
      <c r="U210" s="45"/>
      <c r="V210" s="45"/>
      <c r="W210" s="45"/>
      <c r="X210" s="45"/>
      <c r="Y210" s="45"/>
      <c r="Z210" s="45"/>
      <c r="AA210" s="45"/>
      <c r="AB210" s="45"/>
      <c r="AC210" s="45"/>
      <c r="AD210" s="45"/>
      <c r="AE210" s="45"/>
    </row>
    <row r="211" ht="15.75" customHeight="1" spans="1:31">
      <c r="A211" t="s">
        <v>111</v>
      </c>
      <c r="B211" t="s">
        <v>65</v>
      </c>
      <c r="C211" s="25">
        <v>93</v>
      </c>
      <c r="D211" s="25">
        <v>16.5</v>
      </c>
      <c r="E211" s="25">
        <v>50</v>
      </c>
      <c r="F211" s="25">
        <v>15.7</v>
      </c>
      <c r="G211" s="25">
        <v>620</v>
      </c>
      <c r="H211" s="25">
        <v>58</v>
      </c>
      <c r="I211" s="3"/>
      <c r="J211" s="3"/>
      <c r="K211" s="3"/>
      <c r="L211" s="25">
        <v>22</v>
      </c>
      <c r="M211" s="3"/>
      <c r="N211" s="3"/>
      <c r="O211" s="8">
        <v>200</v>
      </c>
      <c r="P211" t="b">
        <v>0</v>
      </c>
      <c r="Q211" t="b">
        <v>0</v>
      </c>
      <c r="R211" s="9" t="b">
        <v>0</v>
      </c>
      <c r="S211" s="45"/>
      <c r="T211" s="45"/>
      <c r="U211" s="45"/>
      <c r="V211" s="45"/>
      <c r="W211" s="45"/>
      <c r="X211" s="45"/>
      <c r="Y211" s="45"/>
      <c r="Z211" s="45"/>
      <c r="AA211" s="45"/>
      <c r="AB211" s="45"/>
      <c r="AC211" s="45"/>
      <c r="AD211" s="45"/>
      <c r="AE211" s="45"/>
    </row>
    <row r="212" ht="15.75" customHeight="1" spans="1:31">
      <c r="A212" t="s">
        <v>111</v>
      </c>
      <c r="B212" t="s">
        <v>66</v>
      </c>
      <c r="C212">
        <v>93</v>
      </c>
      <c r="D212">
        <v>16.5</v>
      </c>
      <c r="E212">
        <v>50</v>
      </c>
      <c r="F212">
        <v>15.7</v>
      </c>
      <c r="G212">
        <v>620</v>
      </c>
      <c r="H212">
        <v>58</v>
      </c>
      <c r="K212" s="43"/>
      <c r="L212">
        <v>22</v>
      </c>
      <c r="N212" s="10"/>
      <c r="O212" s="3">
        <v>200</v>
      </c>
      <c r="P212" t="b">
        <v>0</v>
      </c>
      <c r="Q212" t="b">
        <v>0</v>
      </c>
      <c r="R212" s="9" t="b">
        <v>0</v>
      </c>
      <c r="S212" s="45"/>
      <c r="T212" s="45"/>
      <c r="U212" s="45"/>
      <c r="V212" s="45"/>
      <c r="W212" s="45"/>
      <c r="X212" s="45"/>
      <c r="Y212" s="45"/>
      <c r="Z212" s="45"/>
      <c r="AA212" s="45"/>
      <c r="AB212" s="45"/>
      <c r="AC212" s="45"/>
      <c r="AD212" s="45"/>
      <c r="AE212" s="45"/>
    </row>
    <row r="213" ht="15.75" customHeight="1" spans="1:31">
      <c r="A213" t="s">
        <v>111</v>
      </c>
      <c r="B213" t="s">
        <v>67</v>
      </c>
      <c r="C213">
        <v>93</v>
      </c>
      <c r="D213">
        <v>16.5</v>
      </c>
      <c r="E213">
        <v>50</v>
      </c>
      <c r="F213">
        <v>15.7</v>
      </c>
      <c r="G213">
        <v>620</v>
      </c>
      <c r="H213">
        <v>58</v>
      </c>
      <c r="K213" s="43"/>
      <c r="L213">
        <v>11</v>
      </c>
      <c r="N213" s="10"/>
      <c r="O213" s="3">
        <v>200</v>
      </c>
      <c r="P213" t="b">
        <v>0</v>
      </c>
      <c r="Q213" t="b">
        <v>0</v>
      </c>
      <c r="R213" s="9" t="b">
        <v>0</v>
      </c>
      <c r="S213" s="45"/>
      <c r="T213" s="45"/>
      <c r="U213" s="45"/>
      <c r="V213" s="45"/>
      <c r="W213" s="45"/>
      <c r="X213" s="45"/>
      <c r="Y213" s="45"/>
      <c r="Z213" s="45"/>
      <c r="AA213" s="45"/>
      <c r="AB213" s="45"/>
      <c r="AC213" s="45"/>
      <c r="AD213" s="45"/>
      <c r="AE213" s="45"/>
    </row>
    <row r="214" ht="15.75" customHeight="1" spans="1:31">
      <c r="A214" t="s">
        <v>111</v>
      </c>
      <c r="B214" t="s">
        <v>25</v>
      </c>
      <c r="C214">
        <v>93</v>
      </c>
      <c r="D214">
        <v>16.5</v>
      </c>
      <c r="E214">
        <v>50</v>
      </c>
      <c r="F214">
        <v>10.99</v>
      </c>
      <c r="G214">
        <v>930</v>
      </c>
      <c r="H214">
        <v>28.5</v>
      </c>
      <c r="K214" s="43"/>
      <c r="L214">
        <v>38.5</v>
      </c>
      <c r="N214" s="10"/>
      <c r="O214" s="3">
        <v>200</v>
      </c>
      <c r="P214" t="b">
        <v>0</v>
      </c>
      <c r="Q214" t="b">
        <v>0</v>
      </c>
      <c r="R214" s="9" t="b">
        <v>0</v>
      </c>
      <c r="S214" s="45"/>
      <c r="T214" s="45"/>
      <c r="U214" s="45"/>
      <c r="V214" s="45"/>
      <c r="W214" s="45"/>
      <c r="X214" s="45"/>
      <c r="Y214" s="45"/>
      <c r="Z214" s="45"/>
      <c r="AA214" s="45"/>
      <c r="AB214" s="45"/>
      <c r="AC214" s="45"/>
      <c r="AD214" s="45"/>
      <c r="AE214" s="45"/>
    </row>
    <row r="215" ht="15.75" customHeight="1" spans="1:31">
      <c r="A215" t="s">
        <v>112</v>
      </c>
      <c r="B215" t="s">
        <v>84</v>
      </c>
      <c r="C215">
        <v>122</v>
      </c>
      <c r="D215">
        <v>24.5</v>
      </c>
      <c r="E215">
        <v>86</v>
      </c>
      <c r="F215">
        <v>24.1</v>
      </c>
      <c r="G215">
        <v>670</v>
      </c>
      <c r="H215">
        <v>233</v>
      </c>
      <c r="K215" s="43"/>
      <c r="L215">
        <v>18</v>
      </c>
      <c r="N215" s="10"/>
      <c r="O215" s="3">
        <v>200</v>
      </c>
      <c r="P215" t="b">
        <v>0</v>
      </c>
      <c r="Q215" t="b">
        <v>0</v>
      </c>
      <c r="R215" s="9" t="b">
        <v>0</v>
      </c>
      <c r="S215" s="45"/>
      <c r="T215" s="45"/>
      <c r="U215" s="45"/>
      <c r="V215" s="45"/>
      <c r="W215" s="45"/>
      <c r="X215" s="45"/>
      <c r="Y215" s="45"/>
      <c r="Z215" s="45"/>
      <c r="AA215" s="45"/>
      <c r="AB215" s="45"/>
      <c r="AC215" s="45"/>
      <c r="AD215" s="45"/>
      <c r="AE215" s="45"/>
    </row>
    <row r="216" ht="15.75" customHeight="1" spans="1:31">
      <c r="A216" t="s">
        <v>112</v>
      </c>
      <c r="B216" t="s">
        <v>65</v>
      </c>
      <c r="C216" s="25">
        <v>122</v>
      </c>
      <c r="D216" s="25">
        <v>24.5</v>
      </c>
      <c r="E216" s="25">
        <v>86</v>
      </c>
      <c r="F216" s="25">
        <v>24.1</v>
      </c>
      <c r="G216" s="25">
        <v>670</v>
      </c>
      <c r="H216" s="25">
        <v>233</v>
      </c>
      <c r="I216" s="3"/>
      <c r="J216" s="3"/>
      <c r="K216" s="3"/>
      <c r="L216" s="25">
        <v>36</v>
      </c>
      <c r="M216" s="3"/>
      <c r="N216" s="3"/>
      <c r="O216" s="8">
        <v>200</v>
      </c>
      <c r="P216" t="b">
        <v>0</v>
      </c>
      <c r="Q216" t="b">
        <v>0</v>
      </c>
      <c r="R216" s="9" t="b">
        <v>0</v>
      </c>
      <c r="S216" s="10"/>
      <c r="T216" s="10"/>
      <c r="U216" s="10"/>
      <c r="V216" s="10"/>
      <c r="W216" s="10"/>
      <c r="X216" s="10"/>
      <c r="Y216" s="10"/>
      <c r="Z216" s="10"/>
      <c r="AA216" s="10"/>
      <c r="AB216" s="10"/>
      <c r="AC216" s="10"/>
      <c r="AD216" s="10"/>
      <c r="AE216" s="10"/>
    </row>
    <row r="217" ht="15.75" customHeight="1" spans="1:31">
      <c r="A217" t="s">
        <v>112</v>
      </c>
      <c r="B217" t="s">
        <v>66</v>
      </c>
      <c r="C217">
        <v>122</v>
      </c>
      <c r="D217">
        <v>24.5</v>
      </c>
      <c r="E217">
        <v>86</v>
      </c>
      <c r="F217">
        <v>24.1</v>
      </c>
      <c r="G217">
        <v>670</v>
      </c>
      <c r="H217">
        <v>233</v>
      </c>
      <c r="K217" s="43"/>
      <c r="L217">
        <v>36</v>
      </c>
      <c r="N217" s="10"/>
      <c r="O217" s="3">
        <v>200</v>
      </c>
      <c r="P217" t="b">
        <v>0</v>
      </c>
      <c r="Q217" t="b">
        <v>0</v>
      </c>
      <c r="R217" s="9" t="b">
        <v>0</v>
      </c>
      <c r="S217" s="10"/>
      <c r="T217" s="10"/>
      <c r="U217" s="10"/>
      <c r="V217" s="10"/>
      <c r="W217" s="10"/>
      <c r="X217" s="10"/>
      <c r="Y217" s="10"/>
      <c r="Z217" s="10"/>
      <c r="AA217" s="10"/>
      <c r="AB217" s="10"/>
      <c r="AC217" s="10"/>
      <c r="AD217" s="10"/>
      <c r="AE217" s="10"/>
    </row>
    <row r="218" ht="15.75" customHeight="1" spans="1:31">
      <c r="A218" t="s">
        <v>112</v>
      </c>
      <c r="B218" t="s">
        <v>67</v>
      </c>
      <c r="C218">
        <v>122</v>
      </c>
      <c r="D218">
        <v>24.5</v>
      </c>
      <c r="E218">
        <v>86</v>
      </c>
      <c r="F218">
        <v>24.1</v>
      </c>
      <c r="G218">
        <v>670</v>
      </c>
      <c r="H218">
        <v>233</v>
      </c>
      <c r="K218" s="43"/>
      <c r="L218">
        <v>18</v>
      </c>
      <c r="N218" s="10"/>
      <c r="O218" s="3">
        <v>200</v>
      </c>
      <c r="P218" t="b">
        <v>0</v>
      </c>
      <c r="Q218" t="b">
        <v>0</v>
      </c>
      <c r="R218" s="9" t="b">
        <v>0</v>
      </c>
      <c r="S218" s="10"/>
      <c r="T218" s="10"/>
      <c r="U218" s="10"/>
      <c r="V218" s="10"/>
      <c r="W218" s="10"/>
      <c r="X218" s="10"/>
      <c r="Y218" s="10"/>
      <c r="Z218" s="10"/>
      <c r="AA218" s="10"/>
      <c r="AB218" s="10"/>
      <c r="AC218" s="10"/>
      <c r="AD218" s="10"/>
      <c r="AE218" s="10"/>
    </row>
    <row r="219" ht="15.75" customHeight="1" spans="1:31">
      <c r="A219" t="s">
        <v>112</v>
      </c>
      <c r="B219" t="s">
        <v>25</v>
      </c>
      <c r="C219">
        <v>122</v>
      </c>
      <c r="D219">
        <v>24.5</v>
      </c>
      <c r="E219">
        <v>86</v>
      </c>
      <c r="F219">
        <v>16.87</v>
      </c>
      <c r="G219">
        <v>1005</v>
      </c>
      <c r="H219">
        <v>132.81</v>
      </c>
      <c r="K219" s="43"/>
      <c r="L219">
        <v>63</v>
      </c>
      <c r="N219" s="10"/>
      <c r="O219" s="3">
        <v>200</v>
      </c>
      <c r="P219" t="b">
        <v>0</v>
      </c>
      <c r="Q219" t="b">
        <v>0</v>
      </c>
      <c r="R219" s="9" t="b">
        <v>0</v>
      </c>
      <c r="S219" s="10"/>
      <c r="T219" s="10"/>
      <c r="U219" s="10"/>
      <c r="V219" s="10"/>
      <c r="W219" s="10"/>
      <c r="X219" s="10"/>
      <c r="Y219" s="10"/>
      <c r="Z219" s="10"/>
      <c r="AA219" s="10"/>
      <c r="AB219" s="10"/>
      <c r="AC219" s="10"/>
      <c r="AD219" s="10"/>
      <c r="AE219" s="10"/>
    </row>
    <row r="220" ht="15.75" customHeight="1" spans="1:31">
      <c r="A220" s="14" t="s">
        <v>113</v>
      </c>
      <c r="B220" s="15"/>
      <c r="C220" s="15"/>
      <c r="D220" s="15"/>
      <c r="E220" s="15"/>
      <c r="F220" s="15"/>
      <c r="G220" s="15"/>
      <c r="H220" s="15"/>
      <c r="I220" s="15"/>
      <c r="J220" s="15"/>
      <c r="K220" s="15"/>
      <c r="L220" s="15"/>
      <c r="M220" s="15"/>
      <c r="N220" s="23"/>
      <c r="O220" s="27"/>
      <c r="P220" s="23"/>
      <c r="Q220" s="23"/>
      <c r="R220" s="27"/>
      <c r="S220" s="10"/>
      <c r="T220" s="10"/>
      <c r="U220" s="10"/>
      <c r="V220" s="10"/>
      <c r="W220" s="10"/>
      <c r="X220" s="10"/>
      <c r="Y220" s="10"/>
      <c r="Z220" s="10"/>
      <c r="AA220" s="10"/>
      <c r="AB220" s="10"/>
      <c r="AC220" s="10"/>
      <c r="AD220" s="10"/>
      <c r="AE220" s="10"/>
    </row>
    <row r="221" ht="15.75" customHeight="1" spans="1:31">
      <c r="A221" t="s">
        <v>114</v>
      </c>
      <c r="B221" t="s">
        <v>84</v>
      </c>
      <c r="C221">
        <v>23.2</v>
      </c>
      <c r="D221">
        <v>10.3</v>
      </c>
      <c r="E221">
        <v>3.83</v>
      </c>
      <c r="F221">
        <v>10.3</v>
      </c>
      <c r="G221">
        <v>130</v>
      </c>
      <c r="H221">
        <v>8</v>
      </c>
      <c r="L221">
        <v>1</v>
      </c>
      <c r="N221" s="10"/>
      <c r="O221" s="3">
        <v>500</v>
      </c>
      <c r="P221" t="b">
        <v>0</v>
      </c>
      <c r="Q221" t="b">
        <v>0</v>
      </c>
      <c r="R221" s="9" t="b">
        <v>0</v>
      </c>
      <c r="S221" s="10"/>
      <c r="T221" s="10"/>
      <c r="U221" s="10"/>
      <c r="V221" s="10"/>
      <c r="W221" s="10"/>
      <c r="X221" s="10"/>
      <c r="Y221" s="10"/>
      <c r="Z221" s="10"/>
      <c r="AA221" s="10"/>
      <c r="AB221" s="10"/>
      <c r="AC221" s="10"/>
      <c r="AD221" s="10"/>
      <c r="AE221" s="10"/>
    </row>
    <row r="222" ht="15.75" customHeight="1" spans="1:31">
      <c r="A222" t="s">
        <v>114</v>
      </c>
      <c r="B222" t="s">
        <v>65</v>
      </c>
      <c r="C222">
        <v>23.2</v>
      </c>
      <c r="D222">
        <v>10.3</v>
      </c>
      <c r="E222">
        <v>3.83</v>
      </c>
      <c r="F222">
        <v>10.3</v>
      </c>
      <c r="G222">
        <v>130</v>
      </c>
      <c r="H222">
        <v>8</v>
      </c>
      <c r="L222">
        <v>2</v>
      </c>
      <c r="N222" s="10"/>
      <c r="O222" s="3">
        <v>500</v>
      </c>
      <c r="P222" t="b">
        <v>0</v>
      </c>
      <c r="Q222" t="b">
        <v>0</v>
      </c>
      <c r="R222" s="9" t="b">
        <v>0</v>
      </c>
      <c r="S222" s="10"/>
      <c r="T222" s="10"/>
      <c r="U222" s="10"/>
      <c r="V222" s="10"/>
      <c r="W222" s="10"/>
      <c r="X222" s="10"/>
      <c r="Y222" s="10"/>
      <c r="Z222" s="10"/>
      <c r="AA222" s="10"/>
      <c r="AB222" s="10"/>
      <c r="AC222" s="10"/>
      <c r="AD222" s="10"/>
      <c r="AE222" s="10"/>
    </row>
    <row r="223" ht="15.75" customHeight="1" spans="1:31">
      <c r="A223" t="s">
        <v>114</v>
      </c>
      <c r="B223" t="s">
        <v>115</v>
      </c>
      <c r="C223">
        <v>23.2</v>
      </c>
      <c r="D223">
        <v>10.3</v>
      </c>
      <c r="E223">
        <v>3.83</v>
      </c>
      <c r="F223">
        <v>10.3</v>
      </c>
      <c r="G223">
        <v>130</v>
      </c>
      <c r="H223">
        <v>8</v>
      </c>
      <c r="L223">
        <v>1</v>
      </c>
      <c r="N223" s="10"/>
      <c r="O223" s="3">
        <v>500</v>
      </c>
      <c r="P223" t="b">
        <v>0</v>
      </c>
      <c r="Q223" t="b">
        <v>0</v>
      </c>
      <c r="R223" s="9" t="b">
        <v>0</v>
      </c>
      <c r="S223" s="10"/>
      <c r="T223" s="10"/>
      <c r="U223" s="10"/>
      <c r="V223" s="10"/>
      <c r="W223" s="10"/>
      <c r="X223" s="10"/>
      <c r="Y223" s="10"/>
      <c r="Z223" s="10"/>
      <c r="AA223" s="10"/>
      <c r="AB223" s="10"/>
      <c r="AC223" s="10"/>
      <c r="AD223" s="10"/>
      <c r="AE223" s="10"/>
    </row>
    <row r="224" ht="15.75" customHeight="1" spans="1:31">
      <c r="A224" t="s">
        <v>116</v>
      </c>
      <c r="B224" t="s">
        <v>84</v>
      </c>
      <c r="C224">
        <v>25</v>
      </c>
      <c r="D224">
        <v>8.6</v>
      </c>
      <c r="E224">
        <v>3</v>
      </c>
      <c r="F224">
        <v>7.94</v>
      </c>
      <c r="G224">
        <v>320</v>
      </c>
      <c r="H224">
        <v>4.5</v>
      </c>
      <c r="K224" s="43">
        <v>381</v>
      </c>
      <c r="L224">
        <v>3</v>
      </c>
      <c r="N224" s="10"/>
      <c r="O224" s="3">
        <v>500</v>
      </c>
      <c r="P224" t="b">
        <v>0</v>
      </c>
      <c r="Q224" t="b">
        <v>0</v>
      </c>
      <c r="R224" s="9" t="b">
        <v>0</v>
      </c>
      <c r="S224" s="10"/>
      <c r="T224" s="10"/>
      <c r="U224" s="10"/>
      <c r="V224" s="10"/>
      <c r="W224" s="10"/>
      <c r="X224" s="10"/>
      <c r="Y224" s="10"/>
      <c r="Z224" s="10"/>
      <c r="AA224" s="10"/>
      <c r="AB224" s="10"/>
      <c r="AC224" s="10"/>
      <c r="AD224" s="10"/>
      <c r="AE224" s="10"/>
    </row>
    <row r="225" ht="15.75" customHeight="1" spans="1:31">
      <c r="A225" t="s">
        <v>116</v>
      </c>
      <c r="B225" t="s">
        <v>65</v>
      </c>
      <c r="C225">
        <v>25</v>
      </c>
      <c r="D225">
        <v>8.6</v>
      </c>
      <c r="E225">
        <v>3</v>
      </c>
      <c r="F225">
        <v>7.94</v>
      </c>
      <c r="G225">
        <v>320</v>
      </c>
      <c r="H225">
        <v>4.5</v>
      </c>
      <c r="L225">
        <v>6</v>
      </c>
      <c r="N225" s="10"/>
      <c r="O225" s="3">
        <v>500</v>
      </c>
      <c r="P225" t="b">
        <v>0</v>
      </c>
      <c r="Q225" t="b">
        <v>0</v>
      </c>
      <c r="R225" s="9" t="b">
        <v>0</v>
      </c>
      <c r="S225" s="10"/>
      <c r="T225" s="10"/>
      <c r="U225" s="10"/>
      <c r="V225" s="10"/>
      <c r="W225" s="10"/>
      <c r="X225" s="10"/>
      <c r="Y225" s="10"/>
      <c r="Z225" s="10"/>
      <c r="AA225" s="10"/>
      <c r="AB225" s="10"/>
      <c r="AC225" s="10"/>
      <c r="AD225" s="10"/>
      <c r="AE225" s="10"/>
    </row>
    <row r="226" ht="15.75" customHeight="1" spans="1:31">
      <c r="A226" t="s">
        <v>116</v>
      </c>
      <c r="B226" t="s">
        <v>115</v>
      </c>
      <c r="C226">
        <v>25</v>
      </c>
      <c r="D226">
        <v>8.6</v>
      </c>
      <c r="E226">
        <v>3</v>
      </c>
      <c r="F226">
        <v>7.94</v>
      </c>
      <c r="G226">
        <v>320</v>
      </c>
      <c r="H226">
        <v>4.5</v>
      </c>
      <c r="L226">
        <v>2</v>
      </c>
      <c r="N226" s="10"/>
      <c r="O226" s="3">
        <v>500</v>
      </c>
      <c r="P226" t="b">
        <v>0</v>
      </c>
      <c r="Q226" t="b">
        <v>0</v>
      </c>
      <c r="R226" s="9" t="b">
        <v>0</v>
      </c>
      <c r="S226" s="3"/>
      <c r="T226" s="3"/>
      <c r="U226" s="3"/>
      <c r="V226" s="3"/>
      <c r="W226" s="3"/>
      <c r="X226" s="3"/>
      <c r="Y226" s="3"/>
      <c r="Z226" s="3"/>
      <c r="AA226" s="3"/>
      <c r="AB226" s="3"/>
      <c r="AC226" s="3"/>
      <c r="AD226" s="3"/>
      <c r="AE226" s="3"/>
    </row>
    <row r="227" ht="15.75" customHeight="1" spans="1:31">
      <c r="A227" t="s">
        <v>117</v>
      </c>
      <c r="B227" t="s">
        <v>84</v>
      </c>
      <c r="C227">
        <v>40.5</v>
      </c>
      <c r="D227">
        <v>7.9</v>
      </c>
      <c r="E227">
        <v>4.5</v>
      </c>
      <c r="F227">
        <v>5.7</v>
      </c>
      <c r="G227">
        <v>650</v>
      </c>
      <c r="H227">
        <v>2.6</v>
      </c>
      <c r="I227">
        <v>21.6</v>
      </c>
      <c r="L227">
        <v>5</v>
      </c>
      <c r="N227" s="10"/>
      <c r="O227" s="3">
        <v>500</v>
      </c>
      <c r="P227" t="b">
        <v>0</v>
      </c>
      <c r="Q227" t="b">
        <v>0</v>
      </c>
      <c r="R227" s="9" t="b">
        <v>0</v>
      </c>
      <c r="S227" s="3"/>
      <c r="T227" s="3"/>
      <c r="U227" s="3"/>
      <c r="V227" s="3"/>
      <c r="W227" s="3"/>
      <c r="X227" s="3"/>
      <c r="Y227" s="3"/>
      <c r="Z227" s="3"/>
      <c r="AA227" s="3"/>
      <c r="AB227" s="3"/>
      <c r="AC227" s="3"/>
      <c r="AD227" s="3"/>
      <c r="AE227" s="3"/>
    </row>
    <row r="228" ht="15.75" customHeight="1" spans="1:31">
      <c r="A228" t="s">
        <v>117</v>
      </c>
      <c r="B228" t="s">
        <v>65</v>
      </c>
      <c r="C228">
        <v>40.5</v>
      </c>
      <c r="D228">
        <v>7.9</v>
      </c>
      <c r="E228">
        <v>4.5</v>
      </c>
      <c r="F228">
        <v>5.7</v>
      </c>
      <c r="G228">
        <v>650</v>
      </c>
      <c r="H228">
        <v>2.6</v>
      </c>
      <c r="I228">
        <v>21.6</v>
      </c>
      <c r="L228">
        <v>10</v>
      </c>
      <c r="N228" s="10"/>
      <c r="O228" s="3">
        <v>500</v>
      </c>
      <c r="P228" t="b">
        <v>0</v>
      </c>
      <c r="Q228" t="b">
        <v>0</v>
      </c>
      <c r="R228" s="9" t="b">
        <v>0</v>
      </c>
      <c r="S228" s="3"/>
      <c r="T228" s="3"/>
      <c r="U228" s="3"/>
      <c r="V228" s="3"/>
      <c r="W228" s="3"/>
      <c r="X228" s="3"/>
      <c r="Y228" s="3"/>
      <c r="Z228" s="3"/>
      <c r="AA228" s="3"/>
      <c r="AB228" s="3"/>
      <c r="AC228" s="3"/>
      <c r="AD228" s="3"/>
      <c r="AE228" s="3"/>
    </row>
    <row r="229" ht="15.75" customHeight="1" spans="1:31">
      <c r="A229" t="s">
        <v>117</v>
      </c>
      <c r="B229" t="s">
        <v>115</v>
      </c>
      <c r="C229">
        <v>40.5</v>
      </c>
      <c r="D229">
        <v>7.9</v>
      </c>
      <c r="E229">
        <v>4.5</v>
      </c>
      <c r="F229">
        <v>5.7</v>
      </c>
      <c r="G229">
        <v>650</v>
      </c>
      <c r="H229">
        <v>2.6</v>
      </c>
      <c r="I229">
        <v>21.6</v>
      </c>
      <c r="K229" s="43">
        <v>241</v>
      </c>
      <c r="L229">
        <v>3</v>
      </c>
      <c r="N229" s="10"/>
      <c r="O229" s="3">
        <v>500</v>
      </c>
      <c r="P229" t="b">
        <v>0</v>
      </c>
      <c r="Q229" t="b">
        <v>0</v>
      </c>
      <c r="R229" s="9" t="b">
        <v>0</v>
      </c>
      <c r="S229" s="10"/>
      <c r="T229" s="10"/>
      <c r="U229" s="10"/>
      <c r="V229" s="10"/>
      <c r="W229" s="10"/>
      <c r="X229" s="10"/>
      <c r="Y229" s="10"/>
      <c r="Z229" s="10"/>
      <c r="AA229" s="10"/>
      <c r="AB229" s="10"/>
      <c r="AC229" s="10"/>
      <c r="AD229" s="10"/>
      <c r="AE229" s="10"/>
    </row>
    <row r="230" ht="15.75" customHeight="1" spans="1:31">
      <c r="A230" t="s">
        <v>118</v>
      </c>
      <c r="B230" t="s">
        <v>84</v>
      </c>
      <c r="C230" s="25">
        <v>35</v>
      </c>
      <c r="D230" s="25">
        <v>10.8</v>
      </c>
      <c r="E230" s="25">
        <v>4.5</v>
      </c>
      <c r="F230" s="25">
        <v>7.5</v>
      </c>
      <c r="G230" s="25">
        <v>610</v>
      </c>
      <c r="H230" s="25">
        <v>6.16</v>
      </c>
      <c r="I230" s="3"/>
      <c r="J230" s="3"/>
      <c r="K230" s="3"/>
      <c r="L230" s="25">
        <v>6</v>
      </c>
      <c r="M230" s="3"/>
      <c r="N230" s="3"/>
      <c r="O230" s="8">
        <v>500</v>
      </c>
      <c r="P230" t="b">
        <v>0</v>
      </c>
      <c r="Q230" t="b">
        <v>0</v>
      </c>
      <c r="R230" s="9" t="b">
        <v>0</v>
      </c>
      <c r="S230" s="10"/>
      <c r="T230" s="10"/>
      <c r="U230" s="10"/>
      <c r="V230" s="10"/>
      <c r="W230" s="10"/>
      <c r="X230" s="10"/>
      <c r="Y230" s="10"/>
      <c r="Z230" s="10"/>
      <c r="AA230" s="10"/>
      <c r="AB230" s="10"/>
      <c r="AC230" s="10"/>
      <c r="AD230" s="10"/>
      <c r="AE230" s="10"/>
    </row>
    <row r="231" ht="15.75" customHeight="1" spans="1:31">
      <c r="A231" t="s">
        <v>118</v>
      </c>
      <c r="B231" t="s">
        <v>65</v>
      </c>
      <c r="C231" s="25">
        <v>35</v>
      </c>
      <c r="D231" s="25">
        <v>10.8</v>
      </c>
      <c r="E231" s="25">
        <v>4.5</v>
      </c>
      <c r="F231" s="25">
        <v>7.5</v>
      </c>
      <c r="G231" s="25">
        <v>610</v>
      </c>
      <c r="H231" s="25">
        <v>6.16</v>
      </c>
      <c r="I231" s="3"/>
      <c r="J231" s="3"/>
      <c r="K231" s="3"/>
      <c r="L231" s="25">
        <v>12</v>
      </c>
      <c r="M231" s="3"/>
      <c r="N231" s="3"/>
      <c r="O231" s="8">
        <v>500</v>
      </c>
      <c r="P231" t="b">
        <v>0</v>
      </c>
      <c r="Q231" t="b">
        <v>0</v>
      </c>
      <c r="R231" s="9" t="b">
        <v>0</v>
      </c>
      <c r="S231" s="10"/>
      <c r="T231" s="10"/>
      <c r="U231" s="10"/>
      <c r="V231" s="10"/>
      <c r="W231" s="10"/>
      <c r="X231" s="10"/>
      <c r="Y231" s="10"/>
      <c r="Z231" s="10"/>
      <c r="AA231" s="10"/>
      <c r="AB231" s="10"/>
      <c r="AC231" s="10"/>
      <c r="AD231" s="10"/>
      <c r="AE231" s="10"/>
    </row>
    <row r="232" ht="15.75" customHeight="1" spans="1:31">
      <c r="A232" t="s">
        <v>118</v>
      </c>
      <c r="B232" t="s">
        <v>115</v>
      </c>
      <c r="C232" s="25">
        <v>35</v>
      </c>
      <c r="D232" s="25">
        <v>10.8</v>
      </c>
      <c r="E232" s="25">
        <v>4.5</v>
      </c>
      <c r="F232" s="25">
        <v>7.5</v>
      </c>
      <c r="G232" s="25">
        <v>610</v>
      </c>
      <c r="H232" s="25">
        <v>6.16</v>
      </c>
      <c r="I232" s="3"/>
      <c r="J232" s="3"/>
      <c r="K232" s="3"/>
      <c r="L232" s="25">
        <v>3</v>
      </c>
      <c r="M232" s="3"/>
      <c r="N232" s="3"/>
      <c r="O232" s="8">
        <v>500</v>
      </c>
      <c r="P232" t="b">
        <v>0</v>
      </c>
      <c r="Q232" t="b">
        <v>0</v>
      </c>
      <c r="R232" s="9" t="b">
        <v>0</v>
      </c>
      <c r="S232" s="10"/>
      <c r="T232" s="10"/>
      <c r="U232" s="10"/>
      <c r="V232" s="10"/>
      <c r="W232" s="10"/>
      <c r="X232" s="10"/>
      <c r="Y232" s="10"/>
      <c r="Z232" s="10"/>
      <c r="AA232" s="10"/>
      <c r="AB232" s="10"/>
      <c r="AC232" s="10"/>
      <c r="AD232" s="10"/>
      <c r="AE232" s="10"/>
    </row>
    <row r="233" ht="15.75" customHeight="1" spans="1:31">
      <c r="A233" t="s">
        <v>119</v>
      </c>
      <c r="B233" t="s">
        <v>84</v>
      </c>
      <c r="C233">
        <v>29.69</v>
      </c>
      <c r="D233">
        <v>9.93</v>
      </c>
      <c r="E233">
        <v>4.55</v>
      </c>
      <c r="F233">
        <v>9.01</v>
      </c>
      <c r="G233">
        <v>360</v>
      </c>
      <c r="H233">
        <v>7.45</v>
      </c>
      <c r="K233" s="43">
        <v>335</v>
      </c>
      <c r="L233">
        <v>4</v>
      </c>
      <c r="N233" s="10"/>
      <c r="O233" s="3">
        <v>500</v>
      </c>
      <c r="P233" t="b">
        <v>0</v>
      </c>
      <c r="Q233" t="b">
        <v>0</v>
      </c>
      <c r="R233" s="9" t="b">
        <v>0</v>
      </c>
      <c r="S233" s="10"/>
      <c r="T233" s="10"/>
      <c r="U233" s="10"/>
      <c r="V233" s="10"/>
      <c r="W233" s="10"/>
      <c r="X233" s="10"/>
      <c r="Y233" s="10"/>
      <c r="Z233" s="10"/>
      <c r="AA233" s="10"/>
      <c r="AB233" s="10"/>
      <c r="AC233" s="10"/>
      <c r="AD233" s="10"/>
      <c r="AE233" s="10"/>
    </row>
    <row r="234" ht="15.75" customHeight="1" spans="1:31">
      <c r="A234" t="s">
        <v>119</v>
      </c>
      <c r="B234" t="s">
        <v>65</v>
      </c>
      <c r="C234">
        <v>29.69</v>
      </c>
      <c r="D234">
        <v>9.93</v>
      </c>
      <c r="E234">
        <v>4.55</v>
      </c>
      <c r="F234">
        <v>9.01</v>
      </c>
      <c r="G234">
        <v>360</v>
      </c>
      <c r="H234">
        <v>7.45</v>
      </c>
      <c r="L234">
        <v>8</v>
      </c>
      <c r="N234" s="10"/>
      <c r="O234" s="3">
        <v>500</v>
      </c>
      <c r="P234" t="b">
        <v>0</v>
      </c>
      <c r="Q234" t="b">
        <v>0</v>
      </c>
      <c r="R234" s="9" t="b">
        <v>0</v>
      </c>
      <c r="S234" s="10"/>
      <c r="T234" s="10"/>
      <c r="U234" s="10"/>
      <c r="V234" s="10"/>
      <c r="W234" s="10"/>
      <c r="X234" s="10"/>
      <c r="Y234" s="10"/>
      <c r="Z234" s="10"/>
      <c r="AA234" s="10"/>
      <c r="AB234" s="10"/>
      <c r="AC234" s="10"/>
      <c r="AD234" s="10"/>
      <c r="AE234" s="10"/>
    </row>
    <row r="235" ht="15.75" customHeight="1" spans="1:31">
      <c r="A235" t="s">
        <v>119</v>
      </c>
      <c r="B235" t="s">
        <v>115</v>
      </c>
      <c r="C235">
        <v>29.69</v>
      </c>
      <c r="D235">
        <v>9.93</v>
      </c>
      <c r="E235">
        <v>4.55</v>
      </c>
      <c r="F235">
        <v>9.01</v>
      </c>
      <c r="G235">
        <v>360</v>
      </c>
      <c r="H235">
        <v>7.45</v>
      </c>
      <c r="L235">
        <v>2</v>
      </c>
      <c r="N235" s="10"/>
      <c r="O235" s="3">
        <v>500</v>
      </c>
      <c r="P235" t="b">
        <v>0</v>
      </c>
      <c r="Q235" t="b">
        <v>0</v>
      </c>
      <c r="R235" s="9" t="b">
        <v>0</v>
      </c>
      <c r="S235" s="10"/>
      <c r="T235" s="10"/>
      <c r="U235" s="10"/>
      <c r="V235" s="10"/>
      <c r="W235" s="10"/>
      <c r="X235" s="10"/>
      <c r="Y235" s="10"/>
      <c r="Z235" s="10"/>
      <c r="AA235" s="10"/>
      <c r="AB235" s="10"/>
      <c r="AC235" s="10"/>
      <c r="AD235" s="10"/>
      <c r="AE235" s="10"/>
    </row>
    <row r="236" ht="15.75" customHeight="1" spans="1:31">
      <c r="A236" t="s">
        <v>120</v>
      </c>
      <c r="B236" t="s">
        <v>84</v>
      </c>
      <c r="C236" s="25">
        <v>31.2</v>
      </c>
      <c r="D236" s="25">
        <v>12.2</v>
      </c>
      <c r="E236" s="25">
        <f t="shared" ref="E236:E238" si="3">23.94-H236</f>
        <v>6.94</v>
      </c>
      <c r="F236" s="25">
        <v>11.5</v>
      </c>
      <c r="G236" s="25">
        <v>180</v>
      </c>
      <c r="H236" s="25">
        <v>17</v>
      </c>
      <c r="I236" s="3"/>
      <c r="J236" s="3"/>
      <c r="K236" s="44">
        <f>10*25.4</f>
        <v>254</v>
      </c>
      <c r="L236" s="34">
        <f>K236*0.011</f>
        <v>2.794</v>
      </c>
      <c r="M236" s="3"/>
      <c r="N236" s="3"/>
      <c r="O236" s="8">
        <v>500</v>
      </c>
      <c r="P236" t="b">
        <v>0</v>
      </c>
      <c r="Q236" t="b">
        <v>0</v>
      </c>
      <c r="R236" s="9" t="b">
        <v>0</v>
      </c>
      <c r="S236" s="10"/>
      <c r="T236" s="10"/>
      <c r="U236" s="10"/>
      <c r="V236" s="10"/>
      <c r="W236" s="10"/>
      <c r="X236" s="10"/>
      <c r="Y236" s="10"/>
      <c r="Z236" s="10"/>
      <c r="AA236" s="10"/>
      <c r="AB236" s="10"/>
      <c r="AC236" s="10"/>
      <c r="AD236" s="10"/>
      <c r="AE236" s="10"/>
    </row>
    <row r="237" ht="15.75" customHeight="1" spans="1:31">
      <c r="A237" t="s">
        <v>120</v>
      </c>
      <c r="B237" t="s">
        <v>65</v>
      </c>
      <c r="C237" s="25">
        <v>31.2</v>
      </c>
      <c r="D237" s="25">
        <v>12.2</v>
      </c>
      <c r="E237" s="25">
        <f t="shared" si="3"/>
        <v>6.94</v>
      </c>
      <c r="F237" s="25">
        <v>11.5</v>
      </c>
      <c r="G237" s="25">
        <v>180</v>
      </c>
      <c r="H237" s="25">
        <v>17</v>
      </c>
      <c r="K237" s="43"/>
      <c r="L237">
        <v>6</v>
      </c>
      <c r="N237" s="10"/>
      <c r="O237" s="8">
        <v>500</v>
      </c>
      <c r="P237" t="b">
        <v>0</v>
      </c>
      <c r="Q237" t="b">
        <v>0</v>
      </c>
      <c r="R237" s="9" t="b">
        <v>0</v>
      </c>
      <c r="S237" s="10"/>
      <c r="T237" s="10"/>
      <c r="U237" s="10"/>
      <c r="V237" s="10"/>
      <c r="W237" s="10"/>
      <c r="X237" s="10"/>
      <c r="Y237" s="10"/>
      <c r="Z237" s="10"/>
      <c r="AA237" s="10"/>
      <c r="AB237" s="10"/>
      <c r="AC237" s="10"/>
      <c r="AD237" s="10"/>
      <c r="AE237" s="10"/>
    </row>
    <row r="238" ht="15.75" customHeight="1" spans="1:31">
      <c r="A238" t="s">
        <v>120</v>
      </c>
      <c r="B238" t="s">
        <v>115</v>
      </c>
      <c r="C238" s="25">
        <v>31.2</v>
      </c>
      <c r="D238" s="25">
        <v>12.2</v>
      </c>
      <c r="E238" s="25">
        <f t="shared" si="3"/>
        <v>6.94</v>
      </c>
      <c r="F238" s="25">
        <v>11.5</v>
      </c>
      <c r="G238" s="25">
        <v>180</v>
      </c>
      <c r="H238" s="25">
        <v>17</v>
      </c>
      <c r="K238" s="43"/>
      <c r="L238">
        <v>2</v>
      </c>
      <c r="N238" s="10"/>
      <c r="O238" s="8">
        <v>500</v>
      </c>
      <c r="P238" t="b">
        <v>0</v>
      </c>
      <c r="Q238" t="b">
        <v>0</v>
      </c>
      <c r="R238" s="9" t="b">
        <v>0</v>
      </c>
      <c r="S238" s="10"/>
      <c r="T238" s="10"/>
      <c r="U238" s="10"/>
      <c r="V238" s="10"/>
      <c r="W238" s="10"/>
      <c r="X238" s="10"/>
      <c r="Y238" s="10"/>
      <c r="Z238" s="10"/>
      <c r="AA238" s="10"/>
      <c r="AB238" s="10"/>
      <c r="AC238" s="10"/>
      <c r="AD238" s="10"/>
      <c r="AE238" s="10"/>
    </row>
    <row r="239" ht="15.75" customHeight="1" spans="1:31">
      <c r="A239" t="s">
        <v>121</v>
      </c>
      <c r="B239" t="s">
        <v>84</v>
      </c>
      <c r="C239">
        <v>32.4</v>
      </c>
      <c r="D239">
        <v>12.1</v>
      </c>
      <c r="E239">
        <v>5</v>
      </c>
      <c r="F239">
        <v>11.5</v>
      </c>
      <c r="G239">
        <v>270</v>
      </c>
      <c r="H239">
        <v>14.9</v>
      </c>
      <c r="K239" s="43">
        <v>262</v>
      </c>
      <c r="L239">
        <v>3</v>
      </c>
      <c r="N239" s="10"/>
      <c r="O239" s="3">
        <v>500</v>
      </c>
      <c r="P239" t="b">
        <v>0</v>
      </c>
      <c r="Q239" t="b">
        <v>0</v>
      </c>
      <c r="R239" s="9" t="b">
        <v>0</v>
      </c>
      <c r="S239" s="10"/>
      <c r="T239" s="10"/>
      <c r="U239" s="10"/>
      <c r="V239" s="10"/>
      <c r="W239" s="10"/>
      <c r="X239" s="10"/>
      <c r="Y239" s="10"/>
      <c r="Z239" s="10"/>
      <c r="AA239" s="10"/>
      <c r="AB239" s="10"/>
      <c r="AC239" s="10"/>
      <c r="AD239" s="10"/>
      <c r="AE239" s="10"/>
    </row>
    <row r="240" ht="15.75" customHeight="1" spans="1:31">
      <c r="A240" t="s">
        <v>121</v>
      </c>
      <c r="B240" t="s">
        <v>65</v>
      </c>
      <c r="C240">
        <v>32.4</v>
      </c>
      <c r="D240">
        <v>12.1</v>
      </c>
      <c r="E240">
        <v>5</v>
      </c>
      <c r="F240">
        <v>11.5</v>
      </c>
      <c r="G240">
        <v>270</v>
      </c>
      <c r="H240">
        <v>14.9</v>
      </c>
      <c r="K240" s="43">
        <v>380</v>
      </c>
      <c r="L240">
        <v>6</v>
      </c>
      <c r="N240" s="10"/>
      <c r="O240" s="3">
        <v>500</v>
      </c>
      <c r="P240" t="b">
        <v>0</v>
      </c>
      <c r="Q240" t="b">
        <v>0</v>
      </c>
      <c r="R240" s="9" t="b">
        <v>0</v>
      </c>
      <c r="S240" s="10"/>
      <c r="T240" s="10"/>
      <c r="U240" s="10"/>
      <c r="V240" s="10"/>
      <c r="W240" s="10"/>
      <c r="X240" s="10"/>
      <c r="Y240" s="10"/>
      <c r="Z240" s="10"/>
      <c r="AA240" s="10"/>
      <c r="AB240" s="10"/>
      <c r="AC240" s="10"/>
      <c r="AD240" s="10"/>
      <c r="AE240" s="10"/>
    </row>
    <row r="241" ht="15.75" customHeight="1" spans="1:31">
      <c r="A241" t="s">
        <v>121</v>
      </c>
      <c r="B241" t="s">
        <v>115</v>
      </c>
      <c r="C241">
        <v>32.4</v>
      </c>
      <c r="D241">
        <v>12.1</v>
      </c>
      <c r="E241">
        <v>5</v>
      </c>
      <c r="F241">
        <v>11.5</v>
      </c>
      <c r="G241">
        <v>270</v>
      </c>
      <c r="H241">
        <v>14.9</v>
      </c>
      <c r="K241" s="43">
        <v>180</v>
      </c>
      <c r="L241">
        <v>2</v>
      </c>
      <c r="N241" s="10"/>
      <c r="O241" s="3">
        <v>500</v>
      </c>
      <c r="P241" t="b">
        <v>0</v>
      </c>
      <c r="Q241" t="b">
        <v>0</v>
      </c>
      <c r="R241" s="9" t="b">
        <v>0</v>
      </c>
      <c r="S241" s="10"/>
      <c r="T241" s="10"/>
      <c r="U241" s="10"/>
      <c r="V241" s="10"/>
      <c r="W241" s="10"/>
      <c r="X241" s="10"/>
      <c r="Y241" s="10"/>
      <c r="Z241" s="10"/>
      <c r="AA241" s="10"/>
      <c r="AB241" s="10"/>
      <c r="AC241" s="10"/>
      <c r="AD241" s="10"/>
      <c r="AE241" s="10"/>
    </row>
    <row r="242" ht="15.75" customHeight="1" spans="1:31">
      <c r="A242" t="s">
        <v>122</v>
      </c>
      <c r="B242" t="s">
        <v>84</v>
      </c>
      <c r="C242">
        <v>40.9</v>
      </c>
      <c r="D242">
        <v>13.9</v>
      </c>
      <c r="E242">
        <v>9.45</v>
      </c>
      <c r="F242">
        <v>12.7</v>
      </c>
      <c r="G242">
        <v>450</v>
      </c>
      <c r="H242">
        <v>19</v>
      </c>
      <c r="L242">
        <v>8</v>
      </c>
      <c r="N242" s="10"/>
      <c r="O242" s="3">
        <v>500</v>
      </c>
      <c r="P242" t="b">
        <v>0</v>
      </c>
      <c r="Q242" t="b">
        <v>0</v>
      </c>
      <c r="R242" s="9" t="b">
        <v>0</v>
      </c>
      <c r="S242" s="10"/>
      <c r="T242" s="10"/>
      <c r="U242" s="10"/>
      <c r="V242" s="10"/>
      <c r="W242" s="10"/>
      <c r="X242" s="10"/>
      <c r="Y242" s="10"/>
      <c r="Z242" s="10"/>
      <c r="AA242" s="10"/>
      <c r="AB242" s="10"/>
      <c r="AC242" s="10"/>
      <c r="AD242" s="10"/>
      <c r="AE242" s="10"/>
    </row>
    <row r="243" ht="15.75" customHeight="1" spans="1:31">
      <c r="A243" t="s">
        <v>122</v>
      </c>
      <c r="B243" t="s">
        <v>65</v>
      </c>
      <c r="C243">
        <v>40.9</v>
      </c>
      <c r="D243">
        <v>13.9</v>
      </c>
      <c r="E243">
        <v>9.45</v>
      </c>
      <c r="F243">
        <v>12.7</v>
      </c>
      <c r="G243">
        <v>450</v>
      </c>
      <c r="H243">
        <v>19</v>
      </c>
      <c r="L243">
        <v>16</v>
      </c>
      <c r="N243" s="10"/>
      <c r="O243" s="3">
        <v>500</v>
      </c>
      <c r="P243" t="b">
        <v>0</v>
      </c>
      <c r="Q243" t="b">
        <v>0</v>
      </c>
      <c r="R243" s="9" t="b">
        <v>0</v>
      </c>
      <c r="S243" s="10"/>
      <c r="T243" s="10"/>
      <c r="U243" s="10"/>
      <c r="V243" s="10"/>
      <c r="W243" s="10"/>
      <c r="X243" s="10"/>
      <c r="Y243" s="10"/>
      <c r="Z243" s="10"/>
      <c r="AA243" s="10"/>
      <c r="AB243" s="10"/>
      <c r="AC243" s="10"/>
      <c r="AD243" s="10"/>
      <c r="AE243" s="10"/>
    </row>
    <row r="244" ht="15.75" customHeight="1" spans="1:31">
      <c r="A244" t="s">
        <v>122</v>
      </c>
      <c r="B244" t="s">
        <v>115</v>
      </c>
      <c r="C244">
        <v>40.9</v>
      </c>
      <c r="D244">
        <v>13.9</v>
      </c>
      <c r="E244">
        <v>9.45</v>
      </c>
      <c r="F244">
        <v>12.7</v>
      </c>
      <c r="G244">
        <v>450</v>
      </c>
      <c r="H244">
        <v>19</v>
      </c>
      <c r="K244" s="43">
        <v>330</v>
      </c>
      <c r="L244">
        <v>4</v>
      </c>
      <c r="N244" s="10"/>
      <c r="O244" s="3">
        <v>500</v>
      </c>
      <c r="P244" t="b">
        <v>0</v>
      </c>
      <c r="Q244" t="b">
        <v>0</v>
      </c>
      <c r="R244" s="9" t="b">
        <v>0</v>
      </c>
      <c r="S244" s="3"/>
      <c r="T244" s="3"/>
      <c r="U244" s="3"/>
      <c r="V244" s="3"/>
      <c r="W244" s="3"/>
      <c r="X244" s="3"/>
      <c r="Y244" s="3"/>
      <c r="Z244" s="3"/>
      <c r="AA244" s="3"/>
      <c r="AB244" s="3"/>
      <c r="AC244" s="3"/>
      <c r="AD244" s="3"/>
      <c r="AE244" s="3"/>
    </row>
    <row r="245" ht="15.75" customHeight="1" spans="1:31">
      <c r="A245" t="s">
        <v>123</v>
      </c>
      <c r="B245" t="s">
        <v>84</v>
      </c>
      <c r="C245">
        <v>58.4</v>
      </c>
      <c r="D245">
        <v>13.4</v>
      </c>
      <c r="E245">
        <v>12.18</v>
      </c>
      <c r="F245">
        <v>12.7</v>
      </c>
      <c r="G245">
        <v>488</v>
      </c>
      <c r="H245">
        <v>22.6</v>
      </c>
      <c r="L245">
        <v>8</v>
      </c>
      <c r="N245" s="10"/>
      <c r="O245" s="3">
        <v>500</v>
      </c>
      <c r="P245" t="b">
        <v>0</v>
      </c>
      <c r="Q245" t="b">
        <v>0</v>
      </c>
      <c r="R245" s="9" t="b">
        <v>0</v>
      </c>
      <c r="S245" s="3"/>
      <c r="T245" s="3"/>
      <c r="U245" s="3"/>
      <c r="V245" s="3"/>
      <c r="W245" s="3"/>
      <c r="X245" s="3"/>
      <c r="Y245" s="3"/>
      <c r="Z245" s="3"/>
      <c r="AA245" s="3"/>
      <c r="AB245" s="3"/>
      <c r="AC245" s="3"/>
      <c r="AD245" s="3"/>
      <c r="AE245" s="3"/>
    </row>
    <row r="246" ht="15.75" customHeight="1" spans="1:31">
      <c r="A246" t="s">
        <v>123</v>
      </c>
      <c r="B246" t="s">
        <v>65</v>
      </c>
      <c r="C246">
        <v>58.4</v>
      </c>
      <c r="D246">
        <v>13.4</v>
      </c>
      <c r="E246">
        <v>12.18</v>
      </c>
      <c r="F246">
        <v>12.7</v>
      </c>
      <c r="G246">
        <v>488</v>
      </c>
      <c r="H246">
        <v>22.6</v>
      </c>
      <c r="L246">
        <v>16</v>
      </c>
      <c r="N246" s="10"/>
      <c r="O246" s="3">
        <v>500</v>
      </c>
      <c r="P246" t="b">
        <v>0</v>
      </c>
      <c r="Q246" t="b">
        <v>0</v>
      </c>
      <c r="R246" s="9" t="b">
        <v>0</v>
      </c>
      <c r="S246" s="3"/>
      <c r="T246" s="3"/>
      <c r="U246" s="3"/>
      <c r="V246" s="3"/>
      <c r="W246" s="3"/>
      <c r="X246" s="3"/>
      <c r="Y246" s="3"/>
      <c r="Z246" s="3"/>
      <c r="AA246" s="3"/>
      <c r="AB246" s="3"/>
      <c r="AC246" s="3"/>
      <c r="AD246" s="3"/>
      <c r="AE246" s="3"/>
    </row>
    <row r="247" ht="15.75" customHeight="1" spans="1:31">
      <c r="A247" t="s">
        <v>123</v>
      </c>
      <c r="B247" t="s">
        <v>115</v>
      </c>
      <c r="C247">
        <v>58.4</v>
      </c>
      <c r="D247">
        <v>13.4</v>
      </c>
      <c r="E247">
        <v>12.18</v>
      </c>
      <c r="F247">
        <v>12.7</v>
      </c>
      <c r="G247">
        <v>488</v>
      </c>
      <c r="H247">
        <v>22.6</v>
      </c>
      <c r="K247" s="43">
        <v>376</v>
      </c>
      <c r="L247">
        <v>4</v>
      </c>
      <c r="N247" s="10"/>
      <c r="O247" s="3">
        <v>500</v>
      </c>
      <c r="P247" t="b">
        <v>0</v>
      </c>
      <c r="Q247" t="b">
        <v>0</v>
      </c>
      <c r="R247" s="9" t="b">
        <v>0</v>
      </c>
      <c r="S247" s="10"/>
      <c r="T247" s="10"/>
      <c r="U247" s="10"/>
      <c r="V247" s="10"/>
      <c r="W247" s="10"/>
      <c r="X247" s="10"/>
      <c r="Y247" s="10"/>
      <c r="Z247" s="10"/>
      <c r="AA247" s="10"/>
      <c r="AB247" s="10"/>
      <c r="AC247" s="10"/>
      <c r="AD247" s="10"/>
      <c r="AE247" s="10"/>
    </row>
    <row r="248" ht="15.75" customHeight="1" spans="1:31">
      <c r="A248" t="s">
        <v>124</v>
      </c>
      <c r="B248" t="s">
        <v>84</v>
      </c>
      <c r="C248" s="25">
        <v>58.4</v>
      </c>
      <c r="D248" s="25">
        <v>12.1</v>
      </c>
      <c r="E248" s="25">
        <v>12.2</v>
      </c>
      <c r="F248" s="25">
        <v>11.5</v>
      </c>
      <c r="G248" s="25">
        <v>503</v>
      </c>
      <c r="H248" s="25">
        <v>21.05</v>
      </c>
      <c r="I248" s="3"/>
      <c r="K248" s="3"/>
      <c r="L248" s="25">
        <v>7</v>
      </c>
      <c r="N248" s="3"/>
      <c r="O248" s="8">
        <v>500</v>
      </c>
      <c r="P248" t="b">
        <v>0</v>
      </c>
      <c r="Q248" t="b">
        <v>0</v>
      </c>
      <c r="R248" s="9" t="b">
        <v>0</v>
      </c>
      <c r="S248" s="10"/>
      <c r="T248" s="10"/>
      <c r="U248" s="10"/>
      <c r="V248" s="10"/>
      <c r="W248" s="10"/>
      <c r="X248" s="10"/>
      <c r="Y248" s="10"/>
      <c r="Z248" s="10"/>
      <c r="AA248" s="10"/>
      <c r="AB248" s="10"/>
      <c r="AC248" s="10"/>
      <c r="AD248" s="10"/>
      <c r="AE248" s="10"/>
    </row>
    <row r="249" ht="15.75" customHeight="1" spans="1:31">
      <c r="A249" t="s">
        <v>124</v>
      </c>
      <c r="B249" s="3" t="s">
        <v>65</v>
      </c>
      <c r="C249" s="25">
        <v>58.4</v>
      </c>
      <c r="D249" s="25">
        <v>12.1</v>
      </c>
      <c r="E249" s="25">
        <v>12.2</v>
      </c>
      <c r="F249" s="25">
        <v>11.5</v>
      </c>
      <c r="G249" s="25">
        <v>503</v>
      </c>
      <c r="H249" s="25">
        <v>21.05</v>
      </c>
      <c r="I249" s="3"/>
      <c r="K249" s="3"/>
      <c r="L249" s="25">
        <v>14</v>
      </c>
      <c r="N249" s="3"/>
      <c r="O249" s="8">
        <v>500</v>
      </c>
      <c r="P249" t="b">
        <v>0</v>
      </c>
      <c r="Q249" t="b">
        <v>0</v>
      </c>
      <c r="R249" s="9" t="b">
        <v>0</v>
      </c>
      <c r="S249" s="10"/>
      <c r="T249" s="10"/>
      <c r="U249" s="10"/>
      <c r="V249" s="10"/>
      <c r="W249" s="10"/>
      <c r="X249" s="10"/>
      <c r="Y249" s="10"/>
      <c r="Z249" s="10"/>
      <c r="AA249" s="10"/>
      <c r="AB249" s="10"/>
      <c r="AC249" s="10"/>
      <c r="AD249" s="10"/>
      <c r="AE249" s="10"/>
    </row>
    <row r="250" ht="15.75" customHeight="1" spans="1:31">
      <c r="A250" t="s">
        <v>124</v>
      </c>
      <c r="B250" t="s">
        <v>115</v>
      </c>
      <c r="C250" s="25">
        <v>58.4</v>
      </c>
      <c r="D250" s="25">
        <v>12.1</v>
      </c>
      <c r="E250" s="25">
        <v>12.2</v>
      </c>
      <c r="F250" s="25">
        <v>11.5</v>
      </c>
      <c r="G250" s="25">
        <v>503</v>
      </c>
      <c r="H250" s="25">
        <v>21.05</v>
      </c>
      <c r="I250" s="3"/>
      <c r="K250" s="3"/>
      <c r="L250" s="25">
        <v>3.5</v>
      </c>
      <c r="N250" s="3"/>
      <c r="O250" s="8">
        <v>500</v>
      </c>
      <c r="P250" t="b">
        <v>0</v>
      </c>
      <c r="Q250" t="b">
        <v>0</v>
      </c>
      <c r="R250" s="9" t="b">
        <v>0</v>
      </c>
      <c r="S250" s="10"/>
      <c r="T250" s="10"/>
      <c r="U250" s="10"/>
      <c r="V250" s="10"/>
      <c r="W250" s="10"/>
      <c r="X250" s="10"/>
      <c r="Y250" s="10"/>
      <c r="Z250" s="10"/>
      <c r="AA250" s="10"/>
      <c r="AB250" s="10"/>
      <c r="AC250" s="10"/>
      <c r="AD250" s="10"/>
      <c r="AE250" s="10"/>
    </row>
    <row r="251" ht="15.75" customHeight="1" spans="1:31">
      <c r="A251" t="s">
        <v>125</v>
      </c>
      <c r="B251" t="s">
        <v>84</v>
      </c>
      <c r="C251">
        <v>25.4</v>
      </c>
      <c r="D251">
        <v>5.7</v>
      </c>
      <c r="E251">
        <v>0.7</v>
      </c>
      <c r="F251">
        <v>5.7</v>
      </c>
      <c r="G251">
        <v>440</v>
      </c>
      <c r="H251">
        <v>2.1</v>
      </c>
      <c r="K251" s="43">
        <v>330</v>
      </c>
      <c r="L251">
        <v>4</v>
      </c>
      <c r="N251" s="10"/>
      <c r="O251" s="3">
        <v>500</v>
      </c>
      <c r="P251" t="b">
        <v>0</v>
      </c>
      <c r="Q251" t="b">
        <v>0</v>
      </c>
      <c r="R251" s="9" t="b">
        <v>0</v>
      </c>
      <c r="S251" s="10"/>
      <c r="T251" s="10"/>
      <c r="U251" s="10"/>
      <c r="V251" s="10"/>
      <c r="W251" s="10"/>
      <c r="X251" s="10"/>
      <c r="Y251" s="10"/>
      <c r="Z251" s="10"/>
      <c r="AA251" s="10"/>
      <c r="AB251" s="10"/>
      <c r="AC251" s="10"/>
      <c r="AD251" s="10"/>
      <c r="AE251" s="10"/>
    </row>
    <row r="252" ht="15.75" customHeight="1" spans="1:31">
      <c r="A252" t="s">
        <v>125</v>
      </c>
      <c r="B252" t="s">
        <v>65</v>
      </c>
      <c r="C252">
        <v>25.4</v>
      </c>
      <c r="D252">
        <v>5.7</v>
      </c>
      <c r="E252">
        <v>0.7</v>
      </c>
      <c r="F252">
        <v>5.7</v>
      </c>
      <c r="G252">
        <v>440</v>
      </c>
      <c r="H252">
        <v>2.1</v>
      </c>
      <c r="L252">
        <v>8</v>
      </c>
      <c r="N252" s="10"/>
      <c r="O252" s="3">
        <v>500</v>
      </c>
      <c r="P252" t="b">
        <v>0</v>
      </c>
      <c r="Q252" t="b">
        <v>0</v>
      </c>
      <c r="R252" s="9" t="b">
        <v>0</v>
      </c>
      <c r="S252" s="10"/>
      <c r="T252" s="10"/>
      <c r="U252" s="10"/>
      <c r="V252" s="10"/>
      <c r="W252" s="10"/>
      <c r="X252" s="10"/>
      <c r="Y252" s="10"/>
      <c r="Z252" s="10"/>
      <c r="AA252" s="10"/>
      <c r="AB252" s="10"/>
      <c r="AC252" s="10"/>
      <c r="AD252" s="10"/>
      <c r="AE252" s="10"/>
    </row>
    <row r="253" ht="15.75" customHeight="1" spans="1:31">
      <c r="A253" t="s">
        <v>125</v>
      </c>
      <c r="B253" t="s">
        <v>115</v>
      </c>
      <c r="C253">
        <v>25.4</v>
      </c>
      <c r="D253">
        <v>5.7</v>
      </c>
      <c r="E253">
        <v>0.7</v>
      </c>
      <c r="F253">
        <v>5.7</v>
      </c>
      <c r="G253">
        <v>440</v>
      </c>
      <c r="H253">
        <v>2.1</v>
      </c>
      <c r="L253">
        <v>2</v>
      </c>
      <c r="N253" s="10"/>
      <c r="O253" s="3">
        <v>500</v>
      </c>
      <c r="P253" t="b">
        <v>0</v>
      </c>
      <c r="Q253" t="b">
        <v>0</v>
      </c>
      <c r="R253" s="9" t="b">
        <v>0</v>
      </c>
      <c r="S253" s="10"/>
      <c r="T253" s="10"/>
      <c r="U253" s="10"/>
      <c r="V253" s="10"/>
      <c r="W253" s="10"/>
      <c r="X253" s="10"/>
      <c r="Y253" s="10"/>
      <c r="Z253" s="10"/>
      <c r="AA253" s="10"/>
      <c r="AB253" s="10"/>
      <c r="AC253" s="10"/>
      <c r="AD253" s="10"/>
      <c r="AE253" s="10"/>
    </row>
    <row r="254" ht="15.75" customHeight="1" spans="1:31">
      <c r="A254" t="s">
        <v>126</v>
      </c>
      <c r="B254" t="s">
        <v>84</v>
      </c>
      <c r="C254">
        <v>40</v>
      </c>
      <c r="D254">
        <v>9.6</v>
      </c>
      <c r="E254">
        <v>6</v>
      </c>
      <c r="F254">
        <v>9.1</v>
      </c>
      <c r="G254">
        <v>427</v>
      </c>
      <c r="H254">
        <v>10.2</v>
      </c>
      <c r="L254">
        <v>6</v>
      </c>
      <c r="N254" s="10"/>
      <c r="O254" s="3">
        <v>500</v>
      </c>
      <c r="P254" t="b">
        <v>0</v>
      </c>
      <c r="Q254" t="b">
        <v>0</v>
      </c>
      <c r="R254" s="9" t="b">
        <v>0</v>
      </c>
      <c r="S254" s="10"/>
      <c r="T254" s="10"/>
      <c r="U254" s="10"/>
      <c r="V254" s="10"/>
      <c r="W254" s="10"/>
      <c r="X254" s="10"/>
      <c r="Y254" s="10"/>
      <c r="Z254" s="10"/>
      <c r="AA254" s="10"/>
      <c r="AB254" s="10"/>
      <c r="AC254" s="10"/>
      <c r="AD254" s="10"/>
      <c r="AE254" s="10"/>
    </row>
    <row r="255" ht="15.75" customHeight="1" spans="1:31">
      <c r="A255" t="s">
        <v>126</v>
      </c>
      <c r="B255" t="s">
        <v>65</v>
      </c>
      <c r="C255">
        <v>40</v>
      </c>
      <c r="D255">
        <v>9.6</v>
      </c>
      <c r="E255">
        <v>6</v>
      </c>
      <c r="F255">
        <v>9.1</v>
      </c>
      <c r="G255">
        <v>427</v>
      </c>
      <c r="H255">
        <v>10.2</v>
      </c>
      <c r="L255">
        <v>12</v>
      </c>
      <c r="N255" s="10"/>
      <c r="O255" s="3">
        <v>500</v>
      </c>
      <c r="P255" t="b">
        <v>0</v>
      </c>
      <c r="Q255" t="b">
        <v>0</v>
      </c>
      <c r="R255" s="9" t="b">
        <v>0</v>
      </c>
      <c r="S255" s="10"/>
      <c r="T255" s="10"/>
      <c r="U255" s="10"/>
      <c r="V255" s="10"/>
      <c r="W255" s="10"/>
      <c r="X255" s="10"/>
      <c r="Y255" s="10"/>
      <c r="Z255" s="10"/>
      <c r="AA255" s="10"/>
      <c r="AB255" s="10"/>
      <c r="AC255" s="10"/>
      <c r="AD255" s="10"/>
      <c r="AE255" s="10"/>
    </row>
    <row r="256" ht="15.75" customHeight="1" spans="1:31">
      <c r="A256" t="s">
        <v>126</v>
      </c>
      <c r="B256" t="s">
        <v>115</v>
      </c>
      <c r="C256">
        <v>40</v>
      </c>
      <c r="D256">
        <v>9.6</v>
      </c>
      <c r="E256">
        <v>6</v>
      </c>
      <c r="F256">
        <v>9.1</v>
      </c>
      <c r="G256">
        <v>427</v>
      </c>
      <c r="H256">
        <v>10.2</v>
      </c>
      <c r="K256" s="43">
        <v>272</v>
      </c>
      <c r="L256">
        <v>3</v>
      </c>
      <c r="N256" s="10"/>
      <c r="O256" s="3">
        <v>500</v>
      </c>
      <c r="P256" t="b">
        <v>0</v>
      </c>
      <c r="Q256" t="b">
        <v>0</v>
      </c>
      <c r="R256" s="9" t="b">
        <v>0</v>
      </c>
      <c r="S256" s="10"/>
      <c r="T256" s="10"/>
      <c r="U256" s="10"/>
      <c r="V256" s="10"/>
      <c r="W256" s="10"/>
      <c r="X256" s="10"/>
      <c r="Y256" s="10"/>
      <c r="Z256" s="10"/>
      <c r="AA256" s="10"/>
      <c r="AB256" s="10"/>
      <c r="AC256" s="10"/>
      <c r="AD256" s="10"/>
      <c r="AE256" s="10"/>
    </row>
    <row r="257" ht="15.75" customHeight="1" spans="1:31">
      <c r="A257" t="s">
        <v>127</v>
      </c>
      <c r="B257" t="s">
        <v>84</v>
      </c>
      <c r="C257">
        <v>41</v>
      </c>
      <c r="D257">
        <v>11.6</v>
      </c>
      <c r="E257">
        <v>7</v>
      </c>
      <c r="F257">
        <v>10.9</v>
      </c>
      <c r="G257">
        <v>387</v>
      </c>
      <c r="H257">
        <v>15.55</v>
      </c>
      <c r="L257">
        <v>6</v>
      </c>
      <c r="N257" s="10"/>
      <c r="O257" s="3">
        <v>500</v>
      </c>
      <c r="P257" t="b">
        <v>0</v>
      </c>
      <c r="Q257" t="b">
        <v>0</v>
      </c>
      <c r="R257" s="9" t="b">
        <v>0</v>
      </c>
      <c r="S257" s="10"/>
      <c r="T257" s="10"/>
      <c r="U257" s="10"/>
      <c r="V257" s="10"/>
      <c r="W257" s="10"/>
      <c r="X257" s="10"/>
      <c r="Y257" s="10"/>
      <c r="Z257" s="10"/>
      <c r="AA257" s="10"/>
      <c r="AB257" s="10"/>
      <c r="AC257" s="10"/>
      <c r="AD257" s="10"/>
      <c r="AE257" s="10"/>
    </row>
    <row r="258" ht="15.75" customHeight="1" spans="1:31">
      <c r="A258" t="s">
        <v>127</v>
      </c>
      <c r="B258" t="s">
        <v>65</v>
      </c>
      <c r="C258">
        <v>41</v>
      </c>
      <c r="D258">
        <v>11.6</v>
      </c>
      <c r="E258">
        <v>7</v>
      </c>
      <c r="F258">
        <v>10.9</v>
      </c>
      <c r="G258">
        <v>387</v>
      </c>
      <c r="H258">
        <v>15.55</v>
      </c>
      <c r="L258">
        <v>12</v>
      </c>
      <c r="N258" s="10"/>
      <c r="O258" s="3">
        <v>500</v>
      </c>
      <c r="P258" t="b">
        <v>0</v>
      </c>
      <c r="Q258" t="b">
        <v>0</v>
      </c>
      <c r="R258" s="9" t="b">
        <v>0</v>
      </c>
      <c r="S258" s="10"/>
      <c r="T258" s="10"/>
      <c r="U258" s="10"/>
      <c r="V258" s="10"/>
      <c r="W258" s="10"/>
      <c r="X258" s="10"/>
      <c r="Y258" s="10"/>
      <c r="Z258" s="10"/>
      <c r="AA258" s="10"/>
      <c r="AB258" s="10"/>
      <c r="AC258" s="10"/>
      <c r="AD258" s="10"/>
      <c r="AE258" s="10"/>
    </row>
    <row r="259" ht="15.75" customHeight="1" spans="1:31">
      <c r="A259" t="s">
        <v>127</v>
      </c>
      <c r="B259" t="s">
        <v>115</v>
      </c>
      <c r="C259">
        <v>41</v>
      </c>
      <c r="D259">
        <v>11.6</v>
      </c>
      <c r="E259">
        <v>7</v>
      </c>
      <c r="F259">
        <v>10.9</v>
      </c>
      <c r="G259">
        <v>387</v>
      </c>
      <c r="H259">
        <v>15.55</v>
      </c>
      <c r="K259" s="43">
        <v>406</v>
      </c>
      <c r="L259">
        <v>3</v>
      </c>
      <c r="N259" s="10"/>
      <c r="O259" s="3">
        <v>500</v>
      </c>
      <c r="P259" t="b">
        <v>0</v>
      </c>
      <c r="Q259" t="b">
        <v>0</v>
      </c>
      <c r="R259" s="9" t="b">
        <v>0</v>
      </c>
      <c r="S259" s="10"/>
      <c r="T259" s="10"/>
      <c r="U259" s="10"/>
      <c r="V259" s="10"/>
      <c r="W259" s="10"/>
      <c r="X259" s="10"/>
      <c r="Y259" s="10"/>
      <c r="Z259" s="10"/>
      <c r="AA259" s="10"/>
      <c r="AB259" s="10"/>
      <c r="AC259" s="10"/>
      <c r="AD259" s="10"/>
      <c r="AE259" s="10"/>
    </row>
    <row r="260" ht="15.75" customHeight="1" spans="1:31">
      <c r="A260" t="s">
        <v>128</v>
      </c>
      <c r="B260" t="s">
        <v>84</v>
      </c>
      <c r="C260" s="25">
        <v>41</v>
      </c>
      <c r="D260" s="25">
        <v>11.6</v>
      </c>
      <c r="E260" s="25">
        <v>7</v>
      </c>
      <c r="F260" s="25">
        <v>10.9</v>
      </c>
      <c r="G260" s="25">
        <v>550</v>
      </c>
      <c r="H260" s="25">
        <v>15.55</v>
      </c>
      <c r="K260" s="3"/>
      <c r="L260" s="25">
        <v>7</v>
      </c>
      <c r="N260" s="3"/>
      <c r="O260" s="8">
        <v>500</v>
      </c>
      <c r="P260" t="b">
        <v>0</v>
      </c>
      <c r="Q260" t="b">
        <v>0</v>
      </c>
      <c r="R260" s="9" t="b">
        <v>0</v>
      </c>
      <c r="S260" s="10"/>
      <c r="T260" s="10"/>
      <c r="U260" s="10"/>
      <c r="V260" s="10"/>
      <c r="W260" s="10"/>
      <c r="X260" s="10"/>
      <c r="Y260" s="10"/>
      <c r="Z260" s="10"/>
      <c r="AA260" s="10"/>
      <c r="AB260" s="10"/>
      <c r="AC260" s="10"/>
      <c r="AD260" s="10"/>
      <c r="AE260" s="10"/>
    </row>
    <row r="261" ht="15.75" customHeight="1" spans="1:31">
      <c r="A261" t="s">
        <v>128</v>
      </c>
      <c r="B261" t="s">
        <v>65</v>
      </c>
      <c r="C261" s="25">
        <v>41</v>
      </c>
      <c r="D261" s="25">
        <v>11.6</v>
      </c>
      <c r="E261" s="25">
        <v>7</v>
      </c>
      <c r="F261" s="25">
        <v>10.9</v>
      </c>
      <c r="G261" s="25">
        <v>550</v>
      </c>
      <c r="H261" s="25">
        <v>15.55</v>
      </c>
      <c r="L261" s="25">
        <v>14</v>
      </c>
      <c r="N261" s="3"/>
      <c r="O261" s="8">
        <v>500</v>
      </c>
      <c r="P261" t="b">
        <v>0</v>
      </c>
      <c r="Q261" t="b">
        <v>0</v>
      </c>
      <c r="R261" s="9" t="b">
        <v>0</v>
      </c>
      <c r="S261" s="10"/>
      <c r="T261" s="10"/>
      <c r="U261" s="10"/>
      <c r="V261" s="10"/>
      <c r="W261" s="10"/>
      <c r="X261" s="10"/>
      <c r="Y261" s="10"/>
      <c r="Z261" s="10"/>
      <c r="AA261" s="10"/>
      <c r="AB261" s="10"/>
      <c r="AC261" s="10"/>
      <c r="AD261" s="10"/>
      <c r="AE261" s="10"/>
    </row>
    <row r="262" ht="15.75" customHeight="1" spans="1:31">
      <c r="A262" t="s">
        <v>128</v>
      </c>
      <c r="B262" t="s">
        <v>115</v>
      </c>
      <c r="C262" s="25">
        <v>41</v>
      </c>
      <c r="D262" s="25">
        <v>11.6</v>
      </c>
      <c r="E262" s="25">
        <v>7</v>
      </c>
      <c r="F262" s="25">
        <v>10.9</v>
      </c>
      <c r="G262" s="25">
        <v>550</v>
      </c>
      <c r="H262" s="25">
        <v>15.55</v>
      </c>
      <c r="K262" s="3"/>
      <c r="L262" s="25">
        <v>3.5</v>
      </c>
      <c r="N262" s="3"/>
      <c r="O262" s="8">
        <v>500</v>
      </c>
      <c r="P262" t="b">
        <v>0</v>
      </c>
      <c r="Q262" t="b">
        <v>0</v>
      </c>
      <c r="R262" s="9" t="b">
        <v>0</v>
      </c>
      <c r="S262" s="10"/>
      <c r="T262" s="10"/>
      <c r="U262" s="10"/>
      <c r="V262" s="10"/>
      <c r="W262" s="10"/>
      <c r="X262" s="10"/>
      <c r="Y262" s="10"/>
      <c r="Z262" s="10"/>
      <c r="AA262" s="10"/>
      <c r="AB262" s="10"/>
      <c r="AC262" s="10"/>
      <c r="AD262" s="10"/>
      <c r="AE262" s="10"/>
    </row>
    <row r="263" ht="15.75" customHeight="1" spans="1:31">
      <c r="A263" s="3" t="s">
        <v>129</v>
      </c>
      <c r="B263" s="3" t="s">
        <v>84</v>
      </c>
      <c r="C263" s="8">
        <v>41</v>
      </c>
      <c r="D263" s="8">
        <v>11.6</v>
      </c>
      <c r="E263" s="8">
        <v>5.6</v>
      </c>
      <c r="F263" s="8">
        <v>10.9</v>
      </c>
      <c r="G263" s="8">
        <v>270</v>
      </c>
      <c r="H263" s="8">
        <v>13</v>
      </c>
      <c r="I263" s="3"/>
      <c r="J263" s="3"/>
      <c r="K263" s="3"/>
      <c r="L263" s="8">
        <v>3</v>
      </c>
      <c r="M263" s="3"/>
      <c r="N263" s="3"/>
      <c r="O263" s="8">
        <v>500</v>
      </c>
      <c r="P263" t="b">
        <v>0</v>
      </c>
      <c r="Q263" t="b">
        <v>0</v>
      </c>
      <c r="R263" s="9" t="b">
        <v>0</v>
      </c>
      <c r="S263" s="10"/>
      <c r="T263" s="10"/>
      <c r="U263" s="10"/>
      <c r="V263" s="10"/>
      <c r="W263" s="10"/>
      <c r="X263" s="10"/>
      <c r="Y263" s="10"/>
      <c r="Z263" s="10"/>
      <c r="AA263" s="10"/>
      <c r="AB263" s="10"/>
      <c r="AC263" s="10"/>
      <c r="AD263" s="10"/>
      <c r="AE263" s="10"/>
    </row>
    <row r="264" ht="15.75" customHeight="1" spans="1:31">
      <c r="A264" s="3" t="s">
        <v>129</v>
      </c>
      <c r="B264" s="3" t="s">
        <v>65</v>
      </c>
      <c r="C264" s="8">
        <v>41</v>
      </c>
      <c r="D264" s="8">
        <v>11.6</v>
      </c>
      <c r="E264" s="8">
        <v>5.6</v>
      </c>
      <c r="F264" s="8">
        <v>10.9</v>
      </c>
      <c r="G264" s="8">
        <v>270</v>
      </c>
      <c r="H264" s="8">
        <v>13</v>
      </c>
      <c r="I264" s="3"/>
      <c r="J264" s="3"/>
      <c r="K264" s="3"/>
      <c r="L264" s="8">
        <v>6</v>
      </c>
      <c r="M264" s="3"/>
      <c r="N264" s="3"/>
      <c r="O264" s="8">
        <v>500</v>
      </c>
      <c r="P264" t="b">
        <v>0</v>
      </c>
      <c r="Q264" t="b">
        <v>0</v>
      </c>
      <c r="R264" s="9" t="b">
        <v>0</v>
      </c>
      <c r="S264" s="10"/>
      <c r="T264" s="10"/>
      <c r="U264" s="10"/>
      <c r="V264" s="10"/>
      <c r="W264" s="10"/>
      <c r="X264" s="10"/>
      <c r="Y264" s="10"/>
      <c r="Z264" s="10"/>
      <c r="AA264" s="10"/>
      <c r="AB264" s="10"/>
      <c r="AC264" s="10"/>
      <c r="AD264" s="10"/>
      <c r="AE264" s="10"/>
    </row>
    <row r="265" ht="14.4" spans="1:31">
      <c r="A265" s="3" t="s">
        <v>129</v>
      </c>
      <c r="B265" s="3" t="s">
        <v>115</v>
      </c>
      <c r="C265" s="8">
        <v>41</v>
      </c>
      <c r="D265" s="8">
        <v>11.6</v>
      </c>
      <c r="E265" s="8">
        <v>5.6</v>
      </c>
      <c r="F265" s="8">
        <v>10.9</v>
      </c>
      <c r="G265" s="8">
        <v>270</v>
      </c>
      <c r="H265" s="8">
        <v>13</v>
      </c>
      <c r="I265" s="3"/>
      <c r="J265" s="3"/>
      <c r="K265" s="3"/>
      <c r="L265" s="8">
        <v>2</v>
      </c>
      <c r="M265" s="3"/>
      <c r="N265" s="3"/>
      <c r="O265" s="8">
        <v>500</v>
      </c>
      <c r="P265" t="b">
        <v>0</v>
      </c>
      <c r="Q265" t="b">
        <v>0</v>
      </c>
      <c r="R265" s="9" t="b">
        <v>0</v>
      </c>
      <c r="S265" s="3"/>
      <c r="T265" s="3"/>
      <c r="U265" s="3"/>
      <c r="V265" s="3"/>
      <c r="W265" s="3"/>
      <c r="X265" s="3"/>
      <c r="Y265" s="3"/>
      <c r="Z265" s="3"/>
      <c r="AA265" s="3"/>
      <c r="AB265" s="3"/>
      <c r="AC265" s="3"/>
      <c r="AD265" s="3"/>
      <c r="AE265" s="3"/>
    </row>
    <row r="266" ht="14.4" spans="1:31">
      <c r="A266" t="s">
        <v>130</v>
      </c>
      <c r="B266" t="s">
        <v>84</v>
      </c>
      <c r="C266">
        <v>40.6</v>
      </c>
      <c r="D266">
        <v>12.2</v>
      </c>
      <c r="E266">
        <v>6.48</v>
      </c>
      <c r="F266">
        <v>11.48</v>
      </c>
      <c r="G266">
        <v>280</v>
      </c>
      <c r="H266">
        <v>14.58</v>
      </c>
      <c r="L266">
        <v>4</v>
      </c>
      <c r="N266" s="10"/>
      <c r="O266" s="3">
        <v>500</v>
      </c>
      <c r="P266" t="b">
        <v>0</v>
      </c>
      <c r="Q266" t="b">
        <v>0</v>
      </c>
      <c r="R266" s="9" t="b">
        <v>0</v>
      </c>
      <c r="S266" s="3"/>
      <c r="T266" s="3"/>
      <c r="U266" s="3"/>
      <c r="V266" s="3"/>
      <c r="W266" s="3"/>
      <c r="X266" s="3"/>
      <c r="Y266" s="3"/>
      <c r="Z266" s="3"/>
      <c r="AA266" s="3"/>
      <c r="AB266" s="3"/>
      <c r="AC266" s="3"/>
      <c r="AD266" s="3"/>
      <c r="AE266" s="3"/>
    </row>
    <row r="267" ht="14.4" spans="1:31">
      <c r="A267" t="s">
        <v>130</v>
      </c>
      <c r="B267" t="s">
        <v>65</v>
      </c>
      <c r="C267">
        <v>40.6</v>
      </c>
      <c r="D267">
        <v>12.2</v>
      </c>
      <c r="E267">
        <v>6.48</v>
      </c>
      <c r="F267">
        <v>11.48</v>
      </c>
      <c r="G267">
        <v>280</v>
      </c>
      <c r="H267">
        <v>14.58</v>
      </c>
      <c r="L267">
        <v>8</v>
      </c>
      <c r="N267" s="10"/>
      <c r="O267" s="3">
        <v>500</v>
      </c>
      <c r="P267" t="b">
        <v>0</v>
      </c>
      <c r="Q267" t="b">
        <v>0</v>
      </c>
      <c r="R267" s="9" t="b">
        <v>0</v>
      </c>
      <c r="S267" s="3"/>
      <c r="T267" s="3"/>
      <c r="U267" s="3"/>
      <c r="V267" s="3"/>
      <c r="W267" s="3"/>
      <c r="X267" s="3"/>
      <c r="Y267" s="3"/>
      <c r="Z267" s="3"/>
      <c r="AA267" s="3"/>
      <c r="AB267" s="3"/>
      <c r="AC267" s="3"/>
      <c r="AD267" s="3"/>
      <c r="AE267" s="3"/>
    </row>
    <row r="268" ht="14.4" spans="1:31">
      <c r="A268" t="s">
        <v>130</v>
      </c>
      <c r="B268" t="s">
        <v>115</v>
      </c>
      <c r="C268">
        <v>40.6</v>
      </c>
      <c r="D268">
        <v>12.2</v>
      </c>
      <c r="E268">
        <v>6.48</v>
      </c>
      <c r="F268">
        <v>11.48</v>
      </c>
      <c r="G268">
        <v>280</v>
      </c>
      <c r="H268">
        <v>14.58</v>
      </c>
      <c r="K268" s="43">
        <v>190</v>
      </c>
      <c r="L268">
        <v>2</v>
      </c>
      <c r="N268" s="10"/>
      <c r="O268" s="3">
        <v>500</v>
      </c>
      <c r="P268" t="b">
        <v>0</v>
      </c>
      <c r="Q268" t="b">
        <v>0</v>
      </c>
      <c r="R268" s="9" t="b">
        <v>0</v>
      </c>
      <c r="S268" s="3"/>
      <c r="T268" s="3"/>
      <c r="U268" s="3"/>
      <c r="V268" s="3"/>
      <c r="W268" s="3"/>
      <c r="X268" s="3"/>
      <c r="Y268" s="3"/>
      <c r="Z268" s="3"/>
      <c r="AA268" s="3"/>
      <c r="AB268" s="3"/>
      <c r="AC268" s="3"/>
      <c r="AD268" s="3"/>
      <c r="AE268" s="3"/>
    </row>
    <row r="269" ht="14.4" spans="1:31">
      <c r="A269" t="s">
        <v>131</v>
      </c>
      <c r="B269" t="s">
        <v>84</v>
      </c>
      <c r="C269" s="25">
        <v>40.6</v>
      </c>
      <c r="D269" s="25">
        <v>12.2</v>
      </c>
      <c r="E269" s="25">
        <v>6.48</v>
      </c>
      <c r="F269" s="25">
        <v>11.48</v>
      </c>
      <c r="G269" s="25">
        <v>427</v>
      </c>
      <c r="H269" s="25">
        <v>14.58</v>
      </c>
      <c r="K269" s="3"/>
      <c r="L269" s="25">
        <v>4</v>
      </c>
      <c r="N269" s="3"/>
      <c r="O269" s="8">
        <v>500</v>
      </c>
      <c r="P269" t="b">
        <v>0</v>
      </c>
      <c r="Q269" t="b">
        <v>0</v>
      </c>
      <c r="R269" s="9" t="b">
        <v>0</v>
      </c>
      <c r="S269" s="3"/>
      <c r="T269" s="3"/>
      <c r="U269" s="3"/>
      <c r="V269" s="3"/>
      <c r="W269" s="3"/>
      <c r="X269" s="3"/>
      <c r="Y269" s="3"/>
      <c r="Z269" s="3"/>
      <c r="AA269" s="3"/>
      <c r="AB269" s="3"/>
      <c r="AC269" s="3"/>
      <c r="AD269" s="3"/>
      <c r="AE269" s="3"/>
    </row>
    <row r="270" ht="14.4" spans="1:31">
      <c r="A270" t="s">
        <v>131</v>
      </c>
      <c r="B270" t="s">
        <v>65</v>
      </c>
      <c r="C270" s="25">
        <v>40.6</v>
      </c>
      <c r="D270" s="25">
        <v>12.2</v>
      </c>
      <c r="E270" s="25">
        <v>6.48</v>
      </c>
      <c r="F270" s="25">
        <v>11.48</v>
      </c>
      <c r="G270" s="25">
        <v>427</v>
      </c>
      <c r="H270" s="25">
        <v>14.58</v>
      </c>
      <c r="L270" s="25">
        <v>8</v>
      </c>
      <c r="N270" s="3"/>
      <c r="O270" s="8">
        <v>500</v>
      </c>
      <c r="P270" t="b">
        <v>0</v>
      </c>
      <c r="Q270" t="b">
        <v>0</v>
      </c>
      <c r="R270" s="9" t="b">
        <v>0</v>
      </c>
      <c r="S270" s="3"/>
      <c r="T270" s="3"/>
      <c r="U270" s="3"/>
      <c r="V270" s="3"/>
      <c r="W270" s="3"/>
      <c r="X270" s="3"/>
      <c r="Y270" s="3"/>
      <c r="Z270" s="3"/>
      <c r="AA270" s="3"/>
      <c r="AB270" s="3"/>
      <c r="AC270" s="3"/>
      <c r="AD270" s="3"/>
      <c r="AE270" s="3"/>
    </row>
    <row r="271" ht="14.4" spans="1:31">
      <c r="A271" t="s">
        <v>131</v>
      </c>
      <c r="B271" t="s">
        <v>115</v>
      </c>
      <c r="C271" s="25">
        <v>40.6</v>
      </c>
      <c r="D271" s="25">
        <v>12.2</v>
      </c>
      <c r="E271" s="25">
        <v>6.48</v>
      </c>
      <c r="F271" s="25">
        <v>11.48</v>
      </c>
      <c r="G271" s="25">
        <v>427</v>
      </c>
      <c r="H271" s="25">
        <v>14.58</v>
      </c>
      <c r="K271" s="44">
        <v>190</v>
      </c>
      <c r="L271" s="25">
        <v>2</v>
      </c>
      <c r="N271" s="3"/>
      <c r="O271" s="8">
        <v>500</v>
      </c>
      <c r="P271" t="b">
        <v>0</v>
      </c>
      <c r="Q271" t="b">
        <v>0</v>
      </c>
      <c r="R271" s="9" t="b">
        <v>0</v>
      </c>
      <c r="S271" s="10"/>
      <c r="T271" s="10"/>
      <c r="U271" s="10"/>
      <c r="V271" s="10"/>
      <c r="W271" s="10"/>
      <c r="X271" s="10"/>
      <c r="Y271" s="10"/>
      <c r="Z271" s="10"/>
      <c r="AA271" s="10"/>
      <c r="AB271" s="10"/>
      <c r="AC271" s="10"/>
      <c r="AD271" s="10"/>
      <c r="AE271" s="10"/>
    </row>
    <row r="272" ht="14.4" spans="1:31">
      <c r="A272" s="3" t="s">
        <v>132</v>
      </c>
      <c r="B272" s="3" t="s">
        <v>84</v>
      </c>
      <c r="C272" s="8">
        <v>36.3</v>
      </c>
      <c r="D272" s="8">
        <v>12.2</v>
      </c>
      <c r="E272" s="8">
        <v>5.5</v>
      </c>
      <c r="F272" s="8">
        <v>11.5</v>
      </c>
      <c r="G272" s="8">
        <v>220</v>
      </c>
      <c r="H272" s="8">
        <v>15</v>
      </c>
      <c r="I272" s="3"/>
      <c r="J272" s="3"/>
      <c r="K272" s="3"/>
      <c r="L272" s="8">
        <v>2.5</v>
      </c>
      <c r="M272" s="3"/>
      <c r="N272" s="3"/>
      <c r="O272" s="8">
        <v>500</v>
      </c>
      <c r="P272" t="b">
        <v>0</v>
      </c>
      <c r="Q272" t="b">
        <v>0</v>
      </c>
      <c r="R272" s="9" t="b">
        <v>0</v>
      </c>
      <c r="S272" s="10"/>
      <c r="T272" s="10"/>
      <c r="U272" s="10"/>
      <c r="V272" s="10"/>
      <c r="W272" s="10"/>
      <c r="X272" s="10"/>
      <c r="Y272" s="10"/>
      <c r="Z272" s="10"/>
      <c r="AA272" s="10"/>
      <c r="AB272" s="10"/>
      <c r="AC272" s="10"/>
      <c r="AD272" s="10"/>
      <c r="AE272" s="10"/>
    </row>
    <row r="273" ht="14.4" spans="1:31">
      <c r="A273" s="3" t="s">
        <v>132</v>
      </c>
      <c r="B273" s="3" t="s">
        <v>65</v>
      </c>
      <c r="C273" s="8">
        <v>36.3</v>
      </c>
      <c r="D273" s="8">
        <v>12.2</v>
      </c>
      <c r="E273" s="8">
        <v>5.5</v>
      </c>
      <c r="F273" s="8">
        <v>11.5</v>
      </c>
      <c r="G273" s="8">
        <v>220</v>
      </c>
      <c r="H273" s="8">
        <v>15</v>
      </c>
      <c r="I273" s="3"/>
      <c r="J273" s="3"/>
      <c r="K273" s="3"/>
      <c r="L273" s="8">
        <v>5</v>
      </c>
      <c r="M273" s="3"/>
      <c r="N273" s="3"/>
      <c r="O273" s="8">
        <v>500</v>
      </c>
      <c r="P273" t="b">
        <v>0</v>
      </c>
      <c r="Q273" t="b">
        <v>0</v>
      </c>
      <c r="R273" s="9" t="b">
        <v>0</v>
      </c>
      <c r="S273" s="10"/>
      <c r="T273" s="10"/>
      <c r="U273" s="10"/>
      <c r="V273" s="10"/>
      <c r="W273" s="10"/>
      <c r="X273" s="10"/>
      <c r="Y273" s="10"/>
      <c r="Z273" s="10"/>
      <c r="AA273" s="10"/>
      <c r="AB273" s="10"/>
      <c r="AC273" s="10"/>
      <c r="AD273" s="10"/>
      <c r="AE273" s="10"/>
    </row>
    <row r="274" ht="14.4" spans="1:31">
      <c r="A274" s="3" t="s">
        <v>132</v>
      </c>
      <c r="B274" s="3" t="s">
        <v>115</v>
      </c>
      <c r="C274" s="8">
        <v>36.3</v>
      </c>
      <c r="D274" s="8">
        <v>12.2</v>
      </c>
      <c r="E274" s="8">
        <v>5.5</v>
      </c>
      <c r="F274" s="8">
        <v>11.5</v>
      </c>
      <c r="G274" s="8">
        <v>220</v>
      </c>
      <c r="H274" s="8">
        <v>15</v>
      </c>
      <c r="I274" s="3"/>
      <c r="J274" s="3"/>
      <c r="K274" s="3"/>
      <c r="L274" s="8">
        <v>1.5</v>
      </c>
      <c r="M274" s="3"/>
      <c r="N274" s="3"/>
      <c r="O274" s="8">
        <v>500</v>
      </c>
      <c r="P274" t="b">
        <v>0</v>
      </c>
      <c r="Q274" t="b">
        <v>0</v>
      </c>
      <c r="R274" s="9" t="b">
        <v>0</v>
      </c>
      <c r="S274" s="10"/>
      <c r="T274" s="10"/>
      <c r="U274" s="10"/>
      <c r="V274" s="10"/>
      <c r="W274" s="10"/>
      <c r="X274" s="10"/>
      <c r="Y274" s="10"/>
      <c r="Z274" s="10"/>
      <c r="AA274" s="10"/>
      <c r="AB274" s="10"/>
      <c r="AC274" s="10"/>
      <c r="AD274" s="10"/>
      <c r="AE274" s="10"/>
    </row>
    <row r="275" ht="14.4" spans="1:31">
      <c r="A275" s="10" t="s">
        <v>133</v>
      </c>
      <c r="B275" s="10" t="s">
        <v>84</v>
      </c>
      <c r="C275" s="10">
        <v>32</v>
      </c>
      <c r="D275" s="10">
        <v>10.8</v>
      </c>
      <c r="E275" s="3">
        <v>12</v>
      </c>
      <c r="F275" s="10">
        <v>10.17</v>
      </c>
      <c r="G275" s="3">
        <v>400</v>
      </c>
      <c r="H275" s="3">
        <v>12</v>
      </c>
      <c r="I275" s="10">
        <v>6.8</v>
      </c>
      <c r="J275" s="10"/>
      <c r="K275" s="43">
        <v>406</v>
      </c>
      <c r="L275">
        <v>4</v>
      </c>
      <c r="N275" s="10"/>
      <c r="O275" s="3">
        <v>500</v>
      </c>
      <c r="P275" t="b">
        <v>0</v>
      </c>
      <c r="Q275" t="b">
        <v>0</v>
      </c>
      <c r="R275" s="9" t="b">
        <v>0</v>
      </c>
      <c r="S275" s="10"/>
      <c r="T275" s="10"/>
      <c r="U275" s="10"/>
      <c r="V275" s="10"/>
      <c r="W275" s="10"/>
      <c r="X275" s="10"/>
      <c r="Y275" s="10"/>
      <c r="Z275" s="10"/>
      <c r="AA275" s="10"/>
      <c r="AB275" s="10"/>
      <c r="AC275" s="10"/>
      <c r="AD275" s="10"/>
      <c r="AE275" s="10"/>
    </row>
    <row r="276" ht="14.4" spans="1:31">
      <c r="A276" s="10" t="s">
        <v>133</v>
      </c>
      <c r="B276" s="3" t="s">
        <v>65</v>
      </c>
      <c r="C276" s="10">
        <v>32</v>
      </c>
      <c r="D276" s="10">
        <v>10.8</v>
      </c>
      <c r="E276" s="3">
        <v>12</v>
      </c>
      <c r="F276" s="10">
        <v>10.17</v>
      </c>
      <c r="G276" s="3">
        <v>400</v>
      </c>
      <c r="H276" s="3">
        <v>12</v>
      </c>
      <c r="I276" s="10">
        <v>6.8</v>
      </c>
      <c r="J276" s="10"/>
      <c r="K276" s="43"/>
      <c r="L276">
        <v>8</v>
      </c>
      <c r="N276" s="10"/>
      <c r="O276" s="3">
        <v>500</v>
      </c>
      <c r="P276" t="b">
        <v>0</v>
      </c>
      <c r="Q276" t="b">
        <v>0</v>
      </c>
      <c r="R276" s="9" t="b">
        <v>0</v>
      </c>
      <c r="S276" s="10"/>
      <c r="T276" s="10"/>
      <c r="U276" s="10"/>
      <c r="V276" s="10"/>
      <c r="W276" s="10"/>
      <c r="X276" s="10"/>
      <c r="Y276" s="10"/>
      <c r="Z276" s="10"/>
      <c r="AA276" s="10"/>
      <c r="AB276" s="10"/>
      <c r="AC276" s="10"/>
      <c r="AD276" s="10"/>
      <c r="AE276" s="10"/>
    </row>
    <row r="277" ht="14.4" spans="1:31">
      <c r="A277" s="10" t="s">
        <v>133</v>
      </c>
      <c r="B277" s="3" t="s">
        <v>115</v>
      </c>
      <c r="C277" s="10">
        <v>32</v>
      </c>
      <c r="D277" s="10">
        <v>10.8</v>
      </c>
      <c r="E277" s="3">
        <v>12</v>
      </c>
      <c r="F277" s="10">
        <v>10.17</v>
      </c>
      <c r="G277" s="3">
        <v>400</v>
      </c>
      <c r="H277" s="3">
        <v>12</v>
      </c>
      <c r="I277" s="10">
        <v>6.8</v>
      </c>
      <c r="J277" s="10"/>
      <c r="K277" s="43"/>
      <c r="L277">
        <v>2</v>
      </c>
      <c r="N277" s="10"/>
      <c r="O277" s="3">
        <v>500</v>
      </c>
      <c r="P277" t="b">
        <v>0</v>
      </c>
      <c r="Q277" t="b">
        <v>0</v>
      </c>
      <c r="R277" s="9" t="b">
        <v>0</v>
      </c>
      <c r="S277" s="10"/>
      <c r="T277" s="10"/>
      <c r="U277" s="10"/>
      <c r="V277" s="10"/>
      <c r="W277" s="10"/>
      <c r="X277" s="10"/>
      <c r="Y277" s="10"/>
      <c r="Z277" s="10"/>
      <c r="AA277" s="10"/>
      <c r="AB277" s="10"/>
      <c r="AC277" s="10"/>
      <c r="AD277" s="10"/>
      <c r="AE277" s="10"/>
    </row>
    <row r="278" ht="14.4" spans="1:31">
      <c r="A278" s="10" t="s">
        <v>134</v>
      </c>
      <c r="B278" s="10" t="s">
        <v>84</v>
      </c>
      <c r="C278" s="10">
        <v>50</v>
      </c>
      <c r="D278" s="10"/>
      <c r="E278" s="3">
        <v>0</v>
      </c>
      <c r="F278" s="10">
        <v>13</v>
      </c>
      <c r="G278" s="10">
        <v>275</v>
      </c>
      <c r="H278" s="10">
        <v>13.5</v>
      </c>
      <c r="I278" s="10">
        <v>13</v>
      </c>
      <c r="J278" s="10"/>
      <c r="L278">
        <v>3</v>
      </c>
      <c r="N278" s="10"/>
      <c r="O278" s="3">
        <v>500</v>
      </c>
      <c r="P278" t="b">
        <v>0</v>
      </c>
      <c r="Q278" t="b">
        <v>0</v>
      </c>
      <c r="R278" s="9" t="b">
        <v>0</v>
      </c>
      <c r="S278" s="10"/>
      <c r="T278" s="10"/>
      <c r="U278" s="10"/>
      <c r="V278" s="10"/>
      <c r="W278" s="10"/>
      <c r="X278" s="10"/>
      <c r="Y278" s="10"/>
      <c r="Z278" s="10"/>
      <c r="AA278" s="10"/>
      <c r="AB278" s="10"/>
      <c r="AC278" s="10"/>
      <c r="AD278" s="10"/>
      <c r="AE278" s="10"/>
    </row>
    <row r="279" ht="14.4" spans="1:31">
      <c r="A279" s="10" t="s">
        <v>134</v>
      </c>
      <c r="B279" s="3" t="s">
        <v>65</v>
      </c>
      <c r="C279" s="10">
        <v>50</v>
      </c>
      <c r="D279" s="10"/>
      <c r="E279" s="3">
        <v>0</v>
      </c>
      <c r="F279" s="10">
        <v>13</v>
      </c>
      <c r="G279" s="10">
        <v>275</v>
      </c>
      <c r="H279" s="10">
        <v>13.5</v>
      </c>
      <c r="I279" s="10">
        <v>13</v>
      </c>
      <c r="J279" s="10"/>
      <c r="L279">
        <v>6</v>
      </c>
      <c r="N279" s="10"/>
      <c r="O279" s="3">
        <v>500</v>
      </c>
      <c r="P279" t="b">
        <v>0</v>
      </c>
      <c r="Q279" t="b">
        <v>0</v>
      </c>
      <c r="R279" s="9" t="b">
        <v>0</v>
      </c>
      <c r="S279" s="10"/>
      <c r="T279" s="10"/>
      <c r="U279" s="10"/>
      <c r="V279" s="10"/>
      <c r="W279" s="10"/>
      <c r="X279" s="10"/>
      <c r="Y279" s="10"/>
      <c r="Z279" s="10"/>
      <c r="AA279" s="10"/>
      <c r="AB279" s="10"/>
      <c r="AC279" s="10"/>
      <c r="AD279" s="10"/>
      <c r="AE279" s="10"/>
    </row>
    <row r="280" ht="14.4" spans="1:31">
      <c r="A280" s="10" t="s">
        <v>134</v>
      </c>
      <c r="B280" s="3" t="s">
        <v>115</v>
      </c>
      <c r="C280" s="10">
        <v>50</v>
      </c>
      <c r="D280" s="10"/>
      <c r="E280" s="3">
        <v>0</v>
      </c>
      <c r="F280" s="10">
        <v>13</v>
      </c>
      <c r="G280" s="10">
        <v>275</v>
      </c>
      <c r="H280" s="10">
        <v>13.5</v>
      </c>
      <c r="I280" s="10">
        <v>13</v>
      </c>
      <c r="J280" s="10"/>
      <c r="L280">
        <v>2</v>
      </c>
      <c r="N280" s="10"/>
      <c r="O280" s="3">
        <v>500</v>
      </c>
      <c r="P280" t="b">
        <v>0</v>
      </c>
      <c r="Q280" t="b">
        <v>0</v>
      </c>
      <c r="R280" s="9" t="b">
        <v>0</v>
      </c>
      <c r="S280" s="10"/>
      <c r="T280" s="10"/>
      <c r="U280" s="10"/>
      <c r="V280" s="10"/>
      <c r="W280" s="10"/>
      <c r="X280" s="10"/>
      <c r="Y280" s="10"/>
      <c r="Z280" s="10"/>
      <c r="AA280" s="10"/>
      <c r="AB280" s="10"/>
      <c r="AC280" s="10"/>
      <c r="AD280" s="10"/>
      <c r="AE280" s="10"/>
    </row>
    <row r="281" ht="14.4" spans="1:31">
      <c r="A281" s="10" t="s">
        <v>135</v>
      </c>
      <c r="B281" s="10" t="s">
        <v>84</v>
      </c>
      <c r="C281" s="10">
        <v>17.7</v>
      </c>
      <c r="D281" s="10">
        <v>5.7</v>
      </c>
      <c r="E281" s="3">
        <v>1.51</v>
      </c>
      <c r="F281" s="10">
        <v>5.6</v>
      </c>
      <c r="G281" s="10">
        <v>250</v>
      </c>
      <c r="H281" s="10">
        <v>1.9</v>
      </c>
      <c r="I281" s="10">
        <v>7</v>
      </c>
      <c r="J281" s="10"/>
      <c r="K281">
        <v>127</v>
      </c>
      <c r="L281">
        <v>1</v>
      </c>
      <c r="N281" s="10"/>
      <c r="O281" s="3">
        <v>500</v>
      </c>
      <c r="P281" t="b">
        <v>0</v>
      </c>
      <c r="Q281" t="b">
        <v>0</v>
      </c>
      <c r="R281" s="9" t="b">
        <v>0</v>
      </c>
      <c r="S281" s="10"/>
      <c r="T281" s="10"/>
      <c r="U281" s="10"/>
      <c r="V281" s="10"/>
      <c r="W281" s="10"/>
      <c r="X281" s="10"/>
      <c r="Y281" s="10"/>
      <c r="Z281" s="10"/>
      <c r="AA281" s="10"/>
      <c r="AB281" s="10"/>
      <c r="AC281" s="10"/>
      <c r="AD281" s="10"/>
      <c r="AE281" s="10"/>
    </row>
    <row r="282" ht="14.4" spans="1:31">
      <c r="A282" s="10" t="s">
        <v>135</v>
      </c>
      <c r="B282" s="3" t="s">
        <v>65</v>
      </c>
      <c r="C282" s="10">
        <v>17.7</v>
      </c>
      <c r="D282" s="10">
        <v>5.7</v>
      </c>
      <c r="E282" s="3">
        <v>1.51</v>
      </c>
      <c r="F282" s="10">
        <v>5.6</v>
      </c>
      <c r="G282" s="10">
        <v>250</v>
      </c>
      <c r="H282" s="10">
        <v>1.9</v>
      </c>
      <c r="I282" s="10">
        <v>7</v>
      </c>
      <c r="J282" s="10"/>
      <c r="L282">
        <v>2</v>
      </c>
      <c r="N282" s="10"/>
      <c r="O282" s="3">
        <v>500</v>
      </c>
      <c r="P282" t="b">
        <v>0</v>
      </c>
      <c r="Q282" t="b">
        <v>0</v>
      </c>
      <c r="R282" s="9" t="b">
        <v>0</v>
      </c>
      <c r="S282" s="10"/>
      <c r="T282" s="10"/>
      <c r="U282" s="10"/>
      <c r="V282" s="10"/>
      <c r="W282" s="10"/>
      <c r="X282" s="10"/>
      <c r="Y282" s="10"/>
      <c r="Z282" s="10"/>
      <c r="AA282" s="10"/>
      <c r="AB282" s="10"/>
      <c r="AC282" s="10"/>
      <c r="AD282" s="10"/>
      <c r="AE282" s="10"/>
    </row>
    <row r="283" ht="14.4" spans="1:31">
      <c r="A283" s="10" t="s">
        <v>135</v>
      </c>
      <c r="B283" s="3" t="s">
        <v>115</v>
      </c>
      <c r="C283" s="10">
        <v>17.7</v>
      </c>
      <c r="D283" s="10">
        <v>5.7</v>
      </c>
      <c r="E283" s="3">
        <v>1.51</v>
      </c>
      <c r="F283" s="10">
        <v>5.6</v>
      </c>
      <c r="G283" s="10">
        <v>250</v>
      </c>
      <c r="H283" s="10">
        <v>1.9</v>
      </c>
      <c r="I283" s="10">
        <v>7</v>
      </c>
      <c r="J283" s="10"/>
      <c r="L283">
        <v>1</v>
      </c>
      <c r="N283" s="10"/>
      <c r="O283" s="3">
        <v>500</v>
      </c>
      <c r="P283" t="b">
        <v>0</v>
      </c>
      <c r="Q283" t="b">
        <v>0</v>
      </c>
      <c r="R283" s="9" t="b">
        <v>0</v>
      </c>
      <c r="S283" s="10"/>
      <c r="T283" s="10"/>
      <c r="U283" s="10"/>
      <c r="V283" s="10"/>
      <c r="W283" s="10"/>
      <c r="X283" s="10"/>
      <c r="Y283" s="10"/>
      <c r="Z283" s="10"/>
      <c r="AA283" s="10"/>
      <c r="AB283" s="10"/>
      <c r="AC283" s="10"/>
      <c r="AD283" s="10"/>
      <c r="AE283" s="10"/>
    </row>
    <row r="284" ht="14.4" spans="1:31">
      <c r="A284" s="10" t="s">
        <v>136</v>
      </c>
      <c r="B284" s="10" t="s">
        <v>84</v>
      </c>
      <c r="C284" s="10">
        <v>28.8</v>
      </c>
      <c r="D284" s="10">
        <v>10.8</v>
      </c>
      <c r="E284" s="3">
        <v>4.51</v>
      </c>
      <c r="F284" s="10">
        <v>10.2</v>
      </c>
      <c r="G284" s="10">
        <v>340</v>
      </c>
      <c r="H284" s="10">
        <v>10.69</v>
      </c>
      <c r="I284" s="10"/>
      <c r="J284" s="10"/>
      <c r="K284" s="43">
        <v>325</v>
      </c>
      <c r="L284">
        <v>4</v>
      </c>
      <c r="N284" s="10"/>
      <c r="O284" s="3">
        <v>500</v>
      </c>
      <c r="P284" t="b">
        <v>0</v>
      </c>
      <c r="Q284" t="b">
        <v>0</v>
      </c>
      <c r="R284" s="9" t="b">
        <v>0</v>
      </c>
      <c r="S284" s="10"/>
      <c r="T284" s="10"/>
      <c r="U284" s="10"/>
      <c r="V284" s="10"/>
      <c r="W284" s="10"/>
      <c r="X284" s="10"/>
      <c r="Y284" s="10"/>
      <c r="Z284" s="10"/>
      <c r="AA284" s="10"/>
      <c r="AB284" s="10"/>
      <c r="AC284" s="10"/>
      <c r="AD284" s="10"/>
      <c r="AE284" s="10"/>
    </row>
    <row r="285" ht="14.4" spans="1:31">
      <c r="A285" s="10" t="s">
        <v>136</v>
      </c>
      <c r="B285" s="3" t="s">
        <v>65</v>
      </c>
      <c r="C285" s="10">
        <v>28.8</v>
      </c>
      <c r="D285" s="10">
        <v>10.8</v>
      </c>
      <c r="E285" s="3">
        <v>4.51</v>
      </c>
      <c r="F285" s="10">
        <v>10.2</v>
      </c>
      <c r="G285" s="10">
        <v>340</v>
      </c>
      <c r="H285" s="10">
        <v>10.69</v>
      </c>
      <c r="I285" s="10"/>
      <c r="J285" s="10"/>
      <c r="K285" s="43"/>
      <c r="L285">
        <v>8</v>
      </c>
      <c r="N285" s="10"/>
      <c r="O285" s="3">
        <v>500</v>
      </c>
      <c r="P285" t="b">
        <v>0</v>
      </c>
      <c r="Q285" t="b">
        <v>0</v>
      </c>
      <c r="R285" s="9" t="b">
        <v>0</v>
      </c>
      <c r="S285" s="10"/>
      <c r="T285" s="10"/>
      <c r="U285" s="10"/>
      <c r="V285" s="10"/>
      <c r="W285" s="10"/>
      <c r="X285" s="10"/>
      <c r="Y285" s="10"/>
      <c r="Z285" s="10"/>
      <c r="AA285" s="10"/>
      <c r="AB285" s="10"/>
      <c r="AC285" s="10"/>
      <c r="AD285" s="10"/>
      <c r="AE285" s="10"/>
    </row>
    <row r="286" ht="14.4" spans="1:31">
      <c r="A286" s="10" t="s">
        <v>136</v>
      </c>
      <c r="B286" s="3" t="s">
        <v>115</v>
      </c>
      <c r="C286" s="10">
        <v>28.8</v>
      </c>
      <c r="D286" s="10">
        <v>10.8</v>
      </c>
      <c r="E286" s="3">
        <v>4.51</v>
      </c>
      <c r="F286" s="10">
        <v>10.2</v>
      </c>
      <c r="G286" s="10">
        <v>340</v>
      </c>
      <c r="H286" s="10">
        <v>10.69</v>
      </c>
      <c r="I286" s="10"/>
      <c r="J286" s="10"/>
      <c r="K286" s="43"/>
      <c r="L286">
        <v>2</v>
      </c>
      <c r="N286" s="10"/>
      <c r="O286" s="3">
        <v>500</v>
      </c>
      <c r="P286" t="b">
        <v>0</v>
      </c>
      <c r="Q286" t="b">
        <v>0</v>
      </c>
      <c r="R286" s="9" t="b">
        <v>0</v>
      </c>
      <c r="S286" s="10"/>
      <c r="T286" s="10"/>
      <c r="U286" s="10"/>
      <c r="V286" s="10"/>
      <c r="W286" s="10"/>
      <c r="X286" s="10"/>
      <c r="Y286" s="10"/>
      <c r="Z286" s="10"/>
      <c r="AA286" s="10"/>
      <c r="AB286" s="10"/>
      <c r="AC286" s="10"/>
      <c r="AD286" s="10"/>
      <c r="AE286" s="10"/>
    </row>
    <row r="287" ht="14.4" spans="1:31">
      <c r="A287" s="10" t="s">
        <v>137</v>
      </c>
      <c r="B287" s="3" t="s">
        <v>84</v>
      </c>
      <c r="C287" s="10">
        <v>32.7</v>
      </c>
      <c r="D287" s="10">
        <v>9.9</v>
      </c>
      <c r="E287" s="3">
        <v>16</v>
      </c>
      <c r="F287" s="10">
        <v>9.05</v>
      </c>
      <c r="G287" s="10">
        <v>410</v>
      </c>
      <c r="H287" s="10">
        <v>6.7</v>
      </c>
      <c r="I287" s="10"/>
      <c r="J287" s="10"/>
      <c r="L287" s="43">
        <v>3</v>
      </c>
      <c r="N287" s="10"/>
      <c r="O287" s="3">
        <v>500</v>
      </c>
      <c r="P287" t="b">
        <v>0</v>
      </c>
      <c r="Q287" t="b">
        <v>0</v>
      </c>
      <c r="R287" s="9" t="b">
        <v>0</v>
      </c>
      <c r="S287" s="10"/>
      <c r="T287" s="10"/>
      <c r="U287" s="10"/>
      <c r="V287" s="10"/>
      <c r="W287" s="10"/>
      <c r="X287" s="10"/>
      <c r="Y287" s="10"/>
      <c r="Z287" s="10"/>
      <c r="AA287" s="10"/>
      <c r="AB287" s="10"/>
      <c r="AC287" s="10"/>
      <c r="AD287" s="10"/>
      <c r="AE287" s="10"/>
    </row>
    <row r="288" ht="14.4" spans="1:31">
      <c r="A288" s="10" t="s">
        <v>137</v>
      </c>
      <c r="B288" s="10" t="s">
        <v>65</v>
      </c>
      <c r="C288" s="10">
        <v>32.7</v>
      </c>
      <c r="D288" s="10">
        <v>9.9</v>
      </c>
      <c r="E288" s="3">
        <v>16</v>
      </c>
      <c r="F288" s="10">
        <v>9.05</v>
      </c>
      <c r="G288" s="10">
        <v>410</v>
      </c>
      <c r="H288" s="10">
        <v>6.7</v>
      </c>
      <c r="I288" s="10"/>
      <c r="J288" s="10"/>
      <c r="L288" s="43">
        <v>6</v>
      </c>
      <c r="N288" s="10"/>
      <c r="O288" s="3">
        <v>500</v>
      </c>
      <c r="P288" t="b">
        <v>0</v>
      </c>
      <c r="Q288" t="b">
        <v>0</v>
      </c>
      <c r="R288" s="9" t="b">
        <v>0</v>
      </c>
      <c r="S288" s="10"/>
      <c r="T288" s="10"/>
      <c r="U288" s="10"/>
      <c r="V288" s="10"/>
      <c r="W288" s="10"/>
      <c r="X288" s="10"/>
      <c r="Y288" s="10"/>
      <c r="Z288" s="10"/>
      <c r="AA288" s="10"/>
      <c r="AB288" s="10"/>
      <c r="AC288" s="10"/>
      <c r="AD288" s="10"/>
      <c r="AE288" s="10"/>
    </row>
    <row r="289" ht="14.4" spans="1:31">
      <c r="A289" s="10" t="s">
        <v>137</v>
      </c>
      <c r="B289" s="3" t="s">
        <v>115</v>
      </c>
      <c r="C289" s="10">
        <v>32.7</v>
      </c>
      <c r="D289" s="10">
        <v>9.9</v>
      </c>
      <c r="E289" s="3">
        <v>16</v>
      </c>
      <c r="F289" s="10">
        <v>9.05</v>
      </c>
      <c r="G289" s="10">
        <v>410</v>
      </c>
      <c r="H289" s="10">
        <v>6.7</v>
      </c>
      <c r="I289" s="10"/>
      <c r="J289" s="10"/>
      <c r="L289" s="43">
        <v>2</v>
      </c>
      <c r="N289" s="10"/>
      <c r="O289" s="3">
        <v>500</v>
      </c>
      <c r="P289" t="b">
        <v>0</v>
      </c>
      <c r="Q289" t="b">
        <v>0</v>
      </c>
      <c r="R289" s="9" t="b">
        <v>0</v>
      </c>
      <c r="S289" s="10"/>
      <c r="T289" s="10"/>
      <c r="U289" s="10"/>
      <c r="V289" s="10"/>
      <c r="W289" s="10"/>
      <c r="X289" s="10"/>
      <c r="Y289" s="10"/>
      <c r="Z289" s="10"/>
      <c r="AA289" s="10"/>
      <c r="AB289" s="10"/>
      <c r="AC289" s="10"/>
      <c r="AD289" s="10"/>
      <c r="AE289" s="10"/>
    </row>
    <row r="290" ht="14.4" spans="1:31">
      <c r="A290" s="3" t="s">
        <v>138</v>
      </c>
      <c r="B290" s="3" t="s">
        <v>84</v>
      </c>
      <c r="C290" s="3">
        <v>25</v>
      </c>
      <c r="D290" s="3">
        <v>9.95</v>
      </c>
      <c r="E290" s="3">
        <v>5</v>
      </c>
      <c r="F290" s="3">
        <v>9.27</v>
      </c>
      <c r="G290" s="3">
        <v>319</v>
      </c>
      <c r="H290" s="3">
        <v>6</v>
      </c>
      <c r="I290" s="10"/>
      <c r="J290" s="10"/>
      <c r="K290" s="43">
        <v>320</v>
      </c>
      <c r="L290">
        <v>3</v>
      </c>
      <c r="N290" s="10"/>
      <c r="O290" s="3">
        <v>500</v>
      </c>
      <c r="P290" t="b">
        <v>0</v>
      </c>
      <c r="Q290" t="b">
        <v>0</v>
      </c>
      <c r="R290" s="9" t="b">
        <v>0</v>
      </c>
      <c r="S290" s="10"/>
      <c r="T290" s="10"/>
      <c r="U290" s="10"/>
      <c r="V290" s="10"/>
      <c r="W290" s="10"/>
      <c r="X290" s="10"/>
      <c r="Y290" s="10"/>
      <c r="Z290" s="10"/>
      <c r="AA290" s="10"/>
      <c r="AB290" s="10"/>
      <c r="AC290" s="10"/>
      <c r="AD290" s="10"/>
      <c r="AE290" s="10"/>
    </row>
    <row r="291" ht="14.4" spans="1:31">
      <c r="A291" s="3" t="s">
        <v>138</v>
      </c>
      <c r="B291" s="10" t="s">
        <v>65</v>
      </c>
      <c r="C291" s="3">
        <v>25</v>
      </c>
      <c r="D291" s="3">
        <v>9.95</v>
      </c>
      <c r="E291" s="3">
        <v>5</v>
      </c>
      <c r="F291" s="3">
        <v>9.27</v>
      </c>
      <c r="G291" s="3">
        <v>319</v>
      </c>
      <c r="H291" s="3">
        <v>6</v>
      </c>
      <c r="I291" s="10"/>
      <c r="J291" s="10"/>
      <c r="K291" s="43"/>
      <c r="L291">
        <v>6</v>
      </c>
      <c r="N291" s="10"/>
      <c r="O291" s="3">
        <v>500</v>
      </c>
      <c r="P291" t="b">
        <v>0</v>
      </c>
      <c r="Q291" t="b">
        <v>0</v>
      </c>
      <c r="R291" s="9" t="b">
        <v>0</v>
      </c>
      <c r="S291" s="10"/>
      <c r="T291" s="10"/>
      <c r="U291" s="10"/>
      <c r="V291" s="10"/>
      <c r="W291" s="10"/>
      <c r="X291" s="10"/>
      <c r="Y291" s="10"/>
      <c r="Z291" s="10"/>
      <c r="AA291" s="10"/>
      <c r="AB291" s="10"/>
      <c r="AC291" s="10"/>
      <c r="AD291" s="10"/>
      <c r="AE291" s="10"/>
    </row>
    <row r="292" ht="14.4" spans="1:31">
      <c r="A292" s="3" t="s">
        <v>138</v>
      </c>
      <c r="B292" s="3" t="s">
        <v>115</v>
      </c>
      <c r="C292" s="3">
        <v>25</v>
      </c>
      <c r="D292" s="3">
        <v>9.95</v>
      </c>
      <c r="E292" s="3">
        <v>5</v>
      </c>
      <c r="F292" s="3">
        <v>9.27</v>
      </c>
      <c r="G292" s="3">
        <v>319</v>
      </c>
      <c r="H292" s="3">
        <v>6</v>
      </c>
      <c r="I292" s="10"/>
      <c r="J292" s="10"/>
      <c r="K292" s="43"/>
      <c r="L292">
        <v>2</v>
      </c>
      <c r="N292" s="10"/>
      <c r="O292" s="3">
        <v>500</v>
      </c>
      <c r="P292" t="b">
        <v>0</v>
      </c>
      <c r="Q292" t="b">
        <v>0</v>
      </c>
      <c r="R292" s="9" t="b">
        <v>0</v>
      </c>
      <c r="S292" s="10"/>
      <c r="T292" s="10"/>
      <c r="U292" s="10"/>
      <c r="V292" s="10"/>
      <c r="W292" s="10"/>
      <c r="X292" s="10"/>
      <c r="Y292" s="10"/>
      <c r="Z292" s="10"/>
      <c r="AA292" s="10"/>
      <c r="AB292" s="10"/>
      <c r="AC292" s="10"/>
      <c r="AD292" s="10"/>
      <c r="AE292" s="10"/>
    </row>
    <row r="293" ht="14.4" spans="1:31">
      <c r="A293" s="10" t="s">
        <v>139</v>
      </c>
      <c r="B293" s="10" t="s">
        <v>84</v>
      </c>
      <c r="C293" s="10">
        <v>23</v>
      </c>
      <c r="D293" s="10">
        <v>7.1</v>
      </c>
      <c r="E293" s="3">
        <v>2.8</v>
      </c>
      <c r="F293" s="10">
        <v>6.4</v>
      </c>
      <c r="G293" s="3">
        <v>230</v>
      </c>
      <c r="H293" s="3">
        <v>3.2</v>
      </c>
      <c r="I293" s="10"/>
      <c r="J293" s="10"/>
      <c r="K293" s="43">
        <v>254</v>
      </c>
      <c r="L293">
        <v>2.5</v>
      </c>
      <c r="N293" s="10"/>
      <c r="O293" s="3">
        <v>500</v>
      </c>
      <c r="P293" t="b">
        <v>0</v>
      </c>
      <c r="Q293" t="b">
        <v>0</v>
      </c>
      <c r="R293" s="9" t="b">
        <v>0</v>
      </c>
      <c r="S293" s="10"/>
      <c r="T293" s="10"/>
      <c r="U293" s="10"/>
      <c r="V293" s="10"/>
      <c r="W293" s="10"/>
      <c r="X293" s="10"/>
      <c r="Y293" s="10"/>
      <c r="Z293" s="10"/>
      <c r="AA293" s="10"/>
      <c r="AB293" s="10"/>
      <c r="AC293" s="10"/>
      <c r="AD293" s="10"/>
      <c r="AE293" s="10"/>
    </row>
    <row r="294" ht="14.4" spans="1:31">
      <c r="A294" s="10" t="s">
        <v>139</v>
      </c>
      <c r="B294" s="3" t="s">
        <v>65</v>
      </c>
      <c r="C294" s="10">
        <v>23</v>
      </c>
      <c r="D294" s="10">
        <v>7.1</v>
      </c>
      <c r="E294" s="3">
        <v>2.8</v>
      </c>
      <c r="F294" s="10">
        <v>6.4</v>
      </c>
      <c r="G294" s="3">
        <v>230</v>
      </c>
      <c r="H294" s="3">
        <v>3.2</v>
      </c>
      <c r="I294" s="10"/>
      <c r="J294" s="10"/>
      <c r="K294" s="43"/>
      <c r="L294">
        <v>5</v>
      </c>
      <c r="N294" s="10"/>
      <c r="O294" s="3">
        <v>500</v>
      </c>
      <c r="P294" t="b">
        <v>0</v>
      </c>
      <c r="Q294" t="b">
        <v>0</v>
      </c>
      <c r="R294" s="9" t="b">
        <v>0</v>
      </c>
      <c r="S294" s="10"/>
      <c r="T294" s="10"/>
      <c r="U294" s="10"/>
      <c r="V294" s="10"/>
      <c r="W294" s="10"/>
      <c r="X294" s="10"/>
      <c r="Y294" s="10"/>
      <c r="Z294" s="10"/>
      <c r="AA294" s="10"/>
      <c r="AB294" s="10"/>
      <c r="AC294" s="10"/>
      <c r="AD294" s="10"/>
      <c r="AE294" s="10"/>
    </row>
    <row r="295" ht="15.75" customHeight="1" spans="1:31">
      <c r="A295" s="10" t="s">
        <v>139</v>
      </c>
      <c r="B295" s="3" t="s">
        <v>115</v>
      </c>
      <c r="C295" s="10">
        <v>23</v>
      </c>
      <c r="D295" s="10">
        <v>7.1</v>
      </c>
      <c r="E295" s="3">
        <v>2.8</v>
      </c>
      <c r="F295" s="10">
        <v>6.4</v>
      </c>
      <c r="G295" s="3">
        <v>230</v>
      </c>
      <c r="H295" s="3">
        <v>3.2</v>
      </c>
      <c r="I295" s="10"/>
      <c r="J295" s="10"/>
      <c r="K295" s="43"/>
      <c r="L295">
        <v>1.5</v>
      </c>
      <c r="N295" s="10"/>
      <c r="O295" s="3">
        <v>500</v>
      </c>
      <c r="P295" t="b">
        <v>0</v>
      </c>
      <c r="Q295" t="b">
        <v>0</v>
      </c>
      <c r="R295" s="9" t="b">
        <v>0</v>
      </c>
      <c r="S295" s="10"/>
      <c r="T295" s="10"/>
      <c r="U295" s="10"/>
      <c r="V295" s="10"/>
      <c r="W295" s="10"/>
      <c r="X295" s="10"/>
      <c r="Y295" s="10"/>
      <c r="Z295" s="10"/>
      <c r="AA295" s="10"/>
      <c r="AB295" s="10"/>
      <c r="AC295" s="10"/>
      <c r="AD295" s="10"/>
      <c r="AE295" s="10"/>
    </row>
    <row r="296" ht="15.75" customHeight="1" spans="1:31">
      <c r="A296" s="10" t="s">
        <v>140</v>
      </c>
      <c r="B296" s="10" t="s">
        <v>84</v>
      </c>
      <c r="C296" s="10">
        <v>38.5</v>
      </c>
      <c r="D296" s="10">
        <v>8.02</v>
      </c>
      <c r="E296" s="3">
        <v>3.61</v>
      </c>
      <c r="F296" s="10">
        <v>4.65</v>
      </c>
      <c r="G296" s="10">
        <v>600</v>
      </c>
      <c r="H296" s="10">
        <v>2.7</v>
      </c>
      <c r="I296" s="10"/>
      <c r="J296" s="10"/>
      <c r="K296" s="43">
        <v>406</v>
      </c>
      <c r="L296">
        <v>5</v>
      </c>
      <c r="N296" s="10"/>
      <c r="O296" s="3">
        <v>500</v>
      </c>
      <c r="P296" t="b">
        <v>0</v>
      </c>
      <c r="Q296" t="b">
        <v>0</v>
      </c>
      <c r="R296" s="9" t="b">
        <v>0</v>
      </c>
      <c r="S296" s="10"/>
      <c r="T296" s="10"/>
      <c r="U296" s="10"/>
      <c r="V296" s="10"/>
      <c r="W296" s="10"/>
      <c r="X296" s="10"/>
      <c r="Y296" s="10"/>
      <c r="Z296" s="10"/>
      <c r="AA296" s="10"/>
      <c r="AB296" s="10"/>
      <c r="AC296" s="10"/>
      <c r="AD296" s="10"/>
      <c r="AE296" s="10"/>
    </row>
    <row r="297" ht="15.75" customHeight="1" spans="1:31">
      <c r="A297" s="10" t="s">
        <v>140</v>
      </c>
      <c r="B297" s="3" t="s">
        <v>65</v>
      </c>
      <c r="C297" s="10">
        <v>38.5</v>
      </c>
      <c r="D297" s="10">
        <v>8.02</v>
      </c>
      <c r="E297" s="3">
        <v>3.61</v>
      </c>
      <c r="F297" s="10">
        <v>4.65</v>
      </c>
      <c r="G297" s="10">
        <v>600</v>
      </c>
      <c r="H297" s="10">
        <v>2.7</v>
      </c>
      <c r="I297" s="10"/>
      <c r="J297" s="10"/>
      <c r="K297" s="43"/>
      <c r="L297">
        <v>10</v>
      </c>
      <c r="N297" s="10"/>
      <c r="O297" s="3">
        <v>500</v>
      </c>
      <c r="P297" t="b">
        <v>0</v>
      </c>
      <c r="Q297" t="b">
        <v>0</v>
      </c>
      <c r="R297" s="9" t="b">
        <v>0</v>
      </c>
      <c r="S297" s="10"/>
      <c r="T297" s="10"/>
      <c r="U297" s="10"/>
      <c r="V297" s="10"/>
      <c r="W297" s="10"/>
      <c r="X297" s="10"/>
      <c r="Y297" s="10"/>
      <c r="Z297" s="10"/>
      <c r="AA297" s="10"/>
      <c r="AB297" s="10"/>
      <c r="AC297" s="10"/>
      <c r="AD297" s="10"/>
      <c r="AE297" s="10"/>
    </row>
    <row r="298" ht="14.4" spans="1:31">
      <c r="A298" s="10" t="s">
        <v>140</v>
      </c>
      <c r="B298" s="3" t="s">
        <v>115</v>
      </c>
      <c r="C298" s="10">
        <v>38.5</v>
      </c>
      <c r="D298" s="10">
        <v>8.02</v>
      </c>
      <c r="E298" s="3">
        <v>3.61</v>
      </c>
      <c r="F298" s="10">
        <v>4.65</v>
      </c>
      <c r="G298" s="10">
        <v>600</v>
      </c>
      <c r="H298" s="10">
        <v>2.7</v>
      </c>
      <c r="I298" s="10"/>
      <c r="J298" s="10"/>
      <c r="K298" s="43"/>
      <c r="L298">
        <v>3</v>
      </c>
      <c r="N298" s="10"/>
      <c r="O298" s="3">
        <v>500</v>
      </c>
      <c r="P298" t="b">
        <v>0</v>
      </c>
      <c r="Q298" t="b">
        <v>0</v>
      </c>
      <c r="R298" s="9" t="b">
        <v>0</v>
      </c>
      <c r="S298" s="10"/>
      <c r="T298" s="10"/>
      <c r="U298" s="10"/>
      <c r="V298" s="10"/>
      <c r="W298" s="10"/>
      <c r="X298" s="10"/>
      <c r="Y298" s="10"/>
      <c r="Z298" s="10"/>
      <c r="AA298" s="10"/>
      <c r="AB298" s="10"/>
      <c r="AC298" s="10"/>
      <c r="AD298" s="10"/>
      <c r="AE298" s="10"/>
    </row>
    <row r="299" ht="14.4" spans="1:31">
      <c r="A299" t="s">
        <v>141</v>
      </c>
      <c r="B299" t="s">
        <v>84</v>
      </c>
      <c r="C299">
        <v>35.2</v>
      </c>
      <c r="D299">
        <v>9.83</v>
      </c>
      <c r="E299">
        <v>5.5</v>
      </c>
      <c r="F299">
        <v>7.9</v>
      </c>
      <c r="G299">
        <v>497</v>
      </c>
      <c r="H299">
        <v>5.5</v>
      </c>
      <c r="L299">
        <v>4.25</v>
      </c>
      <c r="N299" s="10"/>
      <c r="O299" s="3">
        <v>500</v>
      </c>
      <c r="P299" t="b">
        <v>0</v>
      </c>
      <c r="Q299" t="b">
        <v>0</v>
      </c>
      <c r="R299" s="9" t="b">
        <v>0</v>
      </c>
      <c r="S299" s="10"/>
      <c r="T299" s="10"/>
      <c r="U299" s="10"/>
      <c r="V299" s="10"/>
      <c r="W299" s="10"/>
      <c r="X299" s="10"/>
      <c r="Y299" s="10"/>
      <c r="Z299" s="10"/>
      <c r="AA299" s="10"/>
      <c r="AB299" s="10"/>
      <c r="AC299" s="10"/>
      <c r="AD299" s="10"/>
      <c r="AE299" s="10"/>
    </row>
    <row r="300" ht="14.4" spans="1:31">
      <c r="A300" t="s">
        <v>141</v>
      </c>
      <c r="B300" t="s">
        <v>65</v>
      </c>
      <c r="C300">
        <v>35.2</v>
      </c>
      <c r="D300">
        <v>9.83</v>
      </c>
      <c r="E300">
        <v>5.5</v>
      </c>
      <c r="F300">
        <v>7.9</v>
      </c>
      <c r="G300">
        <v>497</v>
      </c>
      <c r="H300">
        <v>5.5</v>
      </c>
      <c r="L300">
        <v>8.5</v>
      </c>
      <c r="N300" s="10"/>
      <c r="O300" s="3">
        <v>500</v>
      </c>
      <c r="P300" t="b">
        <v>0</v>
      </c>
      <c r="Q300" t="b">
        <v>0</v>
      </c>
      <c r="R300" s="9" t="b">
        <v>0</v>
      </c>
      <c r="S300" s="10"/>
      <c r="T300" s="10"/>
      <c r="U300" s="10"/>
      <c r="V300" s="10"/>
      <c r="W300" s="10"/>
      <c r="X300" s="10"/>
      <c r="Y300" s="10"/>
      <c r="Z300" s="10"/>
      <c r="AA300" s="10"/>
      <c r="AB300" s="10"/>
      <c r="AC300" s="10"/>
      <c r="AD300" s="10"/>
      <c r="AE300" s="10"/>
    </row>
    <row r="301" ht="14.4" spans="1:31">
      <c r="A301" t="s">
        <v>141</v>
      </c>
      <c r="B301" t="s">
        <v>115</v>
      </c>
      <c r="C301">
        <v>35.2</v>
      </c>
      <c r="D301">
        <v>9.83</v>
      </c>
      <c r="E301">
        <v>5.5</v>
      </c>
      <c r="F301">
        <v>7.9</v>
      </c>
      <c r="G301">
        <v>497</v>
      </c>
      <c r="H301">
        <v>5.5</v>
      </c>
      <c r="L301">
        <v>3</v>
      </c>
      <c r="N301" s="10"/>
      <c r="O301" s="3">
        <v>500</v>
      </c>
      <c r="P301" t="b">
        <v>0</v>
      </c>
      <c r="Q301" t="b">
        <v>0</v>
      </c>
      <c r="R301" s="9" t="b">
        <v>0</v>
      </c>
      <c r="S301" s="10"/>
      <c r="T301" s="10"/>
      <c r="U301" s="10"/>
      <c r="V301" s="10"/>
      <c r="W301" s="10"/>
      <c r="X301" s="10"/>
      <c r="Y301" s="10"/>
      <c r="Z301" s="10"/>
      <c r="AA301" s="10"/>
      <c r="AB301" s="10"/>
      <c r="AC301" s="10"/>
      <c r="AD301" s="10"/>
      <c r="AE301" s="10"/>
    </row>
    <row r="302" ht="14.4" spans="1:31">
      <c r="A302" s="3" t="s">
        <v>142</v>
      </c>
      <c r="B302" s="10" t="s">
        <v>84</v>
      </c>
      <c r="C302" s="3">
        <v>38.9</v>
      </c>
      <c r="D302" s="3">
        <v>8.94</v>
      </c>
      <c r="E302" s="3">
        <v>6.2</v>
      </c>
      <c r="F302" s="3">
        <v>7.91</v>
      </c>
      <c r="G302" s="3">
        <v>327</v>
      </c>
      <c r="H302" s="3">
        <v>6.3</v>
      </c>
      <c r="I302" s="10"/>
      <c r="J302" s="10"/>
      <c r="L302">
        <v>5</v>
      </c>
      <c r="N302" s="10"/>
      <c r="O302" s="3">
        <v>500</v>
      </c>
      <c r="P302" t="b">
        <v>0</v>
      </c>
      <c r="Q302" t="b">
        <v>0</v>
      </c>
      <c r="R302" s="9" t="b">
        <v>0</v>
      </c>
      <c r="S302" s="10"/>
      <c r="T302" s="10"/>
      <c r="U302" s="10"/>
      <c r="V302" s="10"/>
      <c r="W302" s="10"/>
      <c r="X302" s="10"/>
      <c r="Y302" s="10"/>
      <c r="Z302" s="10"/>
      <c r="AA302" s="10"/>
      <c r="AB302" s="10"/>
      <c r="AC302" s="10"/>
      <c r="AD302" s="10"/>
      <c r="AE302" s="10"/>
    </row>
    <row r="303" ht="14.4" spans="1:31">
      <c r="A303" s="3" t="s">
        <v>142</v>
      </c>
      <c r="B303" s="3" t="s">
        <v>65</v>
      </c>
      <c r="C303" s="3">
        <v>38.9</v>
      </c>
      <c r="D303" s="3">
        <v>8.94</v>
      </c>
      <c r="E303" s="3">
        <v>6.2</v>
      </c>
      <c r="F303" s="3">
        <v>7.91</v>
      </c>
      <c r="G303" s="3">
        <v>327</v>
      </c>
      <c r="H303" s="3">
        <v>6.3</v>
      </c>
      <c r="I303" s="10"/>
      <c r="J303" s="10"/>
      <c r="L303">
        <v>10</v>
      </c>
      <c r="N303" s="10"/>
      <c r="O303" s="3">
        <v>500</v>
      </c>
      <c r="P303" t="b">
        <v>0</v>
      </c>
      <c r="Q303" t="b">
        <v>0</v>
      </c>
      <c r="R303" s="9" t="b">
        <v>0</v>
      </c>
      <c r="S303" s="10"/>
      <c r="T303" s="10"/>
      <c r="U303" s="10"/>
      <c r="V303" s="10"/>
      <c r="W303" s="10"/>
      <c r="X303" s="10"/>
      <c r="Y303" s="10"/>
      <c r="Z303" s="10"/>
      <c r="AA303" s="10"/>
      <c r="AB303" s="10"/>
      <c r="AC303" s="10"/>
      <c r="AD303" s="10"/>
      <c r="AE303" s="10"/>
    </row>
    <row r="304" ht="14.4" spans="1:31">
      <c r="A304" s="3" t="s">
        <v>142</v>
      </c>
      <c r="B304" s="3" t="s">
        <v>115</v>
      </c>
      <c r="C304" s="3">
        <v>38.9</v>
      </c>
      <c r="D304" s="3">
        <v>8.94</v>
      </c>
      <c r="E304" s="3">
        <v>6.2</v>
      </c>
      <c r="F304" s="3">
        <v>7.91</v>
      </c>
      <c r="G304" s="3">
        <v>327</v>
      </c>
      <c r="H304" s="3">
        <v>6.3</v>
      </c>
      <c r="I304" s="10"/>
      <c r="J304" s="10"/>
      <c r="L304">
        <v>3</v>
      </c>
      <c r="N304" s="10"/>
      <c r="O304" s="3">
        <v>500</v>
      </c>
      <c r="P304" t="b">
        <v>0</v>
      </c>
      <c r="Q304" t="b">
        <v>0</v>
      </c>
      <c r="R304" s="9" t="b">
        <v>0</v>
      </c>
      <c r="S304" s="10"/>
      <c r="T304" s="10"/>
      <c r="U304" s="10"/>
      <c r="V304" s="10"/>
      <c r="W304" s="10"/>
      <c r="X304" s="10"/>
      <c r="Y304" s="10"/>
      <c r="Z304" s="10"/>
      <c r="AA304" s="10"/>
      <c r="AB304" s="10"/>
      <c r="AC304" s="10"/>
      <c r="AD304" s="10"/>
      <c r="AE304" s="10"/>
    </row>
    <row r="305" ht="14.4" spans="1:31">
      <c r="A305" s="10" t="s">
        <v>143</v>
      </c>
      <c r="B305" s="10" t="s">
        <v>84</v>
      </c>
      <c r="C305" s="10">
        <v>34.8</v>
      </c>
      <c r="D305" s="10">
        <v>9.86</v>
      </c>
      <c r="E305" s="3">
        <v>5.5</v>
      </c>
      <c r="F305" s="10">
        <v>7.86</v>
      </c>
      <c r="G305" s="10">
        <v>441</v>
      </c>
      <c r="H305" s="10">
        <v>5.6</v>
      </c>
      <c r="I305" s="10"/>
      <c r="J305" s="10"/>
      <c r="L305">
        <v>4</v>
      </c>
      <c r="N305" s="10"/>
      <c r="O305" s="3">
        <v>500</v>
      </c>
      <c r="P305" t="b">
        <v>0</v>
      </c>
      <c r="Q305" t="b">
        <v>0</v>
      </c>
      <c r="R305" s="9" t="b">
        <v>0</v>
      </c>
      <c r="S305" s="10"/>
      <c r="T305" s="10"/>
      <c r="U305" s="10"/>
      <c r="V305" s="10"/>
      <c r="W305" s="10"/>
      <c r="X305" s="10"/>
      <c r="Y305" s="10"/>
      <c r="Z305" s="10"/>
      <c r="AA305" s="10"/>
      <c r="AB305" s="10"/>
      <c r="AC305" s="10"/>
      <c r="AD305" s="10"/>
      <c r="AE305" s="10"/>
    </row>
    <row r="306" ht="14.4" spans="1:31">
      <c r="A306" s="10" t="s">
        <v>143</v>
      </c>
      <c r="B306" s="3" t="s">
        <v>65</v>
      </c>
      <c r="C306" s="10">
        <v>34.8</v>
      </c>
      <c r="D306" s="10">
        <v>9.86</v>
      </c>
      <c r="E306" s="3">
        <v>5.5</v>
      </c>
      <c r="F306" s="10">
        <v>7.86</v>
      </c>
      <c r="G306" s="10">
        <v>441</v>
      </c>
      <c r="H306" s="10">
        <v>5.6</v>
      </c>
      <c r="I306" s="10"/>
      <c r="J306" s="10"/>
      <c r="L306">
        <v>10</v>
      </c>
      <c r="N306" s="10"/>
      <c r="O306" s="3">
        <v>500</v>
      </c>
      <c r="P306" t="b">
        <v>0</v>
      </c>
      <c r="Q306" t="b">
        <v>0</v>
      </c>
      <c r="R306" s="9" t="b">
        <v>0</v>
      </c>
      <c r="S306" s="10"/>
      <c r="T306" s="10"/>
      <c r="U306" s="10"/>
      <c r="V306" s="10"/>
      <c r="W306" s="10"/>
      <c r="X306" s="10"/>
      <c r="Y306" s="10"/>
      <c r="Z306" s="10"/>
      <c r="AA306" s="10"/>
      <c r="AB306" s="10"/>
      <c r="AC306" s="10"/>
      <c r="AD306" s="10"/>
      <c r="AE306" s="10"/>
    </row>
    <row r="307" ht="14.4" spans="1:31">
      <c r="A307" s="10" t="s">
        <v>143</v>
      </c>
      <c r="B307" s="3" t="s">
        <v>115</v>
      </c>
      <c r="C307" s="10">
        <v>34.8</v>
      </c>
      <c r="D307" s="10">
        <v>9.86</v>
      </c>
      <c r="E307" s="3">
        <v>5.5</v>
      </c>
      <c r="F307" s="10">
        <v>7.86</v>
      </c>
      <c r="G307" s="10">
        <v>441</v>
      </c>
      <c r="H307" s="10">
        <v>5.6</v>
      </c>
      <c r="I307" s="10"/>
      <c r="J307" s="10"/>
      <c r="L307">
        <v>3</v>
      </c>
      <c r="N307" s="10"/>
      <c r="O307" s="3">
        <v>500</v>
      </c>
      <c r="P307" t="b">
        <v>0</v>
      </c>
      <c r="Q307" t="b">
        <v>0</v>
      </c>
      <c r="R307" s="9" t="b">
        <v>0</v>
      </c>
      <c r="S307" s="10"/>
      <c r="T307" s="10"/>
      <c r="U307" s="10"/>
      <c r="V307" s="10"/>
      <c r="W307" s="10"/>
      <c r="X307" s="10"/>
      <c r="Y307" s="10"/>
      <c r="Z307" s="10"/>
      <c r="AA307" s="10"/>
      <c r="AB307" s="10"/>
      <c r="AC307" s="10"/>
      <c r="AD307" s="10"/>
      <c r="AE307" s="10"/>
    </row>
    <row r="308" ht="14.4" spans="1:31">
      <c r="A308" s="3" t="s">
        <v>144</v>
      </c>
      <c r="B308" s="10" t="s">
        <v>84</v>
      </c>
      <c r="C308" s="8">
        <v>30.24</v>
      </c>
      <c r="D308" s="8">
        <v>8.53</v>
      </c>
      <c r="E308" s="8">
        <f t="shared" ref="E308:E310" si="4">8.6-H308</f>
        <v>3.6</v>
      </c>
      <c r="F308" s="8">
        <v>7.85</v>
      </c>
      <c r="G308" s="8">
        <v>345</v>
      </c>
      <c r="H308" s="8">
        <v>5</v>
      </c>
      <c r="I308" s="3"/>
      <c r="J308" s="3"/>
      <c r="K308" s="3"/>
      <c r="L308" s="25">
        <v>4</v>
      </c>
      <c r="M308" s="3"/>
      <c r="N308" s="3"/>
      <c r="O308" s="8">
        <v>500</v>
      </c>
      <c r="P308" t="b">
        <v>0</v>
      </c>
      <c r="Q308" t="b">
        <v>0</v>
      </c>
      <c r="R308" s="9" t="b">
        <v>0</v>
      </c>
      <c r="S308" s="10"/>
      <c r="T308" s="10"/>
      <c r="U308" s="10"/>
      <c r="V308" s="10"/>
      <c r="W308" s="10"/>
      <c r="X308" s="10"/>
      <c r="Y308" s="10"/>
      <c r="Z308" s="10"/>
      <c r="AA308" s="10"/>
      <c r="AB308" s="10"/>
      <c r="AC308" s="10"/>
      <c r="AD308" s="10"/>
      <c r="AE308" s="10"/>
    </row>
    <row r="309" ht="14.4" spans="1:31">
      <c r="A309" s="3" t="s">
        <v>144</v>
      </c>
      <c r="B309" s="3" t="s">
        <v>65</v>
      </c>
      <c r="C309" s="8">
        <v>30.24</v>
      </c>
      <c r="D309" s="8">
        <v>8.53</v>
      </c>
      <c r="E309" s="8">
        <f t="shared" si="4"/>
        <v>3.6</v>
      </c>
      <c r="F309" s="8">
        <v>7.85</v>
      </c>
      <c r="G309" s="8">
        <v>345</v>
      </c>
      <c r="H309" s="8">
        <v>5</v>
      </c>
      <c r="I309" s="10"/>
      <c r="J309" s="10"/>
      <c r="K309" s="43"/>
      <c r="L309">
        <v>8</v>
      </c>
      <c r="N309" s="10"/>
      <c r="O309" s="8">
        <v>500</v>
      </c>
      <c r="P309" t="b">
        <v>0</v>
      </c>
      <c r="Q309" t="b">
        <v>0</v>
      </c>
      <c r="R309" s="9" t="b">
        <v>0</v>
      </c>
      <c r="S309" s="10"/>
      <c r="T309" s="10"/>
      <c r="U309" s="10"/>
      <c r="V309" s="10"/>
      <c r="W309" s="10"/>
      <c r="X309" s="10"/>
      <c r="Y309" s="10"/>
      <c r="Z309" s="10"/>
      <c r="AA309" s="10"/>
      <c r="AB309" s="10"/>
      <c r="AC309" s="10"/>
      <c r="AD309" s="10"/>
      <c r="AE309" s="10"/>
    </row>
    <row r="310" ht="14.4" spans="1:31">
      <c r="A310" s="3" t="s">
        <v>144</v>
      </c>
      <c r="B310" s="3" t="s">
        <v>115</v>
      </c>
      <c r="C310" s="8">
        <v>30.24</v>
      </c>
      <c r="D310" s="8">
        <v>8.53</v>
      </c>
      <c r="E310" s="8">
        <f t="shared" si="4"/>
        <v>3.6</v>
      </c>
      <c r="F310" s="8">
        <v>7.85</v>
      </c>
      <c r="G310" s="8">
        <v>345</v>
      </c>
      <c r="H310" s="8">
        <v>5</v>
      </c>
      <c r="I310" s="10"/>
      <c r="J310" s="10"/>
      <c r="K310" s="43"/>
      <c r="L310">
        <v>2</v>
      </c>
      <c r="N310" s="10"/>
      <c r="O310" s="8">
        <v>500</v>
      </c>
      <c r="P310" t="b">
        <v>0</v>
      </c>
      <c r="Q310" t="b">
        <v>0</v>
      </c>
      <c r="R310" s="9" t="b">
        <v>0</v>
      </c>
      <c r="S310" s="10"/>
      <c r="T310" s="10"/>
      <c r="U310" s="10"/>
      <c r="V310" s="10"/>
      <c r="W310" s="10"/>
      <c r="X310" s="10"/>
      <c r="Y310" s="10"/>
      <c r="Z310" s="10"/>
      <c r="AA310" s="10"/>
      <c r="AB310" s="10"/>
      <c r="AC310" s="10"/>
      <c r="AD310" s="10"/>
      <c r="AE310" s="10"/>
    </row>
    <row r="311" ht="14.4" spans="1:31">
      <c r="A311" s="10" t="s">
        <v>145</v>
      </c>
      <c r="B311" s="10" t="s">
        <v>84</v>
      </c>
      <c r="C311" s="10">
        <v>28.96</v>
      </c>
      <c r="D311" s="10">
        <v>10.77</v>
      </c>
      <c r="E311" s="3">
        <v>7.41</v>
      </c>
      <c r="F311" s="10">
        <v>9.02</v>
      </c>
      <c r="G311" s="10">
        <v>410</v>
      </c>
      <c r="H311" s="10">
        <v>8.1</v>
      </c>
      <c r="I311" s="10"/>
      <c r="J311" s="10"/>
      <c r="K311" s="43">
        <v>409</v>
      </c>
      <c r="L311">
        <v>5</v>
      </c>
      <c r="N311" s="10"/>
      <c r="O311" s="3">
        <v>500</v>
      </c>
      <c r="P311" t="b">
        <v>0</v>
      </c>
      <c r="Q311" t="b">
        <v>0</v>
      </c>
      <c r="R311" s="9" t="b">
        <v>0</v>
      </c>
      <c r="S311" s="10"/>
      <c r="T311" s="10"/>
      <c r="U311" s="10"/>
      <c r="V311" s="10"/>
      <c r="W311" s="10"/>
      <c r="X311" s="10"/>
      <c r="Y311" s="10"/>
      <c r="Z311" s="10"/>
      <c r="AA311" s="10"/>
      <c r="AB311" s="10"/>
      <c r="AC311" s="10"/>
      <c r="AD311" s="10"/>
      <c r="AE311" s="10"/>
    </row>
    <row r="312" ht="14.4" spans="1:31">
      <c r="A312" s="10" t="s">
        <v>145</v>
      </c>
      <c r="B312" s="3" t="s">
        <v>65</v>
      </c>
      <c r="C312" s="10">
        <v>28.96</v>
      </c>
      <c r="D312" s="10">
        <v>10.77</v>
      </c>
      <c r="E312" s="3">
        <v>7.41</v>
      </c>
      <c r="F312" s="10">
        <v>9.02</v>
      </c>
      <c r="G312" s="10">
        <v>410</v>
      </c>
      <c r="H312" s="10">
        <v>8.1</v>
      </c>
      <c r="I312" s="10"/>
      <c r="J312" s="10"/>
      <c r="K312" s="43"/>
      <c r="L312">
        <v>10</v>
      </c>
      <c r="N312" s="10"/>
      <c r="O312" s="3">
        <v>500</v>
      </c>
      <c r="P312" t="b">
        <v>0</v>
      </c>
      <c r="Q312" t="b">
        <v>0</v>
      </c>
      <c r="R312" s="9" t="b">
        <v>0</v>
      </c>
      <c r="S312" s="10"/>
      <c r="T312" s="10"/>
      <c r="U312" s="10"/>
      <c r="V312" s="10"/>
      <c r="W312" s="10"/>
      <c r="X312" s="10"/>
      <c r="Y312" s="10"/>
      <c r="Z312" s="10"/>
      <c r="AA312" s="10"/>
      <c r="AB312" s="10"/>
      <c r="AC312" s="10"/>
      <c r="AD312" s="10"/>
      <c r="AE312" s="10"/>
    </row>
    <row r="313" ht="14.4" spans="1:31">
      <c r="A313" s="10" t="s">
        <v>145</v>
      </c>
      <c r="B313" s="3" t="s">
        <v>115</v>
      </c>
      <c r="C313" s="10">
        <v>28.96</v>
      </c>
      <c r="D313" s="10">
        <v>10.77</v>
      </c>
      <c r="E313" s="3">
        <v>7.41</v>
      </c>
      <c r="F313" s="10">
        <v>9.02</v>
      </c>
      <c r="G313" s="10">
        <v>410</v>
      </c>
      <c r="H313" s="10">
        <v>8.1</v>
      </c>
      <c r="I313" s="10"/>
      <c r="J313" s="10"/>
      <c r="K313" s="43"/>
      <c r="L313">
        <v>3</v>
      </c>
      <c r="N313" s="10"/>
      <c r="O313" s="3">
        <v>500</v>
      </c>
      <c r="P313" t="b">
        <v>0</v>
      </c>
      <c r="Q313" t="b">
        <v>0</v>
      </c>
      <c r="R313" s="9" t="b">
        <v>0</v>
      </c>
      <c r="S313" s="10"/>
      <c r="T313" s="10"/>
      <c r="U313" s="10"/>
      <c r="V313" s="10"/>
      <c r="W313" s="10"/>
      <c r="X313" s="10"/>
      <c r="Y313" s="10"/>
      <c r="Z313" s="10"/>
      <c r="AA313" s="10"/>
      <c r="AB313" s="10"/>
      <c r="AC313" s="10"/>
      <c r="AD313" s="10"/>
      <c r="AE313" s="10"/>
    </row>
    <row r="314" ht="14.4" spans="1:31">
      <c r="A314" s="3" t="s">
        <v>146</v>
      </c>
      <c r="B314" s="3" t="s">
        <v>84</v>
      </c>
      <c r="C314" s="8">
        <v>31.5</v>
      </c>
      <c r="D314" s="8">
        <v>9.82</v>
      </c>
      <c r="E314" s="8">
        <v>4.25</v>
      </c>
      <c r="F314" s="8">
        <v>9.2</v>
      </c>
      <c r="G314" s="8">
        <v>234</v>
      </c>
      <c r="H314" s="8">
        <v>10.2</v>
      </c>
      <c r="I314" s="3"/>
      <c r="J314" s="3"/>
      <c r="K314" s="3"/>
      <c r="L314" s="8">
        <v>3</v>
      </c>
      <c r="M314" s="3"/>
      <c r="N314" s="3"/>
      <c r="O314" s="8">
        <v>500</v>
      </c>
      <c r="P314" t="b">
        <v>0</v>
      </c>
      <c r="Q314" t="b">
        <v>0</v>
      </c>
      <c r="R314" s="9" t="b">
        <v>0</v>
      </c>
      <c r="S314" s="10"/>
      <c r="T314" s="10"/>
      <c r="U314" s="10"/>
      <c r="V314" s="10"/>
      <c r="W314" s="10"/>
      <c r="X314" s="10"/>
      <c r="Y314" s="10"/>
      <c r="Z314" s="10"/>
      <c r="AA314" s="10"/>
      <c r="AB314" s="10"/>
      <c r="AC314" s="10"/>
      <c r="AD314" s="10"/>
      <c r="AE314" s="10"/>
    </row>
    <row r="315" ht="14.4" spans="1:31">
      <c r="A315" s="3" t="s">
        <v>146</v>
      </c>
      <c r="B315" s="3" t="s">
        <v>65</v>
      </c>
      <c r="C315" s="8">
        <v>31.5</v>
      </c>
      <c r="D315" s="8">
        <v>9.82</v>
      </c>
      <c r="E315" s="8">
        <v>4.25</v>
      </c>
      <c r="F315" s="8">
        <v>9.2</v>
      </c>
      <c r="G315" s="8">
        <v>234</v>
      </c>
      <c r="H315" s="8">
        <v>10.2</v>
      </c>
      <c r="I315" s="3"/>
      <c r="J315" s="3"/>
      <c r="K315" s="3"/>
      <c r="L315" s="8">
        <v>6</v>
      </c>
      <c r="M315" s="3"/>
      <c r="N315" s="3"/>
      <c r="O315" s="8">
        <v>500</v>
      </c>
      <c r="P315" t="b">
        <v>0</v>
      </c>
      <c r="Q315" t="b">
        <v>0</v>
      </c>
      <c r="R315" s="9" t="b">
        <v>0</v>
      </c>
      <c r="S315" s="10"/>
      <c r="T315" s="10"/>
      <c r="U315" s="10"/>
      <c r="V315" s="10"/>
      <c r="W315" s="10"/>
      <c r="X315" s="10"/>
      <c r="Y315" s="10"/>
      <c r="Z315" s="10"/>
      <c r="AA315" s="10"/>
      <c r="AB315" s="10"/>
      <c r="AC315" s="10"/>
      <c r="AD315" s="10"/>
      <c r="AE315" s="10"/>
    </row>
    <row r="316" ht="14.4" spans="1:31">
      <c r="A316" s="3" t="s">
        <v>146</v>
      </c>
      <c r="B316" s="3" t="s">
        <v>115</v>
      </c>
      <c r="C316" s="8">
        <v>31.5</v>
      </c>
      <c r="D316" s="8">
        <v>9.82</v>
      </c>
      <c r="E316" s="8">
        <v>4.25</v>
      </c>
      <c r="F316" s="8">
        <v>9.2</v>
      </c>
      <c r="G316" s="8">
        <v>234</v>
      </c>
      <c r="H316" s="8">
        <v>10.2</v>
      </c>
      <c r="I316" s="3"/>
      <c r="J316" s="3"/>
      <c r="K316" s="3"/>
      <c r="L316" s="8">
        <v>1.5</v>
      </c>
      <c r="M316" s="3"/>
      <c r="N316" s="3"/>
      <c r="O316" s="8">
        <v>500</v>
      </c>
      <c r="P316" t="b">
        <v>0</v>
      </c>
      <c r="Q316" t="b">
        <v>0</v>
      </c>
      <c r="R316" s="9" t="b">
        <v>0</v>
      </c>
      <c r="S316" s="10"/>
      <c r="T316" s="10"/>
      <c r="U316" s="10"/>
      <c r="V316" s="10"/>
      <c r="W316" s="10"/>
      <c r="X316" s="10"/>
      <c r="Y316" s="10"/>
      <c r="Z316" s="10"/>
      <c r="AA316" s="10"/>
      <c r="AB316" s="10"/>
      <c r="AC316" s="10"/>
      <c r="AD316" s="10"/>
      <c r="AE316" s="10"/>
    </row>
    <row r="317" ht="14.4" spans="1:31">
      <c r="A317" s="10" t="s">
        <v>147</v>
      </c>
      <c r="B317" s="10" t="s">
        <v>84</v>
      </c>
      <c r="C317" s="10">
        <v>32.5</v>
      </c>
      <c r="D317" s="10">
        <v>9.8</v>
      </c>
      <c r="E317" s="3">
        <v>6.12</v>
      </c>
      <c r="F317" s="10">
        <v>9</v>
      </c>
      <c r="G317" s="10">
        <v>350</v>
      </c>
      <c r="H317" s="10">
        <v>7</v>
      </c>
      <c r="I317" s="10"/>
      <c r="J317" s="10"/>
      <c r="L317">
        <v>3.5</v>
      </c>
      <c r="N317" s="10"/>
      <c r="O317" s="3">
        <v>500</v>
      </c>
      <c r="P317" t="b">
        <v>0</v>
      </c>
      <c r="Q317" t="b">
        <v>0</v>
      </c>
      <c r="R317" s="9" t="b">
        <v>0</v>
      </c>
      <c r="S317" s="10"/>
      <c r="T317" s="10"/>
      <c r="U317" s="10"/>
      <c r="V317" s="10"/>
      <c r="W317" s="10"/>
      <c r="X317" s="10"/>
      <c r="Y317" s="10"/>
      <c r="Z317" s="10"/>
      <c r="AA317" s="10"/>
      <c r="AB317" s="10"/>
      <c r="AC317" s="10"/>
      <c r="AD317" s="10"/>
      <c r="AE317" s="10"/>
    </row>
    <row r="318" ht="14.4" spans="1:31">
      <c r="A318" s="10" t="s">
        <v>147</v>
      </c>
      <c r="B318" s="3" t="s">
        <v>65</v>
      </c>
      <c r="C318" s="10">
        <v>32.5</v>
      </c>
      <c r="D318" s="10">
        <v>9.8</v>
      </c>
      <c r="E318" s="3">
        <v>6.12</v>
      </c>
      <c r="F318" s="10">
        <v>9</v>
      </c>
      <c r="G318" s="10">
        <v>350</v>
      </c>
      <c r="H318" s="10">
        <v>7</v>
      </c>
      <c r="I318" s="10"/>
      <c r="J318" s="10"/>
      <c r="L318">
        <v>7</v>
      </c>
      <c r="N318" s="10"/>
      <c r="O318" s="3">
        <v>500</v>
      </c>
      <c r="P318" t="b">
        <v>0</v>
      </c>
      <c r="Q318" t="b">
        <v>0</v>
      </c>
      <c r="R318" s="9" t="b">
        <v>0</v>
      </c>
      <c r="S318" s="10"/>
      <c r="T318" s="10"/>
      <c r="U318" s="10"/>
      <c r="V318" s="10"/>
      <c r="W318" s="10"/>
      <c r="X318" s="10"/>
      <c r="Y318" s="10"/>
      <c r="Z318" s="10"/>
      <c r="AA318" s="10"/>
      <c r="AB318" s="10"/>
      <c r="AC318" s="10"/>
      <c r="AD318" s="10"/>
      <c r="AE318" s="10"/>
    </row>
    <row r="319" ht="14.4" spans="1:31">
      <c r="A319" s="10" t="s">
        <v>147</v>
      </c>
      <c r="B319" s="3" t="s">
        <v>115</v>
      </c>
      <c r="C319" s="10">
        <v>32.5</v>
      </c>
      <c r="D319" s="10">
        <v>9.8</v>
      </c>
      <c r="E319" s="3">
        <v>6.12</v>
      </c>
      <c r="F319" s="10">
        <v>9</v>
      </c>
      <c r="G319" s="10">
        <v>350</v>
      </c>
      <c r="H319" s="10">
        <v>7</v>
      </c>
      <c r="I319" s="10"/>
      <c r="J319" s="10"/>
      <c r="L319">
        <v>2</v>
      </c>
      <c r="N319" s="10"/>
      <c r="O319" s="3">
        <v>500</v>
      </c>
      <c r="P319" t="b">
        <v>0</v>
      </c>
      <c r="Q319" t="b">
        <v>0</v>
      </c>
      <c r="R319" s="9" t="b">
        <v>0</v>
      </c>
      <c r="S319" s="10"/>
      <c r="T319" s="10"/>
      <c r="U319" s="10"/>
      <c r="V319" s="10"/>
      <c r="W319" s="10"/>
      <c r="X319" s="10"/>
      <c r="Y319" s="10"/>
      <c r="Z319" s="10"/>
      <c r="AA319" s="10"/>
      <c r="AB319" s="10"/>
      <c r="AC319" s="10"/>
      <c r="AD319" s="10"/>
      <c r="AE319" s="10"/>
    </row>
    <row r="320" ht="14.4" spans="1:31">
      <c r="A320" s="10" t="s">
        <v>148</v>
      </c>
      <c r="B320" s="10" t="s">
        <v>84</v>
      </c>
      <c r="C320" s="10">
        <v>39</v>
      </c>
      <c r="D320" s="10">
        <v>9.6</v>
      </c>
      <c r="E320" s="3">
        <v>3.62</v>
      </c>
      <c r="F320" s="10">
        <v>9.1</v>
      </c>
      <c r="G320" s="10">
        <v>270</v>
      </c>
      <c r="H320" s="10">
        <v>9.53</v>
      </c>
      <c r="I320" s="10"/>
      <c r="J320" s="10"/>
      <c r="K320" s="43">
        <v>355</v>
      </c>
      <c r="L320">
        <v>4</v>
      </c>
      <c r="N320" s="10"/>
      <c r="O320" s="3">
        <v>500</v>
      </c>
      <c r="P320" t="b">
        <v>0</v>
      </c>
      <c r="Q320" t="b">
        <v>0</v>
      </c>
      <c r="R320" s="9" t="b">
        <v>0</v>
      </c>
      <c r="S320" s="10"/>
      <c r="T320" s="10"/>
      <c r="U320" s="10"/>
      <c r="V320" s="10"/>
      <c r="W320" s="10"/>
      <c r="X320" s="10"/>
      <c r="Y320" s="10"/>
      <c r="Z320" s="10"/>
      <c r="AA320" s="10"/>
      <c r="AB320" s="10"/>
      <c r="AC320" s="10"/>
      <c r="AD320" s="10"/>
      <c r="AE320" s="10"/>
    </row>
    <row r="321" ht="14.4" spans="1:31">
      <c r="A321" s="10" t="s">
        <v>148</v>
      </c>
      <c r="B321" s="3" t="s">
        <v>65</v>
      </c>
      <c r="C321" s="10">
        <v>39</v>
      </c>
      <c r="D321" s="10">
        <v>9.6</v>
      </c>
      <c r="E321" s="3">
        <v>3.62</v>
      </c>
      <c r="F321" s="10">
        <v>9.1</v>
      </c>
      <c r="G321" s="10">
        <v>270</v>
      </c>
      <c r="H321" s="10">
        <v>9.53</v>
      </c>
      <c r="I321" s="10"/>
      <c r="J321" s="10"/>
      <c r="K321" s="43"/>
      <c r="L321">
        <v>8</v>
      </c>
      <c r="N321" s="10"/>
      <c r="O321" s="3">
        <v>500</v>
      </c>
      <c r="P321" t="b">
        <v>0</v>
      </c>
      <c r="Q321" t="b">
        <v>0</v>
      </c>
      <c r="R321" s="9" t="b">
        <v>0</v>
      </c>
      <c r="S321" s="10"/>
      <c r="T321" s="10"/>
      <c r="U321" s="10"/>
      <c r="V321" s="10"/>
      <c r="W321" s="10"/>
      <c r="X321" s="10"/>
      <c r="Y321" s="10"/>
      <c r="Z321" s="10"/>
      <c r="AA321" s="10"/>
      <c r="AB321" s="10"/>
      <c r="AC321" s="10"/>
      <c r="AD321" s="10"/>
      <c r="AE321" s="10"/>
    </row>
    <row r="322" ht="14.4" spans="1:31">
      <c r="A322" s="10" t="s">
        <v>148</v>
      </c>
      <c r="B322" s="3" t="s">
        <v>115</v>
      </c>
      <c r="C322" s="10">
        <v>39</v>
      </c>
      <c r="D322" s="10">
        <v>9.6</v>
      </c>
      <c r="E322" s="3">
        <v>3.62</v>
      </c>
      <c r="F322" s="10">
        <v>9.1</v>
      </c>
      <c r="G322" s="10">
        <v>270</v>
      </c>
      <c r="H322" s="10">
        <v>9.53</v>
      </c>
      <c r="I322" s="10"/>
      <c r="J322" s="10"/>
      <c r="K322" s="43"/>
      <c r="L322">
        <v>2</v>
      </c>
      <c r="N322" s="10"/>
      <c r="O322" s="3">
        <v>500</v>
      </c>
      <c r="P322" t="b">
        <v>0</v>
      </c>
      <c r="Q322" t="b">
        <v>0</v>
      </c>
      <c r="R322" s="9" t="b">
        <v>0</v>
      </c>
      <c r="S322" s="10"/>
      <c r="T322" s="10"/>
      <c r="U322" s="10"/>
      <c r="V322" s="10"/>
      <c r="W322" s="10"/>
      <c r="X322" s="10"/>
      <c r="Y322" s="10"/>
      <c r="Z322" s="10"/>
      <c r="AA322" s="10"/>
      <c r="AB322" s="10"/>
      <c r="AC322" s="10"/>
      <c r="AD322" s="10"/>
      <c r="AE322" s="10"/>
    </row>
    <row r="323" ht="14.4" spans="1:31">
      <c r="A323" s="10" t="s">
        <v>149</v>
      </c>
      <c r="B323" s="10" t="s">
        <v>84</v>
      </c>
      <c r="C323" s="10">
        <v>25</v>
      </c>
      <c r="D323" s="10">
        <v>9.5</v>
      </c>
      <c r="E323" s="3">
        <v>3.18</v>
      </c>
      <c r="F323" s="10">
        <v>9</v>
      </c>
      <c r="G323" s="10">
        <v>300</v>
      </c>
      <c r="H323" s="10">
        <v>6</v>
      </c>
      <c r="I323" s="10"/>
      <c r="J323" s="10"/>
      <c r="K323" s="43">
        <v>229</v>
      </c>
      <c r="L323">
        <v>3</v>
      </c>
      <c r="N323" s="10"/>
      <c r="O323" s="3">
        <v>500</v>
      </c>
      <c r="P323" t="b">
        <v>0</v>
      </c>
      <c r="Q323" t="b">
        <v>0</v>
      </c>
      <c r="R323" s="9" t="b">
        <v>0</v>
      </c>
      <c r="S323" s="10"/>
      <c r="T323" s="10"/>
      <c r="U323" s="10"/>
      <c r="V323" s="10"/>
      <c r="W323" s="10"/>
      <c r="X323" s="10"/>
      <c r="Y323" s="10"/>
      <c r="Z323" s="10"/>
      <c r="AA323" s="10"/>
      <c r="AB323" s="10"/>
      <c r="AC323" s="10"/>
      <c r="AD323" s="10"/>
      <c r="AE323" s="10"/>
    </row>
    <row r="324" ht="14.4" spans="1:31">
      <c r="A324" s="10" t="s">
        <v>149</v>
      </c>
      <c r="B324" s="3" t="s">
        <v>65</v>
      </c>
      <c r="C324" s="10">
        <v>25</v>
      </c>
      <c r="D324" s="10">
        <v>9.5</v>
      </c>
      <c r="E324" s="3">
        <v>3.18</v>
      </c>
      <c r="F324" s="10">
        <v>9</v>
      </c>
      <c r="G324" s="10">
        <v>300</v>
      </c>
      <c r="H324" s="10">
        <v>6</v>
      </c>
      <c r="I324" s="10"/>
      <c r="J324" s="10"/>
      <c r="K324" s="43"/>
      <c r="L324">
        <v>6</v>
      </c>
      <c r="N324" s="10"/>
      <c r="O324" s="3">
        <v>500</v>
      </c>
      <c r="P324" t="b">
        <v>0</v>
      </c>
      <c r="Q324" t="b">
        <v>0</v>
      </c>
      <c r="R324" s="9" t="b">
        <v>0</v>
      </c>
      <c r="S324" s="10"/>
      <c r="T324" s="10"/>
      <c r="U324" s="10"/>
      <c r="V324" s="10"/>
      <c r="W324" s="10"/>
      <c r="X324" s="10"/>
      <c r="Y324" s="10"/>
      <c r="Z324" s="10"/>
      <c r="AA324" s="10"/>
      <c r="AB324" s="10"/>
      <c r="AC324" s="10"/>
      <c r="AD324" s="10"/>
      <c r="AE324" s="10"/>
    </row>
    <row r="325" ht="14.4" spans="1:31">
      <c r="A325" s="10" t="s">
        <v>149</v>
      </c>
      <c r="B325" s="3" t="s">
        <v>115</v>
      </c>
      <c r="C325" s="10">
        <v>25</v>
      </c>
      <c r="D325" s="10">
        <v>9.5</v>
      </c>
      <c r="E325" s="3">
        <v>3.18</v>
      </c>
      <c r="F325" s="10">
        <v>9</v>
      </c>
      <c r="G325" s="10">
        <v>300</v>
      </c>
      <c r="H325" s="10">
        <v>6</v>
      </c>
      <c r="I325" s="10"/>
      <c r="J325" s="10"/>
      <c r="K325" s="43"/>
      <c r="L325">
        <v>2</v>
      </c>
      <c r="N325" s="10"/>
      <c r="O325" s="3">
        <v>500</v>
      </c>
      <c r="P325" t="b">
        <v>0</v>
      </c>
      <c r="Q325" t="b">
        <v>0</v>
      </c>
      <c r="R325" s="9" t="b">
        <v>0</v>
      </c>
      <c r="S325" s="10"/>
      <c r="T325" s="10"/>
      <c r="U325" s="10"/>
      <c r="V325" s="10"/>
      <c r="W325" s="10"/>
      <c r="X325" s="10"/>
      <c r="Y325" s="10"/>
      <c r="Z325" s="10"/>
      <c r="AA325" s="10"/>
      <c r="AB325" s="10"/>
      <c r="AC325" s="10"/>
      <c r="AD325" s="10"/>
      <c r="AE325" s="10"/>
    </row>
    <row r="326" ht="14.4" spans="1:31">
      <c r="A326" s="3" t="s">
        <v>150</v>
      </c>
      <c r="B326" s="3" t="s">
        <v>84</v>
      </c>
      <c r="C326" s="8">
        <v>32.51</v>
      </c>
      <c r="D326" s="8">
        <v>9.6</v>
      </c>
      <c r="E326" s="8">
        <v>6.4</v>
      </c>
      <c r="F326" s="8">
        <v>9</v>
      </c>
      <c r="G326" s="8">
        <v>430</v>
      </c>
      <c r="H326" s="8">
        <v>8.03</v>
      </c>
      <c r="I326" s="3"/>
      <c r="J326" s="3"/>
      <c r="K326" s="8">
        <v>244</v>
      </c>
      <c r="L326" s="8">
        <v>4</v>
      </c>
      <c r="M326" s="3"/>
      <c r="N326" s="3"/>
      <c r="O326" s="8">
        <v>500</v>
      </c>
      <c r="P326" t="b">
        <v>0</v>
      </c>
      <c r="Q326" t="b">
        <v>0</v>
      </c>
      <c r="R326" s="9" t="b">
        <v>0</v>
      </c>
      <c r="S326" s="10"/>
      <c r="T326" s="10"/>
      <c r="U326" s="10"/>
      <c r="V326" s="10"/>
      <c r="W326" s="10"/>
      <c r="X326" s="10"/>
      <c r="Y326" s="10"/>
      <c r="Z326" s="10"/>
      <c r="AA326" s="10"/>
      <c r="AB326" s="10"/>
      <c r="AC326" s="10"/>
      <c r="AD326" s="10"/>
      <c r="AE326" s="10"/>
    </row>
    <row r="327" ht="14.4" spans="1:31">
      <c r="A327" s="3" t="s">
        <v>150</v>
      </c>
      <c r="B327" s="3" t="s">
        <v>65</v>
      </c>
      <c r="C327" s="8">
        <v>32.51</v>
      </c>
      <c r="D327" s="8">
        <v>9.6</v>
      </c>
      <c r="E327" s="8">
        <v>6.4</v>
      </c>
      <c r="F327" s="8">
        <v>9</v>
      </c>
      <c r="G327" s="8">
        <v>430</v>
      </c>
      <c r="H327" s="8">
        <v>8.03</v>
      </c>
      <c r="I327" s="3"/>
      <c r="J327" s="3"/>
      <c r="K327" s="3"/>
      <c r="L327" s="8">
        <v>8</v>
      </c>
      <c r="M327" s="3"/>
      <c r="N327" s="3"/>
      <c r="O327" s="8">
        <v>500</v>
      </c>
      <c r="P327" t="b">
        <v>0</v>
      </c>
      <c r="Q327" t="b">
        <v>0</v>
      </c>
      <c r="R327" s="9" t="b">
        <v>0</v>
      </c>
      <c r="S327" s="10"/>
      <c r="T327" s="10"/>
      <c r="U327" s="10"/>
      <c r="V327" s="10"/>
      <c r="W327" s="10"/>
      <c r="X327" s="10"/>
      <c r="Y327" s="10"/>
      <c r="Z327" s="10"/>
      <c r="AA327" s="10"/>
      <c r="AB327" s="10"/>
      <c r="AC327" s="10"/>
      <c r="AD327" s="10"/>
      <c r="AE327" s="10"/>
    </row>
    <row r="328" ht="14.4" spans="1:31">
      <c r="A328" s="3" t="s">
        <v>150</v>
      </c>
      <c r="B328" s="3" t="s">
        <v>115</v>
      </c>
      <c r="C328" s="8">
        <v>32.51</v>
      </c>
      <c r="D328" s="8">
        <v>9.6</v>
      </c>
      <c r="E328" s="8">
        <v>6.4</v>
      </c>
      <c r="F328" s="8">
        <v>9</v>
      </c>
      <c r="G328" s="8">
        <v>430</v>
      </c>
      <c r="H328" s="8">
        <v>8.03</v>
      </c>
      <c r="I328" s="3"/>
      <c r="J328" s="3"/>
      <c r="K328" s="3"/>
      <c r="L328" s="8">
        <v>2</v>
      </c>
      <c r="M328" s="3"/>
      <c r="N328" s="3"/>
      <c r="O328" s="8">
        <v>500</v>
      </c>
      <c r="P328" t="b">
        <v>0</v>
      </c>
      <c r="Q328" t="b">
        <v>0</v>
      </c>
      <c r="R328" s="9" t="b">
        <v>0</v>
      </c>
      <c r="S328" s="10"/>
      <c r="T328" s="10"/>
      <c r="U328" s="10"/>
      <c r="V328" s="10"/>
      <c r="W328" s="10"/>
      <c r="X328" s="10"/>
      <c r="Y328" s="10"/>
      <c r="Z328" s="10"/>
      <c r="AA328" s="10"/>
      <c r="AB328" s="10"/>
      <c r="AC328" s="10"/>
      <c r="AD328" s="10"/>
      <c r="AE328" s="10"/>
    </row>
    <row r="329" ht="14.4" spans="1:31">
      <c r="A329" s="10" t="s">
        <v>151</v>
      </c>
      <c r="B329" s="3" t="s">
        <v>84</v>
      </c>
      <c r="C329" s="10">
        <v>45</v>
      </c>
      <c r="D329" s="10">
        <v>12.2</v>
      </c>
      <c r="E329" s="3">
        <v>8.56</v>
      </c>
      <c r="F329" s="10">
        <v>11.5</v>
      </c>
      <c r="G329" s="3">
        <v>460</v>
      </c>
      <c r="H329" s="3">
        <v>23</v>
      </c>
      <c r="I329" s="10"/>
      <c r="J329" s="10"/>
      <c r="L329">
        <v>8</v>
      </c>
      <c r="N329" s="10"/>
      <c r="O329" s="3">
        <v>500</v>
      </c>
      <c r="P329" t="b">
        <v>0</v>
      </c>
      <c r="Q329" t="b">
        <v>0</v>
      </c>
      <c r="R329" s="9" t="b">
        <v>0</v>
      </c>
      <c r="S329" s="10"/>
      <c r="T329" s="10"/>
      <c r="U329" s="10"/>
      <c r="V329" s="10"/>
      <c r="W329" s="10"/>
      <c r="X329" s="10"/>
      <c r="Y329" s="10"/>
      <c r="Z329" s="10"/>
      <c r="AA329" s="10"/>
      <c r="AB329" s="10"/>
      <c r="AC329" s="10"/>
      <c r="AD329" s="10"/>
      <c r="AE329" s="10"/>
    </row>
    <row r="330" ht="14.4" spans="1:31">
      <c r="A330" s="10" t="s">
        <v>151</v>
      </c>
      <c r="B330" s="3" t="s">
        <v>65</v>
      </c>
      <c r="C330" s="10">
        <v>45</v>
      </c>
      <c r="D330" s="10">
        <v>12.2</v>
      </c>
      <c r="E330" s="3">
        <v>8.56</v>
      </c>
      <c r="F330" s="10">
        <v>11.5</v>
      </c>
      <c r="G330" s="3">
        <v>460</v>
      </c>
      <c r="H330" s="3">
        <v>23</v>
      </c>
      <c r="I330" s="10"/>
      <c r="J330" s="10"/>
      <c r="L330">
        <v>16</v>
      </c>
      <c r="N330" s="10"/>
      <c r="O330" s="3">
        <v>500</v>
      </c>
      <c r="P330" t="b">
        <v>0</v>
      </c>
      <c r="Q330" t="b">
        <v>0</v>
      </c>
      <c r="R330" s="9" t="b">
        <v>0</v>
      </c>
      <c r="S330" s="10"/>
      <c r="T330" s="10"/>
      <c r="U330" s="10"/>
      <c r="V330" s="10"/>
      <c r="W330" s="10"/>
      <c r="X330" s="10"/>
      <c r="Y330" s="10"/>
      <c r="Z330" s="10"/>
      <c r="AA330" s="10"/>
      <c r="AB330" s="10"/>
      <c r="AC330" s="10"/>
      <c r="AD330" s="10"/>
      <c r="AE330" s="10"/>
    </row>
    <row r="331" ht="14.4" spans="1:31">
      <c r="A331" s="10" t="s">
        <v>151</v>
      </c>
      <c r="B331" s="3" t="s">
        <v>115</v>
      </c>
      <c r="C331" s="10">
        <v>45</v>
      </c>
      <c r="D331" s="10">
        <v>12.2</v>
      </c>
      <c r="E331" s="3">
        <v>8.56</v>
      </c>
      <c r="F331" s="10">
        <v>11.5</v>
      </c>
      <c r="G331" s="3">
        <v>460</v>
      </c>
      <c r="H331" s="3">
        <v>23</v>
      </c>
      <c r="I331" s="10"/>
      <c r="J331" s="10"/>
      <c r="L331">
        <v>4</v>
      </c>
      <c r="N331" s="10"/>
      <c r="O331" s="3">
        <v>500</v>
      </c>
      <c r="P331" t="b">
        <v>0</v>
      </c>
      <c r="Q331" t="b">
        <v>0</v>
      </c>
      <c r="R331" s="9" t="b">
        <v>0</v>
      </c>
      <c r="S331" s="3"/>
      <c r="T331" s="3"/>
      <c r="U331" s="3"/>
      <c r="V331" s="3"/>
      <c r="W331" s="3"/>
      <c r="X331" s="3"/>
      <c r="Y331" s="3"/>
      <c r="Z331" s="3"/>
      <c r="AA331" s="3"/>
      <c r="AB331" s="3"/>
      <c r="AC331" s="3"/>
      <c r="AD331" s="3"/>
      <c r="AE331" s="3"/>
    </row>
    <row r="332" ht="14.4" spans="1:31">
      <c r="A332" s="10" t="s">
        <v>152</v>
      </c>
      <c r="B332" s="10" t="s">
        <v>84</v>
      </c>
      <c r="C332" s="10">
        <v>31.56</v>
      </c>
      <c r="D332" s="10">
        <v>10.23</v>
      </c>
      <c r="E332" s="3">
        <v>5.93</v>
      </c>
      <c r="F332" s="10">
        <v>8.13</v>
      </c>
      <c r="G332" s="10">
        <v>290</v>
      </c>
      <c r="H332" s="10">
        <v>7</v>
      </c>
      <c r="I332" s="10"/>
      <c r="J332" s="10"/>
      <c r="L332">
        <v>3</v>
      </c>
      <c r="N332" s="10"/>
      <c r="O332" s="3">
        <v>500</v>
      </c>
      <c r="P332" t="b">
        <v>0</v>
      </c>
      <c r="Q332" t="b">
        <v>0</v>
      </c>
      <c r="R332" s="9" t="b">
        <v>0</v>
      </c>
      <c r="S332" s="3"/>
      <c r="T332" s="3"/>
      <c r="U332" s="3"/>
      <c r="V332" s="3"/>
      <c r="W332" s="3"/>
      <c r="X332" s="3"/>
      <c r="Y332" s="3"/>
      <c r="Z332" s="3"/>
      <c r="AA332" s="3"/>
      <c r="AB332" s="3"/>
      <c r="AC332" s="3"/>
      <c r="AD332" s="3"/>
      <c r="AE332" s="3"/>
    </row>
    <row r="333" ht="14.4" spans="1:31">
      <c r="A333" s="10" t="s">
        <v>152</v>
      </c>
      <c r="B333" s="3" t="s">
        <v>65</v>
      </c>
      <c r="C333" s="10">
        <v>31.56</v>
      </c>
      <c r="D333" s="10">
        <v>10.23</v>
      </c>
      <c r="E333" s="3">
        <v>5.93</v>
      </c>
      <c r="F333" s="10">
        <v>8.13</v>
      </c>
      <c r="G333" s="10">
        <v>290</v>
      </c>
      <c r="H333" s="10">
        <v>7</v>
      </c>
      <c r="I333" s="10"/>
      <c r="J333" s="10"/>
      <c r="L333">
        <v>6</v>
      </c>
      <c r="N333" s="10"/>
      <c r="O333" s="3">
        <v>500</v>
      </c>
      <c r="P333" t="b">
        <v>0</v>
      </c>
      <c r="Q333" t="b">
        <v>0</v>
      </c>
      <c r="R333" s="9" t="b">
        <v>0</v>
      </c>
      <c r="S333" s="3"/>
      <c r="T333" s="3"/>
      <c r="U333" s="3"/>
      <c r="V333" s="3"/>
      <c r="W333" s="3"/>
      <c r="X333" s="3"/>
      <c r="Y333" s="3"/>
      <c r="Z333" s="3"/>
      <c r="AA333" s="3"/>
      <c r="AB333" s="3"/>
      <c r="AC333" s="3"/>
      <c r="AD333" s="3"/>
      <c r="AE333" s="3"/>
    </row>
    <row r="334" ht="15.75" customHeight="1" spans="1:31">
      <c r="A334" s="10" t="s">
        <v>152</v>
      </c>
      <c r="B334" s="3" t="s">
        <v>115</v>
      </c>
      <c r="C334" s="10">
        <v>31.56</v>
      </c>
      <c r="D334" s="10">
        <v>10.23</v>
      </c>
      <c r="E334" s="3">
        <v>5.93</v>
      </c>
      <c r="F334" s="10">
        <v>8.13</v>
      </c>
      <c r="G334" s="10">
        <v>290</v>
      </c>
      <c r="H334" s="10">
        <v>7</v>
      </c>
      <c r="I334" s="10"/>
      <c r="J334" s="10"/>
      <c r="L334">
        <v>2</v>
      </c>
      <c r="N334" s="10"/>
      <c r="O334" s="3">
        <v>500</v>
      </c>
      <c r="P334" t="b">
        <v>0</v>
      </c>
      <c r="Q334" t="b">
        <v>0</v>
      </c>
      <c r="R334" s="9" t="b">
        <v>0</v>
      </c>
      <c r="S334" s="10"/>
      <c r="T334" s="10"/>
      <c r="U334" s="10"/>
      <c r="V334" s="10"/>
      <c r="W334" s="10"/>
      <c r="X334" s="10"/>
      <c r="Y334" s="10"/>
      <c r="Z334" s="10"/>
      <c r="AA334" s="10"/>
      <c r="AB334" s="10"/>
      <c r="AC334" s="10"/>
      <c r="AD334" s="10"/>
      <c r="AE334" s="10"/>
    </row>
    <row r="335" ht="15.75" customHeight="1" spans="1:31">
      <c r="A335" s="3" t="s">
        <v>153</v>
      </c>
      <c r="B335" s="3" t="s">
        <v>84</v>
      </c>
      <c r="C335" s="8">
        <v>32.5</v>
      </c>
      <c r="D335" s="8">
        <v>7.95</v>
      </c>
      <c r="E335" s="8">
        <v>4.19</v>
      </c>
      <c r="F335" s="8">
        <v>6</v>
      </c>
      <c r="G335" s="8">
        <v>530</v>
      </c>
      <c r="H335" s="8">
        <v>6</v>
      </c>
      <c r="I335" s="3"/>
      <c r="J335" s="3"/>
      <c r="K335" s="3"/>
      <c r="L335" s="25">
        <v>3</v>
      </c>
      <c r="M335" s="3"/>
      <c r="N335" s="3"/>
      <c r="O335" s="8">
        <v>500</v>
      </c>
      <c r="P335" t="b">
        <v>0</v>
      </c>
      <c r="Q335" t="b">
        <v>0</v>
      </c>
      <c r="R335" s="9" t="b">
        <v>0</v>
      </c>
      <c r="S335" s="10"/>
      <c r="T335" s="10"/>
      <c r="U335" s="10"/>
      <c r="V335" s="10"/>
      <c r="W335" s="10"/>
      <c r="X335" s="10"/>
      <c r="Y335" s="10"/>
      <c r="Z335" s="10"/>
      <c r="AA335" s="10"/>
      <c r="AB335" s="10"/>
      <c r="AC335" s="10"/>
      <c r="AD335" s="10"/>
      <c r="AE335" s="10"/>
    </row>
    <row r="336" ht="15.75" customHeight="1" spans="1:31">
      <c r="A336" s="3" t="s">
        <v>153</v>
      </c>
      <c r="B336" s="3" t="s">
        <v>65</v>
      </c>
      <c r="C336" s="8">
        <v>32.5</v>
      </c>
      <c r="D336" s="8">
        <v>7.95</v>
      </c>
      <c r="E336" s="8">
        <v>4.19</v>
      </c>
      <c r="F336" s="8">
        <v>6</v>
      </c>
      <c r="G336" s="8">
        <v>530</v>
      </c>
      <c r="H336" s="8">
        <v>6</v>
      </c>
      <c r="I336" s="3"/>
      <c r="J336" s="3"/>
      <c r="K336" s="3"/>
      <c r="L336" s="25">
        <v>6</v>
      </c>
      <c r="M336" s="3"/>
      <c r="N336" s="3"/>
      <c r="O336" s="8">
        <v>500</v>
      </c>
      <c r="P336" t="b">
        <v>0</v>
      </c>
      <c r="Q336" t="b">
        <v>0</v>
      </c>
      <c r="R336" s="9" t="b">
        <v>0</v>
      </c>
      <c r="S336" s="10"/>
      <c r="T336" s="10"/>
      <c r="U336" s="10"/>
      <c r="V336" s="10"/>
      <c r="W336" s="10"/>
      <c r="X336" s="10"/>
      <c r="Y336" s="10"/>
      <c r="Z336" s="10"/>
      <c r="AA336" s="10"/>
      <c r="AB336" s="10"/>
      <c r="AC336" s="10"/>
      <c r="AD336" s="10"/>
      <c r="AE336" s="10"/>
    </row>
    <row r="337" ht="15.75" customHeight="1" spans="1:31">
      <c r="A337" s="3" t="s">
        <v>153</v>
      </c>
      <c r="B337" s="3" t="s">
        <v>115</v>
      </c>
      <c r="C337" s="8">
        <v>32.5</v>
      </c>
      <c r="D337" s="8">
        <v>7.95</v>
      </c>
      <c r="E337" s="8">
        <v>4.19</v>
      </c>
      <c r="F337" s="8">
        <v>6</v>
      </c>
      <c r="G337" s="8">
        <v>530</v>
      </c>
      <c r="H337" s="8">
        <v>6</v>
      </c>
      <c r="I337" s="3"/>
      <c r="J337" s="3"/>
      <c r="K337" s="3"/>
      <c r="L337" s="25">
        <v>2</v>
      </c>
      <c r="M337" s="3"/>
      <c r="N337" s="3"/>
      <c r="O337" s="8">
        <v>500</v>
      </c>
      <c r="P337" t="b">
        <v>0</v>
      </c>
      <c r="Q337" t="b">
        <v>0</v>
      </c>
      <c r="R337" s="9" t="b">
        <v>0</v>
      </c>
      <c r="S337" s="10"/>
      <c r="T337" s="10"/>
      <c r="U337" s="10"/>
      <c r="V337" s="10"/>
      <c r="W337" s="10"/>
      <c r="X337" s="10"/>
      <c r="Y337" s="10"/>
      <c r="Z337" s="10"/>
      <c r="AA337" s="10"/>
      <c r="AB337" s="10"/>
      <c r="AC337" s="10"/>
      <c r="AD337" s="10"/>
      <c r="AE337" s="10"/>
    </row>
    <row r="338" ht="15.75" customHeight="1" spans="1:31">
      <c r="A338" s="14" t="s">
        <v>154</v>
      </c>
      <c r="B338" s="15"/>
      <c r="C338" s="15"/>
      <c r="D338" s="15"/>
      <c r="E338" s="15"/>
      <c r="F338" s="15"/>
      <c r="G338" s="15"/>
      <c r="H338" s="15"/>
      <c r="I338" s="15"/>
      <c r="J338" s="15"/>
      <c r="K338" s="15"/>
      <c r="L338" s="15"/>
      <c r="M338" s="15"/>
      <c r="N338" s="23"/>
      <c r="O338" s="27"/>
      <c r="P338" s="23"/>
      <c r="Q338" s="23"/>
      <c r="R338" s="27"/>
      <c r="S338" s="10"/>
      <c r="T338" s="10"/>
      <c r="U338" s="10"/>
      <c r="V338" s="10"/>
      <c r="W338" s="10"/>
      <c r="X338" s="10"/>
      <c r="Y338" s="10"/>
      <c r="Z338" s="10"/>
      <c r="AA338" s="10"/>
      <c r="AB338" s="10"/>
      <c r="AC338" s="10"/>
      <c r="AD338" s="10"/>
      <c r="AE338" s="10"/>
    </row>
    <row r="339" ht="15.75" customHeight="1" spans="1:31">
      <c r="A339" s="3" t="s">
        <v>155</v>
      </c>
      <c r="B339" s="3" t="s">
        <v>84</v>
      </c>
      <c r="C339" s="8">
        <v>34.3</v>
      </c>
      <c r="D339" s="8">
        <v>6</v>
      </c>
      <c r="E339" s="8">
        <v>2.6</v>
      </c>
      <c r="F339" s="8">
        <v>4.4</v>
      </c>
      <c r="G339" s="8">
        <v>765</v>
      </c>
      <c r="H339" s="8">
        <v>1.1</v>
      </c>
      <c r="I339" s="3"/>
      <c r="J339" s="3"/>
      <c r="K339" s="8">
        <v>147</v>
      </c>
      <c r="L339" s="8">
        <v>3</v>
      </c>
      <c r="M339" s="3"/>
      <c r="N339" s="3"/>
      <c r="O339" s="8">
        <v>500</v>
      </c>
      <c r="P339" t="b">
        <v>0</v>
      </c>
      <c r="Q339" t="b">
        <v>0</v>
      </c>
      <c r="R339" s="9" t="b">
        <v>0</v>
      </c>
      <c r="S339" s="10"/>
      <c r="T339" s="10"/>
      <c r="U339" s="10"/>
      <c r="V339" s="10"/>
      <c r="W339" s="10"/>
      <c r="X339" s="10"/>
      <c r="Y339" s="10"/>
      <c r="Z339" s="10"/>
      <c r="AA339" s="10"/>
      <c r="AB339" s="10"/>
      <c r="AC339" s="10"/>
      <c r="AD339" s="10"/>
      <c r="AE339" s="10"/>
    </row>
    <row r="340" ht="15.75" customHeight="1" spans="1:31">
      <c r="A340" s="3" t="s">
        <v>155</v>
      </c>
      <c r="B340" s="3" t="s">
        <v>65</v>
      </c>
      <c r="C340" s="8">
        <v>34.3</v>
      </c>
      <c r="D340" s="8">
        <v>6</v>
      </c>
      <c r="E340" s="8">
        <v>2.6</v>
      </c>
      <c r="F340" s="8">
        <v>4.4</v>
      </c>
      <c r="G340" s="8">
        <v>765</v>
      </c>
      <c r="H340" s="8">
        <v>1.1</v>
      </c>
      <c r="I340" s="3"/>
      <c r="J340" s="3"/>
      <c r="K340" s="3"/>
      <c r="L340" s="8">
        <v>6</v>
      </c>
      <c r="M340" s="3"/>
      <c r="N340" s="3"/>
      <c r="O340" s="8">
        <v>500</v>
      </c>
      <c r="P340" t="b">
        <v>0</v>
      </c>
      <c r="Q340" t="b">
        <v>0</v>
      </c>
      <c r="R340" s="9" t="b">
        <v>0</v>
      </c>
      <c r="S340" s="10"/>
      <c r="T340" s="10"/>
      <c r="U340" s="10"/>
      <c r="V340" s="10"/>
      <c r="W340" s="10"/>
      <c r="X340" s="10"/>
      <c r="Y340" s="10"/>
      <c r="Z340" s="10"/>
      <c r="AA340" s="10"/>
      <c r="AB340" s="10"/>
      <c r="AC340" s="10"/>
      <c r="AD340" s="10"/>
      <c r="AE340" s="10"/>
    </row>
    <row r="341" ht="15.75" customHeight="1" spans="1:31">
      <c r="A341" s="3" t="s">
        <v>155</v>
      </c>
      <c r="B341" s="3" t="s">
        <v>115</v>
      </c>
      <c r="C341" s="8">
        <v>34.3</v>
      </c>
      <c r="D341" s="8">
        <v>6</v>
      </c>
      <c r="E341" s="8">
        <v>2.6</v>
      </c>
      <c r="F341" s="8">
        <v>4.4</v>
      </c>
      <c r="G341" s="8">
        <v>765</v>
      </c>
      <c r="H341" s="8">
        <v>1.1</v>
      </c>
      <c r="I341" s="3"/>
      <c r="J341" s="3"/>
      <c r="K341" s="3"/>
      <c r="L341" s="8">
        <v>2</v>
      </c>
      <c r="M341" s="3"/>
      <c r="N341" s="3"/>
      <c r="O341" s="8">
        <v>500</v>
      </c>
      <c r="P341" t="b">
        <v>0</v>
      </c>
      <c r="Q341" t="b">
        <v>0</v>
      </c>
      <c r="R341" s="9" t="b">
        <v>0</v>
      </c>
      <c r="S341" s="10"/>
      <c r="T341" s="10"/>
      <c r="U341" s="10"/>
      <c r="V341" s="10"/>
      <c r="W341" s="10"/>
      <c r="X341" s="10"/>
      <c r="Y341" s="10"/>
      <c r="Z341" s="10"/>
      <c r="AA341" s="10"/>
      <c r="AB341" s="10"/>
      <c r="AC341" s="10"/>
      <c r="AD341" s="10"/>
      <c r="AE341" s="10"/>
    </row>
    <row r="342" ht="15.75" customHeight="1" spans="1:31">
      <c r="A342" s="3" t="s">
        <v>156</v>
      </c>
      <c r="B342" s="3" t="s">
        <v>84</v>
      </c>
      <c r="C342" s="8">
        <v>34.3</v>
      </c>
      <c r="D342" s="8">
        <v>6.23</v>
      </c>
      <c r="E342" s="8">
        <v>2.9</v>
      </c>
      <c r="F342" s="8">
        <v>5.8</v>
      </c>
      <c r="G342" s="8">
        <v>572</v>
      </c>
      <c r="H342" s="8">
        <v>2.6</v>
      </c>
      <c r="I342" s="3"/>
      <c r="J342" s="3"/>
      <c r="K342" s="8">
        <v>302</v>
      </c>
      <c r="L342" s="8">
        <v>3.5</v>
      </c>
      <c r="M342" s="3"/>
      <c r="N342" s="3"/>
      <c r="O342" s="8">
        <v>500</v>
      </c>
      <c r="P342" t="b">
        <v>0</v>
      </c>
      <c r="Q342" t="b">
        <v>0</v>
      </c>
      <c r="R342" s="9" t="b">
        <v>0</v>
      </c>
      <c r="S342" s="10"/>
      <c r="T342" s="10"/>
      <c r="U342" s="10"/>
      <c r="V342" s="10"/>
      <c r="W342" s="10"/>
      <c r="X342" s="10"/>
      <c r="Y342" s="10"/>
      <c r="Z342" s="10"/>
      <c r="AA342" s="10"/>
      <c r="AB342" s="10"/>
      <c r="AC342" s="10"/>
      <c r="AD342" s="10"/>
      <c r="AE342" s="10"/>
    </row>
    <row r="343" ht="15.75" customHeight="1" spans="1:31">
      <c r="A343" s="3" t="s">
        <v>156</v>
      </c>
      <c r="B343" s="3" t="s">
        <v>65</v>
      </c>
      <c r="C343" s="8">
        <v>34.3</v>
      </c>
      <c r="D343" s="8">
        <v>6.23</v>
      </c>
      <c r="E343" s="8">
        <v>2.9</v>
      </c>
      <c r="F343" s="8">
        <v>5.8</v>
      </c>
      <c r="G343" s="8">
        <v>572</v>
      </c>
      <c r="H343" s="8">
        <v>2.6</v>
      </c>
      <c r="I343" s="3"/>
      <c r="J343" s="3"/>
      <c r="K343" s="3"/>
      <c r="L343" s="8">
        <v>7</v>
      </c>
      <c r="M343" s="3"/>
      <c r="N343" s="3"/>
      <c r="O343" s="8">
        <v>500</v>
      </c>
      <c r="P343" t="b">
        <v>0</v>
      </c>
      <c r="Q343" t="b">
        <v>0</v>
      </c>
      <c r="R343" s="9" t="b">
        <v>0</v>
      </c>
      <c r="S343" s="10"/>
      <c r="T343" s="10"/>
      <c r="U343" s="10"/>
      <c r="V343" s="10"/>
      <c r="W343" s="10"/>
      <c r="X343" s="10"/>
      <c r="Y343" s="10"/>
      <c r="Z343" s="10"/>
      <c r="AA343" s="10"/>
      <c r="AB343" s="10"/>
      <c r="AC343" s="10"/>
      <c r="AD343" s="10"/>
      <c r="AE343" s="10"/>
    </row>
    <row r="344" ht="15.75" customHeight="1" spans="1:31">
      <c r="A344" s="3" t="s">
        <v>156</v>
      </c>
      <c r="B344" s="3" t="s">
        <v>115</v>
      </c>
      <c r="C344" s="8">
        <v>34.3</v>
      </c>
      <c r="D344" s="8">
        <v>6.23</v>
      </c>
      <c r="E344" s="8">
        <v>2.9</v>
      </c>
      <c r="F344" s="8">
        <v>5.8</v>
      </c>
      <c r="G344" s="8">
        <v>572</v>
      </c>
      <c r="H344" s="8">
        <v>2.6</v>
      </c>
      <c r="I344" s="3"/>
      <c r="J344" s="3"/>
      <c r="K344" s="3"/>
      <c r="L344" s="8">
        <v>2</v>
      </c>
      <c r="M344" s="3"/>
      <c r="N344" s="3"/>
      <c r="O344" s="8">
        <v>500</v>
      </c>
      <c r="P344" t="b">
        <v>0</v>
      </c>
      <c r="Q344" t="b">
        <v>0</v>
      </c>
      <c r="R344" s="9" t="b">
        <v>0</v>
      </c>
      <c r="S344" s="10"/>
      <c r="T344" s="10"/>
      <c r="U344" s="10"/>
      <c r="V344" s="10"/>
      <c r="W344" s="10"/>
      <c r="X344" s="10"/>
      <c r="Y344" s="10"/>
      <c r="Z344" s="10"/>
      <c r="AA344" s="10"/>
      <c r="AB344" s="10"/>
      <c r="AC344" s="10"/>
      <c r="AD344" s="10"/>
      <c r="AE344" s="10"/>
    </row>
    <row r="345" ht="15.75" customHeight="1" spans="1:31">
      <c r="A345" s="3" t="s">
        <v>157</v>
      </c>
      <c r="B345" s="3" t="s">
        <v>84</v>
      </c>
      <c r="C345" s="8">
        <v>43.8</v>
      </c>
      <c r="D345" s="8">
        <v>7.6</v>
      </c>
      <c r="E345" s="8">
        <v>4</v>
      </c>
      <c r="F345" s="8">
        <v>5.68</v>
      </c>
      <c r="G345" s="8">
        <v>849</v>
      </c>
      <c r="H345" s="8">
        <v>2.9</v>
      </c>
      <c r="I345" s="3"/>
      <c r="J345" s="3"/>
      <c r="K345" s="8">
        <v>150</v>
      </c>
      <c r="L345" s="8">
        <v>3.5</v>
      </c>
      <c r="M345" s="3"/>
      <c r="N345" s="3"/>
      <c r="O345" s="8">
        <v>500</v>
      </c>
      <c r="P345" t="b">
        <v>0</v>
      </c>
      <c r="Q345" t="b">
        <v>0</v>
      </c>
      <c r="R345" s="9" t="b">
        <v>0</v>
      </c>
      <c r="S345" s="10"/>
      <c r="T345" s="10"/>
      <c r="U345" s="10"/>
      <c r="V345" s="10"/>
      <c r="W345" s="10"/>
      <c r="X345" s="10"/>
      <c r="Y345" s="10"/>
      <c r="Z345" s="10"/>
      <c r="AA345" s="10"/>
      <c r="AB345" s="10"/>
      <c r="AC345" s="10"/>
      <c r="AD345" s="10"/>
      <c r="AE345" s="10"/>
    </row>
    <row r="346" ht="15.75" customHeight="1" spans="1:31">
      <c r="A346" s="3" t="s">
        <v>157</v>
      </c>
      <c r="B346" s="3" t="s">
        <v>65</v>
      </c>
      <c r="C346" s="8">
        <v>43.8</v>
      </c>
      <c r="D346" s="8">
        <v>7.6</v>
      </c>
      <c r="E346" s="8">
        <v>4</v>
      </c>
      <c r="F346" s="8">
        <v>5.68</v>
      </c>
      <c r="G346" s="8">
        <v>849</v>
      </c>
      <c r="H346" s="8">
        <v>2.9</v>
      </c>
      <c r="I346" s="3"/>
      <c r="J346" s="3"/>
      <c r="K346" s="3"/>
      <c r="L346" s="8">
        <v>7</v>
      </c>
      <c r="M346" s="3"/>
      <c r="N346" s="3"/>
      <c r="O346" s="8">
        <v>500</v>
      </c>
      <c r="P346" t="b">
        <v>0</v>
      </c>
      <c r="Q346" t="b">
        <v>0</v>
      </c>
      <c r="R346" s="9" t="b">
        <v>0</v>
      </c>
      <c r="S346" s="10"/>
      <c r="T346" s="10"/>
      <c r="U346" s="10"/>
      <c r="V346" s="10"/>
      <c r="W346" s="10"/>
      <c r="X346" s="10"/>
      <c r="Y346" s="10"/>
      <c r="Z346" s="10"/>
      <c r="AA346" s="10"/>
      <c r="AB346" s="10"/>
      <c r="AC346" s="10"/>
      <c r="AD346" s="10"/>
      <c r="AE346" s="10"/>
    </row>
    <row r="347" ht="15.75" customHeight="1" spans="1:31">
      <c r="A347" s="3" t="s">
        <v>157</v>
      </c>
      <c r="B347" s="3" t="s">
        <v>115</v>
      </c>
      <c r="C347" s="8">
        <v>43.8</v>
      </c>
      <c r="D347" s="8">
        <v>7.6</v>
      </c>
      <c r="E347" s="8">
        <v>4</v>
      </c>
      <c r="F347" s="8">
        <v>5.68</v>
      </c>
      <c r="G347" s="8">
        <v>849</v>
      </c>
      <c r="H347" s="8">
        <v>2.9</v>
      </c>
      <c r="I347" s="3"/>
      <c r="J347" s="3"/>
      <c r="K347" s="3"/>
      <c r="L347" s="8">
        <v>2</v>
      </c>
      <c r="M347" s="3"/>
      <c r="N347" s="3"/>
      <c r="O347" s="8">
        <v>500</v>
      </c>
      <c r="P347" t="b">
        <v>0</v>
      </c>
      <c r="Q347" t="b">
        <v>0</v>
      </c>
      <c r="R347" s="9" t="b">
        <v>0</v>
      </c>
      <c r="S347" s="10"/>
      <c r="T347" s="10"/>
      <c r="U347" s="10"/>
      <c r="V347" s="10"/>
      <c r="W347" s="10"/>
      <c r="X347" s="10"/>
      <c r="Y347" s="10"/>
      <c r="Z347" s="10"/>
      <c r="AA347" s="10"/>
      <c r="AB347" s="10"/>
      <c r="AC347" s="10"/>
      <c r="AD347" s="10"/>
      <c r="AE347" s="10"/>
    </row>
    <row r="348" ht="15.75" customHeight="1" spans="1:31">
      <c r="A348" t="s">
        <v>158</v>
      </c>
      <c r="B348" t="s">
        <v>84</v>
      </c>
      <c r="C348">
        <v>57</v>
      </c>
      <c r="D348">
        <v>10</v>
      </c>
      <c r="E348">
        <v>7.08</v>
      </c>
      <c r="F348">
        <v>5.6</v>
      </c>
      <c r="G348">
        <v>880</v>
      </c>
      <c r="H348">
        <v>3.62</v>
      </c>
      <c r="K348" s="43">
        <v>520</v>
      </c>
      <c r="L348" s="43">
        <v>5.5</v>
      </c>
      <c r="N348" s="10"/>
      <c r="O348" s="3">
        <v>500</v>
      </c>
      <c r="P348" t="b">
        <v>0</v>
      </c>
      <c r="Q348" t="b">
        <v>0</v>
      </c>
      <c r="R348" s="9" t="b">
        <v>0</v>
      </c>
      <c r="S348" s="10"/>
      <c r="T348" s="10"/>
      <c r="U348" s="10"/>
      <c r="V348" s="10"/>
      <c r="W348" s="10"/>
      <c r="X348" s="10"/>
      <c r="Y348" s="10"/>
      <c r="Z348" s="10"/>
      <c r="AA348" s="10"/>
      <c r="AB348" s="10"/>
      <c r="AC348" s="10"/>
      <c r="AD348" s="10"/>
      <c r="AE348" s="10"/>
    </row>
    <row r="349" ht="15.75" customHeight="1" spans="1:31">
      <c r="A349" t="s">
        <v>158</v>
      </c>
      <c r="B349" t="s">
        <v>65</v>
      </c>
      <c r="C349">
        <v>57</v>
      </c>
      <c r="D349">
        <v>10</v>
      </c>
      <c r="E349">
        <v>7.08</v>
      </c>
      <c r="F349">
        <v>5.6</v>
      </c>
      <c r="G349">
        <v>880</v>
      </c>
      <c r="H349">
        <v>3.62</v>
      </c>
      <c r="L349" s="43">
        <v>11</v>
      </c>
      <c r="N349" s="10"/>
      <c r="O349" s="3">
        <v>500</v>
      </c>
      <c r="P349" t="b">
        <v>0</v>
      </c>
      <c r="Q349" t="b">
        <v>0</v>
      </c>
      <c r="R349" s="9" t="b">
        <v>0</v>
      </c>
      <c r="S349" s="10"/>
      <c r="T349" s="10"/>
      <c r="U349" s="10"/>
      <c r="V349" s="10"/>
      <c r="W349" s="10"/>
      <c r="X349" s="10"/>
      <c r="Y349" s="10"/>
      <c r="Z349" s="10"/>
      <c r="AA349" s="10"/>
      <c r="AB349" s="10"/>
      <c r="AC349" s="10"/>
      <c r="AD349" s="10"/>
      <c r="AE349" s="10"/>
    </row>
    <row r="350" ht="15.75" customHeight="1" spans="1:31">
      <c r="A350" t="s">
        <v>158</v>
      </c>
      <c r="B350" t="s">
        <v>115</v>
      </c>
      <c r="C350">
        <v>57</v>
      </c>
      <c r="D350">
        <v>10</v>
      </c>
      <c r="E350">
        <v>7.08</v>
      </c>
      <c r="F350">
        <v>5.6</v>
      </c>
      <c r="G350">
        <v>880</v>
      </c>
      <c r="H350">
        <v>3.62</v>
      </c>
      <c r="L350">
        <v>3</v>
      </c>
      <c r="N350" s="10"/>
      <c r="O350" s="3">
        <v>500</v>
      </c>
      <c r="P350" t="b">
        <v>0</v>
      </c>
      <c r="Q350" t="b">
        <v>0</v>
      </c>
      <c r="R350" s="9" t="b">
        <v>0</v>
      </c>
      <c r="S350" s="10"/>
      <c r="T350" s="10"/>
      <c r="U350" s="10"/>
      <c r="V350" s="10"/>
      <c r="W350" s="10"/>
      <c r="X350" s="10"/>
      <c r="Y350" s="10"/>
      <c r="Z350" s="10"/>
      <c r="AA350" s="10"/>
      <c r="AB350" s="10"/>
      <c r="AC350" s="10"/>
      <c r="AD350" s="10"/>
      <c r="AE350" s="10"/>
    </row>
    <row r="351" ht="15.75" customHeight="1" spans="1:31">
      <c r="A351" t="s">
        <v>158</v>
      </c>
      <c r="B351" t="s">
        <v>66</v>
      </c>
      <c r="C351">
        <v>57</v>
      </c>
      <c r="D351">
        <v>10</v>
      </c>
      <c r="E351">
        <v>7.08</v>
      </c>
      <c r="F351">
        <v>5.6</v>
      </c>
      <c r="G351">
        <v>880</v>
      </c>
      <c r="H351">
        <v>3.62</v>
      </c>
      <c r="L351">
        <v>11</v>
      </c>
      <c r="N351" s="10"/>
      <c r="O351" s="3">
        <v>500</v>
      </c>
      <c r="P351" t="b">
        <v>0</v>
      </c>
      <c r="Q351" t="b">
        <v>0</v>
      </c>
      <c r="R351" s="9" t="b">
        <v>0</v>
      </c>
      <c r="S351" s="10"/>
      <c r="T351" s="10"/>
      <c r="U351" s="10"/>
      <c r="V351" s="10"/>
      <c r="W351" s="10"/>
      <c r="X351" s="10"/>
      <c r="Y351" s="10"/>
      <c r="Z351" s="10"/>
      <c r="AA351" s="10"/>
      <c r="AB351" s="10"/>
      <c r="AC351" s="10"/>
      <c r="AD351" s="10"/>
      <c r="AE351" s="10"/>
    </row>
    <row r="352" ht="15.75" customHeight="1" spans="1:31">
      <c r="A352" t="s">
        <v>158</v>
      </c>
      <c r="B352" t="s">
        <v>67</v>
      </c>
      <c r="C352">
        <v>57</v>
      </c>
      <c r="D352">
        <v>10</v>
      </c>
      <c r="E352">
        <v>7.08</v>
      </c>
      <c r="F352">
        <v>5.6</v>
      </c>
      <c r="G352">
        <v>880</v>
      </c>
      <c r="H352">
        <v>3.62</v>
      </c>
      <c r="L352">
        <v>5.5</v>
      </c>
      <c r="N352" s="10"/>
      <c r="O352" s="3">
        <v>500</v>
      </c>
      <c r="P352" t="b">
        <v>0</v>
      </c>
      <c r="Q352" t="b">
        <v>0</v>
      </c>
      <c r="R352" s="9" t="b">
        <v>0</v>
      </c>
      <c r="S352" s="10"/>
      <c r="T352" s="10"/>
      <c r="U352" s="10"/>
      <c r="V352" s="10"/>
      <c r="W352" s="10"/>
      <c r="X352" s="10"/>
      <c r="Y352" s="10"/>
      <c r="Z352" s="10"/>
      <c r="AA352" s="10"/>
      <c r="AB352" s="10"/>
      <c r="AC352" s="10"/>
      <c r="AD352" s="10"/>
      <c r="AE352" s="10"/>
    </row>
    <row r="353" ht="15.75" customHeight="1" spans="1:31">
      <c r="A353" t="s">
        <v>158</v>
      </c>
      <c r="B353" t="s">
        <v>25</v>
      </c>
      <c r="C353">
        <v>57</v>
      </c>
      <c r="D353">
        <v>10</v>
      </c>
      <c r="E353">
        <v>7.08</v>
      </c>
      <c r="F353">
        <v>3.36</v>
      </c>
      <c r="G353">
        <v>1320</v>
      </c>
      <c r="H353">
        <v>2.1</v>
      </c>
      <c r="L353">
        <v>19.25</v>
      </c>
      <c r="N353" s="10"/>
      <c r="O353" s="3">
        <v>500</v>
      </c>
      <c r="P353" t="b">
        <v>0</v>
      </c>
      <c r="Q353" t="b">
        <v>0</v>
      </c>
      <c r="R353" s="9" t="b">
        <v>0</v>
      </c>
      <c r="S353" s="10"/>
      <c r="T353" s="10"/>
      <c r="U353" s="10"/>
      <c r="V353" s="10"/>
      <c r="W353" s="10"/>
      <c r="X353" s="10"/>
      <c r="Y353" s="10"/>
      <c r="Z353" s="10"/>
      <c r="AA353" s="10"/>
      <c r="AB353" s="10"/>
      <c r="AC353" s="10"/>
      <c r="AD353" s="10"/>
      <c r="AE353" s="10"/>
    </row>
    <row r="354" ht="15.75" customHeight="1" spans="1:31">
      <c r="A354" t="s">
        <v>159</v>
      </c>
      <c r="B354" t="s">
        <v>84</v>
      </c>
      <c r="C354">
        <v>57</v>
      </c>
      <c r="D354">
        <v>10</v>
      </c>
      <c r="E354">
        <v>7.08</v>
      </c>
      <c r="F354">
        <v>5.6</v>
      </c>
      <c r="G354">
        <v>735</v>
      </c>
      <c r="H354">
        <v>3.62</v>
      </c>
      <c r="K354" s="43"/>
      <c r="L354" s="44">
        <v>5</v>
      </c>
      <c r="N354" s="10"/>
      <c r="O354" s="3">
        <v>500</v>
      </c>
      <c r="P354" t="b">
        <v>0</v>
      </c>
      <c r="Q354" t="b">
        <v>0</v>
      </c>
      <c r="R354" s="9" t="b">
        <v>0</v>
      </c>
      <c r="S354" s="10"/>
      <c r="T354" s="10"/>
      <c r="U354" s="10"/>
      <c r="V354" s="10"/>
      <c r="W354" s="10"/>
      <c r="X354" s="10"/>
      <c r="Y354" s="10"/>
      <c r="Z354" s="10"/>
      <c r="AA354" s="10"/>
      <c r="AB354" s="10"/>
      <c r="AC354" s="10"/>
      <c r="AD354" s="10"/>
      <c r="AE354" s="10"/>
    </row>
    <row r="355" ht="15.75" customHeight="1" spans="1:31">
      <c r="A355" t="s">
        <v>159</v>
      </c>
      <c r="B355" t="s">
        <v>65</v>
      </c>
      <c r="C355">
        <v>57</v>
      </c>
      <c r="D355">
        <v>10</v>
      </c>
      <c r="E355">
        <v>7.08</v>
      </c>
      <c r="F355">
        <v>5.6</v>
      </c>
      <c r="G355">
        <v>735</v>
      </c>
      <c r="H355">
        <v>3.62</v>
      </c>
      <c r="L355" s="44">
        <v>10</v>
      </c>
      <c r="N355" s="10"/>
      <c r="O355" s="3">
        <v>500</v>
      </c>
      <c r="P355" t="b">
        <v>0</v>
      </c>
      <c r="Q355" t="b">
        <v>0</v>
      </c>
      <c r="R355" s="9" t="b">
        <v>0</v>
      </c>
      <c r="S355" s="10"/>
      <c r="T355" s="10"/>
      <c r="U355" s="10"/>
      <c r="V355" s="10"/>
      <c r="W355" s="10"/>
      <c r="X355" s="10"/>
      <c r="Y355" s="10"/>
      <c r="Z355" s="10"/>
      <c r="AA355" s="10"/>
      <c r="AB355" s="10"/>
      <c r="AC355" s="10"/>
      <c r="AD355" s="10"/>
      <c r="AE355" s="10"/>
    </row>
    <row r="356" ht="15.75" customHeight="1" spans="1:31">
      <c r="A356" t="s">
        <v>159</v>
      </c>
      <c r="B356" t="s">
        <v>115</v>
      </c>
      <c r="C356">
        <v>57</v>
      </c>
      <c r="D356">
        <v>10</v>
      </c>
      <c r="E356">
        <v>7.08</v>
      </c>
      <c r="F356">
        <v>5.6</v>
      </c>
      <c r="G356">
        <v>735</v>
      </c>
      <c r="H356">
        <v>3.62</v>
      </c>
      <c r="L356" s="25">
        <v>3</v>
      </c>
      <c r="N356" s="10"/>
      <c r="O356" s="3">
        <v>500</v>
      </c>
      <c r="P356" t="b">
        <v>0</v>
      </c>
      <c r="Q356" t="b">
        <v>0</v>
      </c>
      <c r="R356" s="9" t="b">
        <v>0</v>
      </c>
      <c r="S356" s="10"/>
      <c r="T356" s="10"/>
      <c r="U356" s="10"/>
      <c r="V356" s="10"/>
      <c r="W356" s="10"/>
      <c r="X356" s="10"/>
      <c r="Y356" s="10"/>
      <c r="Z356" s="10"/>
      <c r="AA356" s="10"/>
      <c r="AB356" s="10"/>
      <c r="AC356" s="10"/>
      <c r="AD356" s="10"/>
      <c r="AE356" s="10"/>
    </row>
    <row r="357" ht="15.75" customHeight="1" spans="1:31">
      <c r="A357" t="s">
        <v>159</v>
      </c>
      <c r="B357" t="s">
        <v>66</v>
      </c>
      <c r="C357">
        <v>57</v>
      </c>
      <c r="D357">
        <v>10</v>
      </c>
      <c r="E357">
        <v>7.08</v>
      </c>
      <c r="F357">
        <v>5.6</v>
      </c>
      <c r="G357">
        <v>735</v>
      </c>
      <c r="H357">
        <v>3.62</v>
      </c>
      <c r="L357" s="25">
        <v>10</v>
      </c>
      <c r="N357" s="10"/>
      <c r="O357" s="3">
        <v>500</v>
      </c>
      <c r="P357" t="b">
        <v>0</v>
      </c>
      <c r="Q357" t="b">
        <v>0</v>
      </c>
      <c r="R357" s="9" t="b">
        <v>0</v>
      </c>
      <c r="S357" s="10"/>
      <c r="T357" s="10"/>
      <c r="U357" s="10"/>
      <c r="V357" s="10"/>
      <c r="W357" s="10"/>
      <c r="X357" s="10"/>
      <c r="Y357" s="10"/>
      <c r="Z357" s="10"/>
      <c r="AA357" s="10"/>
      <c r="AB357" s="10"/>
      <c r="AC357" s="10"/>
      <c r="AD357" s="10"/>
      <c r="AE357" s="10"/>
    </row>
    <row r="358" ht="15.75" customHeight="1" spans="1:31">
      <c r="A358" t="s">
        <v>159</v>
      </c>
      <c r="B358" t="s">
        <v>67</v>
      </c>
      <c r="C358">
        <v>57</v>
      </c>
      <c r="D358">
        <v>10</v>
      </c>
      <c r="E358">
        <v>7.08</v>
      </c>
      <c r="F358">
        <v>5.6</v>
      </c>
      <c r="G358">
        <v>735</v>
      </c>
      <c r="H358">
        <v>3.62</v>
      </c>
      <c r="L358" s="25">
        <v>5</v>
      </c>
      <c r="N358" s="10"/>
      <c r="O358" s="3">
        <v>500</v>
      </c>
      <c r="P358" t="b">
        <v>0</v>
      </c>
      <c r="Q358" t="b">
        <v>0</v>
      </c>
      <c r="R358" s="9" t="b">
        <v>0</v>
      </c>
      <c r="S358" s="10"/>
      <c r="T358" s="10"/>
      <c r="U358" s="10"/>
      <c r="V358" s="10"/>
      <c r="W358" s="10"/>
      <c r="X358" s="10"/>
      <c r="Y358" s="10"/>
      <c r="Z358" s="10"/>
      <c r="AA358" s="10"/>
      <c r="AB358" s="10"/>
      <c r="AC358" s="10"/>
      <c r="AD358" s="10"/>
      <c r="AE358" s="10"/>
    </row>
    <row r="359" ht="15.75" customHeight="1" spans="1:31">
      <c r="A359" t="s">
        <v>159</v>
      </c>
      <c r="B359" t="s">
        <v>25</v>
      </c>
      <c r="C359">
        <v>57</v>
      </c>
      <c r="D359">
        <v>10</v>
      </c>
      <c r="E359">
        <v>7.08</v>
      </c>
      <c r="F359">
        <v>3.36</v>
      </c>
      <c r="G359">
        <v>1102</v>
      </c>
      <c r="H359">
        <v>2.1</v>
      </c>
      <c r="L359" s="25">
        <v>17.5</v>
      </c>
      <c r="N359" s="10"/>
      <c r="O359" s="3">
        <v>500</v>
      </c>
      <c r="P359" t="b">
        <v>0</v>
      </c>
      <c r="Q359" t="b">
        <v>0</v>
      </c>
      <c r="R359" s="9" t="b">
        <v>0</v>
      </c>
      <c r="S359" s="10"/>
      <c r="T359" s="10"/>
      <c r="U359" s="10"/>
      <c r="V359" s="10"/>
      <c r="W359" s="10"/>
      <c r="X359" s="10"/>
      <c r="Y359" s="10"/>
      <c r="Z359" s="10"/>
      <c r="AA359" s="10"/>
      <c r="AB359" s="10"/>
      <c r="AC359" s="10"/>
      <c r="AD359" s="10"/>
      <c r="AE359" s="10"/>
    </row>
    <row r="360" ht="15.75" customHeight="1" spans="1:31">
      <c r="A360" t="s">
        <v>160</v>
      </c>
      <c r="B360" t="s">
        <v>84</v>
      </c>
      <c r="C360">
        <v>57.4</v>
      </c>
      <c r="D360">
        <v>9.58</v>
      </c>
      <c r="E360">
        <v>8</v>
      </c>
      <c r="F360">
        <v>5.7</v>
      </c>
      <c r="G360">
        <v>922</v>
      </c>
      <c r="H360">
        <v>4.02</v>
      </c>
      <c r="K360" s="43">
        <v>350</v>
      </c>
      <c r="L360">
        <v>6</v>
      </c>
      <c r="N360" s="10"/>
      <c r="O360" s="3">
        <v>500</v>
      </c>
      <c r="P360" t="b">
        <v>0</v>
      </c>
      <c r="Q360" t="b">
        <v>0</v>
      </c>
      <c r="R360" s="9" t="b">
        <v>0</v>
      </c>
      <c r="S360" s="10"/>
      <c r="T360" s="10"/>
      <c r="U360" s="10"/>
      <c r="V360" s="10"/>
      <c r="W360" s="10"/>
      <c r="X360" s="10"/>
      <c r="Y360" s="10"/>
      <c r="Z360" s="10"/>
      <c r="AA360" s="10"/>
      <c r="AB360" s="10"/>
      <c r="AC360" s="10"/>
      <c r="AD360" s="10"/>
      <c r="AE360" s="10"/>
    </row>
    <row r="361" ht="15.75" customHeight="1" spans="1:31">
      <c r="A361" t="s">
        <v>160</v>
      </c>
      <c r="B361" t="s">
        <v>65</v>
      </c>
      <c r="C361">
        <v>57.4</v>
      </c>
      <c r="D361">
        <v>9.58</v>
      </c>
      <c r="E361">
        <v>8</v>
      </c>
      <c r="F361">
        <v>5.7</v>
      </c>
      <c r="G361">
        <v>922</v>
      </c>
      <c r="H361">
        <v>4.02</v>
      </c>
      <c r="K361" s="43">
        <v>500</v>
      </c>
      <c r="L361" s="3">
        <v>12</v>
      </c>
      <c r="N361" s="10"/>
      <c r="O361" s="3">
        <v>500</v>
      </c>
      <c r="P361" t="b">
        <v>0</v>
      </c>
      <c r="Q361" t="b">
        <v>0</v>
      </c>
      <c r="R361" s="9" t="b">
        <v>0</v>
      </c>
      <c r="S361" s="10"/>
      <c r="T361" s="10"/>
      <c r="U361" s="10"/>
      <c r="V361" s="10"/>
      <c r="W361" s="10"/>
      <c r="X361" s="10"/>
      <c r="Y361" s="10"/>
      <c r="Z361" s="10"/>
      <c r="AA361" s="10"/>
      <c r="AB361" s="10"/>
      <c r="AC361" s="10"/>
      <c r="AD361" s="10"/>
      <c r="AE361" s="10"/>
    </row>
    <row r="362" ht="15.75" customHeight="1" spans="1:31">
      <c r="A362" t="s">
        <v>160</v>
      </c>
      <c r="B362" t="s">
        <v>115</v>
      </c>
      <c r="C362">
        <v>57.4</v>
      </c>
      <c r="D362">
        <v>9.58</v>
      </c>
      <c r="E362">
        <v>8</v>
      </c>
      <c r="F362">
        <v>5.7</v>
      </c>
      <c r="G362">
        <v>922</v>
      </c>
      <c r="H362">
        <v>4.02</v>
      </c>
      <c r="K362" s="43">
        <v>250</v>
      </c>
      <c r="L362">
        <v>3</v>
      </c>
      <c r="N362" s="10"/>
      <c r="O362" s="3">
        <v>500</v>
      </c>
      <c r="P362" t="b">
        <v>0</v>
      </c>
      <c r="Q362" t="b">
        <v>0</v>
      </c>
      <c r="R362" s="9" t="b">
        <v>0</v>
      </c>
      <c r="S362" s="3"/>
      <c r="T362" s="3"/>
      <c r="U362" s="3"/>
      <c r="V362" s="3"/>
      <c r="W362" s="3"/>
      <c r="X362" s="3"/>
      <c r="Y362" s="3"/>
      <c r="Z362" s="3"/>
      <c r="AA362" s="3"/>
      <c r="AB362" s="3"/>
      <c r="AC362" s="3"/>
      <c r="AD362" s="3"/>
      <c r="AE362" s="3"/>
    </row>
    <row r="363" ht="15.75" customHeight="1" spans="1:31">
      <c r="A363" t="s">
        <v>160</v>
      </c>
      <c r="B363" t="s">
        <v>66</v>
      </c>
      <c r="C363">
        <v>57.4</v>
      </c>
      <c r="D363">
        <v>9.58</v>
      </c>
      <c r="E363">
        <v>8</v>
      </c>
      <c r="F363">
        <v>5.7</v>
      </c>
      <c r="G363">
        <v>922</v>
      </c>
      <c r="H363">
        <v>4.02</v>
      </c>
      <c r="K363" s="43"/>
      <c r="L363">
        <v>12</v>
      </c>
      <c r="N363" s="10"/>
      <c r="O363" s="3">
        <v>500</v>
      </c>
      <c r="P363" t="b">
        <v>0</v>
      </c>
      <c r="Q363" t="b">
        <v>0</v>
      </c>
      <c r="R363" s="9" t="b">
        <v>0</v>
      </c>
      <c r="S363" s="3"/>
      <c r="T363" s="3"/>
      <c r="U363" s="3"/>
      <c r="V363" s="3"/>
      <c r="W363" s="3"/>
      <c r="X363" s="3"/>
      <c r="Y363" s="3"/>
      <c r="Z363" s="3"/>
      <c r="AA363" s="3"/>
      <c r="AB363" s="3"/>
      <c r="AC363" s="3"/>
      <c r="AD363" s="3"/>
      <c r="AE363" s="3"/>
    </row>
    <row r="364" ht="15.75" customHeight="1" spans="1:31">
      <c r="A364" t="s">
        <v>160</v>
      </c>
      <c r="B364" t="s">
        <v>67</v>
      </c>
      <c r="C364">
        <v>57.4</v>
      </c>
      <c r="D364">
        <v>9.58</v>
      </c>
      <c r="E364">
        <v>8</v>
      </c>
      <c r="F364">
        <v>5.7</v>
      </c>
      <c r="G364">
        <v>922</v>
      </c>
      <c r="H364">
        <v>4.02</v>
      </c>
      <c r="K364" s="43"/>
      <c r="L364">
        <v>6</v>
      </c>
      <c r="N364" s="10"/>
      <c r="O364" s="3">
        <v>500</v>
      </c>
      <c r="P364" t="b">
        <v>0</v>
      </c>
      <c r="Q364" t="b">
        <v>0</v>
      </c>
      <c r="R364" s="9" t="b">
        <v>0</v>
      </c>
      <c r="S364" s="3"/>
      <c r="T364" s="3"/>
      <c r="U364" s="3"/>
      <c r="V364" s="3"/>
      <c r="W364" s="3"/>
      <c r="X364" s="3"/>
      <c r="Y364" s="3"/>
      <c r="Z364" s="3"/>
      <c r="AA364" s="3"/>
      <c r="AB364" s="3"/>
      <c r="AC364" s="3"/>
      <c r="AD364" s="3"/>
      <c r="AE364" s="3"/>
    </row>
    <row r="365" ht="15.75" customHeight="1" spans="1:31">
      <c r="A365" t="s">
        <v>160</v>
      </c>
      <c r="B365" t="s">
        <v>25</v>
      </c>
      <c r="C365">
        <v>57.4</v>
      </c>
      <c r="D365">
        <v>9.58</v>
      </c>
      <c r="E365">
        <v>8</v>
      </c>
      <c r="F365">
        <v>3.42</v>
      </c>
      <c r="G365">
        <v>1383</v>
      </c>
      <c r="H365">
        <v>2.31</v>
      </c>
      <c r="K365" s="43"/>
      <c r="L365">
        <v>18</v>
      </c>
      <c r="N365" s="10"/>
      <c r="O365" s="3">
        <v>500</v>
      </c>
      <c r="P365" t="b">
        <v>0</v>
      </c>
      <c r="Q365" t="b">
        <v>0</v>
      </c>
      <c r="R365" s="9" t="b">
        <v>0</v>
      </c>
      <c r="S365" s="3"/>
      <c r="T365" s="3"/>
      <c r="U365" s="3"/>
      <c r="V365" s="3"/>
      <c r="W365" s="3"/>
      <c r="X365" s="3"/>
      <c r="Y365" s="3"/>
      <c r="Z365" s="3"/>
      <c r="AA365" s="3"/>
      <c r="AB365" s="3"/>
      <c r="AC365" s="3"/>
      <c r="AD365" s="3"/>
      <c r="AE365" s="3"/>
    </row>
    <row r="366" ht="15.75" customHeight="1" spans="1:31">
      <c r="A366" t="s">
        <v>161</v>
      </c>
      <c r="B366" t="s">
        <v>84</v>
      </c>
      <c r="C366" s="25">
        <v>57.4</v>
      </c>
      <c r="D366" s="25">
        <v>9.58</v>
      </c>
      <c r="E366" s="25">
        <v>8</v>
      </c>
      <c r="F366" s="25">
        <v>5.7</v>
      </c>
      <c r="G366" s="25">
        <v>733</v>
      </c>
      <c r="H366" s="25">
        <v>4.02</v>
      </c>
      <c r="K366" s="44">
        <v>350</v>
      </c>
      <c r="L366" s="25">
        <v>5</v>
      </c>
      <c r="N366" s="3"/>
      <c r="O366" s="8">
        <v>500</v>
      </c>
      <c r="P366" t="b">
        <v>0</v>
      </c>
      <c r="Q366" t="b">
        <v>0</v>
      </c>
      <c r="R366" s="9" t="b">
        <v>0</v>
      </c>
      <c r="S366" s="3"/>
      <c r="T366" s="3"/>
      <c r="U366" s="3"/>
      <c r="V366" s="3"/>
      <c r="W366" s="3"/>
      <c r="X366" s="3"/>
      <c r="Y366" s="3"/>
      <c r="Z366" s="3"/>
      <c r="AA366" s="3"/>
      <c r="AB366" s="3"/>
      <c r="AC366" s="3"/>
      <c r="AD366" s="3"/>
      <c r="AE366" s="3"/>
    </row>
    <row r="367" ht="15.75" customHeight="1" spans="1:31">
      <c r="A367" t="s">
        <v>161</v>
      </c>
      <c r="B367" t="s">
        <v>65</v>
      </c>
      <c r="C367" s="25">
        <v>57.4</v>
      </c>
      <c r="D367" s="25">
        <v>9.58</v>
      </c>
      <c r="E367" s="25">
        <v>8</v>
      </c>
      <c r="F367" s="25">
        <v>5.7</v>
      </c>
      <c r="G367" s="25">
        <v>733</v>
      </c>
      <c r="H367" s="25">
        <v>4.02</v>
      </c>
      <c r="K367" s="44">
        <v>500</v>
      </c>
      <c r="L367" s="8">
        <v>10</v>
      </c>
      <c r="N367" s="3"/>
      <c r="O367" s="8">
        <v>500</v>
      </c>
      <c r="P367" t="b">
        <v>0</v>
      </c>
      <c r="Q367" t="b">
        <v>0</v>
      </c>
      <c r="R367" s="9" t="b">
        <v>0</v>
      </c>
      <c r="S367" s="3"/>
      <c r="T367" s="3"/>
      <c r="U367" s="3"/>
      <c r="V367" s="3"/>
      <c r="W367" s="3"/>
      <c r="X367" s="3"/>
      <c r="Y367" s="3"/>
      <c r="Z367" s="3"/>
      <c r="AA367" s="3"/>
      <c r="AB367" s="3"/>
      <c r="AC367" s="3"/>
      <c r="AD367" s="3"/>
      <c r="AE367" s="3"/>
    </row>
    <row r="368" ht="15.75" customHeight="1" spans="1:31">
      <c r="A368" t="s">
        <v>161</v>
      </c>
      <c r="B368" t="s">
        <v>115</v>
      </c>
      <c r="C368" s="25">
        <v>57.4</v>
      </c>
      <c r="D368" s="25">
        <v>9.58</v>
      </c>
      <c r="E368" s="25">
        <v>8</v>
      </c>
      <c r="F368" s="25">
        <v>5.7</v>
      </c>
      <c r="G368" s="25">
        <v>733</v>
      </c>
      <c r="H368" s="25">
        <v>4.02</v>
      </c>
      <c r="K368" s="44">
        <v>250</v>
      </c>
      <c r="L368" s="25">
        <v>3</v>
      </c>
      <c r="N368" s="3"/>
      <c r="O368" s="8">
        <v>500</v>
      </c>
      <c r="P368" t="b">
        <v>0</v>
      </c>
      <c r="Q368" t="b">
        <v>0</v>
      </c>
      <c r="R368" s="9" t="b">
        <v>0</v>
      </c>
      <c r="S368" s="10"/>
      <c r="T368" s="10"/>
      <c r="U368" s="10"/>
      <c r="V368" s="10"/>
      <c r="W368" s="10"/>
      <c r="X368" s="10"/>
      <c r="Y368" s="10"/>
      <c r="Z368" s="10"/>
      <c r="AA368" s="10"/>
      <c r="AB368" s="10"/>
      <c r="AC368" s="10"/>
      <c r="AD368" s="10"/>
      <c r="AE368" s="10"/>
    </row>
    <row r="369" ht="15.75" customHeight="1" spans="1:31">
      <c r="A369" t="s">
        <v>161</v>
      </c>
      <c r="B369" t="s">
        <v>66</v>
      </c>
      <c r="C369" s="25">
        <v>57.4</v>
      </c>
      <c r="D369" s="25">
        <v>9.58</v>
      </c>
      <c r="E369" s="25">
        <v>8</v>
      </c>
      <c r="F369" s="25">
        <v>5.7</v>
      </c>
      <c r="G369" s="25">
        <v>733</v>
      </c>
      <c r="H369" s="25">
        <v>4.02</v>
      </c>
      <c r="K369" s="3"/>
      <c r="L369" s="25">
        <v>10</v>
      </c>
      <c r="N369" s="3"/>
      <c r="O369" s="8">
        <v>500</v>
      </c>
      <c r="P369" t="b">
        <v>0</v>
      </c>
      <c r="Q369" t="b">
        <v>0</v>
      </c>
      <c r="R369" s="9" t="b">
        <v>0</v>
      </c>
      <c r="S369" s="10"/>
      <c r="T369" s="10"/>
      <c r="U369" s="10"/>
      <c r="V369" s="10"/>
      <c r="W369" s="10"/>
      <c r="X369" s="10"/>
      <c r="Y369" s="10"/>
      <c r="Z369" s="10"/>
      <c r="AA369" s="10"/>
      <c r="AB369" s="10"/>
      <c r="AC369" s="10"/>
      <c r="AD369" s="10"/>
      <c r="AE369" s="10"/>
    </row>
    <row r="370" ht="15.75" customHeight="1" spans="1:31">
      <c r="A370" t="s">
        <v>161</v>
      </c>
      <c r="B370" t="s">
        <v>67</v>
      </c>
      <c r="C370" s="25">
        <v>57.4</v>
      </c>
      <c r="D370" s="25">
        <v>9.58</v>
      </c>
      <c r="E370" s="25">
        <v>8</v>
      </c>
      <c r="F370" s="25">
        <v>5.7</v>
      </c>
      <c r="G370" s="25">
        <v>733</v>
      </c>
      <c r="H370" s="25">
        <v>4.02</v>
      </c>
      <c r="K370" s="3"/>
      <c r="L370" s="25">
        <v>5</v>
      </c>
      <c r="N370" s="3"/>
      <c r="O370" s="8">
        <v>500</v>
      </c>
      <c r="P370" t="b">
        <v>0</v>
      </c>
      <c r="Q370" t="b">
        <v>0</v>
      </c>
      <c r="R370" s="9" t="b">
        <v>0</v>
      </c>
      <c r="S370" s="10"/>
      <c r="T370" s="10"/>
      <c r="U370" s="10"/>
      <c r="V370" s="10"/>
      <c r="W370" s="10"/>
      <c r="X370" s="10"/>
      <c r="Y370" s="10"/>
      <c r="Z370" s="10"/>
      <c r="AA370" s="10"/>
      <c r="AB370" s="10"/>
      <c r="AC370" s="10"/>
      <c r="AD370" s="10"/>
      <c r="AE370" s="10"/>
    </row>
    <row r="371" ht="15.75" customHeight="1" spans="1:31">
      <c r="A371" t="s">
        <v>161</v>
      </c>
      <c r="B371" t="s">
        <v>25</v>
      </c>
      <c r="C371" s="25">
        <v>57.4</v>
      </c>
      <c r="D371" s="25">
        <v>9.58</v>
      </c>
      <c r="E371" s="25">
        <v>8</v>
      </c>
      <c r="F371" s="25">
        <v>3.42</v>
      </c>
      <c r="G371" s="25">
        <v>1100</v>
      </c>
      <c r="H371" s="25">
        <v>2.31</v>
      </c>
      <c r="K371" s="3"/>
      <c r="L371" s="25">
        <v>17.5</v>
      </c>
      <c r="N371" s="3"/>
      <c r="O371" s="8">
        <v>500</v>
      </c>
      <c r="P371" t="b">
        <v>0</v>
      </c>
      <c r="Q371" t="b">
        <v>0</v>
      </c>
      <c r="R371" s="9" t="b">
        <v>0</v>
      </c>
      <c r="S371" s="10"/>
      <c r="T371" s="10"/>
      <c r="U371" s="10"/>
      <c r="V371" s="10"/>
      <c r="W371" s="10"/>
      <c r="X371" s="10"/>
      <c r="Y371" s="10"/>
      <c r="Z371" s="10"/>
      <c r="AA371" s="10"/>
      <c r="AB371" s="10"/>
      <c r="AC371" s="10"/>
      <c r="AD371" s="10"/>
      <c r="AE371" s="10"/>
    </row>
    <row r="372" ht="15.75" customHeight="1" spans="1:31">
      <c r="A372" t="s">
        <v>162</v>
      </c>
      <c r="B372" t="s">
        <v>84</v>
      </c>
      <c r="C372">
        <v>56</v>
      </c>
      <c r="D372">
        <v>11.35</v>
      </c>
      <c r="E372">
        <v>8.1</v>
      </c>
      <c r="F372">
        <v>7.91</v>
      </c>
      <c r="G372">
        <v>718</v>
      </c>
      <c r="H372">
        <v>7.97</v>
      </c>
      <c r="K372" s="43">
        <v>620</v>
      </c>
      <c r="L372">
        <v>6</v>
      </c>
      <c r="N372" s="10"/>
      <c r="O372" s="3">
        <v>500</v>
      </c>
      <c r="P372" t="b">
        <v>0</v>
      </c>
      <c r="Q372" t="b">
        <v>0</v>
      </c>
      <c r="R372" s="9" t="b">
        <v>0</v>
      </c>
      <c r="S372" s="10"/>
      <c r="T372" s="10"/>
      <c r="U372" s="10"/>
      <c r="V372" s="10"/>
      <c r="W372" s="10"/>
      <c r="X372" s="10"/>
      <c r="Y372" s="10"/>
      <c r="Z372" s="10"/>
      <c r="AA372" s="10"/>
      <c r="AB372" s="10"/>
      <c r="AC372" s="10"/>
      <c r="AD372" s="10"/>
      <c r="AE372" s="10"/>
    </row>
    <row r="373" ht="15.75" customHeight="1" spans="1:31">
      <c r="A373" t="s">
        <v>162</v>
      </c>
      <c r="B373" t="s">
        <v>65</v>
      </c>
      <c r="C373">
        <v>56</v>
      </c>
      <c r="D373">
        <v>11.35</v>
      </c>
      <c r="E373">
        <v>8.1</v>
      </c>
      <c r="F373">
        <v>7.91</v>
      </c>
      <c r="G373">
        <v>718</v>
      </c>
      <c r="H373">
        <v>7.97</v>
      </c>
      <c r="L373">
        <v>12</v>
      </c>
      <c r="N373" s="10"/>
      <c r="O373" s="3">
        <v>500</v>
      </c>
      <c r="P373" t="b">
        <v>0</v>
      </c>
      <c r="Q373" t="b">
        <v>0</v>
      </c>
      <c r="R373" s="9" t="b">
        <v>0</v>
      </c>
      <c r="S373" s="10"/>
      <c r="T373" s="10"/>
      <c r="U373" s="10"/>
      <c r="V373" s="10"/>
      <c r="W373" s="10"/>
      <c r="X373" s="10"/>
      <c r="Y373" s="10"/>
      <c r="Z373" s="10"/>
      <c r="AA373" s="10"/>
      <c r="AB373" s="10"/>
      <c r="AC373" s="10"/>
      <c r="AD373" s="10"/>
      <c r="AE373" s="10"/>
    </row>
    <row r="374" ht="15.75" customHeight="1" spans="1:31">
      <c r="A374" t="s">
        <v>162</v>
      </c>
      <c r="B374" t="s">
        <v>115</v>
      </c>
      <c r="C374">
        <v>56</v>
      </c>
      <c r="D374">
        <v>11.35</v>
      </c>
      <c r="E374">
        <v>8.1</v>
      </c>
      <c r="F374">
        <v>7.91</v>
      </c>
      <c r="G374">
        <v>718</v>
      </c>
      <c r="H374">
        <v>7.97</v>
      </c>
      <c r="K374" s="43">
        <v>320</v>
      </c>
      <c r="L374">
        <v>3</v>
      </c>
      <c r="N374" s="10"/>
      <c r="O374" s="3">
        <v>500</v>
      </c>
      <c r="P374" t="b">
        <v>0</v>
      </c>
      <c r="Q374" t="b">
        <v>0</v>
      </c>
      <c r="R374" s="9" t="b">
        <v>0</v>
      </c>
      <c r="S374" s="10"/>
      <c r="T374" s="10"/>
      <c r="U374" s="10"/>
      <c r="V374" s="10"/>
      <c r="W374" s="10"/>
      <c r="X374" s="10"/>
      <c r="Y374" s="10"/>
      <c r="Z374" s="10"/>
      <c r="AA374" s="10"/>
      <c r="AB374" s="10"/>
      <c r="AC374" s="10"/>
      <c r="AD374" s="10"/>
      <c r="AE374" s="10"/>
    </row>
    <row r="375" ht="15.75" customHeight="1" spans="1:31">
      <c r="A375" t="s">
        <v>162</v>
      </c>
      <c r="B375" t="s">
        <v>66</v>
      </c>
      <c r="C375">
        <v>56</v>
      </c>
      <c r="D375">
        <v>11.35</v>
      </c>
      <c r="E375">
        <v>8.1</v>
      </c>
      <c r="F375">
        <v>7.91</v>
      </c>
      <c r="G375">
        <v>718</v>
      </c>
      <c r="H375">
        <v>7.97</v>
      </c>
      <c r="K375" s="43"/>
      <c r="L375">
        <v>12</v>
      </c>
      <c r="N375" s="10"/>
      <c r="O375" s="3">
        <v>500</v>
      </c>
      <c r="P375" t="b">
        <v>0</v>
      </c>
      <c r="Q375" t="b">
        <v>0</v>
      </c>
      <c r="R375" s="9" t="b">
        <v>0</v>
      </c>
      <c r="S375" s="10"/>
      <c r="T375" s="10"/>
      <c r="U375" s="10"/>
      <c r="V375" s="10"/>
      <c r="W375" s="10"/>
      <c r="X375" s="10"/>
      <c r="Y375" s="10"/>
      <c r="Z375" s="10"/>
      <c r="AA375" s="10"/>
      <c r="AB375" s="10"/>
      <c r="AC375" s="10"/>
      <c r="AD375" s="10"/>
      <c r="AE375" s="10"/>
    </row>
    <row r="376" ht="15.75" customHeight="1" spans="1:31">
      <c r="A376" t="s">
        <v>162</v>
      </c>
      <c r="B376" t="s">
        <v>67</v>
      </c>
      <c r="C376">
        <v>56</v>
      </c>
      <c r="D376">
        <v>11.35</v>
      </c>
      <c r="E376">
        <v>8.1</v>
      </c>
      <c r="F376">
        <v>7.91</v>
      </c>
      <c r="G376">
        <v>718</v>
      </c>
      <c r="H376">
        <v>7.97</v>
      </c>
      <c r="K376" s="43"/>
      <c r="L376">
        <v>6</v>
      </c>
      <c r="N376" s="10"/>
      <c r="O376" s="3">
        <v>500</v>
      </c>
      <c r="P376" t="b">
        <v>0</v>
      </c>
      <c r="Q376" t="b">
        <v>0</v>
      </c>
      <c r="R376" s="9" t="b">
        <v>0</v>
      </c>
      <c r="S376" s="10"/>
      <c r="T376" s="10"/>
      <c r="U376" s="10"/>
      <c r="V376" s="10"/>
      <c r="W376" s="10"/>
      <c r="X376" s="10"/>
      <c r="Y376" s="10"/>
      <c r="Z376" s="10"/>
      <c r="AA376" s="10"/>
      <c r="AB376" s="10"/>
      <c r="AC376" s="10"/>
      <c r="AD376" s="10"/>
      <c r="AE376" s="10"/>
    </row>
    <row r="377" ht="15.75" customHeight="1" spans="1:31">
      <c r="A377" t="s">
        <v>162</v>
      </c>
      <c r="B377" t="s">
        <v>25</v>
      </c>
      <c r="C377">
        <v>56</v>
      </c>
      <c r="D377">
        <v>11.35</v>
      </c>
      <c r="E377">
        <v>8.1</v>
      </c>
      <c r="F377">
        <v>4.75</v>
      </c>
      <c r="G377">
        <v>1077</v>
      </c>
      <c r="H377">
        <v>4.6</v>
      </c>
      <c r="K377" s="43"/>
      <c r="L377">
        <v>21</v>
      </c>
      <c r="N377" s="10"/>
      <c r="O377" s="3">
        <v>500</v>
      </c>
      <c r="P377" t="b">
        <v>0</v>
      </c>
      <c r="Q377" t="b">
        <v>0</v>
      </c>
      <c r="R377" s="9" t="b">
        <v>0</v>
      </c>
      <c r="S377" s="10"/>
      <c r="T377" s="10"/>
      <c r="U377" s="10"/>
      <c r="V377" s="10"/>
      <c r="W377" s="10"/>
      <c r="X377" s="10"/>
      <c r="Y377" s="10"/>
      <c r="Z377" s="10"/>
      <c r="AA377" s="10"/>
      <c r="AB377" s="10"/>
      <c r="AC377" s="10"/>
      <c r="AD377" s="10"/>
      <c r="AE377" s="10"/>
    </row>
    <row r="378" ht="15.75" customHeight="1" spans="1:31">
      <c r="A378" t="s">
        <v>163</v>
      </c>
      <c r="B378" t="s">
        <v>84</v>
      </c>
      <c r="C378" s="25">
        <v>56</v>
      </c>
      <c r="D378" s="25">
        <v>11.35</v>
      </c>
      <c r="E378" s="25">
        <v>8.1</v>
      </c>
      <c r="F378" s="25">
        <v>7.91</v>
      </c>
      <c r="G378" s="25">
        <v>609</v>
      </c>
      <c r="H378" s="25">
        <v>7.97</v>
      </c>
      <c r="I378" s="3"/>
      <c r="J378" s="3"/>
      <c r="K378" s="3"/>
      <c r="L378" s="25">
        <v>4.5</v>
      </c>
      <c r="M378" s="3"/>
      <c r="N378" s="3"/>
      <c r="O378" s="8">
        <v>500</v>
      </c>
      <c r="P378" t="b">
        <v>0</v>
      </c>
      <c r="Q378" t="b">
        <v>0</v>
      </c>
      <c r="R378" s="9" t="b">
        <v>0</v>
      </c>
      <c r="S378" s="10"/>
      <c r="T378" s="10"/>
      <c r="U378" s="10"/>
      <c r="V378" s="10"/>
      <c r="W378" s="10"/>
      <c r="X378" s="10"/>
      <c r="Y378" s="10"/>
      <c r="Z378" s="10"/>
      <c r="AA378" s="10"/>
      <c r="AB378" s="10"/>
      <c r="AC378" s="10"/>
      <c r="AD378" s="10"/>
      <c r="AE378" s="10"/>
    </row>
    <row r="379" ht="15.75" customHeight="1" spans="1:31">
      <c r="A379" t="s">
        <v>163</v>
      </c>
      <c r="B379" t="s">
        <v>65</v>
      </c>
      <c r="C379" s="25">
        <v>56</v>
      </c>
      <c r="D379" s="25">
        <v>11.35</v>
      </c>
      <c r="E379" s="25">
        <v>8.1</v>
      </c>
      <c r="F379" s="25">
        <v>7.91</v>
      </c>
      <c r="G379" s="25">
        <v>609</v>
      </c>
      <c r="H379" s="25">
        <v>7.97</v>
      </c>
      <c r="I379" s="3"/>
      <c r="J379" s="3"/>
      <c r="K379" s="3"/>
      <c r="L379" s="25">
        <v>9</v>
      </c>
      <c r="M379" s="3"/>
      <c r="N379" s="3"/>
      <c r="O379" s="8">
        <v>500</v>
      </c>
      <c r="P379" t="b">
        <v>0</v>
      </c>
      <c r="Q379" t="b">
        <v>0</v>
      </c>
      <c r="R379" s="9" t="b">
        <v>0</v>
      </c>
      <c r="S379" s="10"/>
      <c r="T379" s="10"/>
      <c r="U379" s="10"/>
      <c r="V379" s="10"/>
      <c r="W379" s="10"/>
      <c r="X379" s="10"/>
      <c r="Y379" s="10"/>
      <c r="Z379" s="10"/>
      <c r="AA379" s="10"/>
      <c r="AB379" s="10"/>
      <c r="AC379" s="10"/>
      <c r="AD379" s="10"/>
      <c r="AE379" s="10"/>
    </row>
    <row r="380" ht="15.75" customHeight="1" spans="1:31">
      <c r="A380" t="s">
        <v>163</v>
      </c>
      <c r="B380" t="s">
        <v>115</v>
      </c>
      <c r="C380" s="25">
        <v>56</v>
      </c>
      <c r="D380" s="25">
        <v>11.35</v>
      </c>
      <c r="E380" s="25">
        <v>8.1</v>
      </c>
      <c r="F380" s="25">
        <v>7.91</v>
      </c>
      <c r="G380" s="25">
        <v>609</v>
      </c>
      <c r="H380" s="25">
        <v>7.97</v>
      </c>
      <c r="I380" s="3"/>
      <c r="J380" s="3"/>
      <c r="K380" s="3"/>
      <c r="L380" s="25">
        <v>2.5</v>
      </c>
      <c r="M380" s="3"/>
      <c r="N380" s="3"/>
      <c r="O380" s="8">
        <v>500</v>
      </c>
      <c r="P380" t="b">
        <v>0</v>
      </c>
      <c r="Q380" t="b">
        <v>0</v>
      </c>
      <c r="R380" s="9" t="b">
        <v>0</v>
      </c>
      <c r="S380" s="10"/>
      <c r="T380" s="10"/>
      <c r="U380" s="10"/>
      <c r="V380" s="10"/>
      <c r="W380" s="10"/>
      <c r="X380" s="10"/>
      <c r="Y380" s="10"/>
      <c r="Z380" s="10"/>
      <c r="AA380" s="10"/>
      <c r="AB380" s="10"/>
      <c r="AC380" s="10"/>
      <c r="AD380" s="10"/>
      <c r="AE380" s="10"/>
    </row>
    <row r="381" ht="15.75" customHeight="1" spans="1:31">
      <c r="A381" t="s">
        <v>163</v>
      </c>
      <c r="B381" t="s">
        <v>66</v>
      </c>
      <c r="C381" s="25">
        <v>56</v>
      </c>
      <c r="D381" s="25">
        <v>11.35</v>
      </c>
      <c r="E381" s="25">
        <v>8.1</v>
      </c>
      <c r="F381" s="25">
        <v>7.91</v>
      </c>
      <c r="G381" s="25">
        <v>609</v>
      </c>
      <c r="H381" s="25">
        <v>7.97</v>
      </c>
      <c r="I381" s="3"/>
      <c r="J381" s="3"/>
      <c r="K381" s="3"/>
      <c r="L381" s="25">
        <v>9</v>
      </c>
      <c r="M381" s="3"/>
      <c r="N381" s="3"/>
      <c r="O381" s="8">
        <v>500</v>
      </c>
      <c r="P381" t="b">
        <v>0</v>
      </c>
      <c r="Q381" t="b">
        <v>0</v>
      </c>
      <c r="R381" s="9" t="b">
        <v>0</v>
      </c>
      <c r="S381" s="10"/>
      <c r="T381" s="10"/>
      <c r="U381" s="10"/>
      <c r="V381" s="10"/>
      <c r="W381" s="10"/>
      <c r="X381" s="10"/>
      <c r="Y381" s="10"/>
      <c r="Z381" s="10"/>
      <c r="AA381" s="10"/>
      <c r="AB381" s="10"/>
      <c r="AC381" s="10"/>
      <c r="AD381" s="10"/>
      <c r="AE381" s="10"/>
    </row>
    <row r="382" ht="15.75" customHeight="1" spans="1:31">
      <c r="A382" t="s">
        <v>163</v>
      </c>
      <c r="B382" t="s">
        <v>67</v>
      </c>
      <c r="C382" s="25">
        <v>56</v>
      </c>
      <c r="D382" s="25">
        <v>11.35</v>
      </c>
      <c r="E382" s="25">
        <v>8.1</v>
      </c>
      <c r="F382" s="25">
        <v>7.91</v>
      </c>
      <c r="G382" s="25">
        <v>609</v>
      </c>
      <c r="H382" s="25">
        <v>7.97</v>
      </c>
      <c r="I382" s="3"/>
      <c r="J382" s="3"/>
      <c r="K382" s="3"/>
      <c r="L382" s="25">
        <v>2.9</v>
      </c>
      <c r="M382" s="3"/>
      <c r="N382" s="3"/>
      <c r="O382" s="8">
        <v>500</v>
      </c>
      <c r="P382" t="b">
        <v>0</v>
      </c>
      <c r="Q382" t="b">
        <v>0</v>
      </c>
      <c r="R382" s="9" t="b">
        <v>0</v>
      </c>
      <c r="S382" s="10"/>
      <c r="T382" s="10"/>
      <c r="U382" s="10"/>
      <c r="V382" s="10"/>
      <c r="W382" s="10"/>
      <c r="X382" s="10"/>
      <c r="Y382" s="10"/>
      <c r="Z382" s="10"/>
      <c r="AA382" s="10"/>
      <c r="AB382" s="10"/>
      <c r="AC382" s="10"/>
      <c r="AD382" s="10"/>
      <c r="AE382" s="10"/>
    </row>
    <row r="383" ht="15.75" customHeight="1" spans="1:31">
      <c r="A383" t="s">
        <v>163</v>
      </c>
      <c r="B383" t="s">
        <v>25</v>
      </c>
      <c r="C383" s="25">
        <v>56</v>
      </c>
      <c r="D383" s="25">
        <v>11.35</v>
      </c>
      <c r="E383" s="25">
        <v>8.1</v>
      </c>
      <c r="F383" s="25">
        <v>4.75</v>
      </c>
      <c r="G383" s="25">
        <v>913</v>
      </c>
      <c r="H383" s="25">
        <v>4.6</v>
      </c>
      <c r="I383" s="3"/>
      <c r="J383" s="3"/>
      <c r="K383" s="3"/>
      <c r="L383" s="25">
        <v>15.75</v>
      </c>
      <c r="M383" s="3"/>
      <c r="N383" s="3"/>
      <c r="O383" s="8">
        <v>500</v>
      </c>
      <c r="P383" t="b">
        <v>0</v>
      </c>
      <c r="Q383" t="b">
        <v>0</v>
      </c>
      <c r="R383" s="9" t="b">
        <v>0</v>
      </c>
      <c r="S383" s="10"/>
      <c r="T383" s="10"/>
      <c r="U383" s="10"/>
      <c r="V383" s="10"/>
      <c r="W383" s="10"/>
      <c r="X383" s="10"/>
      <c r="Y383" s="10"/>
      <c r="Z383" s="10"/>
      <c r="AA383" s="10"/>
      <c r="AB383" s="10"/>
      <c r="AC383" s="10"/>
      <c r="AD383" s="10"/>
      <c r="AE383" s="10"/>
    </row>
    <row r="384" ht="15.75" customHeight="1" spans="1:31">
      <c r="A384" t="s">
        <v>164</v>
      </c>
      <c r="B384" t="s">
        <v>84</v>
      </c>
      <c r="C384" s="25">
        <v>62.4</v>
      </c>
      <c r="D384" s="25">
        <v>9.6</v>
      </c>
      <c r="E384" s="25">
        <v>7.85</v>
      </c>
      <c r="F384" s="25">
        <v>5</v>
      </c>
      <c r="G384" s="25">
        <v>949</v>
      </c>
      <c r="H384" s="25">
        <v>3.56</v>
      </c>
      <c r="K384" s="3"/>
      <c r="L384" s="25">
        <v>6</v>
      </c>
      <c r="N384" s="3"/>
      <c r="O384" s="8">
        <v>500</v>
      </c>
      <c r="P384" t="b">
        <v>0</v>
      </c>
      <c r="Q384" t="b">
        <v>0</v>
      </c>
      <c r="R384" s="9" t="b">
        <v>0</v>
      </c>
      <c r="S384" s="10"/>
      <c r="T384" s="10"/>
      <c r="U384" s="10"/>
      <c r="V384" s="10"/>
      <c r="W384" s="10"/>
      <c r="X384" s="10"/>
      <c r="Y384" s="10"/>
      <c r="Z384" s="10"/>
      <c r="AA384" s="10"/>
      <c r="AB384" s="10"/>
      <c r="AC384" s="10"/>
      <c r="AD384" s="10"/>
      <c r="AE384" s="10"/>
    </row>
    <row r="385" ht="15.75" customHeight="1" spans="1:31">
      <c r="A385" t="s">
        <v>164</v>
      </c>
      <c r="B385" t="s">
        <v>65</v>
      </c>
      <c r="C385" s="25">
        <v>62.4</v>
      </c>
      <c r="D385" s="25">
        <v>9.6</v>
      </c>
      <c r="E385" s="25">
        <v>7.85</v>
      </c>
      <c r="F385" s="25">
        <v>5</v>
      </c>
      <c r="G385" s="25">
        <v>949</v>
      </c>
      <c r="H385" s="25">
        <v>3.56</v>
      </c>
      <c r="K385" s="3"/>
      <c r="L385" s="25">
        <v>12</v>
      </c>
      <c r="N385" s="3"/>
      <c r="O385" s="8">
        <v>500</v>
      </c>
      <c r="P385" t="b">
        <v>0</v>
      </c>
      <c r="Q385" t="b">
        <v>0</v>
      </c>
      <c r="R385" s="9" t="b">
        <v>0</v>
      </c>
      <c r="S385" s="10"/>
      <c r="T385" s="10"/>
      <c r="U385" s="10"/>
      <c r="V385" s="10"/>
      <c r="W385" s="10"/>
      <c r="X385" s="10"/>
      <c r="Y385" s="10"/>
      <c r="Z385" s="10"/>
      <c r="AA385" s="10"/>
      <c r="AB385" s="10"/>
      <c r="AC385" s="10"/>
      <c r="AD385" s="10"/>
      <c r="AE385" s="10"/>
    </row>
    <row r="386" ht="15.75" customHeight="1" spans="1:31">
      <c r="A386" t="s">
        <v>164</v>
      </c>
      <c r="B386" t="s">
        <v>115</v>
      </c>
      <c r="C386" s="25">
        <v>62.4</v>
      </c>
      <c r="D386" s="25">
        <v>9.6</v>
      </c>
      <c r="E386" s="25">
        <v>7.85</v>
      </c>
      <c r="F386" s="25">
        <v>5</v>
      </c>
      <c r="G386" s="25">
        <v>949</v>
      </c>
      <c r="H386" s="25">
        <v>3.56</v>
      </c>
      <c r="K386" s="3"/>
      <c r="L386" s="25">
        <v>3</v>
      </c>
      <c r="N386" s="3"/>
      <c r="O386" s="8">
        <v>500</v>
      </c>
      <c r="P386" t="b">
        <v>0</v>
      </c>
      <c r="Q386" t="b">
        <v>0</v>
      </c>
      <c r="R386" s="9" t="b">
        <v>0</v>
      </c>
      <c r="S386" s="10"/>
      <c r="T386" s="10"/>
      <c r="U386" s="10"/>
      <c r="V386" s="10"/>
      <c r="W386" s="10"/>
      <c r="X386" s="10"/>
      <c r="Y386" s="10"/>
      <c r="Z386" s="10"/>
      <c r="AA386" s="10"/>
      <c r="AB386" s="10"/>
      <c r="AC386" s="10"/>
      <c r="AD386" s="10"/>
      <c r="AE386" s="10"/>
    </row>
    <row r="387" ht="15.75" customHeight="1" spans="1:31">
      <c r="A387" t="s">
        <v>164</v>
      </c>
      <c r="B387" t="s">
        <v>66</v>
      </c>
      <c r="C387" s="25">
        <v>62.4</v>
      </c>
      <c r="D387" s="25">
        <v>9.6</v>
      </c>
      <c r="E387" s="25">
        <v>7.85</v>
      </c>
      <c r="F387" s="25">
        <v>5</v>
      </c>
      <c r="G387" s="25">
        <v>949</v>
      </c>
      <c r="H387" s="25">
        <v>3.56</v>
      </c>
      <c r="K387" s="3"/>
      <c r="L387" s="25">
        <v>12</v>
      </c>
      <c r="N387" s="3"/>
      <c r="O387" s="8">
        <v>500</v>
      </c>
      <c r="P387" t="b">
        <v>0</v>
      </c>
      <c r="Q387" t="b">
        <v>0</v>
      </c>
      <c r="R387" s="9" t="b">
        <v>0</v>
      </c>
      <c r="S387" s="10"/>
      <c r="T387" s="10"/>
      <c r="U387" s="10"/>
      <c r="V387" s="10"/>
      <c r="W387" s="10"/>
      <c r="X387" s="10"/>
      <c r="Y387" s="10"/>
      <c r="Z387" s="10"/>
      <c r="AA387" s="10"/>
      <c r="AB387" s="10"/>
      <c r="AC387" s="10"/>
      <c r="AD387" s="10"/>
      <c r="AE387" s="10"/>
    </row>
    <row r="388" ht="15.75" customHeight="1" spans="1:31">
      <c r="A388" t="s">
        <v>164</v>
      </c>
      <c r="B388" t="s">
        <v>67</v>
      </c>
      <c r="C388" s="25">
        <v>62.4</v>
      </c>
      <c r="D388" s="25">
        <v>9.6</v>
      </c>
      <c r="E388" s="25">
        <v>7.85</v>
      </c>
      <c r="F388" s="25">
        <v>5</v>
      </c>
      <c r="G388" s="25">
        <v>949</v>
      </c>
      <c r="H388" s="25">
        <v>3.56</v>
      </c>
      <c r="K388" s="3"/>
      <c r="L388" s="25">
        <v>6</v>
      </c>
      <c r="N388" s="3"/>
      <c r="O388" s="8">
        <v>500</v>
      </c>
      <c r="P388" t="b">
        <v>0</v>
      </c>
      <c r="Q388" t="b">
        <v>0</v>
      </c>
      <c r="R388" s="9" t="b">
        <v>0</v>
      </c>
      <c r="S388" s="10"/>
      <c r="T388" s="10"/>
      <c r="U388" s="10"/>
      <c r="V388" s="10"/>
      <c r="W388" s="10"/>
      <c r="X388" s="10"/>
      <c r="Y388" s="10"/>
      <c r="Z388" s="10"/>
      <c r="AA388" s="10"/>
      <c r="AB388" s="10"/>
      <c r="AC388" s="10"/>
      <c r="AD388" s="10"/>
      <c r="AE388" s="10"/>
    </row>
    <row r="389" ht="15.75" customHeight="1" spans="1:31">
      <c r="A389" t="s">
        <v>164</v>
      </c>
      <c r="B389" t="s">
        <v>25</v>
      </c>
      <c r="C389" s="25">
        <v>62.4</v>
      </c>
      <c r="D389" s="25">
        <v>9.6</v>
      </c>
      <c r="E389" s="25">
        <v>7.85</v>
      </c>
      <c r="F389" s="25">
        <v>3.5</v>
      </c>
      <c r="G389" s="25">
        <v>1424</v>
      </c>
      <c r="H389" s="25">
        <v>2.03</v>
      </c>
      <c r="K389" s="3"/>
      <c r="L389" s="25">
        <v>21</v>
      </c>
      <c r="N389" s="3"/>
      <c r="O389" s="8">
        <v>500</v>
      </c>
      <c r="P389" t="b">
        <v>0</v>
      </c>
      <c r="Q389" t="b">
        <v>0</v>
      </c>
      <c r="R389" s="9" t="b">
        <v>0</v>
      </c>
      <c r="S389" s="10"/>
      <c r="T389" s="10"/>
      <c r="U389" s="10"/>
      <c r="V389" s="10"/>
      <c r="W389" s="10"/>
      <c r="X389" s="10"/>
      <c r="Y389" s="10"/>
      <c r="Z389" s="10"/>
      <c r="AA389" s="10"/>
      <c r="AB389" s="10"/>
      <c r="AC389" s="10"/>
      <c r="AD389" s="10"/>
      <c r="AE389" s="10"/>
    </row>
    <row r="390" ht="15.75" customHeight="1" spans="1:31">
      <c r="A390" s="3" t="s">
        <v>165</v>
      </c>
      <c r="B390" s="3" t="s">
        <v>84</v>
      </c>
      <c r="C390" s="8">
        <v>65</v>
      </c>
      <c r="D390" s="8">
        <v>12</v>
      </c>
      <c r="E390" s="8">
        <v>13.7</v>
      </c>
      <c r="F390" s="8">
        <v>7.2</v>
      </c>
      <c r="G390" s="8">
        <v>777</v>
      </c>
      <c r="H390" s="8">
        <v>9.07</v>
      </c>
      <c r="I390" s="3"/>
      <c r="J390" s="3"/>
      <c r="K390" s="3"/>
      <c r="L390" s="25">
        <v>6</v>
      </c>
      <c r="M390" s="3"/>
      <c r="N390" s="3"/>
      <c r="O390" s="8">
        <v>500</v>
      </c>
      <c r="P390" t="b">
        <v>0</v>
      </c>
      <c r="Q390" t="b">
        <v>0</v>
      </c>
      <c r="R390" s="9" t="b">
        <v>0</v>
      </c>
      <c r="S390" s="10"/>
      <c r="T390" s="10"/>
      <c r="U390" s="10"/>
      <c r="V390" s="10"/>
      <c r="W390" s="10"/>
      <c r="X390" s="10"/>
      <c r="Y390" s="10"/>
      <c r="Z390" s="10"/>
      <c r="AA390" s="10"/>
      <c r="AB390" s="10"/>
      <c r="AC390" s="10"/>
      <c r="AD390" s="10"/>
      <c r="AE390" s="10"/>
    </row>
    <row r="391" ht="15.75" customHeight="1" spans="1:31">
      <c r="A391" s="3" t="s">
        <v>165</v>
      </c>
      <c r="B391" s="3" t="s">
        <v>65</v>
      </c>
      <c r="C391" s="8">
        <v>65</v>
      </c>
      <c r="D391" s="8">
        <v>12</v>
      </c>
      <c r="E391" s="8">
        <v>13.7</v>
      </c>
      <c r="F391" s="8">
        <v>7.2</v>
      </c>
      <c r="G391" s="8">
        <v>777</v>
      </c>
      <c r="H391" s="8">
        <v>9.07</v>
      </c>
      <c r="I391" s="3"/>
      <c r="J391" s="3"/>
      <c r="K391" s="3"/>
      <c r="L391" s="25">
        <v>12</v>
      </c>
      <c r="M391" s="3"/>
      <c r="N391" s="3"/>
      <c r="O391" s="8">
        <v>500</v>
      </c>
      <c r="P391" t="b">
        <v>0</v>
      </c>
      <c r="Q391" t="b">
        <v>0</v>
      </c>
      <c r="R391" s="9" t="b">
        <v>0</v>
      </c>
      <c r="S391" s="10"/>
      <c r="T391" s="10"/>
      <c r="U391" s="10"/>
      <c r="V391" s="10"/>
      <c r="W391" s="10"/>
      <c r="X391" s="10"/>
      <c r="Y391" s="10"/>
      <c r="Z391" s="10"/>
      <c r="AA391" s="10"/>
      <c r="AB391" s="10"/>
      <c r="AC391" s="10"/>
      <c r="AD391" s="10"/>
      <c r="AE391" s="10"/>
    </row>
    <row r="392" ht="15.75" customHeight="1" spans="1:31">
      <c r="A392" s="3" t="s">
        <v>165</v>
      </c>
      <c r="B392" s="3" t="s">
        <v>115</v>
      </c>
      <c r="C392" s="8">
        <v>65</v>
      </c>
      <c r="D392" s="8">
        <v>12</v>
      </c>
      <c r="E392" s="8">
        <v>13.7</v>
      </c>
      <c r="F392" s="8">
        <v>7.2</v>
      </c>
      <c r="G392" s="8">
        <v>777</v>
      </c>
      <c r="H392" s="8">
        <v>9.07</v>
      </c>
      <c r="I392" s="3"/>
      <c r="J392" s="3"/>
      <c r="K392" s="3"/>
      <c r="L392" s="25">
        <v>3</v>
      </c>
      <c r="M392" s="3"/>
      <c r="N392" s="3"/>
      <c r="O392" s="8">
        <v>500</v>
      </c>
      <c r="P392" t="b">
        <v>0</v>
      </c>
      <c r="Q392" t="b">
        <v>0</v>
      </c>
      <c r="R392" s="9" t="b">
        <v>0</v>
      </c>
      <c r="S392" s="10"/>
      <c r="T392" s="10"/>
      <c r="U392" s="10"/>
      <c r="V392" s="10"/>
      <c r="W392" s="10"/>
      <c r="X392" s="10"/>
      <c r="Y392" s="10"/>
      <c r="Z392" s="10"/>
      <c r="AA392" s="10"/>
      <c r="AB392" s="10"/>
      <c r="AC392" s="10"/>
      <c r="AD392" s="10"/>
      <c r="AE392" s="10"/>
    </row>
    <row r="393" ht="15.75" customHeight="1" spans="1:31">
      <c r="A393" s="3" t="s">
        <v>165</v>
      </c>
      <c r="B393" s="3" t="s">
        <v>66</v>
      </c>
      <c r="C393" s="8">
        <v>65</v>
      </c>
      <c r="D393" s="8">
        <v>12</v>
      </c>
      <c r="E393" s="8">
        <v>13.7</v>
      </c>
      <c r="F393" s="8">
        <v>7.2</v>
      </c>
      <c r="G393" s="8">
        <v>777</v>
      </c>
      <c r="H393" s="8">
        <v>9.07</v>
      </c>
      <c r="I393" s="3"/>
      <c r="J393" s="3"/>
      <c r="K393" s="3"/>
      <c r="L393" s="25">
        <v>12</v>
      </c>
      <c r="M393" s="3"/>
      <c r="N393" s="3"/>
      <c r="O393" s="8">
        <v>500</v>
      </c>
      <c r="P393" t="b">
        <v>0</v>
      </c>
      <c r="Q393" t="b">
        <v>0</v>
      </c>
      <c r="R393" s="9" t="b">
        <v>0</v>
      </c>
      <c r="S393" s="10"/>
      <c r="T393" s="10"/>
      <c r="U393" s="10"/>
      <c r="V393" s="10"/>
      <c r="W393" s="10"/>
      <c r="X393" s="10"/>
      <c r="Y393" s="10"/>
      <c r="Z393" s="10"/>
      <c r="AA393" s="10"/>
      <c r="AB393" s="10"/>
      <c r="AC393" s="10"/>
      <c r="AD393" s="10"/>
      <c r="AE393" s="10"/>
    </row>
    <row r="394" ht="15.75" customHeight="1" spans="1:31">
      <c r="A394" s="3" t="s">
        <v>165</v>
      </c>
      <c r="B394" s="3" t="s">
        <v>67</v>
      </c>
      <c r="C394" s="8">
        <v>65</v>
      </c>
      <c r="D394" s="8">
        <v>12</v>
      </c>
      <c r="E394" s="8">
        <v>13.7</v>
      </c>
      <c r="F394" s="8">
        <v>7.2</v>
      </c>
      <c r="G394" s="8">
        <v>777</v>
      </c>
      <c r="H394" s="8">
        <v>9.07</v>
      </c>
      <c r="I394" s="3"/>
      <c r="J394" s="3"/>
      <c r="K394" s="3"/>
      <c r="L394" s="25">
        <v>6</v>
      </c>
      <c r="M394" s="3"/>
      <c r="N394" s="3"/>
      <c r="O394" s="8">
        <v>500</v>
      </c>
      <c r="P394" t="b">
        <v>0</v>
      </c>
      <c r="Q394" t="b">
        <v>0</v>
      </c>
      <c r="R394" s="9" t="b">
        <v>0</v>
      </c>
      <c r="S394" s="10"/>
      <c r="T394" s="10"/>
      <c r="U394" s="10"/>
      <c r="V394" s="10"/>
      <c r="W394" s="10"/>
      <c r="X394" s="10"/>
      <c r="Y394" s="10"/>
      <c r="Z394" s="10"/>
      <c r="AA394" s="10"/>
      <c r="AB394" s="10"/>
      <c r="AC394" s="10"/>
      <c r="AD394" s="10"/>
      <c r="AE394" s="10"/>
    </row>
    <row r="395" ht="15.75" customHeight="1" spans="1:31">
      <c r="A395" s="3" t="s">
        <v>165</v>
      </c>
      <c r="B395" s="3" t="s">
        <v>25</v>
      </c>
      <c r="C395" s="8">
        <v>65</v>
      </c>
      <c r="D395" s="8">
        <v>12</v>
      </c>
      <c r="E395" s="8">
        <v>13.7</v>
      </c>
      <c r="F395" s="8">
        <v>5.04</v>
      </c>
      <c r="G395" s="8">
        <v>1165</v>
      </c>
      <c r="H395" s="8">
        <v>5.18</v>
      </c>
      <c r="I395" s="3"/>
      <c r="J395" s="3"/>
      <c r="K395" s="3"/>
      <c r="L395" s="25">
        <v>21</v>
      </c>
      <c r="M395" s="3"/>
      <c r="N395" s="3"/>
      <c r="O395" s="8">
        <v>500</v>
      </c>
      <c r="P395" t="b">
        <v>0</v>
      </c>
      <c r="Q395" t="b">
        <v>0</v>
      </c>
      <c r="R395" s="9" t="b">
        <v>0</v>
      </c>
      <c r="S395" s="10"/>
      <c r="T395" s="10"/>
      <c r="U395" s="10"/>
      <c r="V395" s="10"/>
      <c r="W395" s="10"/>
      <c r="X395" s="10"/>
      <c r="Y395" s="10"/>
      <c r="Z395" s="10"/>
      <c r="AA395" s="10"/>
      <c r="AB395" s="10"/>
      <c r="AC395" s="10"/>
      <c r="AD395" s="10"/>
      <c r="AE395" s="10"/>
    </row>
    <row r="396" ht="15.75" customHeight="1" spans="1:31">
      <c r="A396" t="s">
        <v>166</v>
      </c>
      <c r="B396" t="s">
        <v>84</v>
      </c>
      <c r="C396">
        <v>78.11</v>
      </c>
      <c r="D396">
        <v>11.68</v>
      </c>
      <c r="E396">
        <v>14.7</v>
      </c>
      <c r="F396">
        <v>7.92</v>
      </c>
      <c r="G396">
        <v>770</v>
      </c>
      <c r="H396">
        <v>11.3</v>
      </c>
      <c r="K396" s="43">
        <v>580</v>
      </c>
      <c r="L396">
        <v>7</v>
      </c>
      <c r="N396" s="10"/>
      <c r="O396" s="3">
        <v>500</v>
      </c>
      <c r="P396" t="b">
        <v>0</v>
      </c>
      <c r="Q396" t="b">
        <v>0</v>
      </c>
      <c r="R396" s="9" t="b">
        <v>0</v>
      </c>
      <c r="S396" s="10"/>
      <c r="T396" s="10"/>
      <c r="U396" s="10"/>
      <c r="V396" s="10"/>
      <c r="W396" s="10"/>
      <c r="X396" s="10"/>
      <c r="Y396" s="10"/>
      <c r="Z396" s="10"/>
      <c r="AA396" s="10"/>
      <c r="AB396" s="10"/>
      <c r="AC396" s="10"/>
      <c r="AD396" s="10"/>
      <c r="AE396" s="10"/>
    </row>
    <row r="397" ht="15.75" customHeight="1" spans="1:31">
      <c r="A397" t="s">
        <v>166</v>
      </c>
      <c r="B397" t="s">
        <v>65</v>
      </c>
      <c r="C397">
        <v>78.11</v>
      </c>
      <c r="D397">
        <v>11.68</v>
      </c>
      <c r="E397">
        <v>14.7</v>
      </c>
      <c r="F397">
        <v>7.92</v>
      </c>
      <c r="G397">
        <v>770</v>
      </c>
      <c r="H397">
        <v>11.3</v>
      </c>
      <c r="L397">
        <v>14</v>
      </c>
      <c r="N397" s="10"/>
      <c r="O397" s="3">
        <v>500</v>
      </c>
      <c r="P397" t="b">
        <v>0</v>
      </c>
      <c r="Q397" t="b">
        <v>0</v>
      </c>
      <c r="R397" s="9" t="b">
        <v>0</v>
      </c>
      <c r="S397" s="10"/>
      <c r="T397" s="10"/>
      <c r="U397" s="10"/>
      <c r="V397" s="10"/>
      <c r="W397" s="10"/>
      <c r="X397" s="10"/>
      <c r="Y397" s="10"/>
      <c r="Z397" s="10"/>
      <c r="AA397" s="10"/>
      <c r="AB397" s="10"/>
      <c r="AC397" s="10"/>
      <c r="AD397" s="10"/>
      <c r="AE397" s="10"/>
    </row>
    <row r="398" ht="15.75" customHeight="1" spans="1:31">
      <c r="A398" t="s">
        <v>166</v>
      </c>
      <c r="B398" t="s">
        <v>115</v>
      </c>
      <c r="C398">
        <v>78.11</v>
      </c>
      <c r="D398">
        <v>11.68</v>
      </c>
      <c r="E398">
        <v>14.7</v>
      </c>
      <c r="F398">
        <v>7.92</v>
      </c>
      <c r="G398">
        <v>770</v>
      </c>
      <c r="H398">
        <v>11.3</v>
      </c>
      <c r="L398">
        <v>4</v>
      </c>
      <c r="N398" s="10"/>
      <c r="O398" s="3">
        <v>500</v>
      </c>
      <c r="P398" t="b">
        <v>0</v>
      </c>
      <c r="Q398" t="b">
        <v>0</v>
      </c>
      <c r="R398" s="9" t="b">
        <v>0</v>
      </c>
      <c r="S398" s="3"/>
      <c r="T398" s="3"/>
      <c r="U398" s="3"/>
      <c r="V398" s="3"/>
      <c r="W398" s="3"/>
      <c r="X398" s="3"/>
      <c r="Y398" s="3"/>
      <c r="Z398" s="3"/>
      <c r="AA398" s="3"/>
      <c r="AB398" s="3"/>
      <c r="AC398" s="3"/>
      <c r="AD398" s="3"/>
      <c r="AE398" s="3"/>
    </row>
    <row r="399" ht="15.75" customHeight="1" spans="1:31">
      <c r="A399" t="s">
        <v>166</v>
      </c>
      <c r="B399" t="s">
        <v>66</v>
      </c>
      <c r="C399">
        <v>78.11</v>
      </c>
      <c r="D399">
        <v>11.68</v>
      </c>
      <c r="E399">
        <v>14.7</v>
      </c>
      <c r="F399">
        <v>7.92</v>
      </c>
      <c r="G399">
        <v>770</v>
      </c>
      <c r="H399">
        <v>11.3</v>
      </c>
      <c r="L399">
        <v>14</v>
      </c>
      <c r="N399" s="10"/>
      <c r="O399" s="3">
        <v>500</v>
      </c>
      <c r="P399" t="b">
        <v>0</v>
      </c>
      <c r="Q399" t="b">
        <v>0</v>
      </c>
      <c r="R399" s="9" t="b">
        <v>0</v>
      </c>
      <c r="S399" s="3"/>
      <c r="T399" s="3"/>
      <c r="U399" s="3"/>
      <c r="V399" s="3"/>
      <c r="W399" s="3"/>
      <c r="X399" s="3"/>
      <c r="Y399" s="3"/>
      <c r="Z399" s="3"/>
      <c r="AA399" s="3"/>
      <c r="AB399" s="3"/>
      <c r="AC399" s="3"/>
      <c r="AD399" s="3"/>
      <c r="AE399" s="3"/>
    </row>
    <row r="400" ht="15.75" customHeight="1" spans="1:31">
      <c r="A400" t="s">
        <v>166</v>
      </c>
      <c r="B400" t="s">
        <v>67</v>
      </c>
      <c r="C400">
        <v>78.11</v>
      </c>
      <c r="D400">
        <v>11.68</v>
      </c>
      <c r="E400">
        <v>14.7</v>
      </c>
      <c r="F400">
        <v>7.92</v>
      </c>
      <c r="G400">
        <v>770</v>
      </c>
      <c r="H400">
        <v>11.3</v>
      </c>
      <c r="L400">
        <v>6</v>
      </c>
      <c r="N400" s="10"/>
      <c r="O400" s="3">
        <v>500</v>
      </c>
      <c r="P400" t="b">
        <v>0</v>
      </c>
      <c r="Q400" t="b">
        <v>0</v>
      </c>
      <c r="R400" s="9" t="b">
        <v>0</v>
      </c>
      <c r="S400" s="3"/>
      <c r="T400" s="3"/>
      <c r="U400" s="3"/>
      <c r="V400" s="3"/>
      <c r="W400" s="3"/>
      <c r="X400" s="3"/>
      <c r="Y400" s="3"/>
      <c r="Z400" s="3"/>
      <c r="AA400" s="3"/>
      <c r="AB400" s="3"/>
      <c r="AC400" s="3"/>
      <c r="AD400" s="3"/>
      <c r="AE400" s="3"/>
    </row>
    <row r="401" ht="15.75" customHeight="1" spans="1:31">
      <c r="A401" t="s">
        <v>166</v>
      </c>
      <c r="B401" t="s">
        <v>25</v>
      </c>
      <c r="C401">
        <v>78.11</v>
      </c>
      <c r="D401">
        <v>11.68</v>
      </c>
      <c r="E401">
        <v>14.7</v>
      </c>
      <c r="F401">
        <v>4.75</v>
      </c>
      <c r="G401">
        <v>1155</v>
      </c>
      <c r="H401">
        <v>6.5</v>
      </c>
      <c r="L401">
        <v>21</v>
      </c>
      <c r="N401" s="10"/>
      <c r="O401" s="3">
        <v>500</v>
      </c>
      <c r="P401" t="b">
        <v>0</v>
      </c>
      <c r="Q401" t="b">
        <v>0</v>
      </c>
      <c r="R401" s="9" t="b">
        <v>0</v>
      </c>
      <c r="S401" s="3"/>
      <c r="T401" s="3"/>
      <c r="U401" s="3"/>
      <c r="V401" s="3"/>
      <c r="W401" s="3"/>
      <c r="X401" s="3"/>
      <c r="Y401" s="3"/>
      <c r="Z401" s="3"/>
      <c r="AA401" s="3"/>
      <c r="AB401" s="3"/>
      <c r="AC401" s="3"/>
      <c r="AD401" s="3"/>
      <c r="AE401" s="3"/>
    </row>
    <row r="402" ht="15.75" customHeight="1" spans="1:31">
      <c r="A402" t="s">
        <v>167</v>
      </c>
      <c r="B402" t="s">
        <v>84</v>
      </c>
      <c r="C402" s="25">
        <v>70</v>
      </c>
      <c r="D402" s="25">
        <v>11.9</v>
      </c>
      <c r="E402" s="25">
        <v>14.5</v>
      </c>
      <c r="F402" s="25">
        <v>7.06</v>
      </c>
      <c r="G402" s="25">
        <v>914</v>
      </c>
      <c r="H402" s="25">
        <v>8.75</v>
      </c>
      <c r="I402" s="3"/>
      <c r="K402" s="3"/>
      <c r="L402" s="44">
        <v>8</v>
      </c>
      <c r="N402" s="3"/>
      <c r="O402" s="8">
        <v>500</v>
      </c>
      <c r="P402" t="b">
        <v>0</v>
      </c>
      <c r="Q402" t="b">
        <v>0</v>
      </c>
      <c r="R402" s="9" t="b">
        <v>0</v>
      </c>
      <c r="S402" s="3"/>
      <c r="T402" s="3"/>
      <c r="U402" s="3"/>
      <c r="V402" s="3"/>
      <c r="W402" s="3"/>
      <c r="X402" s="3"/>
      <c r="Y402" s="3"/>
      <c r="Z402" s="3"/>
      <c r="AA402" s="3"/>
      <c r="AB402" s="3"/>
      <c r="AC402" s="3"/>
      <c r="AD402" s="3"/>
      <c r="AE402" s="3"/>
    </row>
    <row r="403" ht="15.75" customHeight="1" spans="1:31">
      <c r="A403" t="s">
        <v>167</v>
      </c>
      <c r="B403" t="s">
        <v>65</v>
      </c>
      <c r="C403" s="25">
        <v>70</v>
      </c>
      <c r="D403" s="25">
        <v>11.9</v>
      </c>
      <c r="E403" s="25">
        <v>14.5</v>
      </c>
      <c r="F403" s="25">
        <v>7.06</v>
      </c>
      <c r="G403" s="25">
        <v>914</v>
      </c>
      <c r="H403" s="25">
        <v>8.75</v>
      </c>
      <c r="I403" s="3"/>
      <c r="K403" s="3"/>
      <c r="L403" s="44">
        <v>16</v>
      </c>
      <c r="N403" s="3"/>
      <c r="O403" s="8">
        <v>500</v>
      </c>
      <c r="P403" t="b">
        <v>0</v>
      </c>
      <c r="Q403" t="b">
        <v>0</v>
      </c>
      <c r="R403" s="9" t="b">
        <v>0</v>
      </c>
      <c r="S403" s="3"/>
      <c r="T403" s="3"/>
      <c r="U403" s="3"/>
      <c r="V403" s="3"/>
      <c r="W403" s="3"/>
      <c r="X403" s="3"/>
      <c r="Y403" s="3"/>
      <c r="Z403" s="3"/>
      <c r="AA403" s="3"/>
      <c r="AB403" s="3"/>
      <c r="AC403" s="3"/>
      <c r="AD403" s="3"/>
      <c r="AE403" s="3"/>
    </row>
    <row r="404" ht="15.75" customHeight="1" spans="1:31">
      <c r="A404" t="s">
        <v>167</v>
      </c>
      <c r="B404" t="s">
        <v>115</v>
      </c>
      <c r="C404" s="25">
        <v>70</v>
      </c>
      <c r="D404" s="25">
        <v>11.9</v>
      </c>
      <c r="E404" s="25">
        <v>14.5</v>
      </c>
      <c r="F404" s="25">
        <v>7.06</v>
      </c>
      <c r="G404" s="25">
        <v>914</v>
      </c>
      <c r="H404" s="25">
        <v>8.75</v>
      </c>
      <c r="I404" s="3"/>
      <c r="K404" s="3"/>
      <c r="L404" s="44">
        <v>4</v>
      </c>
      <c r="N404" s="3"/>
      <c r="O404" s="8">
        <v>500</v>
      </c>
      <c r="P404" t="b">
        <v>0</v>
      </c>
      <c r="Q404" t="b">
        <v>0</v>
      </c>
      <c r="R404" s="9" t="b">
        <v>0</v>
      </c>
      <c r="S404" s="10"/>
      <c r="T404" s="10"/>
      <c r="U404" s="10"/>
      <c r="V404" s="10"/>
      <c r="W404" s="10"/>
      <c r="X404" s="10"/>
      <c r="Y404" s="10"/>
      <c r="Z404" s="10"/>
      <c r="AA404" s="10"/>
      <c r="AB404" s="10"/>
      <c r="AC404" s="10"/>
      <c r="AD404" s="10"/>
      <c r="AE404" s="10"/>
    </row>
    <row r="405" ht="15.75" customHeight="1" spans="1:31">
      <c r="A405" t="s">
        <v>167</v>
      </c>
      <c r="B405" s="3" t="s">
        <v>66</v>
      </c>
      <c r="C405" s="25">
        <v>70</v>
      </c>
      <c r="D405" s="25">
        <v>11.9</v>
      </c>
      <c r="E405" s="25">
        <v>14.5</v>
      </c>
      <c r="F405" s="25">
        <v>7.06</v>
      </c>
      <c r="G405" s="25">
        <v>914</v>
      </c>
      <c r="H405" s="25">
        <v>8.75</v>
      </c>
      <c r="I405" s="3"/>
      <c r="K405" s="3"/>
      <c r="L405" s="44">
        <v>16</v>
      </c>
      <c r="N405" s="3"/>
      <c r="O405" s="8">
        <v>500</v>
      </c>
      <c r="P405" t="b">
        <v>0</v>
      </c>
      <c r="Q405" t="b">
        <v>0</v>
      </c>
      <c r="R405" s="9" t="b">
        <v>0</v>
      </c>
      <c r="S405" s="10"/>
      <c r="T405" s="10"/>
      <c r="U405" s="10"/>
      <c r="V405" s="10"/>
      <c r="W405" s="10"/>
      <c r="X405" s="10"/>
      <c r="Y405" s="10"/>
      <c r="Z405" s="10"/>
      <c r="AA405" s="10"/>
      <c r="AB405" s="10"/>
      <c r="AC405" s="10"/>
      <c r="AD405" s="10"/>
      <c r="AE405" s="10"/>
    </row>
    <row r="406" ht="15.75" customHeight="1" spans="1:31">
      <c r="A406" t="s">
        <v>167</v>
      </c>
      <c r="B406" s="3" t="s">
        <v>67</v>
      </c>
      <c r="C406" s="25">
        <v>70</v>
      </c>
      <c r="D406" s="25">
        <v>11.9</v>
      </c>
      <c r="E406" s="25">
        <v>14.5</v>
      </c>
      <c r="F406" s="25">
        <v>7.06</v>
      </c>
      <c r="G406" s="25">
        <v>914</v>
      </c>
      <c r="H406" s="25">
        <v>8.75</v>
      </c>
      <c r="I406" s="3"/>
      <c r="K406" s="3"/>
      <c r="L406" s="44">
        <v>8</v>
      </c>
      <c r="N406" s="3"/>
      <c r="O406" s="8">
        <v>500</v>
      </c>
      <c r="P406" t="b">
        <v>0</v>
      </c>
      <c r="Q406" t="b">
        <v>0</v>
      </c>
      <c r="R406" s="9" t="b">
        <v>0</v>
      </c>
      <c r="S406" s="10"/>
      <c r="T406" s="10"/>
      <c r="U406" s="10"/>
      <c r="V406" s="10"/>
      <c r="W406" s="10"/>
      <c r="X406" s="10"/>
      <c r="Y406" s="10"/>
      <c r="Z406" s="10"/>
      <c r="AA406" s="10"/>
      <c r="AB406" s="10"/>
      <c r="AC406" s="10"/>
      <c r="AD406" s="10"/>
      <c r="AE406" s="10"/>
    </row>
    <row r="407" ht="15.75" customHeight="1" spans="1:31">
      <c r="A407" t="s">
        <v>167</v>
      </c>
      <c r="B407" s="3" t="s">
        <v>25</v>
      </c>
      <c r="C407" s="25">
        <v>70</v>
      </c>
      <c r="D407" s="25">
        <v>11.9</v>
      </c>
      <c r="E407" s="25">
        <v>14.5</v>
      </c>
      <c r="F407" s="25">
        <v>4.24</v>
      </c>
      <c r="G407" s="25">
        <v>1371</v>
      </c>
      <c r="H407" s="25">
        <v>5</v>
      </c>
      <c r="I407" s="3"/>
      <c r="K407" s="3"/>
      <c r="L407" s="44">
        <v>28</v>
      </c>
      <c r="N407" s="3"/>
      <c r="O407" s="8">
        <v>500</v>
      </c>
      <c r="P407" t="b">
        <v>0</v>
      </c>
      <c r="Q407" t="b">
        <v>0</v>
      </c>
      <c r="R407" s="9" t="b">
        <v>0</v>
      </c>
      <c r="S407" s="10"/>
      <c r="T407" s="10"/>
      <c r="U407" s="10"/>
      <c r="V407" s="10"/>
      <c r="W407" s="10"/>
      <c r="X407" s="10"/>
      <c r="Y407" s="10"/>
      <c r="Z407" s="10"/>
      <c r="AA407" s="10"/>
      <c r="AB407" s="10"/>
      <c r="AC407" s="10"/>
      <c r="AD407" s="10"/>
      <c r="AE407" s="10"/>
    </row>
    <row r="408" ht="15.75" customHeight="1" spans="1:31">
      <c r="A408" t="s">
        <v>168</v>
      </c>
      <c r="B408" t="s">
        <v>84</v>
      </c>
      <c r="C408">
        <v>69.9</v>
      </c>
      <c r="D408">
        <v>11.9</v>
      </c>
      <c r="E408">
        <v>14.54</v>
      </c>
      <c r="F408">
        <v>7.82</v>
      </c>
      <c r="G408">
        <v>838</v>
      </c>
      <c r="H408">
        <v>9.5</v>
      </c>
      <c r="I408">
        <v>28</v>
      </c>
      <c r="K408" s="43">
        <v>640</v>
      </c>
      <c r="L408" s="43">
        <v>7</v>
      </c>
      <c r="N408" s="10"/>
      <c r="O408" s="3">
        <v>500</v>
      </c>
      <c r="P408" t="b">
        <v>0</v>
      </c>
      <c r="Q408" t="b">
        <v>0</v>
      </c>
      <c r="R408" s="9" t="b">
        <v>0</v>
      </c>
      <c r="S408" s="10"/>
      <c r="T408" s="10"/>
      <c r="U408" s="10"/>
      <c r="V408" s="10"/>
      <c r="W408" s="10"/>
      <c r="X408" s="10"/>
      <c r="Y408" s="10"/>
      <c r="Z408" s="10"/>
      <c r="AA408" s="10"/>
      <c r="AB408" s="10"/>
      <c r="AC408" s="10"/>
      <c r="AD408" s="10"/>
      <c r="AE408" s="10"/>
    </row>
    <row r="409" ht="15.75" customHeight="1" spans="1:31">
      <c r="A409" t="s">
        <v>168</v>
      </c>
      <c r="B409" t="s">
        <v>65</v>
      </c>
      <c r="C409">
        <v>69.9</v>
      </c>
      <c r="D409">
        <v>11.9</v>
      </c>
      <c r="E409">
        <v>14.54</v>
      </c>
      <c r="F409">
        <v>7.82</v>
      </c>
      <c r="G409">
        <v>838</v>
      </c>
      <c r="H409">
        <v>9.5</v>
      </c>
      <c r="I409">
        <v>28</v>
      </c>
      <c r="L409" s="43">
        <v>14</v>
      </c>
      <c r="N409" s="10"/>
      <c r="O409" s="3">
        <v>500</v>
      </c>
      <c r="P409" t="b">
        <v>0</v>
      </c>
      <c r="Q409" t="b">
        <v>0</v>
      </c>
      <c r="R409" s="9" t="b">
        <v>0</v>
      </c>
      <c r="S409" s="10"/>
      <c r="T409" s="10"/>
      <c r="U409" s="10"/>
      <c r="V409" s="10"/>
      <c r="W409" s="10"/>
      <c r="X409" s="10"/>
      <c r="Y409" s="10"/>
      <c r="Z409" s="10"/>
      <c r="AA409" s="10"/>
      <c r="AB409" s="10"/>
      <c r="AC409" s="10"/>
      <c r="AD409" s="10"/>
      <c r="AE409" s="10"/>
    </row>
    <row r="410" ht="15.75" customHeight="1" spans="1:31">
      <c r="A410" t="s">
        <v>168</v>
      </c>
      <c r="B410" t="s">
        <v>115</v>
      </c>
      <c r="C410">
        <v>69.9</v>
      </c>
      <c r="D410">
        <v>11.9</v>
      </c>
      <c r="E410">
        <v>14.54</v>
      </c>
      <c r="F410">
        <v>7.82</v>
      </c>
      <c r="G410">
        <v>838</v>
      </c>
      <c r="H410">
        <v>9.5</v>
      </c>
      <c r="I410">
        <v>28</v>
      </c>
      <c r="K410" s="43">
        <v>350</v>
      </c>
      <c r="L410">
        <v>4</v>
      </c>
      <c r="N410" s="10"/>
      <c r="O410" s="3">
        <v>500</v>
      </c>
      <c r="P410" t="b">
        <v>0</v>
      </c>
      <c r="Q410" t="b">
        <v>0</v>
      </c>
      <c r="R410" s="9" t="b">
        <v>0</v>
      </c>
      <c r="S410" s="10"/>
      <c r="T410" s="10"/>
      <c r="U410" s="10"/>
      <c r="V410" s="10"/>
      <c r="W410" s="10"/>
      <c r="X410" s="10"/>
      <c r="Y410" s="10"/>
      <c r="Z410" s="10"/>
      <c r="AA410" s="10"/>
      <c r="AB410" s="10"/>
      <c r="AC410" s="10"/>
      <c r="AD410" s="10"/>
      <c r="AE410" s="10"/>
    </row>
    <row r="411" ht="15.75" customHeight="1" spans="1:31">
      <c r="A411" t="s">
        <v>168</v>
      </c>
      <c r="B411" t="s">
        <v>66</v>
      </c>
      <c r="C411">
        <v>69.9</v>
      </c>
      <c r="D411">
        <v>11.9</v>
      </c>
      <c r="E411">
        <v>14.54</v>
      </c>
      <c r="F411">
        <v>7.82</v>
      </c>
      <c r="G411">
        <v>838</v>
      </c>
      <c r="H411">
        <v>9.5</v>
      </c>
      <c r="I411">
        <v>28</v>
      </c>
      <c r="K411" s="43"/>
      <c r="L411">
        <v>14</v>
      </c>
      <c r="N411" s="10"/>
      <c r="O411" s="3">
        <v>500</v>
      </c>
      <c r="P411" t="b">
        <v>0</v>
      </c>
      <c r="Q411" t="b">
        <v>0</v>
      </c>
      <c r="R411" s="9" t="b">
        <v>0</v>
      </c>
      <c r="S411" s="10"/>
      <c r="T411" s="10"/>
      <c r="U411" s="10"/>
      <c r="V411" s="10"/>
      <c r="W411" s="10"/>
      <c r="X411" s="10"/>
      <c r="Y411" s="10"/>
      <c r="Z411" s="10"/>
      <c r="AA411" s="10"/>
      <c r="AB411" s="10"/>
      <c r="AC411" s="10"/>
      <c r="AD411" s="10"/>
      <c r="AE411" s="10"/>
    </row>
    <row r="412" ht="15.75" customHeight="1" spans="1:31">
      <c r="A412" t="s">
        <v>168</v>
      </c>
      <c r="B412" t="s">
        <v>67</v>
      </c>
      <c r="C412">
        <v>69.9</v>
      </c>
      <c r="D412">
        <v>11.9</v>
      </c>
      <c r="E412">
        <v>14.54</v>
      </c>
      <c r="F412">
        <v>7.82</v>
      </c>
      <c r="G412">
        <v>838</v>
      </c>
      <c r="H412">
        <v>9.5</v>
      </c>
      <c r="I412">
        <v>28</v>
      </c>
      <c r="K412" s="43"/>
      <c r="L412">
        <v>7</v>
      </c>
      <c r="N412" s="10"/>
      <c r="O412" s="3">
        <v>500</v>
      </c>
      <c r="P412" t="b">
        <v>0</v>
      </c>
      <c r="Q412" t="b">
        <v>0</v>
      </c>
      <c r="R412" s="9" t="b">
        <v>0</v>
      </c>
      <c r="S412" s="10"/>
      <c r="T412" s="10"/>
      <c r="U412" s="10"/>
      <c r="V412" s="10"/>
      <c r="W412" s="10"/>
      <c r="X412" s="10"/>
      <c r="Y412" s="10"/>
      <c r="Z412" s="10"/>
      <c r="AA412" s="10"/>
      <c r="AB412" s="10"/>
      <c r="AC412" s="10"/>
      <c r="AD412" s="10"/>
      <c r="AE412" s="10"/>
    </row>
    <row r="413" ht="15.75" customHeight="1" spans="1:31">
      <c r="A413" t="s">
        <v>168</v>
      </c>
      <c r="B413" t="s">
        <v>25</v>
      </c>
      <c r="C413">
        <v>69.9</v>
      </c>
      <c r="D413">
        <v>11.9</v>
      </c>
      <c r="E413">
        <v>14.54</v>
      </c>
      <c r="F413">
        <v>4.69</v>
      </c>
      <c r="G413">
        <v>1257</v>
      </c>
      <c r="H413">
        <v>5.46</v>
      </c>
      <c r="I413">
        <v>28</v>
      </c>
      <c r="K413" s="43"/>
      <c r="L413">
        <v>25</v>
      </c>
      <c r="N413" s="10"/>
      <c r="O413" s="3">
        <v>500</v>
      </c>
      <c r="P413" t="b">
        <v>0</v>
      </c>
      <c r="Q413" t="b">
        <v>0</v>
      </c>
      <c r="R413" s="9" t="b">
        <v>0</v>
      </c>
      <c r="S413" s="10"/>
      <c r="T413" s="10"/>
      <c r="U413" s="10"/>
      <c r="V413" s="10"/>
      <c r="W413" s="10"/>
      <c r="X413" s="10"/>
      <c r="Y413" s="10"/>
      <c r="Z413" s="10"/>
      <c r="AA413" s="10"/>
      <c r="AB413" s="10"/>
      <c r="AC413" s="10"/>
      <c r="AD413" s="10"/>
      <c r="AE413" s="10"/>
    </row>
    <row r="414" ht="15.75" customHeight="1" spans="1:31">
      <c r="A414" t="s">
        <v>169</v>
      </c>
      <c r="B414" t="s">
        <v>84</v>
      </c>
      <c r="C414">
        <v>77.16</v>
      </c>
      <c r="D414">
        <v>12.37</v>
      </c>
      <c r="E414">
        <v>16.2</v>
      </c>
      <c r="F414">
        <v>7.91</v>
      </c>
      <c r="G414">
        <v>829</v>
      </c>
      <c r="H414">
        <v>9.8</v>
      </c>
      <c r="K414" s="43">
        <v>600</v>
      </c>
      <c r="L414" s="43">
        <v>7</v>
      </c>
      <c r="N414" s="10"/>
      <c r="O414" s="3">
        <v>500</v>
      </c>
      <c r="P414" t="b">
        <v>0</v>
      </c>
      <c r="Q414" t="b">
        <v>0</v>
      </c>
      <c r="R414" s="9" t="b">
        <v>0</v>
      </c>
      <c r="S414" s="10"/>
      <c r="T414" s="10"/>
      <c r="U414" s="10"/>
      <c r="V414" s="10"/>
      <c r="W414" s="10"/>
      <c r="X414" s="10"/>
      <c r="Y414" s="10"/>
      <c r="Z414" s="10"/>
      <c r="AA414" s="10"/>
      <c r="AB414" s="10"/>
      <c r="AC414" s="10"/>
      <c r="AD414" s="10"/>
      <c r="AE414" s="10"/>
    </row>
    <row r="415" ht="15.75" customHeight="1" spans="1:31">
      <c r="A415" t="s">
        <v>169</v>
      </c>
      <c r="B415" t="s">
        <v>65</v>
      </c>
      <c r="C415">
        <v>77.16</v>
      </c>
      <c r="D415">
        <v>12.37</v>
      </c>
      <c r="E415">
        <v>16.2</v>
      </c>
      <c r="F415">
        <v>7.91</v>
      </c>
      <c r="G415">
        <v>829</v>
      </c>
      <c r="H415">
        <v>9.8</v>
      </c>
      <c r="L415">
        <v>14</v>
      </c>
      <c r="N415" s="10"/>
      <c r="O415" s="3">
        <v>500</v>
      </c>
      <c r="P415" t="b">
        <v>0</v>
      </c>
      <c r="Q415" t="b">
        <v>0</v>
      </c>
      <c r="R415" s="9" t="b">
        <v>0</v>
      </c>
      <c r="S415" s="10"/>
      <c r="T415" s="10"/>
      <c r="U415" s="10"/>
      <c r="V415" s="10"/>
      <c r="W415" s="10"/>
      <c r="X415" s="10"/>
      <c r="Y415" s="10"/>
      <c r="Z415" s="10"/>
      <c r="AA415" s="10"/>
      <c r="AB415" s="10"/>
      <c r="AC415" s="10"/>
      <c r="AD415" s="10"/>
      <c r="AE415" s="10"/>
    </row>
    <row r="416" ht="15.75" customHeight="1" spans="1:31">
      <c r="A416" t="s">
        <v>169</v>
      </c>
      <c r="B416" t="s">
        <v>115</v>
      </c>
      <c r="C416">
        <v>77.16</v>
      </c>
      <c r="D416">
        <v>12.37</v>
      </c>
      <c r="E416">
        <v>16.2</v>
      </c>
      <c r="F416">
        <v>7.91</v>
      </c>
      <c r="G416">
        <v>829</v>
      </c>
      <c r="H416">
        <v>9.8</v>
      </c>
      <c r="L416">
        <v>4</v>
      </c>
      <c r="N416" s="10"/>
      <c r="O416" s="3">
        <v>500</v>
      </c>
      <c r="P416" t="b">
        <v>0</v>
      </c>
      <c r="Q416" t="b">
        <v>0</v>
      </c>
      <c r="R416" s="9" t="b">
        <v>0</v>
      </c>
      <c r="S416" s="10"/>
      <c r="T416" s="10"/>
      <c r="U416" s="10"/>
      <c r="V416" s="10"/>
      <c r="W416" s="10"/>
      <c r="X416" s="10"/>
      <c r="Y416" s="10"/>
      <c r="Z416" s="10"/>
      <c r="AA416" s="10"/>
      <c r="AB416" s="10"/>
      <c r="AC416" s="10"/>
      <c r="AD416" s="10"/>
      <c r="AE416" s="10"/>
    </row>
    <row r="417" ht="15.75" customHeight="1" spans="1:31">
      <c r="A417" t="s">
        <v>169</v>
      </c>
      <c r="B417" t="s">
        <v>66</v>
      </c>
      <c r="C417">
        <v>77.16</v>
      </c>
      <c r="D417">
        <v>12.37</v>
      </c>
      <c r="E417">
        <v>16.2</v>
      </c>
      <c r="F417">
        <v>7.91</v>
      </c>
      <c r="G417">
        <v>829</v>
      </c>
      <c r="H417">
        <v>9.8</v>
      </c>
      <c r="L417">
        <v>14</v>
      </c>
      <c r="N417" s="10"/>
      <c r="O417" s="3">
        <v>500</v>
      </c>
      <c r="P417" t="b">
        <v>0</v>
      </c>
      <c r="Q417" t="b">
        <v>0</v>
      </c>
      <c r="R417" s="9" t="b">
        <v>0</v>
      </c>
      <c r="S417" s="10"/>
      <c r="T417" s="10"/>
      <c r="U417" s="10"/>
      <c r="V417" s="10"/>
      <c r="W417" s="10"/>
      <c r="X417" s="10"/>
      <c r="Y417" s="10"/>
      <c r="Z417" s="10"/>
      <c r="AA417" s="10"/>
      <c r="AB417" s="10"/>
      <c r="AC417" s="10"/>
      <c r="AD417" s="10"/>
      <c r="AE417" s="10"/>
    </row>
    <row r="418" ht="15.75" customHeight="1" spans="1:31">
      <c r="A418" t="s">
        <v>169</v>
      </c>
      <c r="B418" t="s">
        <v>67</v>
      </c>
      <c r="C418">
        <v>77.16</v>
      </c>
      <c r="D418">
        <v>12.37</v>
      </c>
      <c r="E418">
        <v>16.2</v>
      </c>
      <c r="F418">
        <v>7.91</v>
      </c>
      <c r="G418">
        <v>829</v>
      </c>
      <c r="H418">
        <v>9.8</v>
      </c>
      <c r="L418">
        <v>7</v>
      </c>
      <c r="N418" s="10"/>
      <c r="O418" s="3">
        <v>500</v>
      </c>
      <c r="P418" t="b">
        <v>0</v>
      </c>
      <c r="Q418" t="b">
        <v>0</v>
      </c>
      <c r="R418" s="9" t="b">
        <v>0</v>
      </c>
      <c r="S418" s="10"/>
      <c r="T418" s="10"/>
      <c r="U418" s="10"/>
      <c r="V418" s="10"/>
      <c r="W418" s="10"/>
      <c r="X418" s="10"/>
      <c r="Y418" s="10"/>
      <c r="Z418" s="10"/>
      <c r="AA418" s="10"/>
      <c r="AB418" s="10"/>
      <c r="AC418" s="10"/>
      <c r="AD418" s="10"/>
      <c r="AE418" s="10"/>
    </row>
    <row r="419" ht="15.75" customHeight="1" spans="1:31">
      <c r="A419" t="s">
        <v>169</v>
      </c>
      <c r="B419" t="s">
        <v>25</v>
      </c>
      <c r="C419">
        <v>77.16</v>
      </c>
      <c r="D419">
        <v>12.37</v>
      </c>
      <c r="E419">
        <v>16.2</v>
      </c>
      <c r="F419">
        <v>4.75</v>
      </c>
      <c r="G419">
        <v>1244</v>
      </c>
      <c r="H419">
        <v>5.64</v>
      </c>
      <c r="L419">
        <v>25</v>
      </c>
      <c r="N419" s="10"/>
      <c r="O419" s="3">
        <v>500</v>
      </c>
      <c r="P419" t="b">
        <v>0</v>
      </c>
      <c r="Q419" t="b">
        <v>0</v>
      </c>
      <c r="R419" s="9" t="b">
        <v>0</v>
      </c>
      <c r="S419" s="10"/>
      <c r="T419" s="10"/>
      <c r="U419" s="10"/>
      <c r="V419" s="10"/>
      <c r="W419" s="10"/>
      <c r="X419" s="10"/>
      <c r="Y419" s="10"/>
      <c r="Z419" s="10"/>
      <c r="AA419" s="10"/>
      <c r="AB419" s="10"/>
      <c r="AC419" s="10"/>
      <c r="AD419" s="10"/>
      <c r="AE419" s="10"/>
    </row>
    <row r="420" ht="15.75" customHeight="1" spans="1:31">
      <c r="A420" t="s">
        <v>170</v>
      </c>
      <c r="B420" t="s">
        <v>84</v>
      </c>
      <c r="C420" s="25">
        <v>71.8</v>
      </c>
      <c r="D420" s="25">
        <v>11.75</v>
      </c>
      <c r="E420" s="25">
        <v>13.5</v>
      </c>
      <c r="F420" s="25">
        <v>6.72</v>
      </c>
      <c r="G420" s="25">
        <v>830</v>
      </c>
      <c r="H420" s="25">
        <v>9.26</v>
      </c>
      <c r="L420" s="25">
        <v>6</v>
      </c>
      <c r="N420" s="3"/>
      <c r="O420" s="8">
        <v>500</v>
      </c>
      <c r="P420" t="b">
        <v>0</v>
      </c>
      <c r="Q420" t="b">
        <v>0</v>
      </c>
      <c r="R420" s="9" t="b">
        <v>0</v>
      </c>
      <c r="S420" s="10"/>
      <c r="T420" s="10"/>
      <c r="U420" s="10"/>
      <c r="V420" s="10"/>
      <c r="W420" s="10"/>
      <c r="X420" s="10"/>
      <c r="Y420" s="10"/>
      <c r="Z420" s="10"/>
      <c r="AA420" s="10"/>
      <c r="AB420" s="10"/>
      <c r="AC420" s="10"/>
      <c r="AD420" s="10"/>
      <c r="AE420" s="10"/>
    </row>
    <row r="421" ht="15.75" customHeight="1" spans="1:31">
      <c r="A421" t="s">
        <v>170</v>
      </c>
      <c r="B421" t="s">
        <v>65</v>
      </c>
      <c r="C421" s="25">
        <v>71.8</v>
      </c>
      <c r="D421" s="25">
        <v>11.75</v>
      </c>
      <c r="E421" s="25">
        <v>13.5</v>
      </c>
      <c r="F421" s="25">
        <v>6.72</v>
      </c>
      <c r="G421" s="25">
        <v>830</v>
      </c>
      <c r="H421" s="25">
        <v>9.26</v>
      </c>
      <c r="L421" s="25">
        <v>12</v>
      </c>
      <c r="N421" s="3"/>
      <c r="O421" s="8">
        <v>500</v>
      </c>
      <c r="P421" t="b">
        <v>0</v>
      </c>
      <c r="Q421" t="b">
        <v>0</v>
      </c>
      <c r="R421" s="9" t="b">
        <v>0</v>
      </c>
      <c r="S421" s="10"/>
      <c r="T421" s="10"/>
      <c r="U421" s="10"/>
      <c r="V421" s="10"/>
      <c r="W421" s="10"/>
      <c r="X421" s="10"/>
      <c r="Y421" s="10"/>
      <c r="Z421" s="10"/>
      <c r="AA421" s="10"/>
      <c r="AB421" s="10"/>
      <c r="AC421" s="10"/>
      <c r="AD421" s="10"/>
      <c r="AE421" s="10"/>
    </row>
    <row r="422" ht="15.75" customHeight="1" spans="1:31">
      <c r="A422" t="s">
        <v>170</v>
      </c>
      <c r="B422" t="s">
        <v>115</v>
      </c>
      <c r="C422" s="25">
        <v>71.8</v>
      </c>
      <c r="D422" s="25">
        <v>11.75</v>
      </c>
      <c r="E422" s="25">
        <v>13.5</v>
      </c>
      <c r="F422" s="25">
        <v>6.72</v>
      </c>
      <c r="G422" s="25">
        <v>830</v>
      </c>
      <c r="H422" s="25">
        <v>9.26</v>
      </c>
      <c r="L422" s="25">
        <v>3</v>
      </c>
      <c r="N422" s="3"/>
      <c r="O422" s="8">
        <v>500</v>
      </c>
      <c r="P422" t="b">
        <v>0</v>
      </c>
      <c r="Q422" t="b">
        <v>0</v>
      </c>
      <c r="R422" s="9" t="b">
        <v>0</v>
      </c>
      <c r="S422" s="10"/>
      <c r="T422" s="10"/>
      <c r="U422" s="10"/>
      <c r="V422" s="10"/>
      <c r="W422" s="10"/>
      <c r="X422" s="10"/>
      <c r="Y422" s="10"/>
      <c r="Z422" s="10"/>
      <c r="AA422" s="10"/>
      <c r="AB422" s="10"/>
      <c r="AC422" s="10"/>
      <c r="AD422" s="10"/>
      <c r="AE422" s="10"/>
    </row>
    <row r="423" ht="15.75" customHeight="1" spans="1:31">
      <c r="A423" t="s">
        <v>170</v>
      </c>
      <c r="B423" t="s">
        <v>66</v>
      </c>
      <c r="C423" s="25">
        <v>71.8</v>
      </c>
      <c r="D423" s="25">
        <v>11.75</v>
      </c>
      <c r="E423" s="25">
        <v>13.5</v>
      </c>
      <c r="F423" s="25">
        <v>6.72</v>
      </c>
      <c r="G423" s="25">
        <v>830</v>
      </c>
      <c r="H423" s="25">
        <v>9.26</v>
      </c>
      <c r="L423" s="25">
        <v>12</v>
      </c>
      <c r="N423" s="3"/>
      <c r="O423" s="8">
        <v>500</v>
      </c>
      <c r="P423" t="b">
        <v>0</v>
      </c>
      <c r="Q423" t="b">
        <v>0</v>
      </c>
      <c r="R423" s="9" t="b">
        <v>0</v>
      </c>
      <c r="S423" s="10"/>
      <c r="T423" s="10"/>
      <c r="U423" s="10"/>
      <c r="V423" s="10"/>
      <c r="W423" s="10"/>
      <c r="X423" s="10"/>
      <c r="Y423" s="10"/>
      <c r="Z423" s="10"/>
      <c r="AA423" s="10"/>
      <c r="AB423" s="10"/>
      <c r="AC423" s="10"/>
      <c r="AD423" s="10"/>
      <c r="AE423" s="10"/>
    </row>
    <row r="424" ht="15.75" customHeight="1" spans="1:31">
      <c r="A424" t="s">
        <v>170</v>
      </c>
      <c r="B424" t="s">
        <v>67</v>
      </c>
      <c r="C424" s="25">
        <v>71.8</v>
      </c>
      <c r="D424" s="25">
        <v>11.75</v>
      </c>
      <c r="E424" s="25">
        <v>13.5</v>
      </c>
      <c r="F424" s="25">
        <v>6.72</v>
      </c>
      <c r="G424" s="25">
        <v>830</v>
      </c>
      <c r="H424" s="25">
        <v>9.26</v>
      </c>
      <c r="L424" s="25">
        <v>6</v>
      </c>
      <c r="N424" s="3"/>
      <c r="O424" s="8">
        <v>500</v>
      </c>
      <c r="P424" t="b">
        <v>0</v>
      </c>
      <c r="Q424" t="b">
        <v>0</v>
      </c>
      <c r="R424" s="9" t="b">
        <v>0</v>
      </c>
      <c r="S424" s="10"/>
      <c r="T424" s="10"/>
      <c r="U424" s="10"/>
      <c r="V424" s="10"/>
      <c r="W424" s="10"/>
      <c r="X424" s="10"/>
      <c r="Y424" s="10"/>
      <c r="Z424" s="10"/>
      <c r="AA424" s="10"/>
      <c r="AB424" s="10"/>
      <c r="AC424" s="10"/>
      <c r="AD424" s="10"/>
      <c r="AE424" s="10"/>
    </row>
    <row r="425" ht="15.75" customHeight="1" spans="1:31">
      <c r="A425" t="s">
        <v>170</v>
      </c>
      <c r="B425" t="s">
        <v>25</v>
      </c>
      <c r="C425" s="25">
        <v>71.8</v>
      </c>
      <c r="D425" s="25">
        <v>11.75</v>
      </c>
      <c r="E425" s="25">
        <v>13.5</v>
      </c>
      <c r="F425" s="25">
        <v>3.84</v>
      </c>
      <c r="G425" s="25">
        <v>1245</v>
      </c>
      <c r="H425" s="25">
        <v>5.29</v>
      </c>
      <c r="L425" s="25">
        <v>21</v>
      </c>
      <c r="N425" s="3"/>
      <c r="O425" s="8">
        <v>500</v>
      </c>
      <c r="P425" t="b">
        <v>0</v>
      </c>
      <c r="Q425" t="b">
        <v>0</v>
      </c>
      <c r="R425" s="9" t="b">
        <v>0</v>
      </c>
      <c r="S425" s="10"/>
      <c r="T425" s="10"/>
      <c r="U425" s="10"/>
      <c r="V425" s="10"/>
      <c r="W425" s="10"/>
      <c r="X425" s="10"/>
      <c r="Y425" s="10"/>
      <c r="Z425" s="10"/>
      <c r="AA425" s="10"/>
      <c r="AB425" s="10"/>
      <c r="AC425" s="10"/>
      <c r="AD425" s="10"/>
      <c r="AE425" s="10"/>
    </row>
    <row r="426" ht="15.75" customHeight="1" spans="1:31">
      <c r="A426" s="3" t="s">
        <v>171</v>
      </c>
      <c r="B426" s="3" t="s">
        <v>84</v>
      </c>
      <c r="C426" s="8">
        <v>68.83</v>
      </c>
      <c r="D426" s="8">
        <v>12</v>
      </c>
      <c r="E426" s="8">
        <v>12</v>
      </c>
      <c r="F426" s="8">
        <v>6.2</v>
      </c>
      <c r="G426" s="8">
        <v>908</v>
      </c>
      <c r="H426" s="8">
        <v>6.15</v>
      </c>
      <c r="I426" s="3"/>
      <c r="J426" s="3"/>
      <c r="K426" s="3"/>
      <c r="L426" s="8">
        <v>6.5</v>
      </c>
      <c r="M426" s="3"/>
      <c r="N426" s="3"/>
      <c r="O426" s="8">
        <v>500</v>
      </c>
      <c r="P426" t="b">
        <v>0</v>
      </c>
      <c r="Q426" t="b">
        <v>0</v>
      </c>
      <c r="R426" s="9" t="b">
        <v>0</v>
      </c>
      <c r="S426" s="10"/>
      <c r="T426" s="10"/>
      <c r="U426" s="10"/>
      <c r="V426" s="10"/>
      <c r="W426" s="10"/>
      <c r="X426" s="10"/>
      <c r="Y426" s="10"/>
      <c r="Z426" s="10"/>
      <c r="AA426" s="10"/>
      <c r="AB426" s="10"/>
      <c r="AC426" s="10"/>
      <c r="AD426" s="10"/>
      <c r="AE426" s="10"/>
    </row>
    <row r="427" ht="15.75" customHeight="1" spans="1:31">
      <c r="A427" s="3" t="s">
        <v>171</v>
      </c>
      <c r="B427" s="3" t="s">
        <v>65</v>
      </c>
      <c r="C427" s="8">
        <v>68.83</v>
      </c>
      <c r="D427" s="8">
        <v>12</v>
      </c>
      <c r="E427" s="8">
        <v>12</v>
      </c>
      <c r="F427" s="8">
        <v>6.2</v>
      </c>
      <c r="G427" s="8">
        <v>908</v>
      </c>
      <c r="H427" s="8">
        <v>6.15</v>
      </c>
      <c r="I427" s="3"/>
      <c r="J427" s="3"/>
      <c r="K427" s="3"/>
      <c r="L427" s="8">
        <v>13</v>
      </c>
      <c r="M427" s="3"/>
      <c r="N427" s="3"/>
      <c r="O427" s="8">
        <v>500</v>
      </c>
      <c r="P427" t="b">
        <v>0</v>
      </c>
      <c r="Q427" t="b">
        <v>0</v>
      </c>
      <c r="R427" s="9" t="b">
        <v>0</v>
      </c>
      <c r="S427" s="10"/>
      <c r="T427" s="10"/>
      <c r="U427" s="10"/>
      <c r="V427" s="10"/>
      <c r="W427" s="10"/>
      <c r="X427" s="10"/>
      <c r="Y427" s="10"/>
      <c r="Z427" s="10"/>
      <c r="AA427" s="10"/>
      <c r="AB427" s="10"/>
      <c r="AC427" s="10"/>
      <c r="AD427" s="10"/>
      <c r="AE427" s="10"/>
    </row>
    <row r="428" ht="15.75" customHeight="1" spans="1:31">
      <c r="A428" s="3" t="s">
        <v>171</v>
      </c>
      <c r="B428" s="3" t="s">
        <v>115</v>
      </c>
      <c r="C428" s="8">
        <v>68.83</v>
      </c>
      <c r="D428" s="8">
        <v>12</v>
      </c>
      <c r="E428" s="8">
        <v>12</v>
      </c>
      <c r="F428" s="8">
        <v>6.2</v>
      </c>
      <c r="G428" s="8">
        <v>908</v>
      </c>
      <c r="H428" s="8">
        <v>6.15</v>
      </c>
      <c r="I428" s="3"/>
      <c r="J428" s="3"/>
      <c r="K428" s="8">
        <v>342.9</v>
      </c>
      <c r="L428" s="8">
        <v>3</v>
      </c>
      <c r="M428" s="3"/>
      <c r="N428" s="3"/>
      <c r="O428" s="8">
        <v>500</v>
      </c>
      <c r="P428" t="b">
        <v>0</v>
      </c>
      <c r="Q428" t="b">
        <v>0</v>
      </c>
      <c r="R428" s="9" t="b">
        <v>0</v>
      </c>
      <c r="S428" s="10"/>
      <c r="T428" s="10"/>
      <c r="U428" s="10"/>
      <c r="V428" s="10"/>
      <c r="W428" s="10"/>
      <c r="X428" s="10"/>
      <c r="Y428" s="10"/>
      <c r="Z428" s="10"/>
      <c r="AA428" s="10"/>
      <c r="AB428" s="10"/>
      <c r="AC428" s="10"/>
      <c r="AD428" s="10"/>
      <c r="AE428" s="10"/>
    </row>
    <row r="429" ht="15.75" customHeight="1" spans="1:31">
      <c r="A429" s="3" t="s">
        <v>171</v>
      </c>
      <c r="B429" s="3" t="s">
        <v>66</v>
      </c>
      <c r="C429" s="8">
        <v>68.83</v>
      </c>
      <c r="D429" s="8">
        <v>12</v>
      </c>
      <c r="E429" s="8">
        <v>12</v>
      </c>
      <c r="F429" s="8">
        <v>6.2</v>
      </c>
      <c r="G429" s="8">
        <v>908</v>
      </c>
      <c r="H429" s="8">
        <v>6.15</v>
      </c>
      <c r="I429" s="3"/>
      <c r="J429" s="3"/>
      <c r="K429" s="3"/>
      <c r="L429" s="8">
        <v>13</v>
      </c>
      <c r="M429" s="3"/>
      <c r="N429" s="3"/>
      <c r="O429" s="8">
        <v>500</v>
      </c>
      <c r="P429" t="b">
        <v>0</v>
      </c>
      <c r="Q429" t="b">
        <v>0</v>
      </c>
      <c r="R429" s="9" t="b">
        <v>0</v>
      </c>
      <c r="S429" s="10"/>
      <c r="T429" s="10"/>
      <c r="U429" s="10"/>
      <c r="V429" s="10"/>
      <c r="W429" s="10"/>
      <c r="X429" s="10"/>
      <c r="Y429" s="10"/>
      <c r="Z429" s="10"/>
      <c r="AA429" s="10"/>
      <c r="AB429" s="10"/>
      <c r="AC429" s="10"/>
      <c r="AD429" s="10"/>
      <c r="AE429" s="10"/>
    </row>
    <row r="430" ht="15.75" customHeight="1" spans="1:31">
      <c r="A430" s="3" t="s">
        <v>171</v>
      </c>
      <c r="B430" s="3" t="s">
        <v>67</v>
      </c>
      <c r="C430" s="8">
        <v>68.83</v>
      </c>
      <c r="D430" s="8">
        <v>12</v>
      </c>
      <c r="E430" s="8">
        <v>12</v>
      </c>
      <c r="F430" s="8">
        <v>6.2</v>
      </c>
      <c r="G430" s="8">
        <v>908</v>
      </c>
      <c r="H430" s="8">
        <v>6.15</v>
      </c>
      <c r="I430" s="3"/>
      <c r="J430" s="3"/>
      <c r="K430" s="3"/>
      <c r="L430" s="8">
        <v>6.5</v>
      </c>
      <c r="M430" s="3"/>
      <c r="N430" s="3"/>
      <c r="O430" s="8">
        <v>500</v>
      </c>
      <c r="P430" t="b">
        <v>0</v>
      </c>
      <c r="Q430" t="b">
        <v>0</v>
      </c>
      <c r="R430" s="9" t="b">
        <v>0</v>
      </c>
      <c r="S430" s="10"/>
      <c r="T430" s="10"/>
      <c r="U430" s="10"/>
      <c r="V430" s="10"/>
      <c r="W430" s="10"/>
      <c r="X430" s="10"/>
      <c r="Y430" s="10"/>
      <c r="Z430" s="10"/>
      <c r="AA430" s="10"/>
      <c r="AB430" s="10"/>
      <c r="AC430" s="10"/>
      <c r="AD430" s="10"/>
      <c r="AE430" s="10"/>
    </row>
    <row r="431" ht="15.75" customHeight="1" spans="1:31">
      <c r="A431" s="3" t="s">
        <v>171</v>
      </c>
      <c r="B431" s="3" t="s">
        <v>25</v>
      </c>
      <c r="C431" s="8">
        <v>68.83</v>
      </c>
      <c r="D431" s="8">
        <v>12</v>
      </c>
      <c r="E431" s="8">
        <v>12</v>
      </c>
      <c r="F431" s="8">
        <v>4.34</v>
      </c>
      <c r="G431" s="8">
        <v>1362</v>
      </c>
      <c r="H431" s="8">
        <v>3.51</v>
      </c>
      <c r="I431" s="3"/>
      <c r="J431" s="3"/>
      <c r="K431" s="3"/>
      <c r="L431" s="8">
        <v>23</v>
      </c>
      <c r="M431" s="3"/>
      <c r="N431" s="3"/>
      <c r="O431" s="8">
        <v>500</v>
      </c>
      <c r="P431" t="b">
        <v>0</v>
      </c>
      <c r="Q431" t="b">
        <v>0</v>
      </c>
      <c r="R431" s="9" t="b">
        <v>0</v>
      </c>
      <c r="S431" s="10"/>
      <c r="T431" s="10"/>
      <c r="U431" s="10"/>
      <c r="V431" s="10"/>
      <c r="W431" s="10"/>
      <c r="X431" s="10"/>
      <c r="Y431" s="10"/>
      <c r="Z431" s="10"/>
      <c r="AA431" s="10"/>
      <c r="AB431" s="10"/>
      <c r="AC431" s="10"/>
      <c r="AD431" s="10"/>
      <c r="AE431" s="10"/>
    </row>
    <row r="432" ht="15.75" customHeight="1" spans="1:31">
      <c r="A432" t="s">
        <v>172</v>
      </c>
      <c r="B432" t="s">
        <v>84</v>
      </c>
      <c r="C432">
        <v>39.2</v>
      </c>
      <c r="D432">
        <v>14.2</v>
      </c>
      <c r="E432">
        <v>9.69</v>
      </c>
      <c r="F432">
        <v>14</v>
      </c>
      <c r="G432">
        <v>366</v>
      </c>
      <c r="H432">
        <v>22.67</v>
      </c>
      <c r="L432">
        <v>5</v>
      </c>
      <c r="N432" s="10"/>
      <c r="O432" s="3">
        <v>500</v>
      </c>
      <c r="P432" t="b">
        <v>0</v>
      </c>
      <c r="Q432" t="b">
        <v>0</v>
      </c>
      <c r="R432" s="9" t="b">
        <v>0</v>
      </c>
      <c r="S432" s="10"/>
      <c r="T432" s="10"/>
      <c r="U432" s="10"/>
      <c r="V432" s="10"/>
      <c r="W432" s="10"/>
      <c r="X432" s="10"/>
      <c r="Y432" s="10"/>
      <c r="Z432" s="10"/>
      <c r="AA432" s="10"/>
      <c r="AB432" s="10"/>
      <c r="AC432" s="10"/>
      <c r="AD432" s="10"/>
      <c r="AE432" s="10"/>
    </row>
    <row r="433" ht="15.75" customHeight="1" spans="1:31">
      <c r="A433" t="s">
        <v>172</v>
      </c>
      <c r="B433" t="s">
        <v>65</v>
      </c>
      <c r="C433">
        <v>39.2</v>
      </c>
      <c r="D433">
        <v>14.2</v>
      </c>
      <c r="E433">
        <v>9.69</v>
      </c>
      <c r="F433">
        <v>14</v>
      </c>
      <c r="G433">
        <v>366</v>
      </c>
      <c r="H433">
        <v>22.67</v>
      </c>
      <c r="L433">
        <v>10</v>
      </c>
      <c r="N433" s="10"/>
      <c r="O433" s="3">
        <v>500</v>
      </c>
      <c r="P433" t="b">
        <v>0</v>
      </c>
      <c r="Q433" t="b">
        <v>0</v>
      </c>
      <c r="R433" s="9" t="b">
        <v>0</v>
      </c>
      <c r="S433" s="10"/>
      <c r="T433" s="10"/>
      <c r="U433" s="10"/>
      <c r="V433" s="10"/>
      <c r="W433" s="10"/>
      <c r="X433" s="10"/>
      <c r="Y433" s="10"/>
      <c r="Z433" s="10"/>
      <c r="AA433" s="10"/>
      <c r="AB433" s="10"/>
      <c r="AC433" s="10"/>
      <c r="AD433" s="10"/>
      <c r="AE433" s="10"/>
    </row>
    <row r="434" ht="14.4" spans="1:31">
      <c r="A434" t="s">
        <v>172</v>
      </c>
      <c r="B434" t="s">
        <v>115</v>
      </c>
      <c r="C434">
        <v>39.2</v>
      </c>
      <c r="D434">
        <v>14.2</v>
      </c>
      <c r="E434">
        <v>9.69</v>
      </c>
      <c r="F434">
        <v>14</v>
      </c>
      <c r="G434">
        <v>366</v>
      </c>
      <c r="H434">
        <v>22.67</v>
      </c>
      <c r="L434">
        <v>3</v>
      </c>
      <c r="N434" s="10"/>
      <c r="O434" s="3">
        <v>500</v>
      </c>
      <c r="P434" t="b">
        <v>0</v>
      </c>
      <c r="Q434" t="b">
        <v>0</v>
      </c>
      <c r="R434" s="9" t="b">
        <v>0</v>
      </c>
      <c r="S434" s="10"/>
      <c r="T434" s="10"/>
      <c r="U434" s="10"/>
      <c r="V434" s="10"/>
      <c r="W434" s="10"/>
      <c r="X434" s="10"/>
      <c r="Y434" s="10"/>
      <c r="Z434" s="10"/>
      <c r="AA434" s="10"/>
      <c r="AB434" s="10"/>
      <c r="AC434" s="10"/>
      <c r="AD434" s="10"/>
      <c r="AE434" s="10"/>
    </row>
    <row r="435" ht="14.4" spans="1:31">
      <c r="A435" t="s">
        <v>172</v>
      </c>
      <c r="B435" t="s">
        <v>66</v>
      </c>
      <c r="C435">
        <v>39.2</v>
      </c>
      <c r="D435">
        <v>14.2</v>
      </c>
      <c r="E435">
        <v>9.69</v>
      </c>
      <c r="F435">
        <v>14</v>
      </c>
      <c r="G435">
        <v>366</v>
      </c>
      <c r="H435">
        <v>22.67</v>
      </c>
      <c r="L435">
        <v>10</v>
      </c>
      <c r="N435" s="10"/>
      <c r="O435" s="3">
        <v>500</v>
      </c>
      <c r="P435" t="b">
        <v>0</v>
      </c>
      <c r="Q435" t="b">
        <v>0</v>
      </c>
      <c r="R435" s="9" t="b">
        <v>0</v>
      </c>
      <c r="S435" s="10"/>
      <c r="T435" s="10"/>
      <c r="U435" s="10"/>
      <c r="V435" s="10"/>
      <c r="W435" s="10"/>
      <c r="X435" s="10"/>
      <c r="Y435" s="10"/>
      <c r="Z435" s="10"/>
      <c r="AA435" s="10"/>
      <c r="AB435" s="10"/>
      <c r="AC435" s="10"/>
      <c r="AD435" s="10"/>
      <c r="AE435" s="10"/>
    </row>
    <row r="436" ht="14.4" spans="1:31">
      <c r="A436" t="s">
        <v>172</v>
      </c>
      <c r="B436" t="s">
        <v>67</v>
      </c>
      <c r="C436">
        <v>39.2</v>
      </c>
      <c r="D436">
        <v>14.2</v>
      </c>
      <c r="E436">
        <v>9.69</v>
      </c>
      <c r="F436">
        <v>14</v>
      </c>
      <c r="G436">
        <v>366</v>
      </c>
      <c r="H436">
        <v>22.67</v>
      </c>
      <c r="L436">
        <v>5</v>
      </c>
      <c r="N436" s="10"/>
      <c r="O436" s="3">
        <v>500</v>
      </c>
      <c r="P436" t="b">
        <v>0</v>
      </c>
      <c r="Q436" t="b">
        <v>0</v>
      </c>
      <c r="R436" s="9" t="b">
        <v>0</v>
      </c>
      <c r="S436" s="10"/>
      <c r="T436" s="10"/>
      <c r="U436" s="10"/>
      <c r="V436" s="10"/>
      <c r="W436" s="10"/>
      <c r="X436" s="10"/>
      <c r="Y436" s="10"/>
      <c r="Z436" s="10"/>
      <c r="AA436" s="10"/>
      <c r="AB436" s="10"/>
      <c r="AC436" s="10"/>
      <c r="AD436" s="10"/>
      <c r="AE436" s="10"/>
    </row>
    <row r="437" ht="14.4" spans="1:31">
      <c r="A437" t="s">
        <v>172</v>
      </c>
      <c r="B437" t="s">
        <v>25</v>
      </c>
      <c r="C437">
        <v>39.2</v>
      </c>
      <c r="D437">
        <v>14.2</v>
      </c>
      <c r="E437">
        <v>9.69</v>
      </c>
      <c r="F437">
        <v>9.8</v>
      </c>
      <c r="G437">
        <v>549</v>
      </c>
      <c r="H437">
        <v>12.92</v>
      </c>
      <c r="L437">
        <v>17.5</v>
      </c>
      <c r="N437" s="10"/>
      <c r="O437" s="3">
        <v>500</v>
      </c>
      <c r="P437" t="b">
        <v>0</v>
      </c>
      <c r="Q437" t="b">
        <v>0</v>
      </c>
      <c r="R437" s="9" t="b">
        <v>0</v>
      </c>
      <c r="S437" s="10"/>
      <c r="T437" s="10"/>
      <c r="U437" s="10"/>
      <c r="V437" s="10"/>
      <c r="W437" s="10"/>
      <c r="X437" s="10"/>
      <c r="Y437" s="10"/>
      <c r="Z437" s="10"/>
      <c r="AA437" s="10"/>
      <c r="AB437" s="10"/>
      <c r="AC437" s="10"/>
      <c r="AD437" s="10"/>
      <c r="AE437" s="10"/>
    </row>
    <row r="438" ht="14.4" spans="1:31">
      <c r="A438" s="3" t="s">
        <v>173</v>
      </c>
      <c r="B438" s="3" t="s">
        <v>84</v>
      </c>
      <c r="C438" s="10">
        <v>94</v>
      </c>
      <c r="D438" s="10">
        <v>12.7</v>
      </c>
      <c r="E438" s="3">
        <v>20.11</v>
      </c>
      <c r="F438" s="10">
        <v>12.7</v>
      </c>
      <c r="G438" s="10">
        <v>295</v>
      </c>
      <c r="H438" s="10">
        <v>59</v>
      </c>
      <c r="I438" s="10"/>
      <c r="L438">
        <v>7.5</v>
      </c>
      <c r="N438" s="10"/>
      <c r="O438" s="3">
        <v>500</v>
      </c>
      <c r="P438" t="b">
        <v>0</v>
      </c>
      <c r="Q438" t="b">
        <v>0</v>
      </c>
      <c r="R438" s="9" t="b">
        <v>0</v>
      </c>
      <c r="S438" s="10"/>
      <c r="T438" s="10"/>
      <c r="U438" s="10"/>
      <c r="V438" s="10"/>
      <c r="W438" s="10"/>
      <c r="X438" s="10"/>
      <c r="Y438" s="10"/>
      <c r="Z438" s="10"/>
      <c r="AA438" s="10"/>
      <c r="AB438" s="10"/>
      <c r="AC438" s="10"/>
      <c r="AD438" s="10"/>
      <c r="AE438" s="10"/>
    </row>
    <row r="439" ht="14.4" spans="1:31">
      <c r="A439" s="3" t="s">
        <v>173</v>
      </c>
      <c r="B439" s="3" t="s">
        <v>65</v>
      </c>
      <c r="C439" s="10">
        <v>94</v>
      </c>
      <c r="D439" s="10">
        <v>12.7</v>
      </c>
      <c r="E439" s="3">
        <v>20.11</v>
      </c>
      <c r="F439" s="10">
        <v>12.7</v>
      </c>
      <c r="G439" s="10">
        <v>295</v>
      </c>
      <c r="H439" s="10">
        <v>59</v>
      </c>
      <c r="I439" s="10"/>
      <c r="L439">
        <v>15</v>
      </c>
      <c r="N439" s="10"/>
      <c r="O439" s="3">
        <v>500</v>
      </c>
      <c r="P439" t="b">
        <v>0</v>
      </c>
      <c r="Q439" t="b">
        <v>0</v>
      </c>
      <c r="R439" s="9" t="b">
        <v>0</v>
      </c>
      <c r="S439" s="10"/>
      <c r="T439" s="10"/>
      <c r="U439" s="10"/>
      <c r="V439" s="10"/>
      <c r="W439" s="10"/>
      <c r="X439" s="10"/>
      <c r="Y439" s="10"/>
      <c r="Z439" s="10"/>
      <c r="AA439" s="10"/>
      <c r="AB439" s="10"/>
      <c r="AC439" s="10"/>
      <c r="AD439" s="10"/>
      <c r="AE439" s="10"/>
    </row>
    <row r="440" ht="14.4" spans="1:31">
      <c r="A440" s="3" t="s">
        <v>173</v>
      </c>
      <c r="B440" s="3" t="s">
        <v>115</v>
      </c>
      <c r="C440" s="10">
        <v>94</v>
      </c>
      <c r="D440" s="10">
        <v>12.7</v>
      </c>
      <c r="E440" s="3">
        <v>20.11</v>
      </c>
      <c r="F440" s="10">
        <v>12.7</v>
      </c>
      <c r="G440" s="10">
        <v>295</v>
      </c>
      <c r="H440" s="10">
        <v>59</v>
      </c>
      <c r="I440" s="10"/>
      <c r="L440">
        <v>3.75</v>
      </c>
      <c r="N440" s="10"/>
      <c r="O440" s="3">
        <v>500</v>
      </c>
      <c r="P440" t="b">
        <v>0</v>
      </c>
      <c r="Q440" t="b">
        <v>0</v>
      </c>
      <c r="R440" s="9" t="b">
        <v>0</v>
      </c>
      <c r="S440" s="10"/>
      <c r="T440" s="10"/>
      <c r="U440" s="10"/>
      <c r="V440" s="10"/>
      <c r="W440" s="10"/>
      <c r="X440" s="10"/>
      <c r="Y440" s="10"/>
      <c r="Z440" s="10"/>
      <c r="AA440" s="10"/>
      <c r="AB440" s="10"/>
      <c r="AC440" s="10"/>
      <c r="AD440" s="10"/>
      <c r="AE440" s="10"/>
    </row>
    <row r="441" ht="14.4" spans="1:31">
      <c r="A441" s="3" t="s">
        <v>173</v>
      </c>
      <c r="B441" s="3" t="s">
        <v>66</v>
      </c>
      <c r="C441" s="10">
        <v>94</v>
      </c>
      <c r="D441" s="10">
        <v>12.7</v>
      </c>
      <c r="E441" s="3">
        <v>20.11</v>
      </c>
      <c r="F441" s="10">
        <v>12.7</v>
      </c>
      <c r="G441" s="10">
        <v>295</v>
      </c>
      <c r="H441" s="10">
        <v>59</v>
      </c>
      <c r="I441" s="10"/>
      <c r="L441">
        <v>15</v>
      </c>
      <c r="N441" s="10"/>
      <c r="O441" s="3">
        <v>500</v>
      </c>
      <c r="P441" t="b">
        <v>0</v>
      </c>
      <c r="Q441" t="b">
        <v>0</v>
      </c>
      <c r="R441" s="9" t="b">
        <v>0</v>
      </c>
      <c r="S441" s="10"/>
      <c r="T441" s="10"/>
      <c r="U441" s="10"/>
      <c r="V441" s="10"/>
      <c r="W441" s="10"/>
      <c r="X441" s="10"/>
      <c r="Y441" s="10"/>
      <c r="Z441" s="10"/>
      <c r="AA441" s="10"/>
      <c r="AB441" s="10"/>
      <c r="AC441" s="10"/>
      <c r="AD441" s="10"/>
      <c r="AE441" s="10"/>
    </row>
    <row r="442" ht="14.4" spans="1:31">
      <c r="A442" s="3" t="s">
        <v>173</v>
      </c>
      <c r="B442" s="3" t="s">
        <v>67</v>
      </c>
      <c r="C442" s="10">
        <v>94</v>
      </c>
      <c r="D442" s="10">
        <v>12.7</v>
      </c>
      <c r="E442" s="3">
        <v>20.11</v>
      </c>
      <c r="F442" s="10">
        <v>12.7</v>
      </c>
      <c r="G442" s="10">
        <v>295</v>
      </c>
      <c r="H442" s="10">
        <v>59</v>
      </c>
      <c r="I442" s="10"/>
      <c r="L442">
        <v>7.5</v>
      </c>
      <c r="N442" s="10"/>
      <c r="O442" s="3">
        <v>500</v>
      </c>
      <c r="P442" t="b">
        <v>0</v>
      </c>
      <c r="Q442" t="b">
        <v>0</v>
      </c>
      <c r="R442" s="9" t="b">
        <v>0</v>
      </c>
      <c r="S442" s="10"/>
      <c r="T442" s="10"/>
      <c r="U442" s="10"/>
      <c r="V442" s="10"/>
      <c r="W442" s="10"/>
      <c r="X442" s="10"/>
      <c r="Y442" s="10"/>
      <c r="Z442" s="10"/>
      <c r="AA442" s="10"/>
      <c r="AB442" s="10"/>
      <c r="AC442" s="10"/>
      <c r="AD442" s="10"/>
      <c r="AE442" s="10"/>
    </row>
    <row r="443" ht="14.4" spans="1:31">
      <c r="A443" s="3" t="s">
        <v>173</v>
      </c>
      <c r="B443" s="3" t="s">
        <v>25</v>
      </c>
      <c r="C443" s="10">
        <v>94</v>
      </c>
      <c r="D443" s="10">
        <v>12.7</v>
      </c>
      <c r="E443" s="3">
        <v>20.11</v>
      </c>
      <c r="F443" s="3">
        <v>8.89</v>
      </c>
      <c r="G443" s="3">
        <v>442.5</v>
      </c>
      <c r="H443" s="3">
        <v>33.63</v>
      </c>
      <c r="I443" s="10"/>
      <c r="L443">
        <v>26.25</v>
      </c>
      <c r="N443" s="10"/>
      <c r="O443" s="3">
        <v>500</v>
      </c>
      <c r="P443" t="b">
        <v>0</v>
      </c>
      <c r="Q443" t="b">
        <v>0</v>
      </c>
      <c r="R443" s="9" t="b">
        <v>0</v>
      </c>
      <c r="S443" s="10"/>
      <c r="T443" s="10"/>
      <c r="U443" s="10"/>
      <c r="V443" s="10"/>
      <c r="W443" s="10"/>
      <c r="X443" s="10"/>
      <c r="Y443" s="10"/>
      <c r="Z443" s="10"/>
      <c r="AA443" s="10"/>
      <c r="AB443" s="10"/>
      <c r="AC443" s="10"/>
      <c r="AD443" s="10"/>
      <c r="AE443" s="10"/>
    </row>
    <row r="444" ht="14.4" spans="1:31">
      <c r="A444" s="10" t="s">
        <v>174</v>
      </c>
      <c r="B444" s="10" t="s">
        <v>84</v>
      </c>
      <c r="C444" s="10">
        <v>85</v>
      </c>
      <c r="D444" s="10">
        <v>12</v>
      </c>
      <c r="E444" s="3">
        <v>17</v>
      </c>
      <c r="F444" s="10">
        <v>7.8</v>
      </c>
      <c r="G444" s="10">
        <v>890</v>
      </c>
      <c r="H444" s="10">
        <v>10</v>
      </c>
      <c r="I444" s="3">
        <v>28</v>
      </c>
      <c r="L444">
        <v>8</v>
      </c>
      <c r="N444" s="10"/>
      <c r="O444" s="3">
        <v>500</v>
      </c>
      <c r="P444" t="b">
        <v>0</v>
      </c>
      <c r="Q444" t="b">
        <v>0</v>
      </c>
      <c r="R444" s="9" t="b">
        <v>0</v>
      </c>
      <c r="S444" s="10"/>
      <c r="T444" s="10"/>
      <c r="U444" s="10"/>
      <c r="V444" s="10"/>
      <c r="W444" s="10"/>
      <c r="X444" s="10"/>
      <c r="Y444" s="10"/>
      <c r="Z444" s="10"/>
      <c r="AA444" s="10"/>
      <c r="AB444" s="10"/>
      <c r="AC444" s="10"/>
      <c r="AD444" s="10"/>
      <c r="AE444" s="10"/>
    </row>
    <row r="445" ht="14.4" spans="1:31">
      <c r="A445" s="10" t="s">
        <v>174</v>
      </c>
      <c r="B445" s="3" t="s">
        <v>65</v>
      </c>
      <c r="C445" s="10">
        <v>85</v>
      </c>
      <c r="D445" s="10">
        <v>12</v>
      </c>
      <c r="E445" s="3">
        <v>17</v>
      </c>
      <c r="F445" s="10">
        <v>7.8</v>
      </c>
      <c r="G445" s="10">
        <v>890</v>
      </c>
      <c r="H445" s="10">
        <v>10</v>
      </c>
      <c r="I445" s="3">
        <v>28</v>
      </c>
      <c r="L445">
        <v>16</v>
      </c>
      <c r="N445" s="10"/>
      <c r="O445" s="3">
        <v>500</v>
      </c>
      <c r="P445" t="b">
        <v>0</v>
      </c>
      <c r="Q445" t="b">
        <v>0</v>
      </c>
      <c r="R445" s="9" t="b">
        <v>0</v>
      </c>
      <c r="S445" s="10"/>
      <c r="T445" s="10"/>
      <c r="U445" s="10"/>
      <c r="V445" s="10"/>
      <c r="W445" s="10"/>
      <c r="X445" s="10"/>
      <c r="Y445" s="10"/>
      <c r="Z445" s="10"/>
      <c r="AA445" s="10"/>
      <c r="AB445" s="10"/>
      <c r="AC445" s="10"/>
      <c r="AD445" s="10"/>
      <c r="AE445" s="10"/>
    </row>
    <row r="446" ht="14.4" spans="1:31">
      <c r="A446" s="10" t="s">
        <v>174</v>
      </c>
      <c r="B446" s="3" t="s">
        <v>115</v>
      </c>
      <c r="C446" s="10">
        <v>85</v>
      </c>
      <c r="D446" s="10">
        <v>12</v>
      </c>
      <c r="E446" s="3">
        <v>17</v>
      </c>
      <c r="F446" s="10">
        <v>7.8</v>
      </c>
      <c r="G446" s="10">
        <v>890</v>
      </c>
      <c r="H446" s="10">
        <v>10</v>
      </c>
      <c r="I446" s="3">
        <v>28</v>
      </c>
      <c r="L446">
        <v>4</v>
      </c>
      <c r="N446" s="10"/>
      <c r="O446" s="3">
        <v>500</v>
      </c>
      <c r="P446" t="b">
        <v>0</v>
      </c>
      <c r="Q446" t="b">
        <v>0</v>
      </c>
      <c r="R446" s="9" t="b">
        <v>0</v>
      </c>
      <c r="S446" s="10"/>
      <c r="T446" s="10"/>
      <c r="U446" s="10"/>
      <c r="V446" s="10"/>
      <c r="W446" s="10"/>
      <c r="X446" s="10"/>
      <c r="Y446" s="10"/>
      <c r="Z446" s="10"/>
      <c r="AA446" s="10"/>
      <c r="AB446" s="10"/>
      <c r="AC446" s="10"/>
      <c r="AD446" s="10"/>
      <c r="AE446" s="10"/>
    </row>
    <row r="447" ht="14.4" spans="1:31">
      <c r="A447" s="10" t="s">
        <v>174</v>
      </c>
      <c r="B447" s="3" t="s">
        <v>66</v>
      </c>
      <c r="C447" s="10">
        <v>85</v>
      </c>
      <c r="D447" s="10">
        <v>12</v>
      </c>
      <c r="E447" s="3">
        <v>17</v>
      </c>
      <c r="F447" s="10">
        <v>7.8</v>
      </c>
      <c r="G447" s="10">
        <v>890</v>
      </c>
      <c r="H447" s="10">
        <v>10</v>
      </c>
      <c r="I447" s="3">
        <v>28</v>
      </c>
      <c r="L447">
        <v>16</v>
      </c>
      <c r="N447" s="10"/>
      <c r="O447" s="3">
        <v>500</v>
      </c>
      <c r="P447" t="b">
        <v>0</v>
      </c>
      <c r="Q447" t="b">
        <v>0</v>
      </c>
      <c r="R447" s="9" t="b">
        <v>0</v>
      </c>
      <c r="S447" s="10"/>
      <c r="T447" s="10"/>
      <c r="U447" s="10"/>
      <c r="V447" s="10"/>
      <c r="W447" s="10"/>
      <c r="X447" s="10"/>
      <c r="Y447" s="10"/>
      <c r="Z447" s="10"/>
      <c r="AA447" s="10"/>
      <c r="AB447" s="10"/>
      <c r="AC447" s="10"/>
      <c r="AD447" s="10"/>
      <c r="AE447" s="10"/>
    </row>
    <row r="448" ht="14.4" spans="1:31">
      <c r="A448" s="10" t="s">
        <v>174</v>
      </c>
      <c r="B448" s="3" t="s">
        <v>67</v>
      </c>
      <c r="C448" s="10">
        <v>85</v>
      </c>
      <c r="D448" s="10">
        <v>12</v>
      </c>
      <c r="E448" s="3">
        <v>17</v>
      </c>
      <c r="F448" s="10">
        <v>7.8</v>
      </c>
      <c r="G448" s="10">
        <v>890</v>
      </c>
      <c r="H448" s="10">
        <v>10</v>
      </c>
      <c r="I448" s="3">
        <v>28</v>
      </c>
      <c r="L448">
        <v>8</v>
      </c>
      <c r="N448" s="10"/>
      <c r="O448" s="3">
        <v>500</v>
      </c>
      <c r="P448" t="b">
        <v>0</v>
      </c>
      <c r="Q448" t="b">
        <v>0</v>
      </c>
      <c r="R448" s="9" t="b">
        <v>0</v>
      </c>
      <c r="S448" s="10"/>
      <c r="T448" s="10"/>
      <c r="U448" s="10"/>
      <c r="V448" s="10"/>
      <c r="W448" s="10"/>
      <c r="X448" s="10"/>
      <c r="Y448" s="10"/>
      <c r="Z448" s="10"/>
      <c r="AA448" s="10"/>
      <c r="AB448" s="10"/>
      <c r="AC448" s="10"/>
      <c r="AD448" s="10"/>
      <c r="AE448" s="10"/>
    </row>
    <row r="449" ht="14.4" spans="1:31">
      <c r="A449" s="10" t="s">
        <v>174</v>
      </c>
      <c r="B449" s="3" t="s">
        <v>25</v>
      </c>
      <c r="C449" s="10">
        <v>85</v>
      </c>
      <c r="D449" s="10">
        <v>12</v>
      </c>
      <c r="E449" s="3">
        <v>17</v>
      </c>
      <c r="F449" s="3">
        <v>5.46</v>
      </c>
      <c r="G449" s="3">
        <v>1335</v>
      </c>
      <c r="H449" s="3">
        <v>5.7</v>
      </c>
      <c r="I449" s="3">
        <v>28</v>
      </c>
      <c r="L449">
        <v>28</v>
      </c>
      <c r="N449" s="10"/>
      <c r="O449" s="3">
        <v>500</v>
      </c>
      <c r="P449" t="b">
        <v>0</v>
      </c>
      <c r="Q449" t="b">
        <v>0</v>
      </c>
      <c r="R449" s="9" t="b">
        <v>0</v>
      </c>
      <c r="S449" s="10"/>
      <c r="T449" s="10"/>
      <c r="U449" s="10"/>
      <c r="V449" s="10"/>
      <c r="W449" s="10"/>
      <c r="X449" s="10"/>
      <c r="Y449" s="10"/>
      <c r="Z449" s="10"/>
      <c r="AA449" s="10"/>
      <c r="AB449" s="10"/>
      <c r="AC449" s="10"/>
      <c r="AD449" s="10"/>
      <c r="AE449" s="10"/>
    </row>
    <row r="450" ht="14.4" spans="1:31">
      <c r="A450" s="3" t="s">
        <v>175</v>
      </c>
      <c r="B450" s="3" t="s">
        <v>84</v>
      </c>
      <c r="C450" s="8">
        <v>63.25</v>
      </c>
      <c r="D450" s="8">
        <v>11.75</v>
      </c>
      <c r="E450" s="8">
        <v>13</v>
      </c>
      <c r="F450" s="8">
        <v>8.58</v>
      </c>
      <c r="G450" s="8">
        <v>610</v>
      </c>
      <c r="H450" s="8">
        <v>13.6</v>
      </c>
      <c r="I450" s="3"/>
      <c r="J450" s="3"/>
      <c r="K450" s="3"/>
      <c r="L450" s="25">
        <v>5</v>
      </c>
      <c r="M450" s="3"/>
      <c r="N450" s="3"/>
      <c r="O450" s="8">
        <v>500</v>
      </c>
      <c r="P450" t="b">
        <v>0</v>
      </c>
      <c r="Q450" t="b">
        <v>0</v>
      </c>
      <c r="R450" s="9" t="b">
        <v>0</v>
      </c>
      <c r="S450" s="10"/>
      <c r="T450" s="10"/>
      <c r="U450" s="10"/>
      <c r="V450" s="10"/>
      <c r="W450" s="10"/>
      <c r="X450" s="10"/>
      <c r="Y450" s="10"/>
      <c r="Z450" s="10"/>
      <c r="AA450" s="10"/>
      <c r="AB450" s="10"/>
      <c r="AC450" s="10"/>
      <c r="AD450" s="10"/>
      <c r="AE450" s="10"/>
    </row>
    <row r="451" ht="14.4" spans="1:31">
      <c r="A451" s="3" t="s">
        <v>175</v>
      </c>
      <c r="B451" s="3" t="s">
        <v>65</v>
      </c>
      <c r="C451" s="8">
        <v>63.25</v>
      </c>
      <c r="D451" s="8">
        <v>11.75</v>
      </c>
      <c r="E451" s="8">
        <v>13</v>
      </c>
      <c r="F451" s="8">
        <v>8.58</v>
      </c>
      <c r="G451" s="8">
        <v>610</v>
      </c>
      <c r="H451" s="8">
        <v>13.6</v>
      </c>
      <c r="I451" s="3"/>
      <c r="J451" s="3"/>
      <c r="K451" s="3"/>
      <c r="L451" s="25">
        <v>10</v>
      </c>
      <c r="M451" s="3"/>
      <c r="N451" s="3"/>
      <c r="O451" s="8">
        <v>500</v>
      </c>
      <c r="P451" t="b">
        <v>0</v>
      </c>
      <c r="Q451" t="b">
        <v>0</v>
      </c>
      <c r="R451" s="9" t="b">
        <v>0</v>
      </c>
      <c r="S451" s="10"/>
      <c r="T451" s="10"/>
      <c r="U451" s="10"/>
      <c r="V451" s="10"/>
      <c r="W451" s="10"/>
      <c r="X451" s="10"/>
      <c r="Y451" s="10"/>
      <c r="Z451" s="10"/>
      <c r="AA451" s="10"/>
      <c r="AB451" s="10"/>
      <c r="AC451" s="10"/>
      <c r="AD451" s="10"/>
      <c r="AE451" s="10"/>
    </row>
    <row r="452" ht="14.4" spans="1:31">
      <c r="A452" s="3" t="s">
        <v>175</v>
      </c>
      <c r="B452" s="3" t="s">
        <v>115</v>
      </c>
      <c r="C452" s="8">
        <v>63.25</v>
      </c>
      <c r="D452" s="8">
        <v>11.75</v>
      </c>
      <c r="E452" s="8">
        <v>13</v>
      </c>
      <c r="F452" s="8">
        <v>8.58</v>
      </c>
      <c r="G452" s="8">
        <v>610</v>
      </c>
      <c r="H452" s="8">
        <v>13.6</v>
      </c>
      <c r="I452" s="3"/>
      <c r="J452" s="3"/>
      <c r="K452" s="3"/>
      <c r="L452" s="25">
        <v>3</v>
      </c>
      <c r="M452" s="3"/>
      <c r="N452" s="3"/>
      <c r="O452" s="8">
        <v>500</v>
      </c>
      <c r="P452" t="b">
        <v>0</v>
      </c>
      <c r="Q452" t="b">
        <v>0</v>
      </c>
      <c r="R452" s="9" t="b">
        <v>0</v>
      </c>
      <c r="S452" s="10"/>
      <c r="T452" s="10"/>
      <c r="U452" s="10"/>
      <c r="V452" s="10"/>
      <c r="W452" s="10"/>
      <c r="X452" s="10"/>
      <c r="Y452" s="10"/>
      <c r="Z452" s="10"/>
      <c r="AA452" s="10"/>
      <c r="AB452" s="10"/>
      <c r="AC452" s="10"/>
      <c r="AD452" s="10"/>
      <c r="AE452" s="10"/>
    </row>
    <row r="453" ht="14.4" spans="1:31">
      <c r="A453" s="3" t="s">
        <v>175</v>
      </c>
      <c r="B453" s="3" t="s">
        <v>66</v>
      </c>
      <c r="C453" s="8">
        <v>63.25</v>
      </c>
      <c r="D453" s="8">
        <v>11.75</v>
      </c>
      <c r="E453" s="8">
        <v>13</v>
      </c>
      <c r="F453" s="8">
        <v>8.58</v>
      </c>
      <c r="G453" s="8">
        <v>610</v>
      </c>
      <c r="H453" s="8">
        <v>13.6</v>
      </c>
      <c r="I453" s="3"/>
      <c r="J453" s="3"/>
      <c r="K453" s="3"/>
      <c r="L453" s="25">
        <v>10</v>
      </c>
      <c r="M453" s="3"/>
      <c r="N453" s="3"/>
      <c r="O453" s="8">
        <v>500</v>
      </c>
      <c r="P453" t="b">
        <v>0</v>
      </c>
      <c r="Q453" t="b">
        <v>0</v>
      </c>
      <c r="R453" s="9" t="b">
        <v>0</v>
      </c>
      <c r="S453" s="10"/>
      <c r="T453" s="10"/>
      <c r="U453" s="10"/>
      <c r="V453" s="10"/>
      <c r="W453" s="10"/>
      <c r="X453" s="10"/>
      <c r="Y453" s="10"/>
      <c r="Z453" s="10"/>
      <c r="AA453" s="10"/>
      <c r="AB453" s="10"/>
      <c r="AC453" s="10"/>
      <c r="AD453" s="10"/>
      <c r="AE453" s="10"/>
    </row>
    <row r="454" ht="14.4" spans="1:31">
      <c r="A454" s="3" t="s">
        <v>175</v>
      </c>
      <c r="B454" s="3" t="s">
        <v>67</v>
      </c>
      <c r="C454" s="8">
        <v>63.25</v>
      </c>
      <c r="D454" s="8">
        <v>11.75</v>
      </c>
      <c r="E454" s="8">
        <v>13</v>
      </c>
      <c r="F454" s="8">
        <v>8.58</v>
      </c>
      <c r="G454" s="8">
        <v>610</v>
      </c>
      <c r="H454" s="8">
        <v>13.6</v>
      </c>
      <c r="I454" s="3"/>
      <c r="J454" s="3"/>
      <c r="K454" s="3"/>
      <c r="L454" s="25">
        <v>5</v>
      </c>
      <c r="M454" s="3"/>
      <c r="N454" s="3"/>
      <c r="O454" s="8">
        <v>500</v>
      </c>
      <c r="P454" t="b">
        <v>0</v>
      </c>
      <c r="Q454" t="b">
        <v>0</v>
      </c>
      <c r="R454" s="9" t="b">
        <v>0</v>
      </c>
      <c r="S454" s="10"/>
      <c r="T454" s="10"/>
      <c r="U454" s="10"/>
      <c r="V454" s="10"/>
      <c r="W454" s="10"/>
      <c r="X454" s="10"/>
      <c r="Y454" s="10"/>
      <c r="Z454" s="10"/>
      <c r="AA454" s="10"/>
      <c r="AB454" s="10"/>
      <c r="AC454" s="10"/>
      <c r="AD454" s="10"/>
      <c r="AE454" s="10"/>
    </row>
    <row r="455" ht="14.4" spans="1:31">
      <c r="A455" s="3" t="s">
        <v>175</v>
      </c>
      <c r="B455" s="3" t="s">
        <v>25</v>
      </c>
      <c r="C455" s="8">
        <v>63.25</v>
      </c>
      <c r="D455" s="8">
        <v>11.75</v>
      </c>
      <c r="E455" s="8">
        <v>13</v>
      </c>
      <c r="F455" s="8">
        <v>8.58</v>
      </c>
      <c r="G455" s="8">
        <v>915</v>
      </c>
      <c r="H455" s="8">
        <v>7.77</v>
      </c>
      <c r="I455" s="3"/>
      <c r="J455" s="3"/>
      <c r="K455" s="3"/>
      <c r="L455" s="25">
        <v>17.5</v>
      </c>
      <c r="M455" s="3"/>
      <c r="N455" s="3"/>
      <c r="O455" s="8">
        <v>500</v>
      </c>
      <c r="P455" t="b">
        <v>0</v>
      </c>
      <c r="Q455" t="b">
        <v>0</v>
      </c>
      <c r="R455" s="9" t="b">
        <v>0</v>
      </c>
      <c r="S455" s="10"/>
      <c r="T455" s="10"/>
      <c r="U455" s="10"/>
      <c r="V455" s="10"/>
      <c r="W455" s="10"/>
      <c r="X455" s="10"/>
      <c r="Y455" s="10"/>
      <c r="Z455" s="10"/>
      <c r="AA455" s="10"/>
      <c r="AB455" s="10"/>
      <c r="AC455" s="10"/>
      <c r="AD455" s="10"/>
      <c r="AE455" s="10"/>
    </row>
    <row r="456" ht="14.4" spans="1:31">
      <c r="A456" s="10" t="s">
        <v>176</v>
      </c>
      <c r="B456" s="10" t="s">
        <v>84</v>
      </c>
      <c r="C456" s="10">
        <v>57</v>
      </c>
      <c r="D456" s="10">
        <v>9.6</v>
      </c>
      <c r="E456" s="3">
        <v>5.6</v>
      </c>
      <c r="F456" s="10">
        <v>7.8</v>
      </c>
      <c r="G456" s="10">
        <v>675</v>
      </c>
      <c r="H456" s="10">
        <v>8</v>
      </c>
      <c r="I456" s="10"/>
      <c r="L456">
        <v>6</v>
      </c>
      <c r="N456" s="10"/>
      <c r="O456" s="3">
        <v>500</v>
      </c>
      <c r="P456" t="b">
        <v>0</v>
      </c>
      <c r="Q456" t="b">
        <v>0</v>
      </c>
      <c r="R456" s="9" t="b">
        <v>0</v>
      </c>
      <c r="S456" s="10"/>
      <c r="T456" s="10"/>
      <c r="U456" s="10"/>
      <c r="V456" s="10"/>
      <c r="W456" s="10"/>
      <c r="X456" s="10"/>
      <c r="Y456" s="10"/>
      <c r="Z456" s="10"/>
      <c r="AA456" s="10"/>
      <c r="AB456" s="10"/>
      <c r="AC456" s="10"/>
      <c r="AD456" s="10"/>
      <c r="AE456" s="10"/>
    </row>
    <row r="457" ht="14.4" spans="1:31">
      <c r="A457" s="10" t="s">
        <v>176</v>
      </c>
      <c r="B457" s="3" t="s">
        <v>65</v>
      </c>
      <c r="C457" s="10">
        <v>57</v>
      </c>
      <c r="D457" s="10">
        <v>9.6</v>
      </c>
      <c r="E457" s="3">
        <v>5.6</v>
      </c>
      <c r="F457" s="10">
        <v>7.8</v>
      </c>
      <c r="G457" s="10">
        <v>675</v>
      </c>
      <c r="H457" s="10">
        <v>8</v>
      </c>
      <c r="I457" s="10"/>
      <c r="L457">
        <v>12</v>
      </c>
      <c r="N457" s="10"/>
      <c r="O457" s="3">
        <v>500</v>
      </c>
      <c r="P457" t="b">
        <v>0</v>
      </c>
      <c r="Q457" t="b">
        <v>0</v>
      </c>
      <c r="R457" s="9" t="b">
        <v>0</v>
      </c>
      <c r="S457" s="10"/>
      <c r="T457" s="10"/>
      <c r="U457" s="10"/>
      <c r="V457" s="10"/>
      <c r="W457" s="10"/>
      <c r="X457" s="10"/>
      <c r="Y457" s="10"/>
      <c r="Z457" s="10"/>
      <c r="AA457" s="10"/>
      <c r="AB457" s="10"/>
      <c r="AC457" s="10"/>
      <c r="AD457" s="10"/>
      <c r="AE457" s="10"/>
    </row>
    <row r="458" ht="14.4" spans="1:31">
      <c r="A458" s="10" t="s">
        <v>176</v>
      </c>
      <c r="B458" s="3" t="s">
        <v>115</v>
      </c>
      <c r="C458" s="10">
        <v>57</v>
      </c>
      <c r="D458" s="10">
        <v>9.6</v>
      </c>
      <c r="E458" s="3">
        <v>5.6</v>
      </c>
      <c r="F458" s="10">
        <v>7.8</v>
      </c>
      <c r="G458" s="10">
        <v>675</v>
      </c>
      <c r="H458" s="10">
        <v>8</v>
      </c>
      <c r="I458" s="10"/>
      <c r="L458">
        <v>3</v>
      </c>
      <c r="N458" s="10"/>
      <c r="O458" s="3">
        <v>500</v>
      </c>
      <c r="P458" t="b">
        <v>0</v>
      </c>
      <c r="Q458" t="b">
        <v>0</v>
      </c>
      <c r="R458" s="9" t="b">
        <v>0</v>
      </c>
      <c r="S458" s="10"/>
      <c r="T458" s="10"/>
      <c r="U458" s="10"/>
      <c r="V458" s="10"/>
      <c r="W458" s="10"/>
      <c r="X458" s="10"/>
      <c r="Y458" s="10"/>
      <c r="Z458" s="10"/>
      <c r="AA458" s="10"/>
      <c r="AB458" s="10"/>
      <c r="AC458" s="10"/>
      <c r="AD458" s="10"/>
      <c r="AE458" s="10"/>
    </row>
    <row r="459" ht="14.4" spans="1:31">
      <c r="A459" s="10" t="s">
        <v>176</v>
      </c>
      <c r="B459" s="3" t="s">
        <v>66</v>
      </c>
      <c r="C459" s="10">
        <v>57</v>
      </c>
      <c r="D459" s="10">
        <v>9.6</v>
      </c>
      <c r="E459" s="3">
        <v>5.6</v>
      </c>
      <c r="F459" s="10">
        <v>7.8</v>
      </c>
      <c r="G459" s="10">
        <v>675</v>
      </c>
      <c r="H459" s="10">
        <v>8</v>
      </c>
      <c r="I459" s="10"/>
      <c r="L459">
        <v>12</v>
      </c>
      <c r="N459" s="10"/>
      <c r="O459" s="3">
        <v>500</v>
      </c>
      <c r="P459" t="b">
        <v>0</v>
      </c>
      <c r="Q459" t="b">
        <v>0</v>
      </c>
      <c r="R459" s="9" t="b">
        <v>0</v>
      </c>
      <c r="S459" s="10"/>
      <c r="T459" s="10"/>
      <c r="U459" s="10"/>
      <c r="V459" s="10"/>
      <c r="W459" s="10"/>
      <c r="X459" s="10"/>
      <c r="Y459" s="10"/>
      <c r="Z459" s="10"/>
      <c r="AA459" s="10"/>
      <c r="AB459" s="10"/>
      <c r="AC459" s="10"/>
      <c r="AD459" s="10"/>
      <c r="AE459" s="10"/>
    </row>
    <row r="460" ht="14.4" spans="1:31">
      <c r="A460" s="10" t="s">
        <v>176</v>
      </c>
      <c r="B460" s="3" t="s">
        <v>67</v>
      </c>
      <c r="C460" s="10">
        <v>57</v>
      </c>
      <c r="D460" s="10">
        <v>9.6</v>
      </c>
      <c r="E460" s="3">
        <v>5.6</v>
      </c>
      <c r="F460" s="10">
        <v>7.8</v>
      </c>
      <c r="G460" s="10">
        <v>675</v>
      </c>
      <c r="H460" s="10">
        <v>8</v>
      </c>
      <c r="I460" s="10"/>
      <c r="L460">
        <v>6</v>
      </c>
      <c r="N460" s="10"/>
      <c r="O460" s="3">
        <v>500</v>
      </c>
      <c r="P460" t="b">
        <v>0</v>
      </c>
      <c r="Q460" t="b">
        <v>0</v>
      </c>
      <c r="R460" s="9" t="b">
        <v>0</v>
      </c>
      <c r="S460" s="10"/>
      <c r="T460" s="10"/>
      <c r="U460" s="10"/>
      <c r="V460" s="10"/>
      <c r="W460" s="10"/>
      <c r="X460" s="10"/>
      <c r="Y460" s="10"/>
      <c r="Z460" s="10"/>
      <c r="AA460" s="10"/>
      <c r="AB460" s="10"/>
      <c r="AC460" s="10"/>
      <c r="AD460" s="10"/>
      <c r="AE460" s="10"/>
    </row>
    <row r="461" ht="14.4" spans="1:31">
      <c r="A461" s="10" t="s">
        <v>176</v>
      </c>
      <c r="B461" s="3" t="s">
        <v>25</v>
      </c>
      <c r="C461" s="10">
        <v>57</v>
      </c>
      <c r="D461" s="10">
        <v>9.6</v>
      </c>
      <c r="E461" s="3">
        <v>5.6</v>
      </c>
      <c r="F461" s="3">
        <v>5.46</v>
      </c>
      <c r="G461" s="3">
        <v>1012.5</v>
      </c>
      <c r="H461" s="3">
        <v>4.56</v>
      </c>
      <c r="I461" s="10"/>
      <c r="L461">
        <v>21</v>
      </c>
      <c r="N461" s="10"/>
      <c r="O461" s="3">
        <v>500</v>
      </c>
      <c r="P461" t="b">
        <v>0</v>
      </c>
      <c r="Q461" t="b">
        <v>0</v>
      </c>
      <c r="R461" s="9" t="b">
        <v>0</v>
      </c>
      <c r="S461" s="10"/>
      <c r="T461" s="10"/>
      <c r="U461" s="10"/>
      <c r="V461" s="10"/>
      <c r="W461" s="10"/>
      <c r="X461" s="10"/>
      <c r="Y461" s="10"/>
      <c r="Z461" s="10"/>
      <c r="AA461" s="10"/>
      <c r="AB461" s="10"/>
      <c r="AC461" s="10"/>
      <c r="AD461" s="10"/>
      <c r="AE461" s="10"/>
    </row>
    <row r="462" ht="14.4" spans="1:31">
      <c r="A462" s="10" t="s">
        <v>177</v>
      </c>
      <c r="B462" s="10" t="s">
        <v>84</v>
      </c>
      <c r="C462" s="10">
        <v>41.91</v>
      </c>
      <c r="D462" s="10">
        <v>8.99</v>
      </c>
      <c r="E462" s="3">
        <v>5.5</v>
      </c>
      <c r="F462" s="10">
        <v>7.62</v>
      </c>
      <c r="G462" s="10">
        <v>606.5</v>
      </c>
      <c r="H462" s="10">
        <v>7</v>
      </c>
      <c r="I462" s="3">
        <v>17.5</v>
      </c>
      <c r="K462" s="43">
        <v>457</v>
      </c>
      <c r="L462">
        <v>5</v>
      </c>
      <c r="N462" s="10"/>
      <c r="O462" s="3">
        <v>500</v>
      </c>
      <c r="P462" t="b">
        <v>0</v>
      </c>
      <c r="Q462" t="b">
        <v>0</v>
      </c>
      <c r="R462" s="9" t="b">
        <v>0</v>
      </c>
      <c r="S462" s="10"/>
      <c r="T462" s="10"/>
      <c r="U462" s="10"/>
      <c r="V462" s="10"/>
      <c r="W462" s="10"/>
      <c r="X462" s="10"/>
      <c r="Y462" s="10"/>
      <c r="Z462" s="10"/>
      <c r="AA462" s="10"/>
      <c r="AB462" s="10"/>
      <c r="AC462" s="10"/>
      <c r="AD462" s="10"/>
      <c r="AE462" s="10"/>
    </row>
    <row r="463" ht="14.4" spans="1:31">
      <c r="A463" s="10" t="s">
        <v>177</v>
      </c>
      <c r="B463" s="3" t="s">
        <v>65</v>
      </c>
      <c r="C463" s="10">
        <v>41.91</v>
      </c>
      <c r="D463" s="10">
        <v>8.99</v>
      </c>
      <c r="E463" s="3">
        <v>5.5</v>
      </c>
      <c r="F463" s="10">
        <v>7.62</v>
      </c>
      <c r="G463" s="10">
        <v>606.5</v>
      </c>
      <c r="H463" s="10">
        <v>7</v>
      </c>
      <c r="I463" s="3">
        <v>17.5</v>
      </c>
      <c r="K463" s="43"/>
      <c r="L463">
        <v>10</v>
      </c>
      <c r="N463" s="10"/>
      <c r="O463" s="3">
        <v>500</v>
      </c>
      <c r="P463" t="b">
        <v>0</v>
      </c>
      <c r="Q463" t="b">
        <v>0</v>
      </c>
      <c r="R463" s="9" t="b">
        <v>0</v>
      </c>
      <c r="S463" s="10"/>
      <c r="T463" s="10"/>
      <c r="U463" s="10"/>
      <c r="V463" s="10"/>
      <c r="W463" s="10"/>
      <c r="X463" s="10"/>
      <c r="Y463" s="10"/>
      <c r="Z463" s="10"/>
      <c r="AA463" s="10"/>
      <c r="AB463" s="10"/>
      <c r="AC463" s="10"/>
      <c r="AD463" s="10"/>
      <c r="AE463" s="10"/>
    </row>
    <row r="464" ht="14.4" spans="1:31">
      <c r="A464" s="10" t="s">
        <v>177</v>
      </c>
      <c r="B464" s="3" t="s">
        <v>115</v>
      </c>
      <c r="C464" s="10">
        <v>41.91</v>
      </c>
      <c r="D464" s="10">
        <v>8.99</v>
      </c>
      <c r="E464" s="3">
        <v>5.5</v>
      </c>
      <c r="F464" s="10">
        <v>7.62</v>
      </c>
      <c r="G464" s="10">
        <v>606.5</v>
      </c>
      <c r="H464" s="10">
        <v>7</v>
      </c>
      <c r="I464" s="3">
        <v>17.5</v>
      </c>
      <c r="K464" s="43"/>
      <c r="L464">
        <v>3</v>
      </c>
      <c r="N464" s="10"/>
      <c r="O464" s="3">
        <v>500</v>
      </c>
      <c r="P464" t="b">
        <v>0</v>
      </c>
      <c r="Q464" t="b">
        <v>0</v>
      </c>
      <c r="R464" s="9" t="b">
        <v>0</v>
      </c>
      <c r="S464" s="10"/>
      <c r="T464" s="10"/>
      <c r="U464" s="10"/>
      <c r="V464" s="10"/>
      <c r="W464" s="10"/>
      <c r="X464" s="10"/>
      <c r="Y464" s="10"/>
      <c r="Z464" s="10"/>
      <c r="AA464" s="10"/>
      <c r="AB464" s="10"/>
      <c r="AC464" s="10"/>
      <c r="AD464" s="10"/>
      <c r="AE464" s="10"/>
    </row>
    <row r="465" ht="14.4" spans="1:31">
      <c r="A465" s="10" t="s">
        <v>177</v>
      </c>
      <c r="B465" s="3" t="s">
        <v>66</v>
      </c>
      <c r="C465" s="10">
        <v>41.91</v>
      </c>
      <c r="D465" s="10">
        <v>8.99</v>
      </c>
      <c r="E465" s="3">
        <v>5.5</v>
      </c>
      <c r="F465" s="10">
        <v>7.62</v>
      </c>
      <c r="G465" s="10">
        <v>606.5</v>
      </c>
      <c r="H465" s="10">
        <v>7</v>
      </c>
      <c r="I465" s="3">
        <v>17.5</v>
      </c>
      <c r="K465" s="43"/>
      <c r="L465">
        <v>10</v>
      </c>
      <c r="N465" s="10"/>
      <c r="O465" s="3">
        <v>500</v>
      </c>
      <c r="P465" t="b">
        <v>0</v>
      </c>
      <c r="Q465" t="b">
        <v>0</v>
      </c>
      <c r="R465" s="9" t="b">
        <v>0</v>
      </c>
      <c r="S465" s="10"/>
      <c r="T465" s="10"/>
      <c r="U465" s="10"/>
      <c r="V465" s="10"/>
      <c r="W465" s="10"/>
      <c r="X465" s="10"/>
      <c r="Y465" s="10"/>
      <c r="Z465" s="10"/>
      <c r="AA465" s="10"/>
      <c r="AB465" s="10"/>
      <c r="AC465" s="10"/>
      <c r="AD465" s="10"/>
      <c r="AE465" s="10"/>
    </row>
    <row r="466" ht="14.4" spans="1:31">
      <c r="A466" s="10" t="s">
        <v>177</v>
      </c>
      <c r="B466" s="3" t="s">
        <v>67</v>
      </c>
      <c r="C466" s="10">
        <v>41.91</v>
      </c>
      <c r="D466" s="10">
        <v>8.99</v>
      </c>
      <c r="E466" s="3">
        <v>5.5</v>
      </c>
      <c r="F466" s="10">
        <v>7.62</v>
      </c>
      <c r="G466" s="10">
        <v>606.5</v>
      </c>
      <c r="H466" s="10">
        <v>7</v>
      </c>
      <c r="I466" s="3">
        <v>17.5</v>
      </c>
      <c r="K466" s="43"/>
      <c r="L466">
        <v>5</v>
      </c>
      <c r="N466" s="10"/>
      <c r="O466" s="3">
        <v>500</v>
      </c>
      <c r="P466" t="b">
        <v>0</v>
      </c>
      <c r="Q466" t="b">
        <v>0</v>
      </c>
      <c r="R466" s="9" t="b">
        <v>0</v>
      </c>
      <c r="S466" s="10"/>
      <c r="T466" s="10"/>
      <c r="U466" s="10"/>
      <c r="V466" s="10"/>
      <c r="W466" s="10"/>
      <c r="X466" s="10"/>
      <c r="Y466" s="10"/>
      <c r="Z466" s="10"/>
      <c r="AA466" s="10"/>
      <c r="AB466" s="10"/>
      <c r="AC466" s="10"/>
      <c r="AD466" s="10"/>
      <c r="AE466" s="10"/>
    </row>
    <row r="467" ht="14.4" spans="1:31">
      <c r="A467" s="10" t="s">
        <v>177</v>
      </c>
      <c r="B467" s="3" t="s">
        <v>25</v>
      </c>
      <c r="C467" s="10">
        <v>41.91</v>
      </c>
      <c r="D467" s="10">
        <v>8.99</v>
      </c>
      <c r="E467" s="3">
        <v>5.5</v>
      </c>
      <c r="F467" s="3">
        <v>5.33</v>
      </c>
      <c r="G467" s="3">
        <v>909.75</v>
      </c>
      <c r="H467" s="3">
        <v>3.99</v>
      </c>
      <c r="I467" s="3">
        <v>17.5</v>
      </c>
      <c r="K467" s="43"/>
      <c r="L467">
        <v>17.5</v>
      </c>
      <c r="N467" s="10"/>
      <c r="O467" s="3">
        <v>500</v>
      </c>
      <c r="P467" t="b">
        <v>0</v>
      </c>
      <c r="Q467" t="b">
        <v>0</v>
      </c>
      <c r="R467" s="9" t="b">
        <v>0</v>
      </c>
      <c r="S467" s="10"/>
      <c r="T467" s="10"/>
      <c r="U467" s="10"/>
      <c r="V467" s="10"/>
      <c r="W467" s="10"/>
      <c r="X467" s="10"/>
      <c r="Y467" s="10"/>
      <c r="Z467" s="10"/>
      <c r="AA467" s="10"/>
      <c r="AB467" s="10"/>
      <c r="AC467" s="10"/>
      <c r="AD467" s="10"/>
      <c r="AE467" s="10"/>
    </row>
    <row r="468" ht="14.4" spans="1:31">
      <c r="A468" s="3" t="s">
        <v>178</v>
      </c>
      <c r="B468" s="3" t="s">
        <v>84</v>
      </c>
      <c r="C468" s="8">
        <v>64.8</v>
      </c>
      <c r="D468" s="8">
        <v>10.7</v>
      </c>
      <c r="E468" s="8">
        <v>15</v>
      </c>
      <c r="F468" s="8">
        <v>7.8</v>
      </c>
      <c r="G468" s="8">
        <v>710</v>
      </c>
      <c r="H468" s="8">
        <v>10.35</v>
      </c>
      <c r="I468" s="3"/>
      <c r="J468" s="3"/>
      <c r="K468" s="8">
        <v>444</v>
      </c>
      <c r="L468" s="8">
        <v>5</v>
      </c>
      <c r="M468" s="3"/>
      <c r="N468" s="3"/>
      <c r="O468" s="8">
        <v>500</v>
      </c>
      <c r="P468" t="b">
        <v>0</v>
      </c>
      <c r="Q468" t="b">
        <v>0</v>
      </c>
      <c r="R468" s="9" t="b">
        <v>0</v>
      </c>
      <c r="S468" s="10"/>
      <c r="T468" s="10"/>
      <c r="U468" s="10"/>
      <c r="V468" s="10"/>
      <c r="W468" s="10"/>
      <c r="X468" s="10"/>
      <c r="Y468" s="10"/>
      <c r="Z468" s="10"/>
      <c r="AA468" s="10"/>
      <c r="AB468" s="10"/>
      <c r="AC468" s="10"/>
      <c r="AD468" s="10"/>
      <c r="AE468" s="10"/>
    </row>
    <row r="469" ht="14.4" spans="1:31">
      <c r="A469" s="3" t="s">
        <v>178</v>
      </c>
      <c r="B469" s="3" t="s">
        <v>65</v>
      </c>
      <c r="C469" s="8">
        <v>64.8</v>
      </c>
      <c r="D469" s="8">
        <v>10.7</v>
      </c>
      <c r="E469" s="8">
        <v>15</v>
      </c>
      <c r="F469" s="8">
        <v>7.8</v>
      </c>
      <c r="G469" s="8">
        <v>710</v>
      </c>
      <c r="H469" s="8">
        <v>10.35</v>
      </c>
      <c r="I469" s="3"/>
      <c r="J469" s="3"/>
      <c r="K469" s="3"/>
      <c r="L469" s="8">
        <v>10</v>
      </c>
      <c r="M469" s="3"/>
      <c r="N469" s="3"/>
      <c r="O469" s="8">
        <v>500</v>
      </c>
      <c r="P469" t="b">
        <v>0</v>
      </c>
      <c r="Q469" t="b">
        <v>0</v>
      </c>
      <c r="R469" s="9" t="b">
        <v>0</v>
      </c>
      <c r="S469" s="10"/>
      <c r="T469" s="10"/>
      <c r="U469" s="10"/>
      <c r="V469" s="10"/>
      <c r="W469" s="10"/>
      <c r="X469" s="10"/>
      <c r="Y469" s="10"/>
      <c r="Z469" s="10"/>
      <c r="AA469" s="10"/>
      <c r="AB469" s="10"/>
      <c r="AC469" s="10"/>
      <c r="AD469" s="10"/>
      <c r="AE469" s="10"/>
    </row>
    <row r="470" ht="14.4" spans="1:31">
      <c r="A470" s="3" t="s">
        <v>178</v>
      </c>
      <c r="B470" s="3" t="s">
        <v>115</v>
      </c>
      <c r="C470" s="8">
        <v>64.8</v>
      </c>
      <c r="D470" s="8">
        <v>10.7</v>
      </c>
      <c r="E470" s="8">
        <v>15</v>
      </c>
      <c r="F470" s="8">
        <v>7.8</v>
      </c>
      <c r="G470" s="8">
        <v>710</v>
      </c>
      <c r="H470" s="8">
        <v>10.35</v>
      </c>
      <c r="I470" s="3"/>
      <c r="J470" s="3"/>
      <c r="K470" s="3"/>
      <c r="L470" s="8">
        <v>2.5</v>
      </c>
      <c r="M470" s="3"/>
      <c r="N470" s="3"/>
      <c r="O470" s="8">
        <v>500</v>
      </c>
      <c r="P470" t="b">
        <v>0</v>
      </c>
      <c r="Q470" t="b">
        <v>0</v>
      </c>
      <c r="R470" s="9" t="b">
        <v>0</v>
      </c>
      <c r="S470" s="10"/>
      <c r="T470" s="10"/>
      <c r="U470" s="10"/>
      <c r="V470" s="10"/>
      <c r="W470" s="10"/>
      <c r="X470" s="10"/>
      <c r="Y470" s="10"/>
      <c r="Z470" s="10"/>
      <c r="AA470" s="10"/>
      <c r="AB470" s="10"/>
      <c r="AC470" s="10"/>
      <c r="AD470" s="10"/>
      <c r="AE470" s="10"/>
    </row>
    <row r="471" ht="14.4" spans="1:31">
      <c r="A471" s="3" t="s">
        <v>178</v>
      </c>
      <c r="B471" s="3" t="s">
        <v>66</v>
      </c>
      <c r="C471" s="8">
        <v>64.8</v>
      </c>
      <c r="D471" s="8">
        <v>10.7</v>
      </c>
      <c r="E471" s="8">
        <v>15</v>
      </c>
      <c r="F471" s="8">
        <v>7.8</v>
      </c>
      <c r="G471" s="8">
        <v>710</v>
      </c>
      <c r="H471" s="8">
        <v>10.35</v>
      </c>
      <c r="I471" s="3"/>
      <c r="J471" s="3"/>
      <c r="K471" s="3"/>
      <c r="L471" s="8">
        <v>10</v>
      </c>
      <c r="M471" s="3"/>
      <c r="N471" s="3"/>
      <c r="O471" s="8">
        <v>500</v>
      </c>
      <c r="P471" t="b">
        <v>0</v>
      </c>
      <c r="Q471" t="b">
        <v>0</v>
      </c>
      <c r="R471" s="9" t="b">
        <v>0</v>
      </c>
      <c r="S471" s="10"/>
      <c r="T471" s="10"/>
      <c r="U471" s="10"/>
      <c r="V471" s="10"/>
      <c r="W471" s="10"/>
      <c r="X471" s="10"/>
      <c r="Y471" s="10"/>
      <c r="Z471" s="10"/>
      <c r="AA471" s="10"/>
      <c r="AB471" s="10"/>
      <c r="AC471" s="10"/>
      <c r="AD471" s="10"/>
      <c r="AE471" s="10"/>
    </row>
    <row r="472" ht="14.4" spans="1:31">
      <c r="A472" s="3" t="s">
        <v>178</v>
      </c>
      <c r="B472" s="3" t="s">
        <v>67</v>
      </c>
      <c r="C472" s="8">
        <v>64.8</v>
      </c>
      <c r="D472" s="8">
        <v>10.7</v>
      </c>
      <c r="E472" s="8">
        <v>15</v>
      </c>
      <c r="F472" s="8">
        <v>7.8</v>
      </c>
      <c r="G472" s="8">
        <v>710</v>
      </c>
      <c r="H472" s="8">
        <v>10.35</v>
      </c>
      <c r="I472" s="3"/>
      <c r="J472" s="3"/>
      <c r="K472" s="3"/>
      <c r="L472" s="8">
        <v>5</v>
      </c>
      <c r="M472" s="3"/>
      <c r="N472" s="3"/>
      <c r="O472" s="8">
        <v>500</v>
      </c>
      <c r="P472" t="b">
        <v>0</v>
      </c>
      <c r="Q472" t="b">
        <v>0</v>
      </c>
      <c r="R472" s="9" t="b">
        <v>0</v>
      </c>
      <c r="S472" s="10"/>
      <c r="T472" s="10"/>
      <c r="U472" s="10"/>
      <c r="V472" s="10"/>
      <c r="W472" s="10"/>
      <c r="X472" s="10"/>
      <c r="Y472" s="10"/>
      <c r="Z472" s="10"/>
      <c r="AA472" s="10"/>
      <c r="AB472" s="10"/>
      <c r="AC472" s="10"/>
      <c r="AD472" s="10"/>
      <c r="AE472" s="10"/>
    </row>
    <row r="473" ht="14.4" spans="1:31">
      <c r="A473" s="3" t="s">
        <v>178</v>
      </c>
      <c r="B473" s="3" t="s">
        <v>25</v>
      </c>
      <c r="C473" s="8">
        <v>64.8</v>
      </c>
      <c r="D473" s="8">
        <v>10.7</v>
      </c>
      <c r="E473" s="8">
        <v>15</v>
      </c>
      <c r="F473" s="8">
        <v>5.46</v>
      </c>
      <c r="G473" s="8">
        <v>1065</v>
      </c>
      <c r="H473" s="8">
        <v>5.91</v>
      </c>
      <c r="I473" s="3"/>
      <c r="J473" s="3"/>
      <c r="K473" s="3"/>
      <c r="L473" s="8">
        <v>17.5</v>
      </c>
      <c r="M473" s="3"/>
      <c r="N473" s="3"/>
      <c r="O473" s="8">
        <v>500</v>
      </c>
      <c r="P473" t="b">
        <v>0</v>
      </c>
      <c r="Q473" t="b">
        <v>0</v>
      </c>
      <c r="R473" s="9" t="b">
        <v>0</v>
      </c>
      <c r="S473" s="10"/>
      <c r="T473" s="10"/>
      <c r="U473" s="10"/>
      <c r="V473" s="10"/>
      <c r="W473" s="10"/>
      <c r="X473" s="10"/>
      <c r="Y473" s="10"/>
      <c r="Z473" s="10"/>
      <c r="AA473" s="10"/>
      <c r="AB473" s="10"/>
      <c r="AC473" s="10"/>
      <c r="AD473" s="10"/>
      <c r="AE473" s="10"/>
    </row>
    <row r="474" ht="14.4" spans="1:31">
      <c r="A474" s="3" t="s">
        <v>179</v>
      </c>
      <c r="B474" s="3" t="s">
        <v>84</v>
      </c>
      <c r="C474" s="8">
        <v>63.8</v>
      </c>
      <c r="D474" s="8">
        <v>10.7</v>
      </c>
      <c r="E474" s="8">
        <v>16.25</v>
      </c>
      <c r="F474" s="8">
        <v>9.59</v>
      </c>
      <c r="G474" s="8">
        <v>590</v>
      </c>
      <c r="H474" s="8">
        <v>16.5</v>
      </c>
      <c r="I474" s="3"/>
      <c r="J474" s="3"/>
      <c r="K474" s="3"/>
      <c r="L474" s="8">
        <v>5.5</v>
      </c>
      <c r="M474" s="3"/>
      <c r="N474" s="3"/>
      <c r="O474" s="8">
        <v>500</v>
      </c>
      <c r="P474" t="b">
        <v>0</v>
      </c>
      <c r="Q474" t="b">
        <v>0</v>
      </c>
      <c r="R474" s="9" t="b">
        <v>0</v>
      </c>
      <c r="S474" s="10"/>
      <c r="T474" s="10"/>
      <c r="U474" s="10"/>
      <c r="V474" s="10"/>
      <c r="W474" s="10"/>
      <c r="X474" s="10"/>
      <c r="Y474" s="10"/>
      <c r="Z474" s="10"/>
      <c r="AA474" s="10"/>
      <c r="AB474" s="10"/>
      <c r="AC474" s="10"/>
      <c r="AD474" s="10"/>
      <c r="AE474" s="10"/>
    </row>
    <row r="475" ht="14.4" spans="1:31">
      <c r="A475" s="3" t="s">
        <v>179</v>
      </c>
      <c r="B475" s="3" t="s">
        <v>65</v>
      </c>
      <c r="C475" s="8">
        <v>63.8</v>
      </c>
      <c r="D475" s="8">
        <v>10.7</v>
      </c>
      <c r="E475" s="8">
        <v>16.25</v>
      </c>
      <c r="F475" s="8">
        <v>9.59</v>
      </c>
      <c r="G475" s="8">
        <v>590</v>
      </c>
      <c r="H475" s="8">
        <v>16.5</v>
      </c>
      <c r="I475" s="3"/>
      <c r="J475" s="3"/>
      <c r="K475" s="3"/>
      <c r="L475" s="8">
        <v>11</v>
      </c>
      <c r="M475" s="3"/>
      <c r="N475" s="3"/>
      <c r="O475" s="8">
        <v>500</v>
      </c>
      <c r="P475" t="b">
        <v>0</v>
      </c>
      <c r="Q475" t="b">
        <v>0</v>
      </c>
      <c r="R475" s="9" t="b">
        <v>0</v>
      </c>
      <c r="S475" s="10"/>
      <c r="T475" s="10"/>
      <c r="U475" s="10"/>
      <c r="V475" s="10"/>
      <c r="W475" s="10"/>
      <c r="X475" s="10"/>
      <c r="Y475" s="10"/>
      <c r="Z475" s="10"/>
      <c r="AA475" s="10"/>
      <c r="AB475" s="10"/>
      <c r="AC475" s="10"/>
      <c r="AD475" s="10"/>
      <c r="AE475" s="10"/>
    </row>
    <row r="476" ht="14.4" spans="1:31">
      <c r="A476" s="3" t="s">
        <v>179</v>
      </c>
      <c r="B476" s="3" t="s">
        <v>115</v>
      </c>
      <c r="C476" s="8">
        <v>63.8</v>
      </c>
      <c r="D476" s="8">
        <v>10.7</v>
      </c>
      <c r="E476" s="8">
        <v>16.25</v>
      </c>
      <c r="F476" s="8">
        <v>9.59</v>
      </c>
      <c r="G476" s="8">
        <v>590</v>
      </c>
      <c r="H476" s="8">
        <v>16.5</v>
      </c>
      <c r="I476" s="3"/>
      <c r="J476" s="3"/>
      <c r="K476" s="3"/>
      <c r="L476" s="8">
        <v>3</v>
      </c>
      <c r="M476" s="3"/>
      <c r="N476" s="3"/>
      <c r="O476" s="8">
        <v>500</v>
      </c>
      <c r="P476" t="b">
        <v>0</v>
      </c>
      <c r="Q476" t="b">
        <v>0</v>
      </c>
      <c r="R476" s="9" t="b">
        <v>0</v>
      </c>
      <c r="S476" s="10"/>
      <c r="T476" s="10"/>
      <c r="U476" s="10"/>
      <c r="V476" s="10"/>
      <c r="W476" s="10"/>
      <c r="X476" s="10"/>
      <c r="Y476" s="10"/>
      <c r="Z476" s="10"/>
      <c r="AA476" s="10"/>
      <c r="AB476" s="10"/>
      <c r="AC476" s="10"/>
      <c r="AD476" s="10"/>
      <c r="AE476" s="10"/>
    </row>
    <row r="477" ht="14.4" spans="1:31">
      <c r="A477" s="3" t="s">
        <v>179</v>
      </c>
      <c r="B477" s="3" t="s">
        <v>66</v>
      </c>
      <c r="C477" s="8">
        <v>63.8</v>
      </c>
      <c r="D477" s="8">
        <v>10.7</v>
      </c>
      <c r="E477" s="8">
        <v>16.25</v>
      </c>
      <c r="F477" s="8">
        <v>9.59</v>
      </c>
      <c r="G477" s="8">
        <v>590</v>
      </c>
      <c r="H477" s="8">
        <v>16.5</v>
      </c>
      <c r="I477" s="3"/>
      <c r="J477" s="3"/>
      <c r="K477" s="3"/>
      <c r="L477" s="8">
        <v>11</v>
      </c>
      <c r="M477" s="3"/>
      <c r="N477" s="3"/>
      <c r="O477" s="8">
        <v>500</v>
      </c>
      <c r="P477" t="b">
        <v>0</v>
      </c>
      <c r="Q477" t="b">
        <v>0</v>
      </c>
      <c r="R477" s="9" t="b">
        <v>0</v>
      </c>
      <c r="S477" s="10"/>
      <c r="T477" s="10"/>
      <c r="U477" s="10"/>
      <c r="V477" s="10"/>
      <c r="W477" s="10"/>
      <c r="X477" s="10"/>
      <c r="Y477" s="10"/>
      <c r="Z477" s="10"/>
      <c r="AA477" s="10"/>
      <c r="AB477" s="10"/>
      <c r="AC477" s="10"/>
      <c r="AD477" s="10"/>
      <c r="AE477" s="10"/>
    </row>
    <row r="478" ht="14.4" spans="1:31">
      <c r="A478" s="3" t="s">
        <v>179</v>
      </c>
      <c r="B478" s="3" t="s">
        <v>67</v>
      </c>
      <c r="C478" s="8">
        <v>63.8</v>
      </c>
      <c r="D478" s="8">
        <v>10.7</v>
      </c>
      <c r="E478" s="8">
        <v>16.25</v>
      </c>
      <c r="F478" s="8">
        <v>9.59</v>
      </c>
      <c r="G478" s="8">
        <v>590</v>
      </c>
      <c r="H478" s="8">
        <v>16.5</v>
      </c>
      <c r="I478" s="3"/>
      <c r="J478" s="3"/>
      <c r="K478" s="3"/>
      <c r="L478" s="8">
        <v>5.5</v>
      </c>
      <c r="M478" s="3"/>
      <c r="N478" s="3"/>
      <c r="O478" s="8">
        <v>500</v>
      </c>
      <c r="P478" t="b">
        <v>0</v>
      </c>
      <c r="Q478" t="b">
        <v>0</v>
      </c>
      <c r="R478" s="9" t="b">
        <v>0</v>
      </c>
      <c r="S478" s="10"/>
      <c r="T478" s="10"/>
      <c r="U478" s="10"/>
      <c r="V478" s="10"/>
      <c r="W478" s="10"/>
      <c r="X478" s="10"/>
      <c r="Y478" s="10"/>
      <c r="Z478" s="10"/>
      <c r="AA478" s="10"/>
      <c r="AB478" s="10"/>
      <c r="AC478" s="10"/>
      <c r="AD478" s="10"/>
      <c r="AE478" s="10"/>
    </row>
    <row r="479" ht="14.4" spans="1:31">
      <c r="A479" s="3" t="s">
        <v>179</v>
      </c>
      <c r="B479" s="3" t="s">
        <v>25</v>
      </c>
      <c r="C479" s="8">
        <v>63.8</v>
      </c>
      <c r="D479" s="8">
        <v>10.7</v>
      </c>
      <c r="E479" s="8">
        <v>16.25</v>
      </c>
      <c r="F479" s="8">
        <v>6.713</v>
      </c>
      <c r="G479" s="8">
        <v>885</v>
      </c>
      <c r="H479" s="8">
        <v>9.43</v>
      </c>
      <c r="I479" s="3"/>
      <c r="J479" s="3"/>
      <c r="K479" s="3"/>
      <c r="L479" s="8">
        <v>19</v>
      </c>
      <c r="M479" s="3"/>
      <c r="N479" s="3"/>
      <c r="O479" s="8">
        <v>500</v>
      </c>
      <c r="P479" t="b">
        <v>0</v>
      </c>
      <c r="Q479" t="b">
        <v>0</v>
      </c>
      <c r="R479" s="9" t="b">
        <v>0</v>
      </c>
      <c r="S479" s="10"/>
      <c r="T479" s="10"/>
      <c r="U479" s="10"/>
      <c r="V479" s="10"/>
      <c r="W479" s="10"/>
      <c r="X479" s="10"/>
      <c r="Y479" s="10"/>
      <c r="Z479" s="10"/>
      <c r="AA479" s="10"/>
      <c r="AB479" s="10"/>
      <c r="AC479" s="10"/>
      <c r="AD479" s="10"/>
      <c r="AE479" s="10"/>
    </row>
    <row r="480" ht="14.4" spans="1:31">
      <c r="A480" s="10" t="s">
        <v>180</v>
      </c>
      <c r="B480" s="10" t="s">
        <v>84</v>
      </c>
      <c r="C480" s="10">
        <v>40.436</v>
      </c>
      <c r="D480" s="10">
        <v>12</v>
      </c>
      <c r="E480" s="3">
        <v>10.53</v>
      </c>
      <c r="F480" s="10">
        <v>10.8</v>
      </c>
      <c r="G480" s="10">
        <v>379</v>
      </c>
      <c r="H480" s="10">
        <v>13</v>
      </c>
      <c r="I480" s="10"/>
      <c r="J480" s="10"/>
      <c r="K480">
        <v>686</v>
      </c>
      <c r="L480">
        <v>8</v>
      </c>
      <c r="N480" s="10"/>
      <c r="O480" s="3">
        <v>500</v>
      </c>
      <c r="P480" t="b">
        <v>0</v>
      </c>
      <c r="Q480" t="b">
        <v>0</v>
      </c>
      <c r="R480" s="9" t="b">
        <v>0</v>
      </c>
      <c r="S480" s="10"/>
      <c r="T480" s="10"/>
      <c r="U480" s="10"/>
      <c r="V480" s="10"/>
      <c r="W480" s="10"/>
      <c r="X480" s="10"/>
      <c r="Y480" s="10"/>
      <c r="Z480" s="10"/>
      <c r="AA480" s="10"/>
      <c r="AB480" s="10"/>
      <c r="AC480" s="10"/>
      <c r="AD480" s="10"/>
      <c r="AE480" s="10"/>
    </row>
    <row r="481" ht="14.4" spans="1:31">
      <c r="A481" s="10" t="s">
        <v>180</v>
      </c>
      <c r="B481" s="3" t="s">
        <v>65</v>
      </c>
      <c r="C481" s="10">
        <v>40.436</v>
      </c>
      <c r="D481" s="10">
        <v>12</v>
      </c>
      <c r="E481" s="3">
        <v>10.53</v>
      </c>
      <c r="F481" s="10">
        <v>10.8</v>
      </c>
      <c r="G481" s="10">
        <v>379</v>
      </c>
      <c r="H481" s="10">
        <v>13</v>
      </c>
      <c r="I481" s="10"/>
      <c r="J481" s="10"/>
      <c r="L481">
        <v>16</v>
      </c>
      <c r="N481" s="10"/>
      <c r="O481" s="3">
        <v>500</v>
      </c>
      <c r="P481" t="b">
        <v>0</v>
      </c>
      <c r="Q481" t="b">
        <v>0</v>
      </c>
      <c r="R481" s="9" t="b">
        <v>0</v>
      </c>
      <c r="S481" s="10"/>
      <c r="T481" s="10"/>
      <c r="U481" s="10"/>
      <c r="V481" s="10"/>
      <c r="W481" s="10"/>
      <c r="X481" s="10"/>
      <c r="Y481" s="10"/>
      <c r="Z481" s="10"/>
      <c r="AA481" s="10"/>
      <c r="AB481" s="10"/>
      <c r="AC481" s="10"/>
      <c r="AD481" s="10"/>
      <c r="AE481" s="10"/>
    </row>
    <row r="482" ht="14.4" spans="1:31">
      <c r="A482" s="10" t="s">
        <v>180</v>
      </c>
      <c r="B482" s="3" t="s">
        <v>115</v>
      </c>
      <c r="C482" s="10">
        <v>40.436</v>
      </c>
      <c r="D482" s="10">
        <v>12</v>
      </c>
      <c r="E482" s="3">
        <v>10.53</v>
      </c>
      <c r="F482" s="10">
        <v>10.8</v>
      </c>
      <c r="G482" s="10">
        <v>379</v>
      </c>
      <c r="H482" s="10">
        <v>13</v>
      </c>
      <c r="I482" s="10"/>
      <c r="J482" s="10"/>
      <c r="L482">
        <v>4</v>
      </c>
      <c r="N482" s="10"/>
      <c r="O482" s="3">
        <v>500</v>
      </c>
      <c r="P482" t="b">
        <v>0</v>
      </c>
      <c r="Q482" t="b">
        <v>0</v>
      </c>
      <c r="R482" s="9" t="b">
        <v>0</v>
      </c>
      <c r="S482" s="10"/>
      <c r="T482" s="10"/>
      <c r="U482" s="10"/>
      <c r="V482" s="10"/>
      <c r="W482" s="10"/>
      <c r="X482" s="10"/>
      <c r="Y482" s="10"/>
      <c r="Z482" s="10"/>
      <c r="AA482" s="10"/>
      <c r="AB482" s="10"/>
      <c r="AC482" s="10"/>
      <c r="AD482" s="10"/>
      <c r="AE482" s="10"/>
    </row>
    <row r="483" ht="14.4" spans="1:31">
      <c r="A483" s="10" t="s">
        <v>180</v>
      </c>
      <c r="B483" s="3" t="s">
        <v>66</v>
      </c>
      <c r="C483" s="10">
        <v>40.436</v>
      </c>
      <c r="D483" s="10">
        <v>12</v>
      </c>
      <c r="E483" s="3">
        <v>10.53</v>
      </c>
      <c r="F483" s="10">
        <v>10.8</v>
      </c>
      <c r="G483" s="10">
        <v>379</v>
      </c>
      <c r="H483" s="10">
        <v>13</v>
      </c>
      <c r="I483" s="10"/>
      <c r="J483" s="10"/>
      <c r="L483">
        <v>16</v>
      </c>
      <c r="N483" s="10"/>
      <c r="O483" s="3">
        <v>500</v>
      </c>
      <c r="P483" t="b">
        <v>0</v>
      </c>
      <c r="Q483" t="b">
        <v>0</v>
      </c>
      <c r="R483" s="9" t="b">
        <v>0</v>
      </c>
      <c r="S483" s="10"/>
      <c r="T483" s="10"/>
      <c r="U483" s="10"/>
      <c r="V483" s="10"/>
      <c r="W483" s="10"/>
      <c r="X483" s="10"/>
      <c r="Y483" s="10"/>
      <c r="Z483" s="10"/>
      <c r="AA483" s="10"/>
      <c r="AB483" s="10"/>
      <c r="AC483" s="10"/>
      <c r="AD483" s="10"/>
      <c r="AE483" s="10"/>
    </row>
    <row r="484" ht="14.4" spans="1:31">
      <c r="A484" s="10" t="s">
        <v>180</v>
      </c>
      <c r="B484" s="3" t="s">
        <v>67</v>
      </c>
      <c r="C484" s="10">
        <v>40.436</v>
      </c>
      <c r="D484" s="10">
        <v>12</v>
      </c>
      <c r="E484" s="3">
        <v>10.53</v>
      </c>
      <c r="F484" s="10">
        <v>10.8</v>
      </c>
      <c r="G484" s="10">
        <v>379</v>
      </c>
      <c r="H484" s="10">
        <v>13</v>
      </c>
      <c r="I484" s="10"/>
      <c r="J484" s="10"/>
      <c r="L484">
        <v>8</v>
      </c>
      <c r="N484" s="10"/>
      <c r="O484" s="3">
        <v>500</v>
      </c>
      <c r="P484" t="b">
        <v>0</v>
      </c>
      <c r="Q484" t="b">
        <v>0</v>
      </c>
      <c r="R484" s="9" t="b">
        <v>0</v>
      </c>
      <c r="S484" s="10"/>
      <c r="T484" s="10"/>
      <c r="U484" s="10"/>
      <c r="V484" s="10"/>
      <c r="W484" s="10"/>
      <c r="X484" s="10"/>
      <c r="Y484" s="10"/>
      <c r="Z484" s="10"/>
      <c r="AA484" s="10"/>
      <c r="AB484" s="10"/>
      <c r="AC484" s="10"/>
      <c r="AD484" s="10"/>
      <c r="AE484" s="10"/>
    </row>
    <row r="485" ht="14.4" spans="1:31">
      <c r="A485" s="10" t="s">
        <v>180</v>
      </c>
      <c r="B485" s="3" t="s">
        <v>25</v>
      </c>
      <c r="C485" s="10">
        <v>40.436</v>
      </c>
      <c r="D485" s="10">
        <v>12</v>
      </c>
      <c r="E485" s="3">
        <v>10.53</v>
      </c>
      <c r="F485" s="3">
        <v>7.56</v>
      </c>
      <c r="G485" s="3">
        <v>568.5</v>
      </c>
      <c r="H485" s="3">
        <v>7.41</v>
      </c>
      <c r="I485" s="10"/>
      <c r="J485" s="10"/>
      <c r="L485">
        <v>28</v>
      </c>
      <c r="N485" s="10"/>
      <c r="O485" s="3">
        <v>500</v>
      </c>
      <c r="P485" t="b">
        <v>0</v>
      </c>
      <c r="Q485" t="b">
        <v>0</v>
      </c>
      <c r="R485" s="9" t="b">
        <v>0</v>
      </c>
      <c r="S485" s="10"/>
      <c r="T485" s="10"/>
      <c r="U485" s="10"/>
      <c r="V485" s="10"/>
      <c r="W485" s="10"/>
      <c r="X485" s="10"/>
      <c r="Y485" s="10"/>
      <c r="Z485" s="10"/>
      <c r="AA485" s="10"/>
      <c r="AB485" s="10"/>
      <c r="AC485" s="10"/>
      <c r="AD485" s="10"/>
      <c r="AE485" s="10"/>
    </row>
    <row r="486" ht="14.4" spans="1:31">
      <c r="A486" s="10" t="s">
        <v>181</v>
      </c>
      <c r="B486" s="10" t="s">
        <v>84</v>
      </c>
      <c r="C486" s="10">
        <v>64.8</v>
      </c>
      <c r="D486" s="10">
        <v>12.8</v>
      </c>
      <c r="E486" s="10">
        <v>17.19</v>
      </c>
      <c r="F486" s="10">
        <v>11.6</v>
      </c>
      <c r="G486" s="10">
        <v>425</v>
      </c>
      <c r="H486" s="10">
        <v>26.2</v>
      </c>
      <c r="I486" s="8">
        <v>19.44</v>
      </c>
      <c r="J486" s="10"/>
      <c r="L486">
        <v>9</v>
      </c>
      <c r="N486" s="10"/>
      <c r="O486" s="10">
        <v>500</v>
      </c>
      <c r="P486" t="b">
        <v>0</v>
      </c>
      <c r="Q486" t="b">
        <v>0</v>
      </c>
      <c r="R486" s="9" t="b">
        <v>0</v>
      </c>
      <c r="S486" s="10"/>
      <c r="T486" s="10"/>
      <c r="U486" s="10"/>
      <c r="V486" s="10"/>
      <c r="W486" s="10"/>
      <c r="X486" s="10"/>
      <c r="Y486" s="10"/>
      <c r="Z486" s="10"/>
      <c r="AA486" s="10"/>
      <c r="AB486" s="10"/>
      <c r="AC486" s="10"/>
      <c r="AD486" s="10"/>
      <c r="AE486" s="10"/>
    </row>
    <row r="487" ht="14.4" spans="1:31">
      <c r="A487" s="10" t="s">
        <v>181</v>
      </c>
      <c r="B487" s="10" t="s">
        <v>65</v>
      </c>
      <c r="C487" s="10">
        <v>64.8</v>
      </c>
      <c r="D487" s="10">
        <v>12.8</v>
      </c>
      <c r="E487" s="10">
        <v>17.19</v>
      </c>
      <c r="F487" s="10">
        <v>11.6</v>
      </c>
      <c r="G487" s="10">
        <v>425</v>
      </c>
      <c r="H487" s="10">
        <v>26.2</v>
      </c>
      <c r="I487" s="8">
        <v>19.44</v>
      </c>
      <c r="J487" s="10"/>
      <c r="L487">
        <v>18</v>
      </c>
      <c r="N487" s="10"/>
      <c r="O487" s="10">
        <v>500</v>
      </c>
      <c r="P487" t="b">
        <v>0</v>
      </c>
      <c r="Q487" t="b">
        <v>0</v>
      </c>
      <c r="R487" s="9" t="b">
        <v>0</v>
      </c>
      <c r="S487" s="10"/>
      <c r="T487" s="10"/>
      <c r="U487" s="10"/>
      <c r="V487" s="10"/>
      <c r="W487" s="10"/>
      <c r="X487" s="10"/>
      <c r="Y487" s="10"/>
      <c r="Z487" s="10"/>
      <c r="AA487" s="10"/>
      <c r="AB487" s="10"/>
      <c r="AC487" s="10"/>
      <c r="AD487" s="10"/>
      <c r="AE487" s="10"/>
    </row>
    <row r="488" ht="14.4" spans="1:31">
      <c r="A488" s="10" t="s">
        <v>181</v>
      </c>
      <c r="B488" s="10" t="s">
        <v>115</v>
      </c>
      <c r="C488" s="10">
        <v>64.8</v>
      </c>
      <c r="D488" s="10">
        <v>12.8</v>
      </c>
      <c r="E488" s="10">
        <v>17.19</v>
      </c>
      <c r="F488" s="10">
        <v>11.6</v>
      </c>
      <c r="G488" s="10">
        <v>425</v>
      </c>
      <c r="H488" s="10">
        <v>26.2</v>
      </c>
      <c r="I488" s="8">
        <v>19.44</v>
      </c>
      <c r="J488" s="10"/>
      <c r="L488">
        <v>5</v>
      </c>
      <c r="N488" s="10"/>
      <c r="O488" s="10">
        <v>500</v>
      </c>
      <c r="P488" t="b">
        <v>0</v>
      </c>
      <c r="Q488" t="b">
        <v>0</v>
      </c>
      <c r="R488" s="9" t="b">
        <v>0</v>
      </c>
      <c r="S488" s="10"/>
      <c r="T488" s="10"/>
      <c r="U488" s="10"/>
      <c r="V488" s="10"/>
      <c r="W488" s="10"/>
      <c r="X488" s="10"/>
      <c r="Y488" s="10"/>
      <c r="Z488" s="10"/>
      <c r="AA488" s="10"/>
      <c r="AB488" s="10"/>
      <c r="AC488" s="10"/>
      <c r="AD488" s="10"/>
      <c r="AE488" s="10"/>
    </row>
    <row r="489" ht="14.4" spans="1:31">
      <c r="A489" s="10" t="s">
        <v>181</v>
      </c>
      <c r="B489" s="10" t="s">
        <v>66</v>
      </c>
      <c r="C489" s="10">
        <v>64.8</v>
      </c>
      <c r="D489" s="10">
        <v>12.8</v>
      </c>
      <c r="E489" s="10">
        <v>17.19</v>
      </c>
      <c r="F489" s="10">
        <v>11.6</v>
      </c>
      <c r="G489" s="10">
        <v>425</v>
      </c>
      <c r="H489" s="10">
        <v>26.2</v>
      </c>
      <c r="I489" s="8">
        <v>19.44</v>
      </c>
      <c r="J489" s="10"/>
      <c r="L489">
        <v>18</v>
      </c>
      <c r="N489" s="10"/>
      <c r="O489" s="10">
        <v>500</v>
      </c>
      <c r="P489" t="b">
        <v>0</v>
      </c>
      <c r="Q489" t="b">
        <v>0</v>
      </c>
      <c r="R489" s="9" t="b">
        <v>0</v>
      </c>
      <c r="S489" s="10"/>
      <c r="T489" s="10"/>
      <c r="U489" s="10"/>
      <c r="V489" s="10"/>
      <c r="W489" s="10"/>
      <c r="X489" s="10"/>
      <c r="Y489" s="10"/>
      <c r="Z489" s="10"/>
      <c r="AA489" s="10"/>
      <c r="AB489" s="10"/>
      <c r="AC489" s="10"/>
      <c r="AD489" s="10"/>
      <c r="AE489" s="10"/>
    </row>
    <row r="490" ht="14.4" spans="1:31">
      <c r="A490" s="10" t="s">
        <v>181</v>
      </c>
      <c r="B490" s="10" t="s">
        <v>67</v>
      </c>
      <c r="C490" s="10">
        <v>64.8</v>
      </c>
      <c r="D490" s="10">
        <v>12.8</v>
      </c>
      <c r="E490" s="10">
        <v>17.19</v>
      </c>
      <c r="F490" s="10">
        <v>11.6</v>
      </c>
      <c r="G490" s="10">
        <v>425</v>
      </c>
      <c r="H490" s="10">
        <v>26.2</v>
      </c>
      <c r="I490" s="8">
        <v>19.44</v>
      </c>
      <c r="J490" s="10"/>
      <c r="L490">
        <v>9</v>
      </c>
      <c r="N490" s="10"/>
      <c r="O490" s="10">
        <v>500</v>
      </c>
      <c r="P490" t="b">
        <v>0</v>
      </c>
      <c r="Q490" t="b">
        <v>0</v>
      </c>
      <c r="R490" s="9" t="b">
        <v>0</v>
      </c>
      <c r="S490" s="10"/>
      <c r="T490" s="10"/>
      <c r="U490" s="10"/>
      <c r="V490" s="10"/>
      <c r="W490" s="10"/>
      <c r="X490" s="10"/>
      <c r="Y490" s="10"/>
      <c r="Z490" s="10"/>
      <c r="AA490" s="10"/>
      <c r="AB490" s="10"/>
      <c r="AC490" s="10"/>
      <c r="AD490" s="10"/>
      <c r="AE490" s="10"/>
    </row>
    <row r="491" ht="14.4" spans="1:31">
      <c r="A491" s="10" t="s">
        <v>181</v>
      </c>
      <c r="B491" s="10" t="s">
        <v>25</v>
      </c>
      <c r="C491" s="10">
        <v>64.8</v>
      </c>
      <c r="D491" s="10">
        <v>12.8</v>
      </c>
      <c r="E491" s="10">
        <v>17.19</v>
      </c>
      <c r="F491" s="3">
        <v>8.12</v>
      </c>
      <c r="G491" s="10">
        <v>637.5</v>
      </c>
      <c r="H491" s="10">
        <v>14.93</v>
      </c>
      <c r="I491" s="8">
        <v>11.11</v>
      </c>
      <c r="J491" s="10"/>
      <c r="L491">
        <v>31.5</v>
      </c>
      <c r="N491" s="10"/>
      <c r="O491" s="10">
        <v>500</v>
      </c>
      <c r="P491" t="b">
        <v>0</v>
      </c>
      <c r="Q491" t="b">
        <v>0</v>
      </c>
      <c r="R491" s="9" t="b">
        <v>0</v>
      </c>
      <c r="S491" s="10"/>
      <c r="T491" s="10"/>
      <c r="U491" s="10"/>
      <c r="V491" s="10"/>
      <c r="W491" s="10"/>
      <c r="X491" s="10"/>
      <c r="Y491" s="10"/>
      <c r="Z491" s="10"/>
      <c r="AA491" s="10"/>
      <c r="AB491" s="10"/>
      <c r="AC491" s="10"/>
      <c r="AD491" s="10"/>
      <c r="AE491" s="10"/>
    </row>
    <row r="492" ht="14.4" spans="1:31">
      <c r="A492" s="3" t="s">
        <v>182</v>
      </c>
      <c r="B492" s="3" t="s">
        <v>84</v>
      </c>
      <c r="C492" s="8">
        <v>57.4</v>
      </c>
      <c r="D492" s="8">
        <v>13.74</v>
      </c>
      <c r="E492" s="8">
        <v>12.5</v>
      </c>
      <c r="F492" s="8">
        <v>11.63</v>
      </c>
      <c r="G492" s="8">
        <v>580</v>
      </c>
      <c r="H492" s="8">
        <v>19.4</v>
      </c>
      <c r="I492" s="3"/>
      <c r="J492" s="3"/>
      <c r="K492" s="8">
        <v>679</v>
      </c>
      <c r="L492" s="8">
        <v>6.5</v>
      </c>
      <c r="M492" s="3"/>
      <c r="N492" s="3"/>
      <c r="O492" s="8">
        <v>500</v>
      </c>
      <c r="P492" t="b">
        <v>0</v>
      </c>
      <c r="Q492" t="b">
        <v>0</v>
      </c>
      <c r="R492" s="9" t="b">
        <v>0</v>
      </c>
      <c r="S492" s="10"/>
      <c r="T492" s="10"/>
      <c r="U492" s="10"/>
      <c r="V492" s="10"/>
      <c r="W492" s="10"/>
      <c r="X492" s="10"/>
      <c r="Y492" s="10"/>
      <c r="Z492" s="10"/>
      <c r="AA492" s="10"/>
      <c r="AB492" s="10"/>
      <c r="AC492" s="10"/>
      <c r="AD492" s="10"/>
      <c r="AE492" s="10"/>
    </row>
    <row r="493" ht="14.4" spans="1:31">
      <c r="A493" s="3" t="s">
        <v>182</v>
      </c>
      <c r="B493" s="3" t="s">
        <v>65</v>
      </c>
      <c r="C493" s="8">
        <v>57.4</v>
      </c>
      <c r="D493" s="8">
        <v>13.74</v>
      </c>
      <c r="E493" s="8">
        <v>12.5</v>
      </c>
      <c r="F493" s="8">
        <v>11.63</v>
      </c>
      <c r="G493" s="8">
        <v>580</v>
      </c>
      <c r="H493" s="8">
        <v>19.4</v>
      </c>
      <c r="I493" s="3"/>
      <c r="J493" s="3"/>
      <c r="K493" s="3"/>
      <c r="L493" s="8">
        <v>13</v>
      </c>
      <c r="M493" s="3"/>
      <c r="N493" s="3"/>
      <c r="O493" s="8">
        <v>500</v>
      </c>
      <c r="P493" t="b">
        <v>0</v>
      </c>
      <c r="Q493" t="b">
        <v>0</v>
      </c>
      <c r="R493" s="9" t="b">
        <v>0</v>
      </c>
      <c r="S493" s="10"/>
      <c r="T493" s="10"/>
      <c r="U493" s="10"/>
      <c r="V493" s="10"/>
      <c r="W493" s="10"/>
      <c r="X493" s="10"/>
      <c r="Y493" s="10"/>
      <c r="Z493" s="10"/>
      <c r="AA493" s="10"/>
      <c r="AB493" s="10"/>
      <c r="AC493" s="10"/>
      <c r="AD493" s="10"/>
      <c r="AE493" s="10"/>
    </row>
    <row r="494" ht="14.4" spans="1:31">
      <c r="A494" s="3" t="s">
        <v>182</v>
      </c>
      <c r="B494" s="3" t="s">
        <v>115</v>
      </c>
      <c r="C494" s="8">
        <v>57.4</v>
      </c>
      <c r="D494" s="8">
        <v>13.74</v>
      </c>
      <c r="E494" s="8">
        <v>12.5</v>
      </c>
      <c r="F494" s="8">
        <v>11.63</v>
      </c>
      <c r="G494" s="8">
        <v>580</v>
      </c>
      <c r="H494" s="8">
        <v>19.4</v>
      </c>
      <c r="I494" s="3"/>
      <c r="J494" s="3"/>
      <c r="K494" s="3"/>
      <c r="L494" s="8">
        <v>3</v>
      </c>
      <c r="M494" s="3"/>
      <c r="N494" s="3"/>
      <c r="O494" s="8">
        <v>500</v>
      </c>
      <c r="P494" t="b">
        <v>0</v>
      </c>
      <c r="Q494" t="b">
        <v>0</v>
      </c>
      <c r="R494" s="9" t="b">
        <v>0</v>
      </c>
      <c r="S494" s="10"/>
      <c r="T494" s="10"/>
      <c r="U494" s="10"/>
      <c r="V494" s="10"/>
      <c r="W494" s="10"/>
      <c r="X494" s="10"/>
      <c r="Y494" s="10"/>
      <c r="Z494" s="10"/>
      <c r="AA494" s="10"/>
      <c r="AB494" s="10"/>
      <c r="AC494" s="10"/>
      <c r="AD494" s="10"/>
      <c r="AE494" s="10"/>
    </row>
    <row r="495" ht="14.4" spans="1:31">
      <c r="A495" s="3" t="s">
        <v>182</v>
      </c>
      <c r="B495" s="3" t="s">
        <v>66</v>
      </c>
      <c r="C495" s="8">
        <v>57.4</v>
      </c>
      <c r="D495" s="8">
        <v>13.74</v>
      </c>
      <c r="E495" s="8">
        <v>12.5</v>
      </c>
      <c r="F495" s="8">
        <v>11.63</v>
      </c>
      <c r="G495" s="8">
        <v>580</v>
      </c>
      <c r="H495" s="8">
        <v>19.4</v>
      </c>
      <c r="I495" s="3"/>
      <c r="J495" s="3"/>
      <c r="K495" s="3"/>
      <c r="L495" s="8">
        <v>13</v>
      </c>
      <c r="M495" s="3"/>
      <c r="N495" s="3"/>
      <c r="O495" s="8">
        <v>500</v>
      </c>
      <c r="P495" t="b">
        <v>0</v>
      </c>
      <c r="Q495" t="b">
        <v>0</v>
      </c>
      <c r="R495" s="9" t="b">
        <v>0</v>
      </c>
      <c r="S495" s="10"/>
      <c r="T495" s="10"/>
      <c r="U495" s="10"/>
      <c r="V495" s="10"/>
      <c r="W495" s="10"/>
      <c r="X495" s="10"/>
      <c r="Y495" s="10"/>
      <c r="Z495" s="10"/>
      <c r="AA495" s="10"/>
      <c r="AB495" s="10"/>
      <c r="AC495" s="10"/>
      <c r="AD495" s="10"/>
      <c r="AE495" s="10"/>
    </row>
    <row r="496" ht="14.4" spans="1:31">
      <c r="A496" s="3" t="s">
        <v>182</v>
      </c>
      <c r="B496" s="3" t="s">
        <v>67</v>
      </c>
      <c r="C496" s="8">
        <v>57.4</v>
      </c>
      <c r="D496" s="8">
        <v>13.74</v>
      </c>
      <c r="E496" s="8">
        <v>12.5</v>
      </c>
      <c r="F496" s="8">
        <v>11.63</v>
      </c>
      <c r="G496" s="8">
        <v>580</v>
      </c>
      <c r="H496" s="8">
        <v>19.4</v>
      </c>
      <c r="I496" s="3"/>
      <c r="J496" s="3"/>
      <c r="K496" s="3"/>
      <c r="L496" s="8">
        <v>6.5</v>
      </c>
      <c r="M496" s="3"/>
      <c r="N496" s="3"/>
      <c r="O496" s="8">
        <v>500</v>
      </c>
      <c r="P496" t="b">
        <v>0</v>
      </c>
      <c r="Q496" t="b">
        <v>0</v>
      </c>
      <c r="R496" s="9" t="b">
        <v>0</v>
      </c>
      <c r="S496" s="10"/>
      <c r="T496" s="10"/>
      <c r="U496" s="10"/>
      <c r="V496" s="10"/>
      <c r="W496" s="10"/>
      <c r="X496" s="10"/>
      <c r="Y496" s="10"/>
      <c r="Z496" s="10"/>
      <c r="AA496" s="10"/>
      <c r="AB496" s="10"/>
      <c r="AC496" s="10"/>
      <c r="AD496" s="10"/>
      <c r="AE496" s="10"/>
    </row>
    <row r="497" ht="14.4" spans="1:31">
      <c r="A497" s="3" t="s">
        <v>182</v>
      </c>
      <c r="B497" s="3" t="s">
        <v>25</v>
      </c>
      <c r="C497" s="8">
        <v>57.4</v>
      </c>
      <c r="D497" s="8">
        <v>13.74</v>
      </c>
      <c r="E497" s="8">
        <v>12.5</v>
      </c>
      <c r="F497" s="8">
        <v>8.14</v>
      </c>
      <c r="G497" s="8">
        <v>870</v>
      </c>
      <c r="H497" s="8">
        <v>11.08</v>
      </c>
      <c r="I497" s="3"/>
      <c r="J497" s="3"/>
      <c r="K497" s="3"/>
      <c r="L497" s="8">
        <v>22.75</v>
      </c>
      <c r="M497" s="3"/>
      <c r="N497" s="3"/>
      <c r="O497" s="8">
        <v>500</v>
      </c>
      <c r="P497" t="b">
        <v>0</v>
      </c>
      <c r="Q497" t="b">
        <v>0</v>
      </c>
      <c r="R497" s="9" t="b">
        <v>0</v>
      </c>
      <c r="S497" s="10"/>
      <c r="T497" s="10"/>
      <c r="U497" s="10"/>
      <c r="V497" s="10"/>
      <c r="W497" s="10"/>
      <c r="X497" s="10"/>
      <c r="Y497" s="10"/>
      <c r="Z497" s="10"/>
      <c r="AA497" s="10"/>
      <c r="AB497" s="10"/>
      <c r="AC497" s="10"/>
      <c r="AD497" s="10"/>
      <c r="AE497" s="10"/>
    </row>
    <row r="498" ht="14.4" spans="1:31">
      <c r="A498" s="3" t="s">
        <v>183</v>
      </c>
      <c r="B498" s="3" t="s">
        <v>84</v>
      </c>
      <c r="C498" s="8">
        <v>54</v>
      </c>
      <c r="D498" s="8">
        <v>13.6</v>
      </c>
      <c r="E498" s="8">
        <v>13.77</v>
      </c>
      <c r="F498" s="8">
        <v>12.7</v>
      </c>
      <c r="G498" s="8">
        <v>540</v>
      </c>
      <c r="H498" s="8">
        <v>21.7</v>
      </c>
      <c r="I498" s="3"/>
      <c r="J498" s="3"/>
      <c r="K498" s="8" t="s">
        <v>184</v>
      </c>
      <c r="L498" s="8">
        <v>6.5</v>
      </c>
      <c r="M498" s="3"/>
      <c r="N498" s="3"/>
      <c r="O498" s="8">
        <v>500</v>
      </c>
      <c r="P498" t="b">
        <v>0</v>
      </c>
      <c r="Q498" t="b">
        <v>0</v>
      </c>
      <c r="R498" s="9" t="b">
        <v>0</v>
      </c>
      <c r="S498" s="10"/>
      <c r="T498" s="10"/>
      <c r="U498" s="10"/>
      <c r="V498" s="10"/>
      <c r="W498" s="10"/>
      <c r="X498" s="10"/>
      <c r="Y498" s="10"/>
      <c r="Z498" s="10"/>
      <c r="AA498" s="10"/>
      <c r="AB498" s="10"/>
      <c r="AC498" s="10"/>
      <c r="AD498" s="10"/>
      <c r="AE498" s="10"/>
    </row>
    <row r="499" ht="14.4" spans="1:31">
      <c r="A499" s="3" t="s">
        <v>183</v>
      </c>
      <c r="B499" s="3" t="s">
        <v>65</v>
      </c>
      <c r="C499" s="8">
        <v>54</v>
      </c>
      <c r="D499" s="8">
        <v>13.6</v>
      </c>
      <c r="E499" s="8">
        <v>13.77</v>
      </c>
      <c r="F499" s="8">
        <v>12.7</v>
      </c>
      <c r="G499" s="8">
        <v>540</v>
      </c>
      <c r="H499" s="8">
        <v>21.7</v>
      </c>
      <c r="I499" s="3"/>
      <c r="J499" s="3"/>
      <c r="K499" s="3"/>
      <c r="L499" s="8">
        <v>13</v>
      </c>
      <c r="M499" s="3"/>
      <c r="N499" s="3"/>
      <c r="O499" s="8">
        <v>500</v>
      </c>
      <c r="P499" t="b">
        <v>0</v>
      </c>
      <c r="Q499" t="b">
        <v>0</v>
      </c>
      <c r="R499" s="9" t="b">
        <v>0</v>
      </c>
      <c r="S499" s="10"/>
      <c r="T499" s="10"/>
      <c r="U499" s="10"/>
      <c r="V499" s="10"/>
      <c r="W499" s="10"/>
      <c r="X499" s="10"/>
      <c r="Y499" s="10"/>
      <c r="Z499" s="10"/>
      <c r="AA499" s="10"/>
      <c r="AB499" s="10"/>
      <c r="AC499" s="10"/>
      <c r="AD499" s="10"/>
      <c r="AE499" s="10"/>
    </row>
    <row r="500" ht="14.4" spans="1:31">
      <c r="A500" s="3" t="s">
        <v>183</v>
      </c>
      <c r="B500" s="3" t="s">
        <v>115</v>
      </c>
      <c r="C500" s="8">
        <v>54</v>
      </c>
      <c r="D500" s="8">
        <v>13.6</v>
      </c>
      <c r="E500" s="8">
        <v>13.77</v>
      </c>
      <c r="F500" s="8">
        <v>12.7</v>
      </c>
      <c r="G500" s="8">
        <v>540</v>
      </c>
      <c r="H500" s="8">
        <v>21.7</v>
      </c>
      <c r="I500" s="3"/>
      <c r="J500" s="3"/>
      <c r="K500" s="3"/>
      <c r="L500" s="8">
        <v>3</v>
      </c>
      <c r="M500" s="3"/>
      <c r="N500" s="3"/>
      <c r="O500" s="8">
        <v>500</v>
      </c>
      <c r="P500" t="b">
        <v>0</v>
      </c>
      <c r="Q500" t="b">
        <v>0</v>
      </c>
      <c r="R500" s="9" t="b">
        <v>0</v>
      </c>
      <c r="S500" s="10"/>
      <c r="T500" s="10"/>
      <c r="U500" s="10"/>
      <c r="V500" s="10"/>
      <c r="W500" s="10"/>
      <c r="X500" s="10"/>
      <c r="Y500" s="10"/>
      <c r="Z500" s="10"/>
      <c r="AA500" s="10"/>
      <c r="AB500" s="10"/>
      <c r="AC500" s="10"/>
      <c r="AD500" s="10"/>
      <c r="AE500" s="10"/>
    </row>
    <row r="501" ht="14.4" spans="1:31">
      <c r="A501" s="3" t="s">
        <v>183</v>
      </c>
      <c r="B501" s="3" t="s">
        <v>66</v>
      </c>
      <c r="C501" s="8">
        <v>54</v>
      </c>
      <c r="D501" s="8">
        <v>13.6</v>
      </c>
      <c r="E501" s="8">
        <v>13.77</v>
      </c>
      <c r="F501" s="8">
        <v>12.7</v>
      </c>
      <c r="G501" s="8">
        <v>540</v>
      </c>
      <c r="H501" s="8">
        <v>21.7</v>
      </c>
      <c r="I501" s="3"/>
      <c r="J501" s="3"/>
      <c r="K501" s="3"/>
      <c r="L501" s="8">
        <v>13</v>
      </c>
      <c r="M501" s="3"/>
      <c r="N501" s="3"/>
      <c r="O501" s="8">
        <v>500</v>
      </c>
      <c r="P501" t="b">
        <v>0</v>
      </c>
      <c r="Q501" t="b">
        <v>0</v>
      </c>
      <c r="R501" s="9" t="b">
        <v>0</v>
      </c>
      <c r="S501" s="10"/>
      <c r="T501" s="10"/>
      <c r="U501" s="10"/>
      <c r="V501" s="10"/>
      <c r="W501" s="10"/>
      <c r="X501" s="10"/>
      <c r="Y501" s="10"/>
      <c r="Z501" s="10"/>
      <c r="AA501" s="10"/>
      <c r="AB501" s="10"/>
      <c r="AC501" s="10"/>
      <c r="AD501" s="10"/>
      <c r="AE501" s="10"/>
    </row>
    <row r="502" ht="14.4" spans="1:31">
      <c r="A502" s="3" t="s">
        <v>183</v>
      </c>
      <c r="B502" s="3" t="s">
        <v>67</v>
      </c>
      <c r="C502" s="8">
        <v>54</v>
      </c>
      <c r="D502" s="8">
        <v>13.6</v>
      </c>
      <c r="E502" s="8">
        <v>13.77</v>
      </c>
      <c r="F502" s="8">
        <v>12.7</v>
      </c>
      <c r="G502" s="8">
        <v>540</v>
      </c>
      <c r="H502" s="8">
        <v>21.7</v>
      </c>
      <c r="I502" s="3"/>
      <c r="J502" s="3"/>
      <c r="K502" s="3"/>
      <c r="L502" s="8">
        <v>6.5</v>
      </c>
      <c r="M502" s="3"/>
      <c r="N502" s="3"/>
      <c r="O502" s="8">
        <v>500</v>
      </c>
      <c r="P502" t="b">
        <v>0</v>
      </c>
      <c r="Q502" t="b">
        <v>0</v>
      </c>
      <c r="R502" s="9" t="b">
        <v>0</v>
      </c>
      <c r="S502" s="10"/>
      <c r="T502" s="10"/>
      <c r="U502" s="10"/>
      <c r="V502" s="10"/>
      <c r="W502" s="10"/>
      <c r="X502" s="10"/>
      <c r="Y502" s="10"/>
      <c r="Z502" s="10"/>
      <c r="AA502" s="10"/>
      <c r="AB502" s="10"/>
      <c r="AC502" s="10"/>
      <c r="AD502" s="10"/>
      <c r="AE502" s="10"/>
    </row>
    <row r="503" ht="14.4" spans="1:31">
      <c r="A503" s="3" t="s">
        <v>183</v>
      </c>
      <c r="B503" s="3" t="s">
        <v>25</v>
      </c>
      <c r="C503" s="8">
        <v>54</v>
      </c>
      <c r="D503" s="8">
        <v>13.6</v>
      </c>
      <c r="E503" s="8">
        <v>13.77</v>
      </c>
      <c r="F503" s="8">
        <v>8.89</v>
      </c>
      <c r="G503" s="8">
        <v>810</v>
      </c>
      <c r="H503" s="8">
        <v>12.4</v>
      </c>
      <c r="I503" s="3"/>
      <c r="J503" s="3"/>
      <c r="K503" s="3"/>
      <c r="L503" s="8">
        <v>22.75</v>
      </c>
      <c r="M503" s="3"/>
      <c r="N503" s="3"/>
      <c r="O503" s="8">
        <v>500</v>
      </c>
      <c r="P503" t="b">
        <v>0</v>
      </c>
      <c r="Q503" t="b">
        <v>0</v>
      </c>
      <c r="R503" s="9" t="b">
        <v>0</v>
      </c>
      <c r="S503" s="10"/>
      <c r="T503" s="10"/>
      <c r="U503" s="10"/>
      <c r="V503" s="10"/>
      <c r="W503" s="10"/>
      <c r="X503" s="10"/>
      <c r="Y503" s="10"/>
      <c r="Z503" s="10"/>
      <c r="AA503" s="10"/>
      <c r="AB503" s="10"/>
      <c r="AC503" s="10"/>
      <c r="AD503" s="10"/>
      <c r="AE503" s="10"/>
    </row>
    <row r="504" ht="14.4" spans="1:31">
      <c r="A504" s="10" t="s">
        <v>185</v>
      </c>
      <c r="B504" s="10" t="s">
        <v>84</v>
      </c>
      <c r="C504" s="10">
        <v>33</v>
      </c>
      <c r="D504" s="10">
        <v>7.76</v>
      </c>
      <c r="E504" s="3">
        <v>5.2</v>
      </c>
      <c r="F504" s="10">
        <v>4.7</v>
      </c>
      <c r="G504" s="10">
        <v>925</v>
      </c>
      <c r="H504" s="10">
        <v>3.33</v>
      </c>
      <c r="I504" s="10"/>
      <c r="J504" s="10"/>
      <c r="L504">
        <v>6</v>
      </c>
      <c r="N504" s="10"/>
      <c r="O504" s="3">
        <v>500</v>
      </c>
      <c r="P504" t="b">
        <v>0</v>
      </c>
      <c r="Q504" t="b">
        <v>0</v>
      </c>
      <c r="R504" s="9" t="b">
        <v>0</v>
      </c>
      <c r="S504" s="10"/>
      <c r="T504" s="10"/>
      <c r="U504" s="10"/>
      <c r="V504" s="10"/>
      <c r="W504" s="10"/>
      <c r="X504" s="10"/>
      <c r="Y504" s="10"/>
      <c r="Z504" s="10"/>
      <c r="AA504" s="10"/>
      <c r="AB504" s="10"/>
      <c r="AC504" s="10"/>
      <c r="AD504" s="10"/>
      <c r="AE504" s="10"/>
    </row>
    <row r="505" ht="14.4" spans="1:31">
      <c r="A505" s="10" t="s">
        <v>185</v>
      </c>
      <c r="B505" s="10" t="s">
        <v>65</v>
      </c>
      <c r="C505" s="10">
        <v>33</v>
      </c>
      <c r="D505" s="10">
        <v>7.76</v>
      </c>
      <c r="E505" s="3">
        <v>5.2</v>
      </c>
      <c r="F505" s="10">
        <v>4.7</v>
      </c>
      <c r="G505" s="10">
        <v>925</v>
      </c>
      <c r="H505" s="10">
        <v>3.33</v>
      </c>
      <c r="I505" s="10"/>
      <c r="J505" s="10"/>
      <c r="L505">
        <v>12</v>
      </c>
      <c r="N505" s="10"/>
      <c r="O505" s="3">
        <v>500</v>
      </c>
      <c r="P505" t="b">
        <v>0</v>
      </c>
      <c r="Q505" t="b">
        <v>0</v>
      </c>
      <c r="R505" s="9" t="b">
        <v>0</v>
      </c>
      <c r="S505" s="10"/>
      <c r="T505" s="10"/>
      <c r="U505" s="10"/>
      <c r="V505" s="10"/>
      <c r="W505" s="10"/>
      <c r="X505" s="10"/>
      <c r="Y505" s="10"/>
      <c r="Z505" s="10"/>
      <c r="AA505" s="10"/>
      <c r="AB505" s="10"/>
      <c r="AC505" s="10"/>
      <c r="AD505" s="10"/>
      <c r="AE505" s="10"/>
    </row>
    <row r="506" ht="14.4" spans="1:31">
      <c r="A506" s="10" t="s">
        <v>185</v>
      </c>
      <c r="B506" s="10" t="s">
        <v>115</v>
      </c>
      <c r="C506" s="10">
        <v>33</v>
      </c>
      <c r="D506" s="10">
        <v>7.76</v>
      </c>
      <c r="E506" s="3">
        <v>5.2</v>
      </c>
      <c r="F506" s="10">
        <v>4.7</v>
      </c>
      <c r="G506" s="10">
        <v>925</v>
      </c>
      <c r="H506" s="10">
        <v>3.33</v>
      </c>
      <c r="I506" s="10"/>
      <c r="J506" s="10"/>
      <c r="L506">
        <v>3</v>
      </c>
      <c r="N506" s="10"/>
      <c r="O506" s="3">
        <v>500</v>
      </c>
      <c r="P506" t="b">
        <v>0</v>
      </c>
      <c r="Q506" t="b">
        <v>0</v>
      </c>
      <c r="R506" s="9" t="b">
        <v>0</v>
      </c>
      <c r="S506" s="10"/>
      <c r="T506" s="10"/>
      <c r="U506" s="10"/>
      <c r="V506" s="10"/>
      <c r="W506" s="10"/>
      <c r="X506" s="10"/>
      <c r="Y506" s="10"/>
      <c r="Z506" s="10"/>
      <c r="AA506" s="10"/>
      <c r="AB506" s="10"/>
      <c r="AC506" s="10"/>
      <c r="AD506" s="10"/>
      <c r="AE506" s="10"/>
    </row>
    <row r="507" ht="14.4" spans="1:31">
      <c r="A507" s="10" t="s">
        <v>185</v>
      </c>
      <c r="B507" s="10" t="s">
        <v>66</v>
      </c>
      <c r="C507" s="10">
        <v>33</v>
      </c>
      <c r="D507" s="10">
        <v>7.76</v>
      </c>
      <c r="E507" s="3">
        <v>5.2</v>
      </c>
      <c r="F507" s="10">
        <v>4.7</v>
      </c>
      <c r="G507" s="10">
        <v>925</v>
      </c>
      <c r="H507" s="10">
        <v>3.33</v>
      </c>
      <c r="I507" s="10"/>
      <c r="J507" s="10"/>
      <c r="L507">
        <v>12</v>
      </c>
      <c r="N507" s="10"/>
      <c r="O507" s="3">
        <v>500</v>
      </c>
      <c r="P507" t="b">
        <v>0</v>
      </c>
      <c r="Q507" t="b">
        <v>0</v>
      </c>
      <c r="R507" s="9" t="b">
        <v>0</v>
      </c>
      <c r="S507" s="10"/>
      <c r="T507" s="10"/>
      <c r="U507" s="10"/>
      <c r="V507" s="10"/>
      <c r="W507" s="10"/>
      <c r="X507" s="10"/>
      <c r="Y507" s="10"/>
      <c r="Z507" s="10"/>
      <c r="AA507" s="10"/>
      <c r="AB507" s="10"/>
      <c r="AC507" s="10"/>
      <c r="AD507" s="10"/>
      <c r="AE507" s="10"/>
    </row>
    <row r="508" ht="14.4" spans="1:31">
      <c r="A508" s="10" t="s">
        <v>185</v>
      </c>
      <c r="B508" s="10" t="s">
        <v>67</v>
      </c>
      <c r="C508" s="10">
        <v>33</v>
      </c>
      <c r="D508" s="10">
        <v>7.76</v>
      </c>
      <c r="E508" s="3">
        <v>5.2</v>
      </c>
      <c r="F508" s="10">
        <v>4.7</v>
      </c>
      <c r="G508" s="10">
        <v>925</v>
      </c>
      <c r="H508" s="10">
        <v>3.33</v>
      </c>
      <c r="I508" s="10"/>
      <c r="J508" s="10"/>
      <c r="L508">
        <v>6</v>
      </c>
      <c r="N508" s="10"/>
      <c r="O508" s="3">
        <v>500</v>
      </c>
      <c r="P508" t="b">
        <v>0</v>
      </c>
      <c r="Q508" t="b">
        <v>0</v>
      </c>
      <c r="R508" s="9" t="b">
        <v>0</v>
      </c>
      <c r="S508" s="10"/>
      <c r="T508" s="10"/>
      <c r="U508" s="10"/>
      <c r="V508" s="10"/>
      <c r="W508" s="10"/>
      <c r="X508" s="10"/>
      <c r="Y508" s="10"/>
      <c r="Z508" s="10"/>
      <c r="AA508" s="10"/>
      <c r="AB508" s="10"/>
      <c r="AC508" s="10"/>
      <c r="AD508" s="10"/>
      <c r="AE508" s="10"/>
    </row>
    <row r="509" ht="14.4" spans="1:31">
      <c r="A509" s="10" t="s">
        <v>185</v>
      </c>
      <c r="B509" s="10" t="s">
        <v>25</v>
      </c>
      <c r="C509" s="10">
        <v>33</v>
      </c>
      <c r="D509" s="10">
        <v>7.76</v>
      </c>
      <c r="E509" s="3">
        <v>5.2</v>
      </c>
      <c r="F509" s="3">
        <v>3.29</v>
      </c>
      <c r="G509" s="3">
        <v>1387.5</v>
      </c>
      <c r="H509" s="3">
        <v>1.9</v>
      </c>
      <c r="I509" s="10"/>
      <c r="J509" s="10"/>
      <c r="L509">
        <v>21</v>
      </c>
      <c r="N509" s="10"/>
      <c r="O509" s="3">
        <v>500</v>
      </c>
      <c r="P509" t="b">
        <v>0</v>
      </c>
      <c r="Q509" t="b">
        <v>0</v>
      </c>
      <c r="R509" s="9" t="b">
        <v>0</v>
      </c>
      <c r="S509" s="10"/>
      <c r="T509" s="10"/>
      <c r="U509" s="10"/>
      <c r="V509" s="10"/>
      <c r="W509" s="10"/>
      <c r="X509" s="10"/>
      <c r="Y509" s="10"/>
      <c r="Z509" s="10"/>
      <c r="AA509" s="10"/>
      <c r="AB509" s="10"/>
      <c r="AC509" s="10"/>
      <c r="AD509" s="10"/>
      <c r="AE509" s="10"/>
    </row>
    <row r="510" ht="14.4" spans="1:31">
      <c r="A510" s="10" t="s">
        <v>186</v>
      </c>
      <c r="B510" s="10" t="s">
        <v>84</v>
      </c>
      <c r="C510" s="10">
        <v>58</v>
      </c>
      <c r="D510" s="10">
        <v>10.4</v>
      </c>
      <c r="E510" s="3">
        <v>10.01</v>
      </c>
      <c r="F510" s="10">
        <v>6</v>
      </c>
      <c r="G510" s="10">
        <v>930</v>
      </c>
      <c r="H510" s="10">
        <v>4.15</v>
      </c>
      <c r="I510" s="10"/>
      <c r="J510" s="10"/>
      <c r="L510">
        <v>6</v>
      </c>
      <c r="N510" s="10"/>
      <c r="O510" s="3">
        <v>500</v>
      </c>
      <c r="P510" t="b">
        <v>0</v>
      </c>
      <c r="Q510" t="b">
        <v>0</v>
      </c>
      <c r="R510" s="9" t="b">
        <v>0</v>
      </c>
      <c r="S510" s="10"/>
      <c r="T510" s="10"/>
      <c r="U510" s="10"/>
      <c r="V510" s="10"/>
      <c r="W510" s="10"/>
      <c r="X510" s="10"/>
      <c r="Y510" s="10"/>
      <c r="Z510" s="10"/>
      <c r="AA510" s="10"/>
      <c r="AB510" s="10"/>
      <c r="AC510" s="10"/>
      <c r="AD510" s="10"/>
      <c r="AE510" s="10"/>
    </row>
    <row r="511" ht="14.4" spans="1:31">
      <c r="A511" s="3" t="s">
        <v>186</v>
      </c>
      <c r="B511" s="10" t="s">
        <v>65</v>
      </c>
      <c r="C511" s="10">
        <v>58</v>
      </c>
      <c r="D511" s="10">
        <v>10.4</v>
      </c>
      <c r="E511" s="3">
        <v>10.01</v>
      </c>
      <c r="F511" s="10">
        <v>6</v>
      </c>
      <c r="G511" s="10">
        <v>930</v>
      </c>
      <c r="H511" s="10">
        <v>4.15</v>
      </c>
      <c r="I511" s="10"/>
      <c r="J511" s="10"/>
      <c r="L511">
        <v>12</v>
      </c>
      <c r="N511" s="10"/>
      <c r="O511" s="3">
        <v>500</v>
      </c>
      <c r="P511" t="b">
        <v>0</v>
      </c>
      <c r="Q511" t="b">
        <v>0</v>
      </c>
      <c r="R511" s="9" t="b">
        <v>0</v>
      </c>
      <c r="S511" s="10"/>
      <c r="T511" s="10"/>
      <c r="U511" s="10"/>
      <c r="V511" s="10"/>
      <c r="W511" s="10"/>
      <c r="X511" s="10"/>
      <c r="Y511" s="10"/>
      <c r="Z511" s="10"/>
      <c r="AA511" s="10"/>
      <c r="AB511" s="10"/>
      <c r="AC511" s="10"/>
      <c r="AD511" s="10"/>
      <c r="AE511" s="10"/>
    </row>
    <row r="512" ht="14.4" spans="1:31">
      <c r="A512" s="10" t="s">
        <v>186</v>
      </c>
      <c r="B512" s="10" t="s">
        <v>115</v>
      </c>
      <c r="C512" s="10">
        <v>58</v>
      </c>
      <c r="D512" s="10">
        <v>10.4</v>
      </c>
      <c r="E512" s="3">
        <v>10.01</v>
      </c>
      <c r="F512" s="10">
        <v>6</v>
      </c>
      <c r="G512" s="10">
        <v>930</v>
      </c>
      <c r="H512" s="10">
        <v>4.15</v>
      </c>
      <c r="I512" s="10"/>
      <c r="J512" s="10"/>
      <c r="L512">
        <v>3</v>
      </c>
      <c r="N512" s="10"/>
      <c r="O512" s="3">
        <v>500</v>
      </c>
      <c r="P512" t="b">
        <v>0</v>
      </c>
      <c r="Q512" t="b">
        <v>0</v>
      </c>
      <c r="R512" s="9" t="b">
        <v>0</v>
      </c>
      <c r="S512" s="10"/>
      <c r="T512" s="10"/>
      <c r="U512" s="10"/>
      <c r="V512" s="10"/>
      <c r="W512" s="10"/>
      <c r="X512" s="10"/>
      <c r="Y512" s="10"/>
      <c r="Z512" s="10"/>
      <c r="AA512" s="10"/>
      <c r="AB512" s="10"/>
      <c r="AC512" s="10"/>
      <c r="AD512" s="10"/>
      <c r="AE512" s="10"/>
    </row>
    <row r="513" ht="14.4" spans="1:31">
      <c r="A513" s="3" t="s">
        <v>186</v>
      </c>
      <c r="B513" s="10" t="s">
        <v>66</v>
      </c>
      <c r="C513" s="10">
        <v>58</v>
      </c>
      <c r="D513" s="10">
        <v>10.4</v>
      </c>
      <c r="E513" s="3">
        <v>10.01</v>
      </c>
      <c r="F513" s="10">
        <v>6</v>
      </c>
      <c r="G513" s="10">
        <v>930</v>
      </c>
      <c r="H513" s="10">
        <v>4.15</v>
      </c>
      <c r="I513" s="10"/>
      <c r="J513" s="10"/>
      <c r="L513">
        <v>12</v>
      </c>
      <c r="N513" s="10"/>
      <c r="O513" s="3">
        <v>500</v>
      </c>
      <c r="P513" t="b">
        <v>0</v>
      </c>
      <c r="Q513" t="b">
        <v>0</v>
      </c>
      <c r="R513" s="9" t="b">
        <v>0</v>
      </c>
      <c r="S513" s="10"/>
      <c r="T513" s="10"/>
      <c r="U513" s="10"/>
      <c r="V513" s="10"/>
      <c r="W513" s="10"/>
      <c r="X513" s="10"/>
      <c r="Y513" s="10"/>
      <c r="Z513" s="10"/>
      <c r="AA513" s="10"/>
      <c r="AB513" s="10"/>
      <c r="AC513" s="10"/>
      <c r="AD513" s="10"/>
      <c r="AE513" s="10"/>
    </row>
    <row r="514" ht="14.4" spans="1:31">
      <c r="A514" s="10" t="s">
        <v>186</v>
      </c>
      <c r="B514" s="10" t="s">
        <v>67</v>
      </c>
      <c r="C514" s="10">
        <v>58</v>
      </c>
      <c r="D514" s="10">
        <v>10.4</v>
      </c>
      <c r="E514" s="3">
        <v>10.01</v>
      </c>
      <c r="F514" s="10">
        <v>6</v>
      </c>
      <c r="G514" s="10">
        <v>930</v>
      </c>
      <c r="H514" s="10">
        <v>4.15</v>
      </c>
      <c r="I514" s="10"/>
      <c r="J514" s="10"/>
      <c r="L514">
        <v>6</v>
      </c>
      <c r="N514" s="10"/>
      <c r="O514" s="3">
        <v>500</v>
      </c>
      <c r="P514" t="b">
        <v>0</v>
      </c>
      <c r="Q514" t="b">
        <v>0</v>
      </c>
      <c r="R514" s="9" t="b">
        <v>0</v>
      </c>
      <c r="S514" s="10"/>
      <c r="T514" s="10"/>
      <c r="U514" s="10"/>
      <c r="V514" s="10"/>
      <c r="W514" s="10"/>
      <c r="X514" s="10"/>
      <c r="Y514" s="10"/>
      <c r="Z514" s="10"/>
      <c r="AA514" s="10"/>
      <c r="AB514" s="10"/>
      <c r="AC514" s="10"/>
      <c r="AD514" s="10"/>
      <c r="AE514" s="10"/>
    </row>
    <row r="515" ht="14.4" spans="1:31">
      <c r="A515" s="3" t="s">
        <v>186</v>
      </c>
      <c r="B515" s="10" t="s">
        <v>25</v>
      </c>
      <c r="C515" s="10">
        <v>58</v>
      </c>
      <c r="D515" s="10">
        <v>10.4</v>
      </c>
      <c r="E515" s="3">
        <v>10.01</v>
      </c>
      <c r="F515" s="3">
        <v>4.2</v>
      </c>
      <c r="G515" s="3">
        <v>1395</v>
      </c>
      <c r="H515" s="3">
        <v>2.37</v>
      </c>
      <c r="I515" s="10"/>
      <c r="J515" s="10"/>
      <c r="L515">
        <v>21</v>
      </c>
      <c r="N515" s="10"/>
      <c r="O515" s="3">
        <v>500</v>
      </c>
      <c r="P515" t="b">
        <v>0</v>
      </c>
      <c r="Q515" t="b">
        <v>0</v>
      </c>
      <c r="R515" s="9" t="b">
        <v>0</v>
      </c>
      <c r="S515" s="10"/>
      <c r="T515" s="10"/>
      <c r="U515" s="10"/>
      <c r="V515" s="10"/>
      <c r="W515" s="10"/>
      <c r="X515" s="10"/>
      <c r="Y515" s="10"/>
      <c r="Z515" s="10"/>
      <c r="AA515" s="10"/>
      <c r="AB515" s="10"/>
      <c r="AC515" s="10"/>
      <c r="AD515" s="10"/>
      <c r="AE515" s="10"/>
    </row>
    <row r="516" ht="14.4" spans="1:31">
      <c r="A516" s="10" t="s">
        <v>187</v>
      </c>
      <c r="B516" s="10" t="s">
        <v>84</v>
      </c>
      <c r="C516" s="10">
        <v>75.69</v>
      </c>
      <c r="D516" s="10">
        <v>11.35</v>
      </c>
      <c r="E516" s="3">
        <v>13.73</v>
      </c>
      <c r="F516" s="10">
        <v>6.705</v>
      </c>
      <c r="G516" s="10">
        <v>770</v>
      </c>
      <c r="H516" s="3">
        <v>9.1</v>
      </c>
      <c r="I516" s="10"/>
      <c r="J516" s="10"/>
      <c r="K516">
        <v>550</v>
      </c>
      <c r="L516">
        <v>6</v>
      </c>
      <c r="N516" s="10"/>
      <c r="O516" s="3">
        <v>500</v>
      </c>
      <c r="P516" t="b">
        <v>0</v>
      </c>
      <c r="Q516" t="b">
        <v>0</v>
      </c>
      <c r="R516" s="9" t="b">
        <v>0</v>
      </c>
      <c r="S516" s="10"/>
      <c r="T516" s="10"/>
      <c r="U516" s="10"/>
      <c r="V516" s="10"/>
      <c r="W516" s="10"/>
      <c r="X516" s="10"/>
      <c r="Y516" s="10"/>
      <c r="Z516" s="10"/>
      <c r="AA516" s="10"/>
      <c r="AB516" s="10"/>
      <c r="AC516" s="10"/>
      <c r="AD516" s="10"/>
      <c r="AE516" s="10"/>
    </row>
    <row r="517" ht="14.4" spans="1:31">
      <c r="A517" s="10" t="s">
        <v>187</v>
      </c>
      <c r="B517" s="3" t="s">
        <v>65</v>
      </c>
      <c r="C517" s="10">
        <v>75.69</v>
      </c>
      <c r="D517" s="10">
        <v>11.35</v>
      </c>
      <c r="E517" s="3">
        <v>13.73</v>
      </c>
      <c r="F517" s="10">
        <v>6.705</v>
      </c>
      <c r="G517" s="10">
        <v>770</v>
      </c>
      <c r="H517" s="3">
        <v>9.1</v>
      </c>
      <c r="I517" s="10"/>
      <c r="J517" s="10"/>
      <c r="L517">
        <v>12</v>
      </c>
      <c r="N517" s="10"/>
      <c r="O517" s="3">
        <v>500</v>
      </c>
      <c r="P517" t="b">
        <v>0</v>
      </c>
      <c r="Q517" t="b">
        <v>0</v>
      </c>
      <c r="R517" s="9" t="b">
        <v>0</v>
      </c>
      <c r="S517" s="10"/>
      <c r="T517" s="10"/>
      <c r="U517" s="10"/>
      <c r="V517" s="10"/>
      <c r="W517" s="10"/>
      <c r="X517" s="10"/>
      <c r="Y517" s="10"/>
      <c r="Z517" s="10"/>
      <c r="AA517" s="10"/>
      <c r="AB517" s="10"/>
      <c r="AC517" s="10"/>
      <c r="AD517" s="10"/>
      <c r="AE517" s="10"/>
    </row>
    <row r="518" ht="14.4" spans="1:31">
      <c r="A518" s="10" t="s">
        <v>187</v>
      </c>
      <c r="B518" s="3" t="s">
        <v>115</v>
      </c>
      <c r="C518" s="10">
        <v>75.69</v>
      </c>
      <c r="D518" s="10">
        <v>11.35</v>
      </c>
      <c r="E518" s="3">
        <v>13.73</v>
      </c>
      <c r="F518" s="10">
        <v>6.705</v>
      </c>
      <c r="G518" s="10">
        <v>770</v>
      </c>
      <c r="H518" s="3">
        <v>9.1</v>
      </c>
      <c r="I518" s="10"/>
      <c r="J518" s="10"/>
      <c r="L518">
        <v>3</v>
      </c>
      <c r="N518" s="10"/>
      <c r="O518" s="3">
        <v>500</v>
      </c>
      <c r="P518" t="b">
        <v>0</v>
      </c>
      <c r="Q518" t="b">
        <v>0</v>
      </c>
      <c r="R518" s="9" t="b">
        <v>0</v>
      </c>
      <c r="S518" s="10"/>
      <c r="T518" s="10"/>
      <c r="U518" s="10"/>
      <c r="V518" s="10"/>
      <c r="W518" s="10"/>
      <c r="X518" s="10"/>
      <c r="Y518" s="10"/>
      <c r="Z518" s="10"/>
      <c r="AA518" s="10"/>
      <c r="AB518" s="10"/>
      <c r="AC518" s="10"/>
      <c r="AD518" s="10"/>
      <c r="AE518" s="10"/>
    </row>
    <row r="519" ht="14.4" spans="1:31">
      <c r="A519" s="10" t="s">
        <v>187</v>
      </c>
      <c r="B519" s="3" t="s">
        <v>66</v>
      </c>
      <c r="C519" s="10">
        <v>75.69</v>
      </c>
      <c r="D519" s="10">
        <v>11.35</v>
      </c>
      <c r="E519" s="3">
        <v>13.73</v>
      </c>
      <c r="F519" s="10">
        <v>6.705</v>
      </c>
      <c r="G519" s="10">
        <v>770</v>
      </c>
      <c r="H519" s="3">
        <v>9.1</v>
      </c>
      <c r="I519" s="10"/>
      <c r="J519" s="10"/>
      <c r="L519">
        <v>12</v>
      </c>
      <c r="N519" s="10"/>
      <c r="O519" s="3">
        <v>500</v>
      </c>
      <c r="P519" t="b">
        <v>0</v>
      </c>
      <c r="Q519" t="b">
        <v>0</v>
      </c>
      <c r="R519" s="9" t="b">
        <v>0</v>
      </c>
      <c r="S519" s="10"/>
      <c r="T519" s="10"/>
      <c r="U519" s="10"/>
      <c r="V519" s="10"/>
      <c r="W519" s="10"/>
      <c r="X519" s="10"/>
      <c r="Y519" s="10"/>
      <c r="Z519" s="10"/>
      <c r="AA519" s="10"/>
      <c r="AB519" s="10"/>
      <c r="AC519" s="10"/>
      <c r="AD519" s="10"/>
      <c r="AE519" s="10"/>
    </row>
    <row r="520" ht="14.4" spans="1:31">
      <c r="A520" s="10" t="s">
        <v>187</v>
      </c>
      <c r="B520" s="3" t="s">
        <v>67</v>
      </c>
      <c r="C520" s="10">
        <v>75.69</v>
      </c>
      <c r="D520" s="10">
        <v>11.35</v>
      </c>
      <c r="E520" s="3">
        <v>13.73</v>
      </c>
      <c r="F520" s="10">
        <v>6.705</v>
      </c>
      <c r="G520" s="10">
        <v>770</v>
      </c>
      <c r="H520" s="3">
        <v>9.1</v>
      </c>
      <c r="I520" s="10"/>
      <c r="J520" s="10"/>
      <c r="L520">
        <v>21</v>
      </c>
      <c r="N520" s="10"/>
      <c r="O520" s="3">
        <v>500</v>
      </c>
      <c r="P520" t="b">
        <v>0</v>
      </c>
      <c r="Q520" t="b">
        <v>0</v>
      </c>
      <c r="R520" s="9" t="b">
        <v>0</v>
      </c>
      <c r="S520" s="10"/>
      <c r="T520" s="10"/>
      <c r="U520" s="10"/>
      <c r="V520" s="10"/>
      <c r="W520" s="10"/>
      <c r="X520" s="10"/>
      <c r="Y520" s="10"/>
      <c r="Z520" s="10"/>
      <c r="AA520" s="10"/>
      <c r="AB520" s="10"/>
      <c r="AC520" s="10"/>
      <c r="AD520" s="10"/>
      <c r="AE520" s="10"/>
    </row>
    <row r="521" ht="14.4" spans="1:31">
      <c r="A521" s="10" t="s">
        <v>187</v>
      </c>
      <c r="B521" s="3" t="s">
        <v>25</v>
      </c>
      <c r="C521" s="10">
        <v>75.69</v>
      </c>
      <c r="D521" s="10">
        <v>11.35</v>
      </c>
      <c r="E521" s="3">
        <v>13.73</v>
      </c>
      <c r="F521" s="3">
        <v>4.69</v>
      </c>
      <c r="G521" s="3">
        <v>1155</v>
      </c>
      <c r="H521" s="3">
        <v>5.19</v>
      </c>
      <c r="I521" s="10"/>
      <c r="J521" s="10"/>
      <c r="L521">
        <v>6</v>
      </c>
      <c r="N521" s="10"/>
      <c r="O521" s="3">
        <v>500</v>
      </c>
      <c r="P521" t="b">
        <v>0</v>
      </c>
      <c r="Q521" t="b">
        <v>0</v>
      </c>
      <c r="R521" s="9" t="b">
        <v>0</v>
      </c>
      <c r="S521" s="10"/>
      <c r="T521" s="10"/>
      <c r="U521" s="10"/>
      <c r="V521" s="10"/>
      <c r="W521" s="10"/>
      <c r="X521" s="10"/>
      <c r="Y521" s="10"/>
      <c r="Z521" s="10"/>
      <c r="AA521" s="10"/>
      <c r="AB521" s="10"/>
      <c r="AC521" s="10"/>
      <c r="AD521" s="10"/>
      <c r="AE521" s="10"/>
    </row>
    <row r="522" ht="14.4" spans="1:31">
      <c r="A522" s="3" t="s">
        <v>188</v>
      </c>
      <c r="B522" s="10" t="s">
        <v>84</v>
      </c>
      <c r="C522" s="8">
        <v>76.5</v>
      </c>
      <c r="D522" s="8">
        <v>11.42</v>
      </c>
      <c r="E522" s="8">
        <v>14</v>
      </c>
      <c r="F522" s="8">
        <v>6.77</v>
      </c>
      <c r="G522" s="8">
        <v>700</v>
      </c>
      <c r="H522" s="8">
        <v>10.5</v>
      </c>
      <c r="I522" s="3"/>
      <c r="J522" s="3"/>
      <c r="K522" s="3"/>
      <c r="L522" s="25">
        <v>6</v>
      </c>
      <c r="M522" s="3"/>
      <c r="N522" s="3"/>
      <c r="O522" s="8">
        <v>500</v>
      </c>
      <c r="P522" s="9" t="b">
        <v>0</v>
      </c>
      <c r="Q522" s="9" t="b">
        <v>0</v>
      </c>
      <c r="R522" s="9" t="b">
        <v>0</v>
      </c>
      <c r="S522" s="10"/>
      <c r="T522" s="10"/>
      <c r="U522" s="10"/>
      <c r="V522" s="10"/>
      <c r="W522" s="10"/>
      <c r="X522" s="10"/>
      <c r="Y522" s="10"/>
      <c r="Z522" s="10"/>
      <c r="AA522" s="10"/>
      <c r="AB522" s="10"/>
      <c r="AC522" s="10"/>
      <c r="AD522" s="10"/>
      <c r="AE522" s="10"/>
    </row>
    <row r="523" ht="14.4" spans="1:31">
      <c r="A523" s="3" t="s">
        <v>188</v>
      </c>
      <c r="B523" s="3" t="s">
        <v>65</v>
      </c>
      <c r="C523" s="8">
        <v>76.5</v>
      </c>
      <c r="D523" s="8">
        <v>11.42</v>
      </c>
      <c r="E523" s="8">
        <v>14</v>
      </c>
      <c r="F523" s="8">
        <v>6.77</v>
      </c>
      <c r="G523" s="8">
        <v>700</v>
      </c>
      <c r="H523" s="8">
        <v>10.5</v>
      </c>
      <c r="I523" s="3"/>
      <c r="J523" s="3"/>
      <c r="K523" s="3"/>
      <c r="L523" s="25">
        <v>12</v>
      </c>
      <c r="M523" s="3"/>
      <c r="N523" s="3"/>
      <c r="O523" s="8">
        <v>500</v>
      </c>
      <c r="P523" s="9" t="b">
        <v>0</v>
      </c>
      <c r="Q523" s="9" t="b">
        <v>0</v>
      </c>
      <c r="R523" s="9" t="b">
        <v>0</v>
      </c>
      <c r="S523" s="10"/>
      <c r="T523" s="10"/>
      <c r="U523" s="10"/>
      <c r="V523" s="10"/>
      <c r="W523" s="10"/>
      <c r="X523" s="10"/>
      <c r="Y523" s="10"/>
      <c r="Z523" s="10"/>
      <c r="AA523" s="10"/>
      <c r="AB523" s="10"/>
      <c r="AC523" s="10"/>
      <c r="AD523" s="10"/>
      <c r="AE523" s="10"/>
    </row>
    <row r="524" ht="14.4" spans="1:31">
      <c r="A524" s="3" t="s">
        <v>188</v>
      </c>
      <c r="B524" s="3" t="s">
        <v>115</v>
      </c>
      <c r="C524" s="8">
        <v>76.5</v>
      </c>
      <c r="D524" s="8">
        <v>11.42</v>
      </c>
      <c r="E524" s="8">
        <v>14</v>
      </c>
      <c r="F524" s="8">
        <v>6.77</v>
      </c>
      <c r="G524" s="8">
        <v>700</v>
      </c>
      <c r="H524" s="8">
        <v>10.5</v>
      </c>
      <c r="I524" s="3"/>
      <c r="J524" s="3"/>
      <c r="K524" s="3"/>
      <c r="L524" s="25">
        <v>3</v>
      </c>
      <c r="M524" s="3"/>
      <c r="N524" s="3"/>
      <c r="O524" s="8">
        <v>500</v>
      </c>
      <c r="P524" s="9" t="b">
        <v>0</v>
      </c>
      <c r="Q524" s="9" t="b">
        <v>0</v>
      </c>
      <c r="R524" s="9" t="b">
        <v>0</v>
      </c>
      <c r="S524" s="10"/>
      <c r="T524" s="10"/>
      <c r="U524" s="10"/>
      <c r="V524" s="10"/>
      <c r="W524" s="10"/>
      <c r="X524" s="10"/>
      <c r="Y524" s="10"/>
      <c r="Z524" s="10"/>
      <c r="AA524" s="10"/>
      <c r="AB524" s="10"/>
      <c r="AC524" s="10"/>
      <c r="AD524" s="10"/>
      <c r="AE524" s="10"/>
    </row>
    <row r="525" ht="14.4" spans="1:31">
      <c r="A525" s="3" t="s">
        <v>188</v>
      </c>
      <c r="B525" s="3" t="s">
        <v>66</v>
      </c>
      <c r="C525" s="8">
        <v>76.5</v>
      </c>
      <c r="D525" s="8">
        <v>11.42</v>
      </c>
      <c r="E525" s="8">
        <v>14</v>
      </c>
      <c r="F525" s="8">
        <v>6.77</v>
      </c>
      <c r="G525" s="8">
        <v>700</v>
      </c>
      <c r="H525" s="8">
        <v>10.5</v>
      </c>
      <c r="I525" s="3"/>
      <c r="J525" s="3"/>
      <c r="K525" s="3"/>
      <c r="L525" s="25">
        <v>12</v>
      </c>
      <c r="M525" s="3"/>
      <c r="N525" s="3"/>
      <c r="O525" s="8">
        <v>500</v>
      </c>
      <c r="P525" s="9" t="b">
        <v>0</v>
      </c>
      <c r="Q525" s="9" t="b">
        <v>0</v>
      </c>
      <c r="R525" s="9" t="b">
        <v>0</v>
      </c>
      <c r="S525" s="10"/>
      <c r="T525" s="10"/>
      <c r="U525" s="10"/>
      <c r="V525" s="10"/>
      <c r="W525" s="10"/>
      <c r="X525" s="10"/>
      <c r="Y525" s="10"/>
      <c r="Z525" s="10"/>
      <c r="AA525" s="10"/>
      <c r="AB525" s="10"/>
      <c r="AC525" s="10"/>
      <c r="AD525" s="10"/>
      <c r="AE525" s="10"/>
    </row>
    <row r="526" ht="14.4" spans="1:31">
      <c r="A526" s="3" t="s">
        <v>188</v>
      </c>
      <c r="B526" s="3" t="s">
        <v>67</v>
      </c>
      <c r="C526" s="8">
        <v>76.5</v>
      </c>
      <c r="D526" s="8">
        <v>11.42</v>
      </c>
      <c r="E526" s="8">
        <v>14</v>
      </c>
      <c r="F526" s="8">
        <v>6.77</v>
      </c>
      <c r="G526" s="8">
        <v>700</v>
      </c>
      <c r="H526" s="8">
        <v>10.5</v>
      </c>
      <c r="I526" s="3"/>
      <c r="J526" s="3"/>
      <c r="K526" s="3"/>
      <c r="L526" s="25">
        <v>6</v>
      </c>
      <c r="M526" s="3"/>
      <c r="N526" s="3"/>
      <c r="O526" s="8">
        <v>500</v>
      </c>
      <c r="P526" s="9" t="b">
        <v>0</v>
      </c>
      <c r="Q526" s="9" t="b">
        <v>0</v>
      </c>
      <c r="R526" s="9" t="b">
        <v>0</v>
      </c>
      <c r="S526" s="10"/>
      <c r="T526" s="10"/>
      <c r="U526" s="10"/>
      <c r="V526" s="10"/>
      <c r="W526" s="10"/>
      <c r="X526" s="10"/>
      <c r="Y526" s="10"/>
      <c r="Z526" s="10"/>
      <c r="AA526" s="10"/>
      <c r="AB526" s="10"/>
      <c r="AC526" s="10"/>
      <c r="AD526" s="10"/>
      <c r="AE526" s="10"/>
    </row>
    <row r="527" ht="14.4" spans="1:31">
      <c r="A527" s="3" t="s">
        <v>188</v>
      </c>
      <c r="B527" s="3" t="s">
        <v>25</v>
      </c>
      <c r="C527" s="8">
        <v>76.5</v>
      </c>
      <c r="D527" s="8">
        <v>11.42</v>
      </c>
      <c r="E527" s="8">
        <v>14</v>
      </c>
      <c r="F527" s="8">
        <v>4.73</v>
      </c>
      <c r="G527" s="8">
        <v>1050</v>
      </c>
      <c r="H527" s="8">
        <v>5.99</v>
      </c>
      <c r="I527" s="3"/>
      <c r="J527" s="3"/>
      <c r="K527" s="3"/>
      <c r="L527" s="25">
        <v>21</v>
      </c>
      <c r="M527" s="3"/>
      <c r="N527" s="3"/>
      <c r="O527" s="8">
        <v>500</v>
      </c>
      <c r="P527" s="9" t="b">
        <v>0</v>
      </c>
      <c r="Q527" s="9" t="b">
        <v>0</v>
      </c>
      <c r="R527" s="9" t="b">
        <v>0</v>
      </c>
      <c r="S527" s="10"/>
      <c r="T527" s="10"/>
      <c r="U527" s="10"/>
      <c r="V527" s="10"/>
      <c r="W527" s="10"/>
      <c r="X527" s="10"/>
      <c r="Y527" s="10"/>
      <c r="Z527" s="10"/>
      <c r="AA527" s="10"/>
      <c r="AB527" s="10"/>
      <c r="AC527" s="10"/>
      <c r="AD527" s="10"/>
      <c r="AE527" s="10"/>
    </row>
    <row r="528" ht="14.4" spans="1:31">
      <c r="A528" s="10" t="s">
        <v>189</v>
      </c>
      <c r="B528" s="10" t="s">
        <v>84</v>
      </c>
      <c r="C528" s="3">
        <v>81</v>
      </c>
      <c r="D528" s="10">
        <v>11.94</v>
      </c>
      <c r="E528" s="3">
        <v>16.02</v>
      </c>
      <c r="F528" s="10">
        <v>8.22</v>
      </c>
      <c r="G528" s="10">
        <v>820</v>
      </c>
      <c r="H528" s="10">
        <v>11.7</v>
      </c>
      <c r="I528" s="10"/>
      <c r="J528" s="10"/>
      <c r="L528">
        <v>7</v>
      </c>
      <c r="N528" s="10"/>
      <c r="O528" s="3">
        <v>500</v>
      </c>
      <c r="P528" t="b">
        <v>0</v>
      </c>
      <c r="Q528" t="b">
        <v>0</v>
      </c>
      <c r="R528" s="9" t="b">
        <v>0</v>
      </c>
      <c r="S528" s="10"/>
      <c r="T528" s="10"/>
      <c r="U528" s="10"/>
      <c r="V528" s="10"/>
      <c r="W528" s="10"/>
      <c r="X528" s="10"/>
      <c r="Y528" s="10"/>
      <c r="Z528" s="10"/>
      <c r="AA528" s="10"/>
      <c r="AB528" s="10"/>
      <c r="AC528" s="10"/>
      <c r="AD528" s="10"/>
      <c r="AE528" s="10"/>
    </row>
    <row r="529" ht="14.4" spans="1:31">
      <c r="A529" s="10" t="s">
        <v>189</v>
      </c>
      <c r="B529" t="s">
        <v>65</v>
      </c>
      <c r="C529" s="3">
        <v>81</v>
      </c>
      <c r="D529" s="10">
        <v>11.94</v>
      </c>
      <c r="E529" s="3">
        <v>16.02</v>
      </c>
      <c r="F529" s="10">
        <v>8.22</v>
      </c>
      <c r="G529" s="10">
        <v>820</v>
      </c>
      <c r="H529" s="10">
        <v>11.7</v>
      </c>
      <c r="I529" s="10"/>
      <c r="J529" s="10"/>
      <c r="L529">
        <v>14</v>
      </c>
      <c r="N529" s="10"/>
      <c r="O529" s="3">
        <v>500</v>
      </c>
      <c r="P529" t="b">
        <v>0</v>
      </c>
      <c r="Q529" t="b">
        <v>0</v>
      </c>
      <c r="R529" s="9" t="b">
        <v>0</v>
      </c>
      <c r="S529" s="10"/>
      <c r="T529" s="10"/>
      <c r="U529" s="10"/>
      <c r="V529" s="10"/>
      <c r="W529" s="10"/>
      <c r="X529" s="10"/>
      <c r="Y529" s="10"/>
      <c r="Z529" s="10"/>
      <c r="AA529" s="10"/>
      <c r="AB529" s="10"/>
      <c r="AC529" s="10"/>
      <c r="AD529" s="10"/>
      <c r="AE529" s="10"/>
    </row>
    <row r="530" ht="14.4" spans="1:31">
      <c r="A530" s="10" t="s">
        <v>189</v>
      </c>
      <c r="B530" t="s">
        <v>115</v>
      </c>
      <c r="C530" s="3">
        <v>81</v>
      </c>
      <c r="D530" s="10">
        <v>11.94</v>
      </c>
      <c r="E530" s="3">
        <v>16.02</v>
      </c>
      <c r="F530" s="10">
        <v>8.22</v>
      </c>
      <c r="G530" s="10">
        <v>820</v>
      </c>
      <c r="H530" s="10">
        <v>11.7</v>
      </c>
      <c r="I530" s="10"/>
      <c r="J530" s="10"/>
      <c r="L530">
        <v>4</v>
      </c>
      <c r="N530" s="10"/>
      <c r="O530" s="3">
        <v>500</v>
      </c>
      <c r="P530" t="b">
        <v>0</v>
      </c>
      <c r="Q530" t="b">
        <v>0</v>
      </c>
      <c r="R530" s="9" t="b">
        <v>0</v>
      </c>
      <c r="S530" s="10"/>
      <c r="T530" s="10"/>
      <c r="U530" s="10"/>
      <c r="V530" s="10"/>
      <c r="W530" s="10"/>
      <c r="X530" s="10"/>
      <c r="Y530" s="10"/>
      <c r="Z530" s="10"/>
      <c r="AA530" s="10"/>
      <c r="AB530" s="10"/>
      <c r="AC530" s="10"/>
      <c r="AD530" s="10"/>
      <c r="AE530" s="10"/>
    </row>
    <row r="531" ht="14.4" spans="1:31">
      <c r="A531" s="10" t="s">
        <v>189</v>
      </c>
      <c r="B531" t="s">
        <v>66</v>
      </c>
      <c r="C531" s="3">
        <v>81</v>
      </c>
      <c r="D531" s="10">
        <v>11.94</v>
      </c>
      <c r="E531" s="3">
        <v>16.02</v>
      </c>
      <c r="F531" s="10">
        <v>8.22</v>
      </c>
      <c r="G531" s="10">
        <v>820</v>
      </c>
      <c r="H531" s="10">
        <v>11.7</v>
      </c>
      <c r="I531" s="10"/>
      <c r="J531" s="10"/>
      <c r="L531">
        <v>14</v>
      </c>
      <c r="N531" s="10"/>
      <c r="O531" s="3">
        <v>500</v>
      </c>
      <c r="P531" t="b">
        <v>0</v>
      </c>
      <c r="Q531" t="b">
        <v>0</v>
      </c>
      <c r="R531" s="9" t="b">
        <v>0</v>
      </c>
      <c r="S531" s="10"/>
      <c r="T531" s="10"/>
      <c r="U531" s="10"/>
      <c r="V531" s="10"/>
      <c r="W531" s="10"/>
      <c r="X531" s="10"/>
      <c r="Y531" s="10"/>
      <c r="Z531" s="10"/>
      <c r="AA531" s="10"/>
      <c r="AB531" s="10"/>
      <c r="AC531" s="10"/>
      <c r="AD531" s="10"/>
      <c r="AE531" s="10"/>
    </row>
    <row r="532" ht="14.4" spans="1:31">
      <c r="A532" s="10" t="s">
        <v>189</v>
      </c>
      <c r="B532" t="s">
        <v>67</v>
      </c>
      <c r="C532" s="3">
        <v>81</v>
      </c>
      <c r="D532" s="10">
        <v>11.94</v>
      </c>
      <c r="E532" s="3">
        <v>16.02</v>
      </c>
      <c r="F532" s="10">
        <v>8.22</v>
      </c>
      <c r="G532" s="10">
        <v>820</v>
      </c>
      <c r="H532" s="10">
        <v>11.7</v>
      </c>
      <c r="I532" s="10"/>
      <c r="J532" s="10"/>
      <c r="L532">
        <v>6</v>
      </c>
      <c r="N532" s="10"/>
      <c r="O532" s="3">
        <v>500</v>
      </c>
      <c r="P532" t="b">
        <v>0</v>
      </c>
      <c r="Q532" t="b">
        <v>0</v>
      </c>
      <c r="R532" s="9" t="b">
        <v>0</v>
      </c>
      <c r="S532" s="10"/>
      <c r="T532" s="10"/>
      <c r="U532" s="10"/>
      <c r="V532" s="10"/>
      <c r="W532" s="10"/>
      <c r="X532" s="10"/>
      <c r="Y532" s="10"/>
      <c r="Z532" s="10"/>
      <c r="AA532" s="10"/>
      <c r="AB532" s="10"/>
      <c r="AC532" s="10"/>
      <c r="AD532" s="10"/>
      <c r="AE532" s="10"/>
    </row>
    <row r="533" ht="14.4" spans="1:31">
      <c r="A533" s="10" t="s">
        <v>189</v>
      </c>
      <c r="B533" t="s">
        <v>25</v>
      </c>
      <c r="C533" s="3">
        <v>81</v>
      </c>
      <c r="D533" s="10">
        <v>11.94</v>
      </c>
      <c r="E533" s="3">
        <v>16.02</v>
      </c>
      <c r="F533" s="10">
        <v>8.22</v>
      </c>
      <c r="G533" s="3">
        <v>1230</v>
      </c>
      <c r="H533" s="3">
        <v>6.67</v>
      </c>
      <c r="I533" s="10"/>
      <c r="J533" s="10"/>
      <c r="L533">
        <v>21</v>
      </c>
      <c r="N533" s="10"/>
      <c r="O533" s="3">
        <v>500</v>
      </c>
      <c r="P533" t="b">
        <v>0</v>
      </c>
      <c r="Q533" t="b">
        <v>0</v>
      </c>
      <c r="R533" s="9" t="b">
        <v>0</v>
      </c>
      <c r="S533" s="10"/>
      <c r="T533" s="10"/>
      <c r="U533" s="10"/>
      <c r="V533" s="10"/>
      <c r="W533" s="10"/>
      <c r="X533" s="10"/>
      <c r="Y533" s="10"/>
      <c r="Z533" s="10"/>
      <c r="AA533" s="10"/>
      <c r="AB533" s="10"/>
      <c r="AC533" s="10"/>
      <c r="AD533" s="10"/>
      <c r="AE533" s="10"/>
    </row>
    <row r="534" ht="14.4" spans="1:31">
      <c r="A534" s="10" t="s">
        <v>190</v>
      </c>
      <c r="B534" s="10" t="s">
        <v>84</v>
      </c>
      <c r="C534" s="10">
        <v>76</v>
      </c>
      <c r="D534" s="10">
        <v>12.25</v>
      </c>
      <c r="E534" s="3">
        <v>15.82</v>
      </c>
      <c r="F534" s="10">
        <v>7.84</v>
      </c>
      <c r="G534" s="10">
        <v>820</v>
      </c>
      <c r="H534" s="10">
        <v>9</v>
      </c>
      <c r="I534" s="10"/>
      <c r="J534" s="10"/>
      <c r="L534">
        <v>6</v>
      </c>
      <c r="N534" s="10"/>
      <c r="O534" s="3">
        <v>500</v>
      </c>
      <c r="P534" t="b">
        <v>0</v>
      </c>
      <c r="Q534" t="b">
        <v>0</v>
      </c>
      <c r="R534" s="9" t="b">
        <v>0</v>
      </c>
      <c r="S534" s="10"/>
      <c r="T534" s="10"/>
      <c r="U534" s="10"/>
      <c r="V534" s="10"/>
      <c r="W534" s="10"/>
      <c r="X534" s="10"/>
      <c r="Y534" s="10"/>
      <c r="Z534" s="10"/>
      <c r="AA534" s="10"/>
      <c r="AB534" s="10"/>
      <c r="AC534" s="10"/>
      <c r="AD534" s="10"/>
      <c r="AE534" s="10"/>
    </row>
    <row r="535" ht="14.4" spans="1:31">
      <c r="A535" s="10" t="s">
        <v>190</v>
      </c>
      <c r="B535" t="s">
        <v>65</v>
      </c>
      <c r="C535" s="10">
        <v>76</v>
      </c>
      <c r="D535" s="10">
        <v>12.25</v>
      </c>
      <c r="E535" s="3">
        <v>15.82</v>
      </c>
      <c r="F535" s="10">
        <v>7.84</v>
      </c>
      <c r="G535" s="10">
        <v>820</v>
      </c>
      <c r="H535" s="10">
        <v>9</v>
      </c>
      <c r="I535" s="10"/>
      <c r="J535" s="10"/>
      <c r="L535">
        <v>12</v>
      </c>
      <c r="N535" s="10"/>
      <c r="O535" s="3">
        <v>500</v>
      </c>
      <c r="P535" t="b">
        <v>0</v>
      </c>
      <c r="Q535" t="b">
        <v>0</v>
      </c>
      <c r="R535" s="9" t="b">
        <v>0</v>
      </c>
      <c r="S535" s="10"/>
      <c r="T535" s="10"/>
      <c r="U535" s="10"/>
      <c r="V535" s="10"/>
      <c r="W535" s="10"/>
      <c r="X535" s="10"/>
      <c r="Y535" s="10"/>
      <c r="Z535" s="10"/>
      <c r="AA535" s="10"/>
      <c r="AB535" s="10"/>
      <c r="AC535" s="10"/>
      <c r="AD535" s="10"/>
      <c r="AE535" s="10"/>
    </row>
    <row r="536" ht="14.4" spans="1:31">
      <c r="A536" s="10" t="s">
        <v>190</v>
      </c>
      <c r="B536" t="s">
        <v>115</v>
      </c>
      <c r="C536" s="10">
        <v>76</v>
      </c>
      <c r="D536" s="10">
        <v>12.25</v>
      </c>
      <c r="E536" s="3">
        <v>15.82</v>
      </c>
      <c r="F536" s="10">
        <v>7.84</v>
      </c>
      <c r="G536" s="10">
        <v>820</v>
      </c>
      <c r="H536" s="10">
        <v>9</v>
      </c>
      <c r="I536" s="10"/>
      <c r="J536" s="10"/>
      <c r="L536">
        <v>3</v>
      </c>
      <c r="N536" s="10"/>
      <c r="O536" s="3">
        <v>500</v>
      </c>
      <c r="P536" t="b">
        <v>0</v>
      </c>
      <c r="Q536" t="b">
        <v>0</v>
      </c>
      <c r="R536" s="9" t="b">
        <v>0</v>
      </c>
      <c r="S536" s="10"/>
      <c r="T536" s="10"/>
      <c r="U536" s="10"/>
      <c r="V536" s="10"/>
      <c r="W536" s="10"/>
      <c r="X536" s="10"/>
      <c r="Y536" s="10"/>
      <c r="Z536" s="10"/>
      <c r="AA536" s="10"/>
      <c r="AB536" s="10"/>
      <c r="AC536" s="10"/>
      <c r="AD536" s="10"/>
      <c r="AE536" s="10"/>
    </row>
    <row r="537" ht="14.4" spans="1:31">
      <c r="A537" s="10" t="s">
        <v>190</v>
      </c>
      <c r="B537" t="s">
        <v>66</v>
      </c>
      <c r="C537" s="10">
        <v>76</v>
      </c>
      <c r="D537" s="10">
        <v>12.25</v>
      </c>
      <c r="E537" s="3">
        <v>15.82</v>
      </c>
      <c r="F537" s="10">
        <v>7.84</v>
      </c>
      <c r="G537" s="10">
        <v>820</v>
      </c>
      <c r="H537" s="10">
        <v>9</v>
      </c>
      <c r="I537" s="10"/>
      <c r="J537" s="10"/>
      <c r="L537">
        <v>12</v>
      </c>
      <c r="N537" s="10"/>
      <c r="O537" s="3">
        <v>500</v>
      </c>
      <c r="P537" t="b">
        <v>0</v>
      </c>
      <c r="Q537" t="b">
        <v>0</v>
      </c>
      <c r="R537" s="9" t="b">
        <v>0</v>
      </c>
      <c r="S537" s="10"/>
      <c r="T537" s="10"/>
      <c r="U537" s="10"/>
      <c r="V537" s="10"/>
      <c r="W537" s="10"/>
      <c r="X537" s="10"/>
      <c r="Y537" s="10"/>
      <c r="Z537" s="10"/>
      <c r="AA537" s="10"/>
      <c r="AB537" s="10"/>
      <c r="AC537" s="10"/>
      <c r="AD537" s="10"/>
      <c r="AE537" s="10"/>
    </row>
    <row r="538" ht="14.4" spans="1:31">
      <c r="A538" s="10" t="s">
        <v>190</v>
      </c>
      <c r="B538" t="s">
        <v>67</v>
      </c>
      <c r="C538" s="10">
        <v>76</v>
      </c>
      <c r="D538" s="10">
        <v>12.25</v>
      </c>
      <c r="E538" s="3">
        <v>15.82</v>
      </c>
      <c r="F538" s="10">
        <v>7.84</v>
      </c>
      <c r="G538" s="10">
        <v>820</v>
      </c>
      <c r="H538" s="10">
        <v>9</v>
      </c>
      <c r="I538" s="10"/>
      <c r="J538" s="10"/>
      <c r="L538">
        <v>6</v>
      </c>
      <c r="N538" s="10"/>
      <c r="O538" s="3">
        <v>500</v>
      </c>
      <c r="P538" t="b">
        <v>0</v>
      </c>
      <c r="Q538" t="b">
        <v>0</v>
      </c>
      <c r="R538" s="9" t="b">
        <v>0</v>
      </c>
      <c r="S538" s="10"/>
      <c r="T538" s="10"/>
      <c r="U538" s="10"/>
      <c r="V538" s="10"/>
      <c r="W538" s="10"/>
      <c r="X538" s="10"/>
      <c r="Y538" s="10"/>
      <c r="Z538" s="10"/>
      <c r="AA538" s="10"/>
      <c r="AB538" s="10"/>
      <c r="AC538" s="10"/>
      <c r="AD538" s="10"/>
      <c r="AE538" s="10"/>
    </row>
    <row r="539" ht="14.4" spans="1:31">
      <c r="A539" s="10" t="s">
        <v>190</v>
      </c>
      <c r="B539" t="s">
        <v>25</v>
      </c>
      <c r="C539" s="10">
        <v>76</v>
      </c>
      <c r="D539" s="10">
        <v>12.25</v>
      </c>
      <c r="E539" s="3">
        <v>15.82</v>
      </c>
      <c r="F539" s="3">
        <v>5.49</v>
      </c>
      <c r="G539" s="3">
        <v>1230</v>
      </c>
      <c r="H539" s="3">
        <v>5.13</v>
      </c>
      <c r="I539" s="10"/>
      <c r="J539" s="10"/>
      <c r="L539">
        <v>21</v>
      </c>
      <c r="N539" s="10"/>
      <c r="O539" s="3">
        <v>500</v>
      </c>
      <c r="P539" t="b">
        <v>0</v>
      </c>
      <c r="Q539" t="b">
        <v>0</v>
      </c>
      <c r="R539" s="9" t="b">
        <v>0</v>
      </c>
      <c r="S539" s="10"/>
      <c r="T539" s="10"/>
      <c r="U539" s="10"/>
      <c r="V539" s="10"/>
      <c r="W539" s="10"/>
      <c r="X539" s="10"/>
      <c r="Y539" s="10"/>
      <c r="Z539" s="10"/>
      <c r="AA539" s="10"/>
      <c r="AB539" s="10"/>
      <c r="AC539" s="10"/>
      <c r="AD539" s="10"/>
      <c r="AE539" s="10"/>
    </row>
    <row r="540" ht="14.4" spans="1:31">
      <c r="A540" s="10" t="s">
        <v>191</v>
      </c>
      <c r="B540" s="3" t="s">
        <v>84</v>
      </c>
      <c r="C540" s="8">
        <v>79.5</v>
      </c>
      <c r="D540" s="8">
        <v>11.99</v>
      </c>
      <c r="E540" s="3">
        <v>16.25</v>
      </c>
      <c r="F540" s="8">
        <v>7.89</v>
      </c>
      <c r="G540" s="8">
        <v>740</v>
      </c>
      <c r="H540" s="8">
        <v>11</v>
      </c>
      <c r="L540">
        <v>6</v>
      </c>
      <c r="N540" s="10"/>
      <c r="O540" s="3">
        <v>500</v>
      </c>
      <c r="P540" t="b">
        <v>0</v>
      </c>
      <c r="Q540" t="b">
        <v>0</v>
      </c>
      <c r="R540" s="9" t="b">
        <v>0</v>
      </c>
      <c r="S540" s="10"/>
      <c r="T540" s="10"/>
      <c r="U540" s="10"/>
      <c r="V540" s="10"/>
      <c r="W540" s="10"/>
      <c r="X540" s="10"/>
      <c r="Y540" s="10"/>
      <c r="Z540" s="10"/>
      <c r="AA540" s="10"/>
      <c r="AB540" s="10"/>
      <c r="AC540" s="10"/>
      <c r="AD540" s="10"/>
      <c r="AE540" s="10"/>
    </row>
    <row r="541" ht="14.4" spans="1:31">
      <c r="A541" s="10" t="s">
        <v>191</v>
      </c>
      <c r="B541" t="s">
        <v>65</v>
      </c>
      <c r="C541" s="8">
        <v>79.5</v>
      </c>
      <c r="D541" s="8">
        <v>11.99</v>
      </c>
      <c r="E541" s="3">
        <v>16.25</v>
      </c>
      <c r="F541" s="8">
        <v>7.89</v>
      </c>
      <c r="G541" s="8">
        <v>740</v>
      </c>
      <c r="H541" s="8">
        <v>11</v>
      </c>
      <c r="L541">
        <v>12</v>
      </c>
      <c r="N541" s="10"/>
      <c r="O541" s="3">
        <v>500</v>
      </c>
      <c r="P541" t="b">
        <v>0</v>
      </c>
      <c r="Q541" t="b">
        <v>0</v>
      </c>
      <c r="R541" s="9" t="b">
        <v>0</v>
      </c>
      <c r="S541" s="10"/>
      <c r="T541" s="10"/>
      <c r="U541" s="10"/>
      <c r="V541" s="10"/>
      <c r="W541" s="10"/>
      <c r="X541" s="10"/>
      <c r="Y541" s="10"/>
      <c r="Z541" s="10"/>
      <c r="AA541" s="10"/>
      <c r="AB541" s="10"/>
      <c r="AC541" s="10"/>
      <c r="AD541" s="10"/>
      <c r="AE541" s="10"/>
    </row>
    <row r="542" ht="14.4" spans="1:31">
      <c r="A542" s="10" t="s">
        <v>191</v>
      </c>
      <c r="B542" t="s">
        <v>115</v>
      </c>
      <c r="C542" s="8">
        <v>79.5</v>
      </c>
      <c r="D542" s="8">
        <v>11.99</v>
      </c>
      <c r="E542" s="3">
        <v>16.25</v>
      </c>
      <c r="F542" s="8">
        <v>7.89</v>
      </c>
      <c r="G542" s="8">
        <v>740</v>
      </c>
      <c r="H542" s="8">
        <v>11</v>
      </c>
      <c r="L542">
        <v>3</v>
      </c>
      <c r="N542" s="10"/>
      <c r="O542" s="3">
        <v>500</v>
      </c>
      <c r="P542" t="b">
        <v>0</v>
      </c>
      <c r="Q542" t="b">
        <v>0</v>
      </c>
      <c r="R542" s="9" t="b">
        <v>0</v>
      </c>
      <c r="S542" s="10"/>
      <c r="T542" s="10"/>
      <c r="U542" s="10"/>
      <c r="V542" s="10"/>
      <c r="W542" s="10"/>
      <c r="X542" s="10"/>
      <c r="Y542" s="10"/>
      <c r="Z542" s="10"/>
      <c r="AA542" s="10"/>
      <c r="AB542" s="10"/>
      <c r="AC542" s="10"/>
      <c r="AD542" s="10"/>
      <c r="AE542" s="10"/>
    </row>
    <row r="543" ht="14.4" spans="1:31">
      <c r="A543" s="10" t="s">
        <v>191</v>
      </c>
      <c r="B543" t="s">
        <v>66</v>
      </c>
      <c r="C543" s="8">
        <v>79.5</v>
      </c>
      <c r="D543" s="8">
        <v>11.99</v>
      </c>
      <c r="E543" s="3">
        <v>16.25</v>
      </c>
      <c r="F543" s="8">
        <v>7.89</v>
      </c>
      <c r="G543" s="8">
        <v>740</v>
      </c>
      <c r="H543" s="8">
        <v>11</v>
      </c>
      <c r="L543">
        <v>12</v>
      </c>
      <c r="N543" s="10"/>
      <c r="O543" s="3">
        <v>500</v>
      </c>
      <c r="P543" t="b">
        <v>0</v>
      </c>
      <c r="Q543" t="b">
        <v>0</v>
      </c>
      <c r="R543" s="9" t="b">
        <v>0</v>
      </c>
      <c r="S543" s="10"/>
      <c r="T543" s="10"/>
      <c r="U543" s="10"/>
      <c r="V543" s="10"/>
      <c r="W543" s="10"/>
      <c r="X543" s="10"/>
      <c r="Y543" s="10"/>
      <c r="Z543" s="10"/>
      <c r="AA543" s="10"/>
      <c r="AB543" s="10"/>
      <c r="AC543" s="10"/>
      <c r="AD543" s="10"/>
      <c r="AE543" s="10"/>
    </row>
    <row r="544" ht="14.4" spans="1:31">
      <c r="A544" s="10" t="s">
        <v>191</v>
      </c>
      <c r="B544" t="s">
        <v>67</v>
      </c>
      <c r="C544" s="8">
        <v>79.5</v>
      </c>
      <c r="D544" s="8">
        <v>11.99</v>
      </c>
      <c r="E544" s="3">
        <v>16.25</v>
      </c>
      <c r="F544" s="8">
        <v>7.89</v>
      </c>
      <c r="G544" s="8">
        <v>740</v>
      </c>
      <c r="H544" s="8">
        <v>11</v>
      </c>
      <c r="L544">
        <v>6</v>
      </c>
      <c r="N544" s="10"/>
      <c r="O544" s="3">
        <v>500</v>
      </c>
      <c r="P544" t="b">
        <v>0</v>
      </c>
      <c r="Q544" t="b">
        <v>0</v>
      </c>
      <c r="R544" s="9" t="b">
        <v>0</v>
      </c>
      <c r="S544" s="10"/>
      <c r="T544" s="10"/>
      <c r="U544" s="10"/>
      <c r="V544" s="10"/>
      <c r="W544" s="10"/>
      <c r="X544" s="10"/>
      <c r="Y544" s="10"/>
      <c r="Z544" s="10"/>
      <c r="AA544" s="10"/>
      <c r="AB544" s="10"/>
      <c r="AC544" s="10"/>
      <c r="AD544" s="10"/>
      <c r="AE544" s="10"/>
    </row>
    <row r="545" ht="14.4" spans="1:31">
      <c r="A545" s="10" t="s">
        <v>191</v>
      </c>
      <c r="B545" t="s">
        <v>25</v>
      </c>
      <c r="C545" s="8">
        <v>79.5</v>
      </c>
      <c r="D545" s="8">
        <v>11.99</v>
      </c>
      <c r="E545" s="3">
        <v>16.25</v>
      </c>
      <c r="F545" s="8">
        <v>5.52</v>
      </c>
      <c r="G545" s="8">
        <v>1110</v>
      </c>
      <c r="H545" s="8">
        <v>6.27</v>
      </c>
      <c r="L545">
        <v>21</v>
      </c>
      <c r="N545" s="10"/>
      <c r="O545" s="3">
        <v>500</v>
      </c>
      <c r="P545" t="b">
        <v>0</v>
      </c>
      <c r="Q545" t="b">
        <v>0</v>
      </c>
      <c r="R545" s="9" t="b">
        <v>0</v>
      </c>
      <c r="S545" s="10"/>
      <c r="T545" s="10"/>
      <c r="U545" s="10"/>
      <c r="V545" s="10"/>
      <c r="W545" s="10"/>
      <c r="X545" s="10"/>
      <c r="Y545" s="10"/>
      <c r="Z545" s="10"/>
      <c r="AA545" s="10"/>
      <c r="AB545" s="10"/>
      <c r="AC545" s="10"/>
      <c r="AD545" s="10"/>
      <c r="AE545" s="10"/>
    </row>
    <row r="546" ht="14.4" spans="1:31">
      <c r="A546" s="10" t="s">
        <v>192</v>
      </c>
      <c r="B546" s="3" t="s">
        <v>84</v>
      </c>
      <c r="C546" s="8">
        <v>48</v>
      </c>
      <c r="D546" s="8">
        <v>11.94</v>
      </c>
      <c r="E546" s="3">
        <v>10.22</v>
      </c>
      <c r="F546" s="8">
        <v>8.22</v>
      </c>
      <c r="G546" s="8">
        <v>685</v>
      </c>
      <c r="H546" s="8">
        <v>8</v>
      </c>
      <c r="L546">
        <v>5</v>
      </c>
      <c r="N546" s="10"/>
      <c r="O546" s="3">
        <v>500</v>
      </c>
      <c r="P546" t="b">
        <v>0</v>
      </c>
      <c r="Q546" t="b">
        <v>0</v>
      </c>
      <c r="R546" s="9" t="b">
        <v>0</v>
      </c>
      <c r="S546" s="10"/>
      <c r="T546" s="10"/>
      <c r="U546" s="10"/>
      <c r="V546" s="10"/>
      <c r="W546" s="10"/>
      <c r="X546" s="10"/>
      <c r="Y546" s="10"/>
      <c r="Z546" s="10"/>
      <c r="AA546" s="10"/>
      <c r="AB546" s="10"/>
      <c r="AC546" s="10"/>
      <c r="AD546" s="10"/>
      <c r="AE546" s="10"/>
    </row>
    <row r="547" ht="14.4" spans="1:31">
      <c r="A547" s="10" t="s">
        <v>192</v>
      </c>
      <c r="B547" t="s">
        <v>65</v>
      </c>
      <c r="C547" s="8">
        <v>48</v>
      </c>
      <c r="D547" s="8">
        <v>11.94</v>
      </c>
      <c r="E547" s="3">
        <v>10.22</v>
      </c>
      <c r="F547" s="8">
        <v>8.22</v>
      </c>
      <c r="G547" s="8">
        <v>685</v>
      </c>
      <c r="H547" s="8">
        <v>8</v>
      </c>
      <c r="L547">
        <v>10</v>
      </c>
      <c r="N547" s="10"/>
      <c r="O547" s="3">
        <v>500</v>
      </c>
      <c r="P547" t="b">
        <v>0</v>
      </c>
      <c r="Q547" t="b">
        <v>0</v>
      </c>
      <c r="R547" s="9" t="b">
        <v>0</v>
      </c>
      <c r="S547" s="10"/>
      <c r="T547" s="10"/>
      <c r="U547" s="10"/>
      <c r="V547" s="10"/>
      <c r="W547" s="10"/>
      <c r="X547" s="10"/>
      <c r="Y547" s="10"/>
      <c r="Z547" s="10"/>
      <c r="AA547" s="10"/>
      <c r="AB547" s="10"/>
      <c r="AC547" s="10"/>
      <c r="AD547" s="10"/>
      <c r="AE547" s="10"/>
    </row>
    <row r="548" ht="14.4" spans="1:31">
      <c r="A548" s="10" t="s">
        <v>192</v>
      </c>
      <c r="B548" t="s">
        <v>115</v>
      </c>
      <c r="C548" s="8">
        <v>48</v>
      </c>
      <c r="D548" s="8">
        <v>11.94</v>
      </c>
      <c r="E548" s="3">
        <v>10.22</v>
      </c>
      <c r="F548" s="8">
        <v>8.22</v>
      </c>
      <c r="G548" s="8">
        <v>685</v>
      </c>
      <c r="H548" s="8">
        <v>8</v>
      </c>
      <c r="L548">
        <v>3</v>
      </c>
      <c r="N548" s="10"/>
      <c r="O548" s="3">
        <v>500</v>
      </c>
      <c r="P548" t="b">
        <v>0</v>
      </c>
      <c r="Q548" t="b">
        <v>0</v>
      </c>
      <c r="R548" s="9" t="b">
        <v>0</v>
      </c>
      <c r="S548" s="10"/>
      <c r="T548" s="10"/>
      <c r="U548" s="10"/>
      <c r="V548" s="10"/>
      <c r="W548" s="10"/>
      <c r="X548" s="10"/>
      <c r="Y548" s="10"/>
      <c r="Z548" s="10"/>
      <c r="AA548" s="10"/>
      <c r="AB548" s="10"/>
      <c r="AC548" s="10"/>
      <c r="AD548" s="10"/>
      <c r="AE548" s="10"/>
    </row>
    <row r="549" ht="14.4" spans="1:31">
      <c r="A549" s="10" t="s">
        <v>192</v>
      </c>
      <c r="B549" t="s">
        <v>66</v>
      </c>
      <c r="C549" s="8">
        <v>48</v>
      </c>
      <c r="D549" s="8">
        <v>11.94</v>
      </c>
      <c r="E549" s="3">
        <v>10.22</v>
      </c>
      <c r="F549" s="8">
        <v>8.22</v>
      </c>
      <c r="G549" s="8">
        <v>685</v>
      </c>
      <c r="H549" s="8">
        <v>8</v>
      </c>
      <c r="L549">
        <v>10</v>
      </c>
      <c r="N549" s="10"/>
      <c r="O549" s="3">
        <v>500</v>
      </c>
      <c r="P549" t="b">
        <v>0</v>
      </c>
      <c r="Q549" t="b">
        <v>0</v>
      </c>
      <c r="R549" s="9" t="b">
        <v>0</v>
      </c>
      <c r="S549" s="10"/>
      <c r="T549" s="10"/>
      <c r="U549" s="10"/>
      <c r="V549" s="10"/>
      <c r="W549" s="10"/>
      <c r="X549" s="10"/>
      <c r="Y549" s="10"/>
      <c r="Z549" s="10"/>
      <c r="AA549" s="10"/>
      <c r="AB549" s="10"/>
      <c r="AC549" s="10"/>
      <c r="AD549" s="10"/>
      <c r="AE549" s="10"/>
    </row>
    <row r="550" ht="14.4" spans="1:31">
      <c r="A550" s="10" t="s">
        <v>192</v>
      </c>
      <c r="B550" t="s">
        <v>67</v>
      </c>
      <c r="C550" s="8">
        <v>48</v>
      </c>
      <c r="D550" s="8">
        <v>11.94</v>
      </c>
      <c r="E550" s="3">
        <v>10.22</v>
      </c>
      <c r="F550" s="8">
        <v>8.22</v>
      </c>
      <c r="G550" s="8">
        <v>685</v>
      </c>
      <c r="H550" s="8">
        <v>8</v>
      </c>
      <c r="L550">
        <v>5</v>
      </c>
      <c r="N550" s="10"/>
      <c r="O550" s="3">
        <v>500</v>
      </c>
      <c r="P550" t="b">
        <v>0</v>
      </c>
      <c r="Q550" t="b">
        <v>0</v>
      </c>
      <c r="R550" s="9" t="b">
        <v>0</v>
      </c>
      <c r="S550" s="10"/>
      <c r="T550" s="10"/>
      <c r="U550" s="10"/>
      <c r="V550" s="10"/>
      <c r="W550" s="10"/>
      <c r="X550" s="10"/>
      <c r="Y550" s="10"/>
      <c r="Z550" s="10"/>
      <c r="AA550" s="10"/>
      <c r="AB550" s="10"/>
      <c r="AC550" s="10"/>
      <c r="AD550" s="10"/>
      <c r="AE550" s="10"/>
    </row>
    <row r="551" ht="14.4" spans="1:31">
      <c r="A551" s="10" t="s">
        <v>192</v>
      </c>
      <c r="B551" t="s">
        <v>25</v>
      </c>
      <c r="C551" s="8">
        <v>48</v>
      </c>
      <c r="D551" s="8">
        <v>11.94</v>
      </c>
      <c r="E551" s="3">
        <v>10.22</v>
      </c>
      <c r="F551" s="8">
        <v>5.75</v>
      </c>
      <c r="G551" s="8">
        <v>1027.5</v>
      </c>
      <c r="H551" s="8">
        <v>4.58</v>
      </c>
      <c r="L551">
        <v>17.5</v>
      </c>
      <c r="N551" s="10"/>
      <c r="O551" s="3">
        <v>500</v>
      </c>
      <c r="P551" t="b">
        <v>0</v>
      </c>
      <c r="Q551" t="b">
        <v>0</v>
      </c>
      <c r="R551" s="9" t="b">
        <v>0</v>
      </c>
      <c r="S551" s="10"/>
      <c r="T551" s="10"/>
      <c r="U551" s="10"/>
      <c r="V551" s="10"/>
      <c r="W551" s="10"/>
      <c r="X551" s="10"/>
      <c r="Y551" s="10"/>
      <c r="Z551" s="10"/>
      <c r="AA551" s="10"/>
      <c r="AB551" s="10"/>
      <c r="AC551" s="10"/>
      <c r="AD551" s="10"/>
      <c r="AE551" s="10"/>
    </row>
    <row r="552" ht="14.4" spans="1:31">
      <c r="A552" s="3" t="s">
        <v>193</v>
      </c>
      <c r="B552" s="3" t="s">
        <v>84</v>
      </c>
      <c r="C552" s="8">
        <v>76.21</v>
      </c>
      <c r="D552" s="8">
        <v>12.48</v>
      </c>
      <c r="E552" s="8">
        <v>15.2</v>
      </c>
      <c r="F552" s="8">
        <v>8.15</v>
      </c>
      <c r="G552" s="8">
        <v>594</v>
      </c>
      <c r="H552" s="8">
        <v>15.8</v>
      </c>
      <c r="I552" s="3"/>
      <c r="J552" s="3"/>
      <c r="K552" s="3"/>
      <c r="L552" s="8">
        <v>5.5</v>
      </c>
      <c r="M552" s="3"/>
      <c r="N552" s="3"/>
      <c r="O552" s="8">
        <v>500</v>
      </c>
      <c r="P552" t="b">
        <v>0</v>
      </c>
      <c r="Q552" t="b">
        <v>0</v>
      </c>
      <c r="R552" s="9" t="b">
        <v>0</v>
      </c>
      <c r="S552" s="10"/>
      <c r="T552" s="10"/>
      <c r="U552" s="10"/>
      <c r="V552" s="10"/>
      <c r="W552" s="10"/>
      <c r="X552" s="10"/>
      <c r="Y552" s="10"/>
      <c r="Z552" s="10"/>
      <c r="AA552" s="10"/>
      <c r="AB552" s="10"/>
      <c r="AC552" s="10"/>
      <c r="AD552" s="10"/>
      <c r="AE552" s="10"/>
    </row>
    <row r="553" ht="14.4" spans="1:31">
      <c r="A553" s="3" t="s">
        <v>193</v>
      </c>
      <c r="B553" s="3" t="s">
        <v>65</v>
      </c>
      <c r="C553" s="8">
        <v>76.21</v>
      </c>
      <c r="D553" s="8">
        <v>12.48</v>
      </c>
      <c r="E553" s="8">
        <v>15.2</v>
      </c>
      <c r="F553" s="8">
        <v>8.15</v>
      </c>
      <c r="G553" s="8">
        <v>594</v>
      </c>
      <c r="H553" s="8">
        <v>15.8</v>
      </c>
      <c r="I553" s="3"/>
      <c r="J553" s="3"/>
      <c r="K553" s="3"/>
      <c r="L553" s="8">
        <v>11</v>
      </c>
      <c r="M553" s="3"/>
      <c r="N553" s="3"/>
      <c r="O553" s="8">
        <v>500</v>
      </c>
      <c r="P553" t="b">
        <v>0</v>
      </c>
      <c r="Q553" t="b">
        <v>0</v>
      </c>
      <c r="R553" s="9" t="b">
        <v>0</v>
      </c>
      <c r="S553" s="10"/>
      <c r="T553" s="10"/>
      <c r="U553" s="10"/>
      <c r="V553" s="10"/>
      <c r="W553" s="10"/>
      <c r="X553" s="10"/>
      <c r="Y553" s="10"/>
      <c r="Z553" s="10"/>
      <c r="AA553" s="10"/>
      <c r="AB553" s="10"/>
      <c r="AC553" s="10"/>
      <c r="AD553" s="10"/>
      <c r="AE553" s="10"/>
    </row>
    <row r="554" ht="14.4" spans="1:31">
      <c r="A554" s="3" t="s">
        <v>193</v>
      </c>
      <c r="B554" s="3" t="s">
        <v>115</v>
      </c>
      <c r="C554" s="8">
        <v>76.21</v>
      </c>
      <c r="D554" s="8">
        <v>12.48</v>
      </c>
      <c r="E554" s="8">
        <v>15.2</v>
      </c>
      <c r="F554" s="8">
        <v>8.15</v>
      </c>
      <c r="G554" s="8">
        <v>594</v>
      </c>
      <c r="H554" s="8">
        <v>15.8</v>
      </c>
      <c r="I554" s="3"/>
      <c r="J554" s="3"/>
      <c r="K554" s="3"/>
      <c r="L554" s="8">
        <v>3</v>
      </c>
      <c r="M554" s="3"/>
      <c r="N554" s="3"/>
      <c r="O554" s="8">
        <v>500</v>
      </c>
      <c r="P554" t="b">
        <v>0</v>
      </c>
      <c r="Q554" t="b">
        <v>0</v>
      </c>
      <c r="R554" s="9" t="b">
        <v>0</v>
      </c>
      <c r="S554" s="10"/>
      <c r="T554" s="10"/>
      <c r="U554" s="10"/>
      <c r="V554" s="10"/>
      <c r="W554" s="10"/>
      <c r="X554" s="10"/>
      <c r="Y554" s="10"/>
      <c r="Z554" s="10"/>
      <c r="AA554" s="10"/>
      <c r="AB554" s="10"/>
      <c r="AC554" s="10"/>
      <c r="AD554" s="10"/>
      <c r="AE554" s="10"/>
    </row>
    <row r="555" ht="14.4" spans="1:31">
      <c r="A555" s="3" t="s">
        <v>193</v>
      </c>
      <c r="B555" s="3" t="s">
        <v>66</v>
      </c>
      <c r="C555" s="8">
        <v>76.21</v>
      </c>
      <c r="D555" s="8">
        <v>12.48</v>
      </c>
      <c r="E555" s="8">
        <v>15.2</v>
      </c>
      <c r="F555" s="8">
        <v>8.15</v>
      </c>
      <c r="G555" s="8">
        <v>594</v>
      </c>
      <c r="H555" s="8">
        <v>15.8</v>
      </c>
      <c r="I555" s="3"/>
      <c r="J555" s="3"/>
      <c r="K555" s="3"/>
      <c r="L555" s="8">
        <v>11</v>
      </c>
      <c r="M555" s="3"/>
      <c r="N555" s="3"/>
      <c r="O555" s="8">
        <v>500</v>
      </c>
      <c r="P555" t="b">
        <v>0</v>
      </c>
      <c r="Q555" t="b">
        <v>0</v>
      </c>
      <c r="R555" s="9" t="b">
        <v>0</v>
      </c>
      <c r="S555" s="10"/>
      <c r="T555" s="10"/>
      <c r="U555" s="10"/>
      <c r="V555" s="10"/>
      <c r="W555" s="10"/>
      <c r="X555" s="10"/>
      <c r="Y555" s="10"/>
      <c r="Z555" s="10"/>
      <c r="AA555" s="10"/>
      <c r="AB555" s="10"/>
      <c r="AC555" s="10"/>
      <c r="AD555" s="10"/>
      <c r="AE555" s="10"/>
    </row>
    <row r="556" ht="14.4" spans="1:31">
      <c r="A556" s="3" t="s">
        <v>193</v>
      </c>
      <c r="B556" s="3" t="s">
        <v>67</v>
      </c>
      <c r="C556" s="8">
        <v>76.21</v>
      </c>
      <c r="D556" s="8">
        <v>12.48</v>
      </c>
      <c r="E556" s="8">
        <v>15.2</v>
      </c>
      <c r="F556" s="8">
        <v>8.15</v>
      </c>
      <c r="G556" s="8">
        <v>594</v>
      </c>
      <c r="H556" s="8">
        <v>15.8</v>
      </c>
      <c r="I556" s="3"/>
      <c r="J556" s="3"/>
      <c r="K556" s="3"/>
      <c r="L556" s="8">
        <v>5.5</v>
      </c>
      <c r="M556" s="3"/>
      <c r="N556" s="3"/>
      <c r="O556" s="8">
        <v>500</v>
      </c>
      <c r="P556" t="b">
        <v>0</v>
      </c>
      <c r="Q556" t="b">
        <v>0</v>
      </c>
      <c r="R556" s="9" t="b">
        <v>0</v>
      </c>
      <c r="S556" s="10"/>
      <c r="T556" s="10"/>
      <c r="U556" s="10"/>
      <c r="V556" s="10"/>
      <c r="W556" s="10"/>
      <c r="X556" s="10"/>
      <c r="Y556" s="10"/>
      <c r="Z556" s="10"/>
      <c r="AA556" s="10"/>
      <c r="AB556" s="10"/>
      <c r="AC556" s="10"/>
      <c r="AD556" s="10"/>
      <c r="AE556" s="10"/>
    </row>
    <row r="557" ht="14.4" spans="1:31">
      <c r="A557" s="3" t="s">
        <v>193</v>
      </c>
      <c r="B557" s="3" t="s">
        <v>25</v>
      </c>
      <c r="C557" s="8">
        <v>76.21</v>
      </c>
      <c r="D557" s="8">
        <v>12.48</v>
      </c>
      <c r="E557" s="8">
        <v>15.2</v>
      </c>
      <c r="F557" s="8">
        <v>5.705</v>
      </c>
      <c r="G557" s="8">
        <v>891</v>
      </c>
      <c r="H557" s="8">
        <v>9.02</v>
      </c>
      <c r="I557" s="3"/>
      <c r="J557" s="3"/>
      <c r="K557" s="3"/>
      <c r="L557" s="8">
        <v>19</v>
      </c>
      <c r="M557" s="3"/>
      <c r="N557" s="3"/>
      <c r="O557" s="8">
        <v>500</v>
      </c>
      <c r="P557" t="b">
        <v>0</v>
      </c>
      <c r="Q557" t="b">
        <v>0</v>
      </c>
      <c r="R557" s="9" t="b">
        <v>0</v>
      </c>
      <c r="S557" s="10"/>
      <c r="T557" s="10"/>
      <c r="U557" s="10"/>
      <c r="V557" s="10"/>
      <c r="W557" s="10"/>
      <c r="X557" s="10"/>
      <c r="Y557" s="10"/>
      <c r="Z557" s="10"/>
      <c r="AA557" s="10"/>
      <c r="AB557" s="10"/>
      <c r="AC557" s="10"/>
      <c r="AD557" s="10"/>
      <c r="AE557" s="10"/>
    </row>
    <row r="558" ht="14.4" spans="1:31">
      <c r="A558" s="10" t="s">
        <v>194</v>
      </c>
      <c r="B558" s="3" t="s">
        <v>84</v>
      </c>
      <c r="C558" s="8">
        <v>75</v>
      </c>
      <c r="D558" s="8">
        <v>13.77</v>
      </c>
      <c r="E558" s="3">
        <v>15.06</v>
      </c>
      <c r="F558" s="8">
        <v>8.3</v>
      </c>
      <c r="G558" s="8">
        <v>730</v>
      </c>
      <c r="H558" s="8">
        <v>12.8</v>
      </c>
      <c r="L558">
        <v>6</v>
      </c>
      <c r="N558" s="10"/>
      <c r="O558" s="3">
        <v>500</v>
      </c>
      <c r="P558" t="b">
        <v>0</v>
      </c>
      <c r="Q558" t="b">
        <v>0</v>
      </c>
      <c r="R558" s="9" t="b">
        <v>0</v>
      </c>
      <c r="S558" s="10"/>
      <c r="T558" s="10"/>
      <c r="U558" s="10"/>
      <c r="V558" s="10"/>
      <c r="W558" s="10"/>
      <c r="X558" s="10"/>
      <c r="Y558" s="10"/>
      <c r="Z558" s="10"/>
      <c r="AA558" s="10"/>
      <c r="AB558" s="10"/>
      <c r="AC558" s="10"/>
      <c r="AD558" s="10"/>
      <c r="AE558" s="10"/>
    </row>
    <row r="559" ht="14.4" spans="1:31">
      <c r="A559" s="10" t="s">
        <v>194</v>
      </c>
      <c r="B559" s="3" t="s">
        <v>65</v>
      </c>
      <c r="C559" s="8">
        <v>75</v>
      </c>
      <c r="D559" s="8">
        <v>13.77</v>
      </c>
      <c r="E559" s="3">
        <v>15.06</v>
      </c>
      <c r="F559" s="8">
        <v>8.3</v>
      </c>
      <c r="G559" s="8">
        <v>730</v>
      </c>
      <c r="H559" s="8">
        <v>12.8</v>
      </c>
      <c r="L559">
        <v>12</v>
      </c>
      <c r="N559" s="10"/>
      <c r="O559" s="3">
        <v>500</v>
      </c>
      <c r="P559" t="b">
        <v>0</v>
      </c>
      <c r="Q559" t="b">
        <v>0</v>
      </c>
      <c r="R559" s="9" t="b">
        <v>0</v>
      </c>
      <c r="S559" s="10"/>
      <c r="T559" s="10"/>
      <c r="U559" s="10"/>
      <c r="V559" s="10"/>
      <c r="W559" s="10"/>
      <c r="X559" s="10"/>
      <c r="Y559" s="10"/>
      <c r="Z559" s="10"/>
      <c r="AA559" s="10"/>
      <c r="AB559" s="10"/>
      <c r="AC559" s="10"/>
      <c r="AD559" s="10"/>
      <c r="AE559" s="10"/>
    </row>
    <row r="560" ht="14.4" spans="1:31">
      <c r="A560" s="10" t="s">
        <v>194</v>
      </c>
      <c r="B560" s="3" t="s">
        <v>115</v>
      </c>
      <c r="C560" s="8">
        <v>75</v>
      </c>
      <c r="D560" s="8">
        <v>13.77</v>
      </c>
      <c r="E560" s="3">
        <v>15.06</v>
      </c>
      <c r="F560" s="8">
        <v>8.3</v>
      </c>
      <c r="G560" s="8">
        <v>730</v>
      </c>
      <c r="H560" s="8">
        <v>12.8</v>
      </c>
      <c r="L560">
        <v>3</v>
      </c>
      <c r="N560" s="10"/>
      <c r="O560" s="3">
        <v>500</v>
      </c>
      <c r="P560" t="b">
        <v>0</v>
      </c>
      <c r="Q560" t="b">
        <v>0</v>
      </c>
      <c r="R560" s="9" t="b">
        <v>0</v>
      </c>
      <c r="S560" s="10"/>
      <c r="T560" s="10"/>
      <c r="U560" s="10"/>
      <c r="V560" s="10"/>
      <c r="W560" s="10"/>
      <c r="X560" s="10"/>
      <c r="Y560" s="10"/>
      <c r="Z560" s="10"/>
      <c r="AA560" s="10"/>
      <c r="AB560" s="10"/>
      <c r="AC560" s="10"/>
      <c r="AD560" s="10"/>
      <c r="AE560" s="10"/>
    </row>
    <row r="561" ht="14.4" spans="1:31">
      <c r="A561" s="10" t="s">
        <v>194</v>
      </c>
      <c r="B561" s="3" t="s">
        <v>66</v>
      </c>
      <c r="C561" s="8">
        <v>75</v>
      </c>
      <c r="D561" s="8">
        <v>13.77</v>
      </c>
      <c r="E561" s="3">
        <v>15.06</v>
      </c>
      <c r="F561" s="8">
        <v>8.3</v>
      </c>
      <c r="G561" s="8">
        <v>730</v>
      </c>
      <c r="H561" s="8">
        <v>12.8</v>
      </c>
      <c r="L561">
        <v>12</v>
      </c>
      <c r="N561" s="10"/>
      <c r="O561" s="3">
        <v>500</v>
      </c>
      <c r="P561" t="b">
        <v>0</v>
      </c>
      <c r="Q561" t="b">
        <v>0</v>
      </c>
      <c r="R561" s="9" t="b">
        <v>0</v>
      </c>
      <c r="S561" s="10"/>
      <c r="T561" s="10"/>
      <c r="U561" s="10"/>
      <c r="V561" s="10"/>
      <c r="W561" s="10"/>
      <c r="X561" s="10"/>
      <c r="Y561" s="10"/>
      <c r="Z561" s="10"/>
      <c r="AA561" s="10"/>
      <c r="AB561" s="10"/>
      <c r="AC561" s="10"/>
      <c r="AD561" s="10"/>
      <c r="AE561" s="10"/>
    </row>
    <row r="562" ht="14.4" spans="1:31">
      <c r="A562" s="10" t="s">
        <v>194</v>
      </c>
      <c r="B562" s="3" t="s">
        <v>67</v>
      </c>
      <c r="C562" s="8">
        <v>75</v>
      </c>
      <c r="D562" s="8">
        <v>13.77</v>
      </c>
      <c r="E562" s="3">
        <v>15.06</v>
      </c>
      <c r="F562" s="8">
        <v>8.3</v>
      </c>
      <c r="G562" s="8">
        <v>730</v>
      </c>
      <c r="H562" s="8">
        <v>12.8</v>
      </c>
      <c r="L562">
        <v>6</v>
      </c>
      <c r="N562" s="10"/>
      <c r="O562" s="3">
        <v>500</v>
      </c>
      <c r="P562" t="b">
        <v>0</v>
      </c>
      <c r="Q562" t="b">
        <v>0</v>
      </c>
      <c r="R562" s="9" t="b">
        <v>0</v>
      </c>
      <c r="S562" s="10"/>
      <c r="T562" s="10"/>
      <c r="U562" s="10"/>
      <c r="V562" s="10"/>
      <c r="W562" s="10"/>
      <c r="X562" s="10"/>
      <c r="Y562" s="10"/>
      <c r="Z562" s="10"/>
      <c r="AA562" s="10"/>
      <c r="AB562" s="10"/>
      <c r="AC562" s="10"/>
      <c r="AD562" s="10"/>
      <c r="AE562" s="10"/>
    </row>
    <row r="563" ht="14.4" spans="1:31">
      <c r="A563" s="10" t="s">
        <v>194</v>
      </c>
      <c r="B563" s="3" t="s">
        <v>25</v>
      </c>
      <c r="C563" s="8">
        <v>75</v>
      </c>
      <c r="D563" s="8">
        <v>13.77</v>
      </c>
      <c r="E563" s="3">
        <v>15.06</v>
      </c>
      <c r="F563" s="8">
        <v>5.81</v>
      </c>
      <c r="G563" s="8">
        <v>1095</v>
      </c>
      <c r="H563" s="8">
        <v>7.3</v>
      </c>
      <c r="L563">
        <v>21</v>
      </c>
      <c r="N563" s="10"/>
      <c r="O563" s="3">
        <v>500</v>
      </c>
      <c r="P563" t="b">
        <v>0</v>
      </c>
      <c r="Q563" t="b">
        <v>0</v>
      </c>
      <c r="R563" s="9" t="b">
        <v>0</v>
      </c>
      <c r="S563" s="10"/>
      <c r="T563" s="10"/>
      <c r="U563" s="10"/>
      <c r="V563" s="10"/>
      <c r="W563" s="10"/>
      <c r="X563" s="10"/>
      <c r="Y563" s="10"/>
      <c r="Z563" s="10"/>
      <c r="AA563" s="10"/>
      <c r="AB563" s="10"/>
      <c r="AC563" s="10"/>
      <c r="AD563" s="10"/>
      <c r="AE563" s="10"/>
    </row>
    <row r="564" ht="14.4" spans="1:31">
      <c r="A564" s="10" t="s">
        <v>195</v>
      </c>
      <c r="B564" s="3" t="s">
        <v>84</v>
      </c>
      <c r="C564" s="8">
        <v>56</v>
      </c>
      <c r="D564" s="8">
        <v>11.35</v>
      </c>
      <c r="E564" s="3">
        <v>10.49</v>
      </c>
      <c r="F564" s="8">
        <v>9.25</v>
      </c>
      <c r="G564" s="8">
        <v>320</v>
      </c>
      <c r="H564" s="8">
        <v>16.1</v>
      </c>
      <c r="L564">
        <v>4</v>
      </c>
      <c r="N564" s="10"/>
      <c r="O564" s="3">
        <v>500</v>
      </c>
      <c r="P564" t="b">
        <v>0</v>
      </c>
      <c r="Q564" t="b">
        <v>0</v>
      </c>
      <c r="R564" s="9" t="b">
        <v>0</v>
      </c>
      <c r="S564" s="10"/>
      <c r="T564" s="10"/>
      <c r="U564" s="10"/>
      <c r="V564" s="10"/>
      <c r="W564" s="10"/>
      <c r="X564" s="10"/>
      <c r="Y564" s="10"/>
      <c r="Z564" s="10"/>
      <c r="AA564" s="10"/>
      <c r="AB564" s="10"/>
      <c r="AC564" s="10"/>
      <c r="AD564" s="10"/>
      <c r="AE564" s="10"/>
    </row>
    <row r="565" ht="14.4" spans="1:31">
      <c r="A565" s="10" t="s">
        <v>195</v>
      </c>
      <c r="B565" t="s">
        <v>65</v>
      </c>
      <c r="C565" s="8">
        <v>56</v>
      </c>
      <c r="D565" s="8">
        <v>11.35</v>
      </c>
      <c r="E565" s="3">
        <v>10.49</v>
      </c>
      <c r="F565" s="8">
        <v>9.25</v>
      </c>
      <c r="G565" s="8">
        <v>320</v>
      </c>
      <c r="H565" s="8">
        <v>16.1</v>
      </c>
      <c r="L565">
        <v>8</v>
      </c>
      <c r="N565" s="10"/>
      <c r="O565" s="3">
        <v>500</v>
      </c>
      <c r="P565" t="b">
        <v>0</v>
      </c>
      <c r="Q565" t="b">
        <v>0</v>
      </c>
      <c r="R565" s="9" t="b">
        <v>0</v>
      </c>
      <c r="S565" s="10"/>
      <c r="T565" s="10"/>
      <c r="U565" s="10"/>
      <c r="V565" s="10"/>
      <c r="W565" s="10"/>
      <c r="X565" s="10"/>
      <c r="Y565" s="10"/>
      <c r="Z565" s="10"/>
      <c r="AA565" s="10"/>
      <c r="AB565" s="10"/>
      <c r="AC565" s="10"/>
      <c r="AD565" s="10"/>
      <c r="AE565" s="10"/>
    </row>
    <row r="566" ht="15.75" customHeight="1" spans="1:31">
      <c r="A566" s="10" t="s">
        <v>195</v>
      </c>
      <c r="B566" t="s">
        <v>115</v>
      </c>
      <c r="C566" s="8">
        <v>56</v>
      </c>
      <c r="D566" s="8">
        <v>11.35</v>
      </c>
      <c r="E566" s="3">
        <v>10.49</v>
      </c>
      <c r="F566" s="8">
        <v>9.25</v>
      </c>
      <c r="G566" s="8">
        <v>320</v>
      </c>
      <c r="H566" s="8">
        <v>16.1</v>
      </c>
      <c r="L566">
        <v>2</v>
      </c>
      <c r="N566" s="10"/>
      <c r="O566" s="3">
        <v>500</v>
      </c>
      <c r="P566" t="b">
        <v>0</v>
      </c>
      <c r="Q566" t="b">
        <v>0</v>
      </c>
      <c r="R566" s="9" t="b">
        <v>0</v>
      </c>
      <c r="S566" s="10"/>
      <c r="T566" s="10"/>
      <c r="U566" s="10"/>
      <c r="V566" s="10"/>
      <c r="W566" s="10"/>
      <c r="X566" s="10"/>
      <c r="Y566" s="10"/>
      <c r="Z566" s="10"/>
      <c r="AA566" s="10"/>
      <c r="AB566" s="10"/>
      <c r="AC566" s="10"/>
      <c r="AD566" s="10"/>
      <c r="AE566" s="10"/>
    </row>
    <row r="567" ht="15.75" customHeight="1" spans="1:31">
      <c r="A567" s="10" t="s">
        <v>195</v>
      </c>
      <c r="B567" t="s">
        <v>66</v>
      </c>
      <c r="C567" s="8">
        <v>56</v>
      </c>
      <c r="D567" s="8">
        <v>11.35</v>
      </c>
      <c r="E567" s="3">
        <v>10.49</v>
      </c>
      <c r="F567" s="8">
        <v>9.25</v>
      </c>
      <c r="G567" s="8">
        <v>320</v>
      </c>
      <c r="H567" s="8">
        <v>16.1</v>
      </c>
      <c r="L567">
        <v>8</v>
      </c>
      <c r="N567" s="10"/>
      <c r="O567" s="3">
        <v>500</v>
      </c>
      <c r="P567" t="b">
        <v>0</v>
      </c>
      <c r="Q567" t="b">
        <v>0</v>
      </c>
      <c r="R567" s="9" t="b">
        <v>0</v>
      </c>
      <c r="S567" s="3"/>
      <c r="T567" s="3"/>
      <c r="U567" s="3"/>
      <c r="V567" s="3"/>
      <c r="W567" s="3"/>
      <c r="X567" s="3"/>
      <c r="Y567" s="3"/>
      <c r="Z567" s="3"/>
      <c r="AA567" s="10"/>
      <c r="AB567" s="10"/>
      <c r="AC567" s="10"/>
      <c r="AD567" s="10"/>
      <c r="AE567" s="10"/>
    </row>
    <row r="568" ht="15.75" customHeight="1" spans="1:31">
      <c r="A568" s="10" t="s">
        <v>195</v>
      </c>
      <c r="B568" t="s">
        <v>67</v>
      </c>
      <c r="C568" s="8">
        <v>56</v>
      </c>
      <c r="D568" s="8">
        <v>11.35</v>
      </c>
      <c r="E568" s="3">
        <v>10.49</v>
      </c>
      <c r="F568" s="8">
        <v>9.25</v>
      </c>
      <c r="G568" s="8">
        <v>320</v>
      </c>
      <c r="H568" s="8">
        <v>16.1</v>
      </c>
      <c r="L568">
        <v>4</v>
      </c>
      <c r="N568" s="10"/>
      <c r="O568" s="3">
        <v>500</v>
      </c>
      <c r="P568" t="b">
        <v>0</v>
      </c>
      <c r="Q568" t="b">
        <v>0</v>
      </c>
      <c r="R568" s="9" t="b">
        <v>0</v>
      </c>
      <c r="S568" s="3"/>
      <c r="T568" s="3"/>
      <c r="U568" s="3"/>
      <c r="V568" s="3"/>
      <c r="W568" s="3"/>
      <c r="X568" s="3"/>
      <c r="Y568" s="3"/>
      <c r="Z568" s="3"/>
      <c r="AA568" s="3"/>
      <c r="AB568" s="3"/>
      <c r="AC568" s="3"/>
      <c r="AD568" s="3"/>
      <c r="AE568" s="3"/>
    </row>
    <row r="569" ht="15.75" customHeight="1" spans="1:31">
      <c r="A569" s="10" t="s">
        <v>195</v>
      </c>
      <c r="B569" t="s">
        <v>25</v>
      </c>
      <c r="C569" s="8">
        <v>56</v>
      </c>
      <c r="D569" s="8">
        <v>11.35</v>
      </c>
      <c r="E569" s="3">
        <v>10.49</v>
      </c>
      <c r="F569" s="8">
        <v>6.48</v>
      </c>
      <c r="G569" s="8">
        <v>480</v>
      </c>
      <c r="H569" s="8">
        <v>9.18</v>
      </c>
      <c r="L569">
        <v>14</v>
      </c>
      <c r="N569" s="10"/>
      <c r="O569" s="3">
        <v>500</v>
      </c>
      <c r="P569" t="b">
        <v>0</v>
      </c>
      <c r="Q569" t="b">
        <v>0</v>
      </c>
      <c r="R569" s="9" t="b">
        <v>0</v>
      </c>
      <c r="S569" s="3"/>
      <c r="T569" s="3"/>
      <c r="U569" s="3"/>
      <c r="V569" s="3"/>
      <c r="W569" s="3"/>
      <c r="X569" s="3"/>
      <c r="Y569" s="3"/>
      <c r="Z569" s="3"/>
      <c r="AA569" s="3"/>
      <c r="AB569" s="3"/>
      <c r="AC569" s="3"/>
      <c r="AD569" s="3"/>
      <c r="AE569" s="3"/>
    </row>
    <row r="570" ht="15.75" customHeight="1" spans="1:31">
      <c r="A570" s="14" t="s">
        <v>196</v>
      </c>
      <c r="B570" s="15"/>
      <c r="C570" s="15"/>
      <c r="D570" s="15"/>
      <c r="E570" s="15"/>
      <c r="F570" s="15"/>
      <c r="G570" s="15"/>
      <c r="H570" s="15"/>
      <c r="I570" s="15"/>
      <c r="J570" s="15"/>
      <c r="K570" s="15"/>
      <c r="L570" s="15"/>
      <c r="M570" s="15"/>
      <c r="N570" s="23"/>
      <c r="O570" s="27"/>
      <c r="P570" s="23"/>
      <c r="Q570" s="23"/>
      <c r="R570" s="27"/>
      <c r="S570" s="3"/>
      <c r="T570" s="3"/>
      <c r="U570" s="3"/>
      <c r="V570" s="3"/>
      <c r="W570" s="3"/>
      <c r="X570" s="3"/>
      <c r="Y570" s="3"/>
      <c r="Z570" s="3"/>
      <c r="AA570" s="3"/>
      <c r="AB570" s="3"/>
      <c r="AC570" s="3"/>
      <c r="AD570" s="3"/>
      <c r="AE570" s="3"/>
    </row>
    <row r="571" ht="15.75" customHeight="1" spans="1:31">
      <c r="A571" t="s">
        <v>197</v>
      </c>
      <c r="B571" t="s">
        <v>198</v>
      </c>
      <c r="C571" s="25">
        <v>63.5</v>
      </c>
      <c r="D571" s="25">
        <v>11.9</v>
      </c>
      <c r="E571" s="25">
        <v>4.16</v>
      </c>
      <c r="F571" s="25">
        <v>9.14</v>
      </c>
      <c r="G571" s="25">
        <v>373</v>
      </c>
      <c r="H571" s="25">
        <v>4.53</v>
      </c>
      <c r="I571" s="3"/>
      <c r="J571" s="25">
        <v>4</v>
      </c>
      <c r="K571" s="44">
        <v>300</v>
      </c>
      <c r="L571" s="25">
        <v>3</v>
      </c>
      <c r="M571" s="3"/>
      <c r="N571" s="3"/>
      <c r="O571" s="8">
        <v>500</v>
      </c>
      <c r="P571" s="9" t="b">
        <v>0</v>
      </c>
      <c r="Q571" s="9" t="b">
        <v>0</v>
      </c>
      <c r="R571" s="9" t="b">
        <v>0</v>
      </c>
      <c r="S571" s="3"/>
      <c r="T571" s="3"/>
      <c r="U571" s="3"/>
      <c r="V571" s="3"/>
      <c r="W571" s="3"/>
      <c r="X571" s="3"/>
      <c r="Y571" s="3"/>
      <c r="Z571" s="3"/>
      <c r="AA571" s="3"/>
      <c r="AB571" s="3"/>
      <c r="AC571" s="3"/>
      <c r="AD571" s="3"/>
      <c r="AE571" s="3"/>
    </row>
    <row r="572" ht="15.75" customHeight="1" spans="1:31">
      <c r="A572" t="s">
        <v>197</v>
      </c>
      <c r="B572" t="s">
        <v>199</v>
      </c>
      <c r="C572" s="25">
        <v>63.5</v>
      </c>
      <c r="D572" s="25">
        <v>11.9</v>
      </c>
      <c r="E572" s="25">
        <v>4.16</v>
      </c>
      <c r="F572" s="25">
        <v>10.36</v>
      </c>
      <c r="G572" s="25">
        <v>549</v>
      </c>
      <c r="H572" s="25">
        <v>7.09</v>
      </c>
      <c r="I572" s="3"/>
      <c r="J572" s="3"/>
      <c r="K572" s="3"/>
      <c r="L572" s="25">
        <v>4.5</v>
      </c>
      <c r="M572" s="3"/>
      <c r="N572" s="3"/>
      <c r="O572" s="8">
        <v>500</v>
      </c>
      <c r="P572" s="9" t="b">
        <v>0</v>
      </c>
      <c r="Q572" s="9" t="b">
        <v>0</v>
      </c>
      <c r="R572" s="9" t="b">
        <v>0</v>
      </c>
      <c r="S572" s="3"/>
      <c r="T572" s="3"/>
      <c r="U572" s="3"/>
      <c r="V572" s="3"/>
      <c r="W572" s="3"/>
      <c r="X572" s="3"/>
      <c r="Y572" s="3"/>
      <c r="Z572" s="3"/>
      <c r="AA572" s="3"/>
      <c r="AB572" s="3"/>
      <c r="AC572" s="3"/>
      <c r="AD572" s="3"/>
      <c r="AE572" s="3"/>
    </row>
    <row r="573" ht="15.75" customHeight="1" spans="1:31">
      <c r="A573" t="s">
        <v>197</v>
      </c>
      <c r="B573" t="s">
        <v>200</v>
      </c>
      <c r="C573" s="25">
        <v>63.5</v>
      </c>
      <c r="D573" s="25">
        <v>11.9</v>
      </c>
      <c r="E573" s="25">
        <v>4.16</v>
      </c>
      <c r="F573" s="25">
        <v>10.36</v>
      </c>
      <c r="G573" s="25">
        <v>90</v>
      </c>
      <c r="H573" s="25">
        <v>10.63</v>
      </c>
      <c r="I573" s="3"/>
      <c r="J573" s="3"/>
      <c r="K573" s="3"/>
      <c r="L573" s="3"/>
      <c r="M573" s="3"/>
      <c r="N573" s="3"/>
      <c r="O573" s="8">
        <v>500</v>
      </c>
      <c r="P573" s="9" t="b">
        <v>0</v>
      </c>
      <c r="Q573" s="9" t="b">
        <v>0</v>
      </c>
      <c r="R573" s="9" t="b">
        <v>0</v>
      </c>
      <c r="S573" s="3"/>
      <c r="T573" s="3"/>
      <c r="U573" s="3"/>
      <c r="V573" s="3"/>
      <c r="W573" s="3"/>
      <c r="X573" s="3"/>
      <c r="Y573" s="3"/>
      <c r="Z573" s="3"/>
      <c r="AA573" s="3"/>
      <c r="AB573" s="3"/>
      <c r="AC573" s="3"/>
      <c r="AD573" s="3"/>
      <c r="AE573" s="3"/>
    </row>
    <row r="574" ht="15.75" customHeight="1" spans="1:31">
      <c r="A574" t="s">
        <v>197</v>
      </c>
      <c r="B574" t="s">
        <v>201</v>
      </c>
      <c r="C574" s="25">
        <v>63.5</v>
      </c>
      <c r="D574" s="25">
        <v>11.9</v>
      </c>
      <c r="E574" s="25">
        <v>4.16</v>
      </c>
      <c r="F574" s="25">
        <v>10.36</v>
      </c>
      <c r="G574" s="25">
        <v>150</v>
      </c>
      <c r="H574" s="25">
        <v>8.86</v>
      </c>
      <c r="I574" s="3"/>
      <c r="J574" s="3"/>
      <c r="K574" s="3"/>
      <c r="L574" s="3"/>
      <c r="M574" s="25">
        <v>0.004</v>
      </c>
      <c r="N574" s="3"/>
      <c r="O574" s="8">
        <v>500</v>
      </c>
      <c r="P574" s="9" t="b">
        <v>0</v>
      </c>
      <c r="Q574" s="9" t="b">
        <v>0</v>
      </c>
      <c r="R574" s="9" t="b">
        <v>0</v>
      </c>
      <c r="S574" s="3"/>
      <c r="T574" s="3"/>
      <c r="U574" s="3"/>
      <c r="V574" s="3"/>
      <c r="W574" s="3"/>
      <c r="X574" s="3"/>
      <c r="Y574" s="3"/>
      <c r="Z574" s="3"/>
      <c r="AA574" s="3"/>
      <c r="AB574" s="3"/>
      <c r="AC574" s="3"/>
      <c r="AD574" s="3"/>
      <c r="AE574" s="3"/>
    </row>
    <row r="575" ht="15.75" customHeight="1" spans="1:31">
      <c r="A575" t="s">
        <v>202</v>
      </c>
      <c r="B575" t="s">
        <v>198</v>
      </c>
      <c r="C575" s="25">
        <v>63.5</v>
      </c>
      <c r="D575" s="25">
        <v>11.9</v>
      </c>
      <c r="E575" s="25">
        <v>4.16</v>
      </c>
      <c r="F575" s="25">
        <v>9.14</v>
      </c>
      <c r="G575" s="25">
        <v>264</v>
      </c>
      <c r="H575" s="25">
        <v>4.53</v>
      </c>
      <c r="I575" s="3"/>
      <c r="J575" s="25">
        <v>4</v>
      </c>
      <c r="K575" s="44">
        <v>210</v>
      </c>
      <c r="L575" s="25">
        <v>2.1</v>
      </c>
      <c r="M575" s="3"/>
      <c r="N575" s="3"/>
      <c r="O575" s="8">
        <v>500</v>
      </c>
      <c r="P575" s="9" t="b">
        <v>0</v>
      </c>
      <c r="Q575" s="9" t="b">
        <v>0</v>
      </c>
      <c r="R575" s="9" t="b">
        <v>0</v>
      </c>
      <c r="S575" s="10"/>
      <c r="T575" s="10"/>
      <c r="U575" s="10"/>
      <c r="V575" s="10"/>
      <c r="W575" s="10"/>
      <c r="X575" s="10"/>
      <c r="Y575" s="10"/>
      <c r="Z575" s="10"/>
      <c r="AA575" s="10"/>
      <c r="AB575" s="10"/>
      <c r="AC575" s="10"/>
      <c r="AD575" s="10"/>
      <c r="AE575" s="10"/>
    </row>
    <row r="576" ht="15.75" customHeight="1" spans="1:31">
      <c r="A576" t="s">
        <v>202</v>
      </c>
      <c r="B576" t="s">
        <v>199</v>
      </c>
      <c r="C576" s="25">
        <v>63.5</v>
      </c>
      <c r="D576" s="25">
        <v>11.9</v>
      </c>
      <c r="E576" s="25">
        <v>4.16</v>
      </c>
      <c r="F576" s="25">
        <v>10.36</v>
      </c>
      <c r="G576" s="25">
        <v>389</v>
      </c>
      <c r="H576" s="25">
        <v>7.09</v>
      </c>
      <c r="I576" s="3"/>
      <c r="J576" s="3"/>
      <c r="K576" s="3"/>
      <c r="L576" s="25">
        <v>3.2</v>
      </c>
      <c r="M576" s="3"/>
      <c r="N576" s="3"/>
      <c r="O576" s="8">
        <v>500</v>
      </c>
      <c r="P576" s="9" t="b">
        <v>0</v>
      </c>
      <c r="Q576" s="9" t="b">
        <v>0</v>
      </c>
      <c r="R576" s="9" t="b">
        <v>0</v>
      </c>
      <c r="S576" s="10"/>
      <c r="T576" s="10"/>
      <c r="U576" s="10"/>
      <c r="V576" s="10"/>
      <c r="W576" s="10"/>
      <c r="X576" s="10"/>
      <c r="Y576" s="10"/>
      <c r="Z576" s="10"/>
      <c r="AA576" s="10"/>
      <c r="AB576" s="10"/>
      <c r="AC576" s="10"/>
      <c r="AD576" s="10"/>
      <c r="AE576" s="10"/>
    </row>
    <row r="577" ht="15.75" customHeight="1" spans="1:31">
      <c r="A577" t="s">
        <v>202</v>
      </c>
      <c r="B577" t="s">
        <v>200</v>
      </c>
      <c r="C577" s="25">
        <v>63.5</v>
      </c>
      <c r="D577" s="25">
        <v>11.9</v>
      </c>
      <c r="E577" s="25">
        <v>4.16</v>
      </c>
      <c r="F577" s="25">
        <v>10.36</v>
      </c>
      <c r="G577" s="25">
        <v>65</v>
      </c>
      <c r="H577" s="25">
        <v>10.63</v>
      </c>
      <c r="I577" s="3"/>
      <c r="J577" s="3"/>
      <c r="K577" s="3"/>
      <c r="L577" s="3"/>
      <c r="M577" s="3"/>
      <c r="N577" s="3"/>
      <c r="O577" s="8">
        <v>500</v>
      </c>
      <c r="P577" s="9" t="b">
        <v>0</v>
      </c>
      <c r="Q577" s="9" t="b">
        <v>0</v>
      </c>
      <c r="R577" s="9" t="b">
        <v>0</v>
      </c>
      <c r="S577" s="10"/>
      <c r="T577" s="10"/>
      <c r="U577" s="10"/>
      <c r="V577" s="10"/>
      <c r="W577" s="10"/>
      <c r="X577" s="10"/>
      <c r="Y577" s="10"/>
      <c r="Z577" s="10"/>
      <c r="AA577" s="10"/>
      <c r="AB577" s="10"/>
      <c r="AC577" s="10"/>
      <c r="AD577" s="10"/>
      <c r="AE577" s="10"/>
    </row>
    <row r="578" ht="15.75" customHeight="1" spans="1:31">
      <c r="A578" t="s">
        <v>202</v>
      </c>
      <c r="B578" t="s">
        <v>201</v>
      </c>
      <c r="C578" s="25">
        <v>63.5</v>
      </c>
      <c r="D578" s="25">
        <v>11.9</v>
      </c>
      <c r="E578" s="25">
        <v>4.16</v>
      </c>
      <c r="F578" s="25">
        <v>10.36</v>
      </c>
      <c r="G578" s="25">
        <v>105</v>
      </c>
      <c r="H578" s="25">
        <v>8.86</v>
      </c>
      <c r="I578" s="3"/>
      <c r="J578" s="3"/>
      <c r="K578" s="3"/>
      <c r="L578" s="3"/>
      <c r="M578" s="25">
        <v>0.004</v>
      </c>
      <c r="N578" s="3"/>
      <c r="O578" s="8">
        <v>500</v>
      </c>
      <c r="P578" s="9" t="b">
        <v>0</v>
      </c>
      <c r="Q578" s="9" t="b">
        <v>0</v>
      </c>
      <c r="R578" s="9" t="b">
        <v>0</v>
      </c>
      <c r="S578" s="10"/>
      <c r="T578" s="10"/>
      <c r="U578" s="10"/>
      <c r="V578" s="10"/>
      <c r="W578" s="10"/>
      <c r="X578" s="10"/>
      <c r="Y578" s="10"/>
      <c r="Z578" s="10"/>
      <c r="AA578" s="10"/>
      <c r="AB578" s="10"/>
      <c r="AC578" s="10"/>
      <c r="AD578" s="10"/>
      <c r="AE578" s="10"/>
    </row>
    <row r="579" ht="15.75" customHeight="1" spans="1:31">
      <c r="A579" t="s">
        <v>203</v>
      </c>
      <c r="B579" t="s">
        <v>198</v>
      </c>
      <c r="C579">
        <v>69.85</v>
      </c>
      <c r="D579" s="38">
        <v>17.37</v>
      </c>
      <c r="E579">
        <v>15</v>
      </c>
      <c r="F579">
        <v>6.35</v>
      </c>
      <c r="G579">
        <v>366</v>
      </c>
      <c r="H579">
        <v>1.43</v>
      </c>
      <c r="J579">
        <v>20</v>
      </c>
      <c r="K579" s="43">
        <v>336</v>
      </c>
      <c r="L579">
        <v>4</v>
      </c>
      <c r="N579" s="10"/>
      <c r="O579" s="3">
        <v>200</v>
      </c>
      <c r="P579" t="b">
        <v>0</v>
      </c>
      <c r="Q579" t="b">
        <v>0</v>
      </c>
      <c r="R579" s="9" t="b">
        <v>0</v>
      </c>
      <c r="S579" s="3"/>
      <c r="T579" s="3"/>
      <c r="U579" s="3"/>
      <c r="V579" s="3"/>
      <c r="W579" s="3"/>
      <c r="X579" s="3"/>
      <c r="Y579" s="3"/>
      <c r="Z579" s="3"/>
      <c r="AA579" s="3"/>
      <c r="AB579" s="3"/>
      <c r="AC579" s="3"/>
      <c r="AD579" s="3"/>
      <c r="AE579" s="3"/>
    </row>
    <row r="580" ht="15.75" customHeight="1" spans="1:31">
      <c r="A580" t="s">
        <v>203</v>
      </c>
      <c r="B580" t="s">
        <v>199</v>
      </c>
      <c r="C580">
        <v>69.85</v>
      </c>
      <c r="D580" s="38">
        <v>17.37</v>
      </c>
      <c r="E580">
        <v>15</v>
      </c>
      <c r="F580">
        <v>15.621</v>
      </c>
      <c r="G580">
        <v>482</v>
      </c>
      <c r="H580">
        <v>17.71</v>
      </c>
      <c r="K580" s="43"/>
      <c r="L580">
        <v>5</v>
      </c>
      <c r="N580" s="10"/>
      <c r="O580" s="3">
        <v>200</v>
      </c>
      <c r="P580" t="b">
        <v>0</v>
      </c>
      <c r="Q580" t="b">
        <v>0</v>
      </c>
      <c r="R580" s="9" t="b">
        <v>0</v>
      </c>
      <c r="S580" s="3"/>
      <c r="T580" s="3"/>
      <c r="U580" s="3"/>
      <c r="V580" s="3"/>
      <c r="W580" s="3"/>
      <c r="X580" s="3"/>
      <c r="Y580" s="3"/>
      <c r="Z580" s="3"/>
      <c r="AA580" s="3"/>
      <c r="AB580" s="3"/>
      <c r="AC580" s="3"/>
      <c r="AD580" s="3"/>
      <c r="AE580" s="3"/>
    </row>
    <row r="581" ht="15.75" customHeight="1" spans="1:31">
      <c r="A581" t="s">
        <v>203</v>
      </c>
      <c r="B581" t="s">
        <v>200</v>
      </c>
      <c r="C581">
        <v>69.85</v>
      </c>
      <c r="D581" s="38">
        <v>17.37</v>
      </c>
      <c r="E581">
        <v>15</v>
      </c>
      <c r="F581">
        <v>15.621</v>
      </c>
      <c r="G581" s="3">
        <v>90</v>
      </c>
      <c r="H581">
        <v>27</v>
      </c>
      <c r="K581" s="43"/>
      <c r="N581" s="10"/>
      <c r="O581" s="3">
        <v>200</v>
      </c>
      <c r="P581" t="b">
        <v>0</v>
      </c>
      <c r="Q581" t="b">
        <v>0</v>
      </c>
      <c r="R581" s="9" t="b">
        <v>0</v>
      </c>
      <c r="S581" s="3"/>
      <c r="T581" s="3"/>
      <c r="U581" s="3"/>
      <c r="V581" s="3"/>
      <c r="W581" s="3"/>
      <c r="X581" s="3"/>
      <c r="Y581" s="3"/>
      <c r="Z581" s="3"/>
      <c r="AA581" s="3"/>
      <c r="AB581" s="3"/>
      <c r="AC581" s="3"/>
      <c r="AD581" s="3"/>
      <c r="AE581" s="3"/>
    </row>
    <row r="582" ht="15.75" customHeight="1" spans="1:31">
      <c r="A582" t="s">
        <v>203</v>
      </c>
      <c r="B582" t="s">
        <v>201</v>
      </c>
      <c r="C582">
        <v>69.85</v>
      </c>
      <c r="D582" s="38">
        <v>17.37</v>
      </c>
      <c r="E582">
        <v>15</v>
      </c>
      <c r="F582">
        <v>15.621</v>
      </c>
      <c r="G582">
        <v>150</v>
      </c>
      <c r="H582">
        <v>22</v>
      </c>
      <c r="K582" s="43"/>
      <c r="M582">
        <v>0.006</v>
      </c>
      <c r="N582" s="10"/>
      <c r="O582" s="3">
        <v>200</v>
      </c>
      <c r="P582" t="b">
        <v>0</v>
      </c>
      <c r="Q582" t="b">
        <v>0</v>
      </c>
      <c r="R582" s="9" t="b">
        <v>0</v>
      </c>
      <c r="S582" s="3"/>
      <c r="T582" s="3"/>
      <c r="U582" s="3"/>
      <c r="V582" s="3"/>
      <c r="W582" s="3"/>
      <c r="X582" s="3"/>
      <c r="Y582" s="3"/>
      <c r="Z582" s="3"/>
      <c r="AA582" s="3"/>
      <c r="AB582" s="3"/>
      <c r="AC582" s="3"/>
      <c r="AD582" s="3"/>
      <c r="AE582" s="3"/>
    </row>
    <row r="583" ht="15.75" customHeight="1" spans="1:31">
      <c r="A583" t="s">
        <v>204</v>
      </c>
      <c r="B583" t="s">
        <v>198</v>
      </c>
      <c r="C583" s="25">
        <v>69.85</v>
      </c>
      <c r="D583" s="36">
        <v>17</v>
      </c>
      <c r="E583" s="25">
        <v>17</v>
      </c>
      <c r="F583" s="25">
        <v>7.6</v>
      </c>
      <c r="G583" s="25">
        <v>373</v>
      </c>
      <c r="H583" s="25">
        <v>2.51</v>
      </c>
      <c r="I583" s="3"/>
      <c r="J583" s="25">
        <v>12</v>
      </c>
      <c r="K583" s="3"/>
      <c r="L583" s="25">
        <v>3</v>
      </c>
      <c r="M583" s="3"/>
      <c r="N583" s="3"/>
      <c r="O583" s="8">
        <v>200</v>
      </c>
      <c r="P583" t="b">
        <v>0</v>
      </c>
      <c r="Q583" t="b">
        <v>0</v>
      </c>
      <c r="R583" s="9" t="b">
        <v>0</v>
      </c>
      <c r="S583" s="10"/>
      <c r="T583" s="10"/>
      <c r="U583" s="10"/>
      <c r="V583" s="10"/>
      <c r="W583" s="10"/>
      <c r="X583" s="10"/>
      <c r="Y583" s="10"/>
      <c r="Z583" s="10"/>
      <c r="AA583" s="10"/>
      <c r="AB583" s="10"/>
      <c r="AC583" s="10"/>
      <c r="AD583" s="10"/>
      <c r="AE583" s="10"/>
    </row>
    <row r="584" ht="15.75" customHeight="1" spans="1:31">
      <c r="A584" t="s">
        <v>204</v>
      </c>
      <c r="B584" t="s">
        <v>199</v>
      </c>
      <c r="C584" s="25">
        <v>69.85</v>
      </c>
      <c r="D584" s="36">
        <v>17</v>
      </c>
      <c r="E584" s="25">
        <v>17</v>
      </c>
      <c r="F584" s="25">
        <v>16</v>
      </c>
      <c r="G584" s="25">
        <v>488</v>
      </c>
      <c r="H584" s="25">
        <v>22.68</v>
      </c>
      <c r="I584" s="3"/>
      <c r="J584" s="3"/>
      <c r="K584" s="3"/>
      <c r="L584" s="25">
        <v>4.5</v>
      </c>
      <c r="M584" s="3"/>
      <c r="N584" s="3"/>
      <c r="O584" s="8">
        <v>200</v>
      </c>
      <c r="P584" t="b">
        <v>0</v>
      </c>
      <c r="Q584" t="b">
        <v>0</v>
      </c>
      <c r="R584" s="9" t="b">
        <v>0</v>
      </c>
      <c r="S584" s="10"/>
      <c r="T584" s="10"/>
      <c r="U584" s="10"/>
      <c r="V584" s="10"/>
      <c r="W584" s="10"/>
      <c r="X584" s="10"/>
      <c r="Y584" s="10"/>
      <c r="Z584" s="10"/>
      <c r="AA584" s="10"/>
      <c r="AB584" s="10"/>
      <c r="AC584" s="10"/>
      <c r="AD584" s="10"/>
      <c r="AE584" s="10"/>
    </row>
    <row r="585" ht="15.75" customHeight="1" spans="1:31">
      <c r="A585" t="s">
        <v>204</v>
      </c>
      <c r="B585" t="s">
        <v>200</v>
      </c>
      <c r="C585" s="25">
        <v>69.85</v>
      </c>
      <c r="D585" s="36">
        <v>17</v>
      </c>
      <c r="E585" s="25">
        <v>17</v>
      </c>
      <c r="F585" s="25">
        <v>16</v>
      </c>
      <c r="G585" s="25">
        <v>90</v>
      </c>
      <c r="H585" s="25">
        <v>34</v>
      </c>
      <c r="I585" s="3"/>
      <c r="J585" s="3"/>
      <c r="K585" s="3"/>
      <c r="M585" s="3"/>
      <c r="N585" s="3"/>
      <c r="O585" s="8">
        <v>200</v>
      </c>
      <c r="P585" t="b">
        <v>0</v>
      </c>
      <c r="Q585" t="b">
        <v>0</v>
      </c>
      <c r="R585" s="9" t="b">
        <v>0</v>
      </c>
      <c r="S585" s="10"/>
      <c r="T585" s="10"/>
      <c r="U585" s="10"/>
      <c r="V585" s="10"/>
      <c r="W585" s="10"/>
      <c r="X585" s="10"/>
      <c r="Y585" s="10"/>
      <c r="Z585" s="10"/>
      <c r="AA585" s="10"/>
      <c r="AB585" s="10"/>
      <c r="AC585" s="10"/>
      <c r="AD585" s="10"/>
      <c r="AE585" s="10"/>
    </row>
    <row r="586" ht="15.75" customHeight="1" spans="1:31">
      <c r="A586" t="s">
        <v>204</v>
      </c>
      <c r="B586" t="s">
        <v>201</v>
      </c>
      <c r="C586" s="25">
        <v>69.85</v>
      </c>
      <c r="D586" s="36">
        <v>17</v>
      </c>
      <c r="E586" s="25">
        <v>17</v>
      </c>
      <c r="F586" s="25">
        <v>16</v>
      </c>
      <c r="G586" s="25">
        <v>150</v>
      </c>
      <c r="H586" s="25">
        <v>28</v>
      </c>
      <c r="I586" s="3"/>
      <c r="J586" s="3"/>
      <c r="K586" s="3"/>
      <c r="M586" s="25">
        <v>0.008</v>
      </c>
      <c r="N586" s="3"/>
      <c r="O586" s="8">
        <v>200</v>
      </c>
      <c r="P586" t="b">
        <v>0</v>
      </c>
      <c r="Q586" t="b">
        <v>0</v>
      </c>
      <c r="R586" s="9" t="b">
        <v>0</v>
      </c>
      <c r="S586" s="10"/>
      <c r="T586" s="10"/>
      <c r="U586" s="10"/>
      <c r="V586" s="10"/>
      <c r="W586" s="10"/>
      <c r="X586" s="10"/>
      <c r="Y586" s="10"/>
      <c r="Z586" s="10"/>
      <c r="AA586" s="10"/>
      <c r="AB586" s="10"/>
      <c r="AC586" s="10"/>
      <c r="AD586" s="10"/>
      <c r="AE586" s="10"/>
    </row>
    <row r="587" ht="15.75" customHeight="1" spans="1:31">
      <c r="A587" t="s">
        <v>205</v>
      </c>
      <c r="B587" t="s">
        <v>198</v>
      </c>
      <c r="C587">
        <v>69.85</v>
      </c>
      <c r="D587" s="38">
        <v>18.5</v>
      </c>
      <c r="E587">
        <v>19</v>
      </c>
      <c r="F587">
        <v>8.38</v>
      </c>
      <c r="G587">
        <v>360</v>
      </c>
      <c r="H587">
        <v>3.49</v>
      </c>
      <c r="J587">
        <v>9</v>
      </c>
      <c r="K587" s="43">
        <v>350</v>
      </c>
      <c r="L587">
        <v>4</v>
      </c>
      <c r="N587" s="10"/>
      <c r="O587" s="3">
        <v>200</v>
      </c>
      <c r="P587" t="b">
        <v>0</v>
      </c>
      <c r="Q587" t="b">
        <v>0</v>
      </c>
      <c r="R587" s="9" t="b">
        <v>0</v>
      </c>
      <c r="S587" s="3"/>
      <c r="T587" s="3"/>
      <c r="U587" s="3"/>
      <c r="V587" s="3"/>
      <c r="W587" s="3"/>
      <c r="X587" s="3"/>
      <c r="Y587" s="3"/>
      <c r="Z587" s="3"/>
      <c r="AA587" s="10"/>
      <c r="AB587" s="10"/>
      <c r="AC587" s="10"/>
      <c r="AD587" s="10"/>
      <c r="AE587" s="10"/>
    </row>
    <row r="588" ht="15.75" customHeight="1" spans="1:31">
      <c r="A588" t="s">
        <v>205</v>
      </c>
      <c r="B588" t="s">
        <v>199</v>
      </c>
      <c r="C588">
        <v>69.85</v>
      </c>
      <c r="D588" s="38">
        <v>18.5</v>
      </c>
      <c r="E588">
        <v>19</v>
      </c>
      <c r="F588">
        <v>17.53</v>
      </c>
      <c r="G588">
        <v>549</v>
      </c>
      <c r="H588">
        <v>28.3</v>
      </c>
      <c r="L588">
        <v>6</v>
      </c>
      <c r="N588" s="10"/>
      <c r="O588" s="3">
        <v>200</v>
      </c>
      <c r="P588" t="b">
        <v>0</v>
      </c>
      <c r="Q588" t="b">
        <v>0</v>
      </c>
      <c r="R588" s="9" t="b">
        <v>0</v>
      </c>
      <c r="S588" s="3"/>
      <c r="T588" s="3"/>
      <c r="U588" s="3"/>
      <c r="V588" s="3"/>
      <c r="W588" s="3"/>
      <c r="X588" s="3"/>
      <c r="Y588" s="3"/>
      <c r="Z588" s="3"/>
      <c r="AA588" s="10"/>
      <c r="AB588" s="10"/>
      <c r="AC588" s="10"/>
      <c r="AD588" s="10"/>
      <c r="AE588" s="10"/>
    </row>
    <row r="589" ht="15.75" customHeight="1" spans="1:31">
      <c r="A589" t="s">
        <v>205</v>
      </c>
      <c r="B589" t="s">
        <v>200</v>
      </c>
      <c r="C589">
        <v>69.85</v>
      </c>
      <c r="D589" s="38">
        <v>18.5</v>
      </c>
      <c r="E589">
        <v>19</v>
      </c>
      <c r="F589">
        <v>17.53</v>
      </c>
      <c r="G589">
        <v>90</v>
      </c>
      <c r="H589">
        <v>40</v>
      </c>
      <c r="I589">
        <f>F589</f>
        <v>17.53</v>
      </c>
      <c r="N589" s="10"/>
      <c r="O589" s="3">
        <v>200</v>
      </c>
      <c r="P589" t="b">
        <v>0</v>
      </c>
      <c r="Q589" t="b">
        <v>0</v>
      </c>
      <c r="R589" s="9" t="b">
        <v>0</v>
      </c>
      <c r="S589" s="3"/>
      <c r="T589" s="3"/>
      <c r="U589" s="3"/>
      <c r="V589" s="3"/>
      <c r="W589" s="3"/>
      <c r="X589" s="3"/>
      <c r="Y589" s="3"/>
      <c r="Z589" s="3"/>
      <c r="AA589" s="10"/>
      <c r="AB589" s="10"/>
      <c r="AC589" s="10"/>
      <c r="AD589" s="10"/>
      <c r="AE589" s="10"/>
    </row>
    <row r="590" ht="15.75" customHeight="1" spans="1:31">
      <c r="A590" t="s">
        <v>205</v>
      </c>
      <c r="B590" t="s">
        <v>201</v>
      </c>
      <c r="C590">
        <v>69.85</v>
      </c>
      <c r="D590" s="38">
        <v>18.5</v>
      </c>
      <c r="E590">
        <v>19</v>
      </c>
      <c r="F590">
        <v>17.53</v>
      </c>
      <c r="G590">
        <v>150</v>
      </c>
      <c r="H590">
        <v>35</v>
      </c>
      <c r="M590">
        <v>0.01</v>
      </c>
      <c r="N590" s="10"/>
      <c r="O590" s="3">
        <v>200</v>
      </c>
      <c r="P590" t="b">
        <v>0</v>
      </c>
      <c r="Q590" t="b">
        <v>0</v>
      </c>
      <c r="R590" s="9" t="b">
        <v>0</v>
      </c>
      <c r="S590" s="3"/>
      <c r="T590" s="3"/>
      <c r="U590" s="3"/>
      <c r="V590" s="3"/>
      <c r="W590" s="3"/>
      <c r="X590" s="3"/>
      <c r="Y590" s="3"/>
      <c r="Z590" s="3"/>
      <c r="AA590" s="10"/>
      <c r="AB590" s="10"/>
      <c r="AC590" s="10"/>
      <c r="AD590" s="10"/>
      <c r="AE590" s="10"/>
    </row>
    <row r="591" ht="15.75" customHeight="1" spans="1:31">
      <c r="A591" t="s">
        <v>206</v>
      </c>
      <c r="B591" t="s">
        <v>198</v>
      </c>
      <c r="C591" s="25">
        <v>69.85</v>
      </c>
      <c r="D591" s="36">
        <v>18.5</v>
      </c>
      <c r="E591" s="25">
        <v>19</v>
      </c>
      <c r="F591" s="25">
        <v>8.38</v>
      </c>
      <c r="G591" s="25">
        <v>315</v>
      </c>
      <c r="H591" s="25">
        <v>3.49</v>
      </c>
      <c r="I591" s="3"/>
      <c r="J591" s="25">
        <v>9</v>
      </c>
      <c r="K591" s="3"/>
      <c r="L591" s="25">
        <v>3.5</v>
      </c>
      <c r="M591" s="3"/>
      <c r="N591" s="3"/>
      <c r="O591" s="8">
        <v>200</v>
      </c>
      <c r="P591" s="9" t="b">
        <v>0</v>
      </c>
      <c r="Q591" s="9" t="b">
        <v>0</v>
      </c>
      <c r="R591" s="9" t="b">
        <v>0</v>
      </c>
      <c r="S591" s="3"/>
      <c r="T591" s="3"/>
      <c r="U591" s="3"/>
      <c r="V591" s="3"/>
      <c r="W591" s="3"/>
      <c r="X591" s="3"/>
      <c r="Y591" s="3"/>
      <c r="Z591" s="3"/>
      <c r="AA591" s="3"/>
      <c r="AB591" s="3"/>
      <c r="AC591" s="3"/>
      <c r="AD591" s="3"/>
      <c r="AE591" s="3"/>
    </row>
    <row r="592" ht="15.75" customHeight="1" spans="1:31">
      <c r="A592" t="s">
        <v>206</v>
      </c>
      <c r="B592" t="s">
        <v>199</v>
      </c>
      <c r="C592" s="25">
        <v>69.85</v>
      </c>
      <c r="D592" s="36">
        <v>18.5</v>
      </c>
      <c r="E592" s="25">
        <v>19</v>
      </c>
      <c r="F592" s="25">
        <v>17.53</v>
      </c>
      <c r="G592" s="25">
        <v>500</v>
      </c>
      <c r="H592" s="25">
        <v>28.3</v>
      </c>
      <c r="I592" s="3"/>
      <c r="J592" s="3"/>
      <c r="K592" s="3"/>
      <c r="L592" s="25">
        <v>5</v>
      </c>
      <c r="M592" s="3"/>
      <c r="N592" s="3"/>
      <c r="O592" s="8">
        <v>200</v>
      </c>
      <c r="P592" s="9" t="b">
        <v>0</v>
      </c>
      <c r="Q592" s="9" t="b">
        <v>0</v>
      </c>
      <c r="R592" s="9" t="b">
        <v>0</v>
      </c>
      <c r="S592" s="3"/>
      <c r="T592" s="3"/>
      <c r="U592" s="3"/>
      <c r="V592" s="3"/>
      <c r="W592" s="3"/>
      <c r="X592" s="3"/>
      <c r="Y592" s="3"/>
      <c r="Z592" s="3"/>
      <c r="AA592" s="3"/>
      <c r="AB592" s="3"/>
      <c r="AC592" s="3"/>
      <c r="AD592" s="3"/>
      <c r="AE592" s="3"/>
    </row>
    <row r="593" ht="15.75" customHeight="1" spans="1:31">
      <c r="A593" t="s">
        <v>206</v>
      </c>
      <c r="B593" t="s">
        <v>200</v>
      </c>
      <c r="C593" s="25">
        <v>69.85</v>
      </c>
      <c r="D593" s="36">
        <v>18.5</v>
      </c>
      <c r="E593" s="25">
        <v>19</v>
      </c>
      <c r="F593" s="25">
        <v>17.53</v>
      </c>
      <c r="G593" s="25">
        <v>75</v>
      </c>
      <c r="H593" s="25">
        <v>40</v>
      </c>
      <c r="I593" s="25">
        <f>F593</f>
        <v>17.53</v>
      </c>
      <c r="J593" s="3"/>
      <c r="K593" s="3"/>
      <c r="L593" s="3"/>
      <c r="M593" s="3"/>
      <c r="N593" s="3"/>
      <c r="O593" s="8">
        <v>200</v>
      </c>
      <c r="P593" s="9" t="b">
        <v>0</v>
      </c>
      <c r="Q593" s="9" t="b">
        <v>0</v>
      </c>
      <c r="R593" s="9" t="b">
        <v>0</v>
      </c>
      <c r="S593" s="3"/>
      <c r="T593" s="3"/>
      <c r="U593" s="3"/>
      <c r="V593" s="3"/>
      <c r="W593" s="3"/>
      <c r="X593" s="3"/>
      <c r="Y593" s="3"/>
      <c r="Z593" s="3"/>
      <c r="AA593" s="3"/>
      <c r="AB593" s="3"/>
      <c r="AC593" s="3"/>
      <c r="AD593" s="3"/>
      <c r="AE593" s="3"/>
    </row>
    <row r="594" ht="15.75" customHeight="1" spans="1:31">
      <c r="A594" t="s">
        <v>206</v>
      </c>
      <c r="B594" t="s">
        <v>201</v>
      </c>
      <c r="C594" s="25">
        <v>69.85</v>
      </c>
      <c r="D594" s="36">
        <v>18.5</v>
      </c>
      <c r="E594" s="25">
        <v>19</v>
      </c>
      <c r="F594" s="25">
        <v>17.53</v>
      </c>
      <c r="G594" s="25">
        <v>105</v>
      </c>
      <c r="H594" s="25">
        <v>35</v>
      </c>
      <c r="I594" s="3"/>
      <c r="J594" s="3"/>
      <c r="K594" s="3"/>
      <c r="L594" s="3"/>
      <c r="M594" s="25">
        <v>0.01</v>
      </c>
      <c r="N594" s="3"/>
      <c r="O594" s="8">
        <v>200</v>
      </c>
      <c r="P594" s="9" t="b">
        <v>0</v>
      </c>
      <c r="Q594" s="9" t="b">
        <v>0</v>
      </c>
      <c r="R594" s="9" t="b">
        <v>0</v>
      </c>
      <c r="S594" s="3"/>
      <c r="T594" s="3"/>
      <c r="U594" s="3"/>
      <c r="V594" s="3"/>
      <c r="W594" s="3"/>
      <c r="X594" s="3"/>
      <c r="Y594" s="3"/>
      <c r="Z594" s="3"/>
      <c r="AA594" s="3"/>
      <c r="AB594" s="3"/>
      <c r="AC594" s="3"/>
      <c r="AD594" s="3"/>
      <c r="AE594" s="3"/>
    </row>
    <row r="595" ht="15.75" customHeight="1" spans="1:31">
      <c r="A595" t="s">
        <v>207</v>
      </c>
      <c r="B595" t="s">
        <v>198</v>
      </c>
      <c r="C595" s="25">
        <v>88.9</v>
      </c>
      <c r="D595" s="36">
        <v>19.6</v>
      </c>
      <c r="E595" s="25">
        <v>24</v>
      </c>
      <c r="F595" s="25">
        <v>8.38</v>
      </c>
      <c r="G595" s="25">
        <v>335</v>
      </c>
      <c r="H595" s="25">
        <v>3.49</v>
      </c>
      <c r="I595" s="3"/>
      <c r="J595" s="25">
        <v>18</v>
      </c>
      <c r="K595" s="3"/>
      <c r="L595" s="25">
        <v>4</v>
      </c>
      <c r="N595" s="3"/>
      <c r="O595" s="8">
        <v>200</v>
      </c>
      <c r="P595" t="b">
        <v>0</v>
      </c>
      <c r="Q595" t="b">
        <v>0</v>
      </c>
      <c r="R595" s="9" t="b">
        <v>0</v>
      </c>
      <c r="S595" s="3"/>
      <c r="T595" s="3"/>
      <c r="U595" s="3"/>
      <c r="V595" s="3"/>
      <c r="W595" s="3"/>
      <c r="X595" s="3"/>
      <c r="Y595" s="3"/>
      <c r="Z595" s="3"/>
      <c r="AA595" s="3"/>
      <c r="AB595" s="3"/>
      <c r="AC595" s="3"/>
      <c r="AD595" s="3"/>
      <c r="AE595" s="3"/>
    </row>
    <row r="596" ht="15.75" customHeight="1" spans="1:31">
      <c r="A596" t="s">
        <v>207</v>
      </c>
      <c r="B596" t="s">
        <v>199</v>
      </c>
      <c r="C596" s="25">
        <v>88.9</v>
      </c>
      <c r="D596" s="36">
        <v>19.6</v>
      </c>
      <c r="E596" s="25">
        <v>24</v>
      </c>
      <c r="F596" s="25">
        <v>18.5</v>
      </c>
      <c r="G596" s="25">
        <v>510</v>
      </c>
      <c r="H596" s="25">
        <v>49.6</v>
      </c>
      <c r="I596" s="3"/>
      <c r="K596" s="3"/>
      <c r="L596" s="25">
        <v>6</v>
      </c>
      <c r="N596" s="3"/>
      <c r="O596" s="8">
        <v>200</v>
      </c>
      <c r="P596" t="b">
        <v>0</v>
      </c>
      <c r="Q596" t="b">
        <v>0</v>
      </c>
      <c r="R596" s="9" t="b">
        <v>0</v>
      </c>
      <c r="S596" s="3"/>
      <c r="T596" s="3"/>
      <c r="U596" s="3"/>
      <c r="V596" s="3"/>
      <c r="W596" s="3"/>
      <c r="X596" s="3"/>
      <c r="Y596" s="3"/>
      <c r="Z596" s="3"/>
      <c r="AA596" s="3"/>
      <c r="AB596" s="3"/>
      <c r="AC596" s="3"/>
      <c r="AD596" s="3"/>
      <c r="AE596" s="3"/>
    </row>
    <row r="597" ht="15.75" customHeight="1" spans="1:31">
      <c r="A597" t="s">
        <v>207</v>
      </c>
      <c r="B597" t="s">
        <v>200</v>
      </c>
      <c r="C597" s="25">
        <v>88.9</v>
      </c>
      <c r="D597" s="36">
        <v>19.6</v>
      </c>
      <c r="E597" s="25">
        <v>24</v>
      </c>
      <c r="F597" s="25">
        <v>18.5</v>
      </c>
      <c r="G597" s="25">
        <v>90</v>
      </c>
      <c r="H597" s="25">
        <v>74.5</v>
      </c>
      <c r="I597" s="3"/>
      <c r="K597" s="3"/>
      <c r="N597" s="3"/>
      <c r="O597" s="8">
        <v>200</v>
      </c>
      <c r="P597" t="b">
        <v>0</v>
      </c>
      <c r="Q597" t="b">
        <v>0</v>
      </c>
      <c r="R597" s="9" t="b">
        <v>0</v>
      </c>
      <c r="S597" s="3"/>
      <c r="T597" s="3"/>
      <c r="U597" s="3"/>
      <c r="V597" s="3"/>
      <c r="W597" s="3"/>
      <c r="X597" s="3"/>
      <c r="Y597" s="3"/>
      <c r="Z597" s="3"/>
      <c r="AA597" s="3"/>
      <c r="AB597" s="3"/>
      <c r="AC597" s="3"/>
      <c r="AD597" s="3"/>
      <c r="AE597" s="3"/>
    </row>
    <row r="598" ht="15.75" customHeight="1" spans="1:31">
      <c r="A598" t="s">
        <v>207</v>
      </c>
      <c r="B598" t="s">
        <v>201</v>
      </c>
      <c r="C598" s="25">
        <v>88.9</v>
      </c>
      <c r="D598" s="36">
        <v>19.6</v>
      </c>
      <c r="E598" s="25">
        <v>24</v>
      </c>
      <c r="F598" s="25">
        <v>18.5</v>
      </c>
      <c r="G598" s="25">
        <v>150</v>
      </c>
      <c r="H598" s="25">
        <v>62</v>
      </c>
      <c r="I598" s="3"/>
      <c r="K598" s="3"/>
      <c r="M598" s="25">
        <v>0.02</v>
      </c>
      <c r="N598" s="3"/>
      <c r="O598" s="8">
        <v>200</v>
      </c>
      <c r="P598" t="b">
        <v>0</v>
      </c>
      <c r="Q598" t="b">
        <v>0</v>
      </c>
      <c r="R598" s="9" t="b">
        <v>0</v>
      </c>
      <c r="S598" s="3"/>
      <c r="T598" s="3"/>
      <c r="U598" s="3"/>
      <c r="V598" s="3"/>
      <c r="W598" s="3"/>
      <c r="X598" s="3"/>
      <c r="Y598" s="3"/>
      <c r="Z598" s="3"/>
      <c r="AA598" s="3"/>
      <c r="AB598" s="3"/>
      <c r="AC598" s="3"/>
      <c r="AD598" s="3"/>
      <c r="AE598" s="3"/>
    </row>
    <row r="599" ht="15.75" customHeight="1" spans="1:31">
      <c r="A599" t="s">
        <v>208</v>
      </c>
      <c r="B599" t="s">
        <v>198</v>
      </c>
      <c r="C599" s="25">
        <v>76.4</v>
      </c>
      <c r="D599" s="36">
        <v>23</v>
      </c>
      <c r="E599" s="25">
        <v>20.5</v>
      </c>
      <c r="F599" s="25">
        <v>9.65</v>
      </c>
      <c r="G599" s="25">
        <v>390</v>
      </c>
      <c r="H599" s="25">
        <v>5.32</v>
      </c>
      <c r="J599" s="25">
        <v>14</v>
      </c>
      <c r="L599" s="25">
        <v>5</v>
      </c>
      <c r="M599" s="3"/>
      <c r="N599" s="3"/>
      <c r="O599" s="8">
        <v>200</v>
      </c>
      <c r="P599" t="b">
        <v>0</v>
      </c>
      <c r="Q599" t="b">
        <v>0</v>
      </c>
      <c r="R599" s="9" t="b">
        <v>0</v>
      </c>
      <c r="S599" s="10"/>
      <c r="T599" s="10"/>
      <c r="U599" s="10"/>
      <c r="V599" s="10"/>
      <c r="W599" s="10"/>
      <c r="X599" s="10"/>
      <c r="Y599" s="10"/>
      <c r="Z599" s="10"/>
      <c r="AA599" s="10"/>
      <c r="AB599" s="10"/>
      <c r="AC599" s="10"/>
      <c r="AD599" s="10"/>
      <c r="AE599" s="10"/>
    </row>
    <row r="600" ht="15.75" customHeight="1" spans="1:31">
      <c r="A600" t="s">
        <v>208</v>
      </c>
      <c r="B600" t="s">
        <v>199</v>
      </c>
      <c r="C600" s="25">
        <v>76.4</v>
      </c>
      <c r="D600" s="36">
        <v>23</v>
      </c>
      <c r="E600" s="25">
        <v>20.5</v>
      </c>
      <c r="F600" s="25">
        <v>22</v>
      </c>
      <c r="G600" s="25">
        <v>500</v>
      </c>
      <c r="H600" s="25">
        <v>65</v>
      </c>
      <c r="L600" s="25">
        <v>8</v>
      </c>
      <c r="M600" s="3"/>
      <c r="N600" s="3"/>
      <c r="O600" s="8">
        <v>200</v>
      </c>
      <c r="P600" t="b">
        <v>0</v>
      </c>
      <c r="Q600" t="b">
        <v>0</v>
      </c>
      <c r="R600" s="9" t="b">
        <v>0</v>
      </c>
      <c r="S600" s="10"/>
      <c r="T600" s="10"/>
      <c r="U600" s="10"/>
      <c r="V600" s="10"/>
      <c r="W600" s="10"/>
      <c r="X600" s="10"/>
      <c r="Y600" s="10"/>
      <c r="Z600" s="10"/>
      <c r="AA600" s="10"/>
      <c r="AB600" s="10"/>
      <c r="AC600" s="10"/>
      <c r="AD600" s="10"/>
      <c r="AE600" s="10"/>
    </row>
    <row r="601" ht="15.75" customHeight="1" spans="1:31">
      <c r="A601" t="s">
        <v>208</v>
      </c>
      <c r="B601" t="s">
        <v>200</v>
      </c>
      <c r="C601" s="25">
        <v>76.4</v>
      </c>
      <c r="D601" s="36">
        <v>23</v>
      </c>
      <c r="E601" s="25">
        <v>20.5</v>
      </c>
      <c r="F601" s="25">
        <v>22</v>
      </c>
      <c r="G601" s="25">
        <v>90</v>
      </c>
      <c r="H601" s="25">
        <v>91</v>
      </c>
      <c r="M601" s="3"/>
      <c r="N601" s="3"/>
      <c r="O601" s="8">
        <v>200</v>
      </c>
      <c r="P601" t="b">
        <v>0</v>
      </c>
      <c r="Q601" t="b">
        <v>0</v>
      </c>
      <c r="R601" s="9" t="b">
        <v>0</v>
      </c>
      <c r="S601" s="10"/>
      <c r="T601" s="10"/>
      <c r="U601" s="10"/>
      <c r="V601" s="10"/>
      <c r="W601" s="10"/>
      <c r="X601" s="10"/>
      <c r="Y601" s="10"/>
      <c r="Z601" s="10"/>
      <c r="AA601" s="10"/>
      <c r="AB601" s="10"/>
      <c r="AC601" s="10"/>
      <c r="AD601" s="10"/>
      <c r="AE601" s="10"/>
    </row>
    <row r="602" ht="15.75" customHeight="1" spans="1:31">
      <c r="A602" t="s">
        <v>208</v>
      </c>
      <c r="B602" s="3" t="s">
        <v>201</v>
      </c>
      <c r="C602" s="25">
        <v>76.4</v>
      </c>
      <c r="D602" s="36">
        <v>23</v>
      </c>
      <c r="E602" s="25">
        <v>20.5</v>
      </c>
      <c r="F602" s="25">
        <v>22</v>
      </c>
      <c r="G602" s="25">
        <v>230</v>
      </c>
      <c r="H602" s="25">
        <v>80</v>
      </c>
      <c r="M602" s="25">
        <v>0.04</v>
      </c>
      <c r="N602" s="3"/>
      <c r="O602" s="8">
        <v>200</v>
      </c>
      <c r="P602" t="b">
        <v>0</v>
      </c>
      <c r="Q602" t="b">
        <v>0</v>
      </c>
      <c r="R602" s="9" t="b">
        <v>0</v>
      </c>
      <c r="S602" s="10"/>
      <c r="T602" s="10"/>
      <c r="U602" s="10"/>
      <c r="V602" s="10"/>
      <c r="W602" s="10"/>
      <c r="X602" s="10"/>
      <c r="Y602" s="10"/>
      <c r="Z602" s="10"/>
      <c r="AA602" s="10"/>
      <c r="AB602" s="10"/>
      <c r="AC602" s="10"/>
      <c r="AD602" s="10"/>
      <c r="AE602" s="10"/>
    </row>
    <row r="603" ht="15.75" customHeight="1" spans="1:31">
      <c r="A603" s="14" t="s">
        <v>209</v>
      </c>
      <c r="B603" s="15"/>
      <c r="C603" s="15"/>
      <c r="D603" s="15"/>
      <c r="E603" s="15"/>
      <c r="F603" s="15"/>
      <c r="G603" s="15"/>
      <c r="H603" s="15"/>
      <c r="I603" s="15"/>
      <c r="J603" s="15"/>
      <c r="K603" s="15"/>
      <c r="L603" s="15"/>
      <c r="M603" s="15"/>
      <c r="N603" s="23"/>
      <c r="O603" s="27"/>
      <c r="P603" s="23"/>
      <c r="Q603" s="23"/>
      <c r="R603" s="27"/>
      <c r="S603" s="10"/>
      <c r="T603" s="10"/>
      <c r="U603" s="10"/>
      <c r="V603" s="10"/>
      <c r="W603" s="10"/>
      <c r="X603" s="10"/>
      <c r="Y603" s="10"/>
      <c r="Z603" s="10"/>
      <c r="AA603" s="10"/>
      <c r="AB603" s="10"/>
      <c r="AC603" s="10"/>
      <c r="AD603" s="10"/>
      <c r="AE603" s="10"/>
    </row>
    <row r="604" ht="15.75" customHeight="1" spans="1:31">
      <c r="A604" s="3" t="s">
        <v>210</v>
      </c>
      <c r="B604" t="s">
        <v>81</v>
      </c>
      <c r="C604" s="25">
        <v>895</v>
      </c>
      <c r="D604" s="25">
        <v>140</v>
      </c>
      <c r="E604" s="25">
        <f>VALUE(E605)</f>
        <v>14360</v>
      </c>
      <c r="F604" s="25">
        <v>100</v>
      </c>
      <c r="G604" s="25">
        <v>900</v>
      </c>
      <c r="H604" s="25">
        <v>15800</v>
      </c>
      <c r="I604" s="3"/>
      <c r="J604" s="3"/>
      <c r="K604" s="3"/>
      <c r="L604" s="25">
        <v>380</v>
      </c>
      <c r="M604" s="25">
        <f>1.6*0.99</f>
        <v>1.584</v>
      </c>
      <c r="N604" s="8">
        <v>250</v>
      </c>
      <c r="O604" s="8">
        <v>2</v>
      </c>
      <c r="P604" t="b">
        <v>0</v>
      </c>
      <c r="Q604" t="b">
        <v>0</v>
      </c>
      <c r="R604" s="9" t="b">
        <v>0</v>
      </c>
      <c r="S604" s="10"/>
      <c r="T604" s="10"/>
      <c r="U604" s="10"/>
      <c r="V604" s="10"/>
      <c r="W604" s="10"/>
      <c r="X604" s="10"/>
      <c r="Y604" s="10"/>
      <c r="Z604" s="10"/>
      <c r="AA604" s="10"/>
      <c r="AB604" s="10"/>
      <c r="AC604" s="10"/>
      <c r="AD604" s="10"/>
      <c r="AE604" s="10"/>
    </row>
    <row r="605" ht="15.75" customHeight="1" spans="1:31">
      <c r="A605" s="3" t="s">
        <v>210</v>
      </c>
      <c r="B605" t="s">
        <v>54</v>
      </c>
      <c r="C605" s="25">
        <v>895</v>
      </c>
      <c r="D605" s="25">
        <v>140</v>
      </c>
      <c r="E605" s="25">
        <f>30270-H605</f>
        <v>14360</v>
      </c>
      <c r="F605" s="25">
        <v>100</v>
      </c>
      <c r="G605" s="25">
        <v>900</v>
      </c>
      <c r="H605" s="25">
        <v>15910</v>
      </c>
      <c r="I605" s="3"/>
      <c r="J605" s="3"/>
      <c r="K605" s="3"/>
      <c r="L605" s="3"/>
      <c r="M605" s="25">
        <v>2.16</v>
      </c>
      <c r="N605" s="3"/>
      <c r="O605" s="8">
        <v>2</v>
      </c>
      <c r="P605" t="b">
        <v>0</v>
      </c>
      <c r="Q605" t="b">
        <v>0</v>
      </c>
      <c r="R605" s="9" t="b">
        <v>0</v>
      </c>
      <c r="S605" s="10"/>
      <c r="T605" s="10"/>
      <c r="U605" s="10"/>
      <c r="V605" s="10"/>
      <c r="W605" s="10"/>
      <c r="X605" s="10"/>
      <c r="Y605" s="10"/>
      <c r="Z605" s="10"/>
      <c r="AA605" s="10"/>
      <c r="AB605" s="10"/>
      <c r="AC605" s="10"/>
      <c r="AD605" s="10"/>
      <c r="AE605" s="10"/>
    </row>
    <row r="606" ht="15.75" customHeight="1" spans="1:31">
      <c r="A606" s="3" t="s">
        <v>211</v>
      </c>
      <c r="B606" t="s">
        <v>81</v>
      </c>
      <c r="C606" s="25">
        <v>850</v>
      </c>
      <c r="D606" s="25">
        <v>105</v>
      </c>
      <c r="E606" s="25">
        <v>11000</v>
      </c>
      <c r="F606" s="25">
        <v>105</v>
      </c>
      <c r="G606" s="25">
        <v>503</v>
      </c>
      <c r="H606" s="25">
        <v>7.96</v>
      </c>
      <c r="I606" s="3">
        <v>400</v>
      </c>
      <c r="J606" s="3"/>
      <c r="K606" s="3"/>
      <c r="L606" s="3">
        <v>410</v>
      </c>
      <c r="M606" s="25">
        <v>1.68</v>
      </c>
      <c r="N606" s="8">
        <v>250</v>
      </c>
      <c r="O606" s="8">
        <v>2</v>
      </c>
      <c r="P606" t="b">
        <v>0</v>
      </c>
      <c r="Q606" t="b">
        <v>0</v>
      </c>
      <c r="R606" s="9" t="b">
        <v>0</v>
      </c>
      <c r="S606" s="10"/>
      <c r="T606" s="10"/>
      <c r="U606" s="10"/>
      <c r="V606" s="10"/>
      <c r="W606" s="10"/>
      <c r="X606" s="10"/>
      <c r="Y606" s="10"/>
      <c r="Z606" s="10"/>
      <c r="AA606" s="10"/>
      <c r="AB606" s="10"/>
      <c r="AC606" s="10"/>
      <c r="AD606" s="10"/>
      <c r="AE606" s="10"/>
    </row>
    <row r="607" ht="15.75" customHeight="1" spans="1:31">
      <c r="A607" s="3" t="s">
        <v>211</v>
      </c>
      <c r="B607" t="s">
        <v>54</v>
      </c>
      <c r="C607" s="25">
        <v>850</v>
      </c>
      <c r="D607" s="25">
        <v>105</v>
      </c>
      <c r="E607" s="25">
        <v>11000</v>
      </c>
      <c r="F607" s="25">
        <v>105</v>
      </c>
      <c r="G607" s="25">
        <v>503</v>
      </c>
      <c r="H607" s="25">
        <v>7.96</v>
      </c>
      <c r="I607" s="3">
        <v>400</v>
      </c>
      <c r="J607" s="3"/>
      <c r="K607" s="3"/>
      <c r="L607" s="3"/>
      <c r="M607" s="25">
        <v>4.65</v>
      </c>
      <c r="N607" s="3"/>
      <c r="O607" s="8">
        <v>2</v>
      </c>
      <c r="P607" t="b">
        <v>0</v>
      </c>
      <c r="Q607" t="b">
        <v>0</v>
      </c>
      <c r="R607" s="9" t="b">
        <v>0</v>
      </c>
      <c r="S607" s="10"/>
      <c r="T607" s="10"/>
      <c r="U607" s="10"/>
      <c r="V607" s="10"/>
      <c r="W607" s="10"/>
      <c r="X607" s="10"/>
      <c r="Y607" s="10"/>
      <c r="Z607" s="10"/>
      <c r="AA607" s="10"/>
      <c r="AB607" s="10"/>
      <c r="AC607" s="10"/>
      <c r="AD607" s="10"/>
      <c r="AE607" s="10"/>
    </row>
    <row r="608" ht="15.75" customHeight="1" spans="1:31">
      <c r="A608" s="3" t="s">
        <v>212</v>
      </c>
      <c r="B608" t="s">
        <v>81</v>
      </c>
      <c r="C608" s="3">
        <v>1005.8</v>
      </c>
      <c r="D608" s="25">
        <v>137</v>
      </c>
      <c r="E608" s="25">
        <v>12000</v>
      </c>
      <c r="F608" s="25">
        <v>105</v>
      </c>
      <c r="G608" s="25">
        <v>1173</v>
      </c>
      <c r="H608" s="25">
        <v>10200</v>
      </c>
      <c r="I608" s="3">
        <v>662</v>
      </c>
      <c r="J608" s="3"/>
      <c r="K608" s="3"/>
      <c r="L608" s="34">
        <v>390</v>
      </c>
      <c r="M608" s="25">
        <v>1.29</v>
      </c>
      <c r="N608" s="48">
        <v>200</v>
      </c>
      <c r="O608" s="8">
        <v>2</v>
      </c>
      <c r="P608" t="b">
        <v>0</v>
      </c>
      <c r="Q608" t="b">
        <v>0</v>
      </c>
      <c r="R608" s="9" t="b">
        <v>0</v>
      </c>
      <c r="S608" s="10"/>
      <c r="T608" s="10"/>
      <c r="U608" s="10"/>
      <c r="V608" s="10"/>
      <c r="W608" s="10"/>
      <c r="X608" s="10"/>
      <c r="Y608" s="10"/>
      <c r="Z608" s="10"/>
      <c r="AA608" s="10"/>
      <c r="AB608" s="10"/>
      <c r="AC608" s="10"/>
      <c r="AD608" s="10"/>
      <c r="AE608" s="10"/>
    </row>
    <row r="609" ht="15.75" customHeight="1" spans="1:31">
      <c r="A609" s="3" t="s">
        <v>212</v>
      </c>
      <c r="B609" t="s">
        <v>54</v>
      </c>
      <c r="C609" s="25">
        <v>1028</v>
      </c>
      <c r="D609" s="25">
        <v>137</v>
      </c>
      <c r="E609" s="25">
        <v>10900</v>
      </c>
      <c r="F609" s="25">
        <v>105</v>
      </c>
      <c r="G609" s="25">
        <v>683</v>
      </c>
      <c r="H609" s="25">
        <v>12100</v>
      </c>
      <c r="I609" s="3"/>
      <c r="J609" s="3"/>
      <c r="K609" s="3"/>
      <c r="L609" s="34"/>
      <c r="M609" s="25">
        <v>1.99</v>
      </c>
      <c r="N609" s="48"/>
      <c r="O609" s="8">
        <v>2</v>
      </c>
      <c r="P609" t="b">
        <v>0</v>
      </c>
      <c r="Q609" t="b">
        <v>0</v>
      </c>
      <c r="R609" s="9" t="b">
        <v>0</v>
      </c>
      <c r="S609" s="10"/>
      <c r="T609" s="10"/>
      <c r="U609" s="10"/>
      <c r="V609" s="10"/>
      <c r="W609" s="10"/>
      <c r="X609" s="10"/>
      <c r="Y609" s="10"/>
      <c r="Z609" s="10"/>
      <c r="AA609" s="10"/>
      <c r="AB609" s="10"/>
      <c r="AC609" s="10"/>
      <c r="AD609" s="10"/>
      <c r="AE609" s="10"/>
    </row>
    <row r="610" ht="15.75" customHeight="1" spans="1:31">
      <c r="A610" s="3" t="s">
        <v>213</v>
      </c>
      <c r="B610" t="s">
        <v>81</v>
      </c>
      <c r="C610" s="25">
        <v>982</v>
      </c>
      <c r="D610" s="25">
        <v>169</v>
      </c>
      <c r="E610" s="25">
        <f>22300-H610</f>
        <v>10900</v>
      </c>
      <c r="F610" s="25">
        <v>120</v>
      </c>
      <c r="G610" s="25">
        <v>1400</v>
      </c>
      <c r="H610" s="25">
        <v>11400</v>
      </c>
      <c r="I610" s="3">
        <v>745</v>
      </c>
      <c r="J610" s="3"/>
      <c r="K610" s="3"/>
      <c r="L610" s="34">
        <v>420</v>
      </c>
      <c r="M610" s="25">
        <f>M611/2</f>
        <v>2.144</v>
      </c>
      <c r="N610" s="48">
        <v>5</v>
      </c>
      <c r="O610" s="8">
        <v>2</v>
      </c>
      <c r="P610" t="b">
        <v>0</v>
      </c>
      <c r="Q610" t="b">
        <v>0</v>
      </c>
      <c r="R610" s="9" t="b">
        <v>0</v>
      </c>
      <c r="S610" s="10"/>
      <c r="T610" s="10"/>
      <c r="U610" s="10"/>
      <c r="V610" s="10"/>
      <c r="W610" s="10"/>
      <c r="X610" s="10"/>
      <c r="Y610" s="10"/>
      <c r="Z610" s="10"/>
      <c r="AA610" s="10"/>
      <c r="AB610" s="10"/>
      <c r="AC610" s="10"/>
      <c r="AD610" s="10"/>
      <c r="AE610" s="10"/>
    </row>
    <row r="611" ht="15.75" customHeight="1" spans="1:31">
      <c r="A611" s="3" t="s">
        <v>213</v>
      </c>
      <c r="B611" t="s">
        <v>54</v>
      </c>
      <c r="C611" s="25">
        <f t="shared" ref="C611:H611" si="5">C610</f>
        <v>982</v>
      </c>
      <c r="D611" s="25">
        <f t="shared" si="5"/>
        <v>169</v>
      </c>
      <c r="E611" s="25">
        <f t="shared" si="5"/>
        <v>10900</v>
      </c>
      <c r="F611" s="25">
        <f t="shared" si="5"/>
        <v>120</v>
      </c>
      <c r="G611" s="25">
        <f t="shared" si="5"/>
        <v>1400</v>
      </c>
      <c r="H611" s="25">
        <f t="shared" si="5"/>
        <v>11400</v>
      </c>
      <c r="I611" s="3">
        <v>745</v>
      </c>
      <c r="J611" s="3"/>
      <c r="K611" s="3"/>
      <c r="L611" s="3"/>
      <c r="M611" s="25">
        <f>3.2*1.34</f>
        <v>4.288</v>
      </c>
      <c r="N611" s="3"/>
      <c r="O611" s="8">
        <v>2</v>
      </c>
      <c r="P611" t="b">
        <v>0</v>
      </c>
      <c r="Q611" t="b">
        <v>0</v>
      </c>
      <c r="R611" s="9" t="b">
        <v>0</v>
      </c>
      <c r="S611" s="10"/>
      <c r="T611" s="10"/>
      <c r="U611" s="10"/>
      <c r="V611" s="10"/>
      <c r="W611" s="10"/>
      <c r="X611" s="10"/>
      <c r="Y611" s="10"/>
      <c r="Z611" s="10"/>
      <c r="AA611" s="10"/>
      <c r="AB611" s="10"/>
      <c r="AC611" s="10"/>
      <c r="AD611" s="10"/>
      <c r="AE611" s="10"/>
    </row>
    <row r="612" ht="15.75" customHeight="1" spans="1:31">
      <c r="A612" s="3" t="s">
        <v>214</v>
      </c>
      <c r="B612" s="3" t="s">
        <v>54</v>
      </c>
      <c r="C612" s="8">
        <v>780</v>
      </c>
      <c r="D612" s="3">
        <v>0</v>
      </c>
      <c r="E612" s="8">
        <v>0</v>
      </c>
      <c r="F612" s="8">
        <v>105</v>
      </c>
      <c r="G612" s="3">
        <v>770</v>
      </c>
      <c r="H612" s="8">
        <v>15000</v>
      </c>
      <c r="I612" s="3">
        <v>490</v>
      </c>
      <c r="J612" s="3"/>
      <c r="K612" s="3"/>
      <c r="L612" s="3"/>
      <c r="M612" s="8">
        <v>2.3</v>
      </c>
      <c r="N612" s="3"/>
      <c r="O612" s="8">
        <v>2</v>
      </c>
      <c r="P612" t="b">
        <v>0</v>
      </c>
      <c r="Q612" t="b">
        <v>0</v>
      </c>
      <c r="R612" s="9" t="b">
        <v>0</v>
      </c>
      <c r="S612" s="10"/>
      <c r="T612" s="10"/>
      <c r="U612" s="10"/>
      <c r="V612" s="10"/>
      <c r="W612" s="10"/>
      <c r="X612" s="10"/>
      <c r="Y612" s="10"/>
      <c r="Z612" s="10"/>
      <c r="AA612" s="10"/>
      <c r="AB612" s="10"/>
      <c r="AC612" s="10"/>
      <c r="AD612" s="10"/>
      <c r="AE612" s="10"/>
    </row>
    <row r="613" ht="15.75" customHeight="1" spans="1:31">
      <c r="A613" s="3" t="s">
        <v>214</v>
      </c>
      <c r="B613" s="3" t="s">
        <v>215</v>
      </c>
      <c r="C613" s="8">
        <v>780</v>
      </c>
      <c r="D613" s="3">
        <v>0</v>
      </c>
      <c r="E613" s="8">
        <v>0</v>
      </c>
      <c r="F613" s="8">
        <v>105</v>
      </c>
      <c r="G613" s="3">
        <v>770</v>
      </c>
      <c r="H613" s="8">
        <v>15000</v>
      </c>
      <c r="I613" s="3">
        <v>490</v>
      </c>
      <c r="J613" s="3"/>
      <c r="K613" s="3"/>
      <c r="L613" s="3"/>
      <c r="M613" s="8">
        <v>2.3</v>
      </c>
      <c r="N613" s="3"/>
      <c r="O613" s="8">
        <v>2</v>
      </c>
      <c r="P613" t="b">
        <v>0</v>
      </c>
      <c r="Q613" t="b">
        <v>0</v>
      </c>
      <c r="R613" s="9" t="b">
        <v>0</v>
      </c>
      <c r="S613" s="10"/>
      <c r="T613" s="10"/>
      <c r="U613" s="10"/>
      <c r="V613" s="10"/>
      <c r="W613" s="10"/>
      <c r="X613" s="10"/>
      <c r="Y613" s="10"/>
      <c r="Z613" s="10"/>
      <c r="AA613" s="10"/>
      <c r="AB613" s="10"/>
      <c r="AC613" s="10"/>
      <c r="AD613" s="10"/>
      <c r="AE613" s="10"/>
    </row>
    <row r="614" ht="15.75" customHeight="1" spans="1:31">
      <c r="A614" s="3" t="s">
        <v>214</v>
      </c>
      <c r="B614" s="3" t="s">
        <v>81</v>
      </c>
      <c r="C614" s="8">
        <v>780</v>
      </c>
      <c r="D614" s="3">
        <v>105</v>
      </c>
      <c r="E614" s="8">
        <v>4000</v>
      </c>
      <c r="F614" s="8">
        <v>105</v>
      </c>
      <c r="G614" s="3">
        <v>1000</v>
      </c>
      <c r="H614" s="8">
        <v>15000</v>
      </c>
      <c r="I614" s="3">
        <v>490</v>
      </c>
      <c r="J614" s="3"/>
      <c r="K614" s="3"/>
      <c r="L614" s="3">
        <v>375</v>
      </c>
      <c r="M614" s="8">
        <v>1.29</v>
      </c>
      <c r="N614" s="3">
        <v>274</v>
      </c>
      <c r="O614" s="8">
        <v>2</v>
      </c>
      <c r="P614" t="b">
        <v>0</v>
      </c>
      <c r="Q614" t="b">
        <v>0</v>
      </c>
      <c r="R614" s="9" t="b">
        <v>0</v>
      </c>
      <c r="S614" s="10"/>
      <c r="T614" s="10"/>
      <c r="U614" s="10"/>
      <c r="V614" s="10"/>
      <c r="W614" s="10"/>
      <c r="X614" s="10"/>
      <c r="Y614" s="10"/>
      <c r="Z614" s="10"/>
      <c r="AA614" s="10"/>
      <c r="AB614" s="10"/>
      <c r="AC614" s="10"/>
      <c r="AD614" s="10"/>
      <c r="AE614" s="10"/>
    </row>
    <row r="615" ht="15.75" customHeight="1" spans="1:31">
      <c r="A615" s="3" t="s">
        <v>214</v>
      </c>
      <c r="B615" s="3" t="s">
        <v>57</v>
      </c>
      <c r="C615" s="8">
        <v>780</v>
      </c>
      <c r="D615" s="3">
        <v>0</v>
      </c>
      <c r="E615" s="8">
        <v>0</v>
      </c>
      <c r="F615" s="8">
        <v>105</v>
      </c>
      <c r="G615" s="3">
        <v>770</v>
      </c>
      <c r="H615" s="8">
        <v>15000</v>
      </c>
      <c r="I615" s="3">
        <v>490</v>
      </c>
      <c r="J615" s="3"/>
      <c r="K615" s="3"/>
      <c r="L615" s="3"/>
      <c r="M615" s="8">
        <v>1.3</v>
      </c>
      <c r="N615" s="3"/>
      <c r="O615" s="8">
        <v>2</v>
      </c>
      <c r="P615" t="b">
        <v>0</v>
      </c>
      <c r="Q615" t="b">
        <v>0</v>
      </c>
      <c r="R615" s="9" t="b">
        <v>0</v>
      </c>
      <c r="S615" s="10"/>
      <c r="T615" s="10"/>
      <c r="U615" s="10"/>
      <c r="V615" s="10"/>
      <c r="W615" s="10"/>
      <c r="X615" s="10"/>
      <c r="Y615" s="10"/>
      <c r="Z615" s="10"/>
      <c r="AA615" s="10"/>
      <c r="AB615" s="10"/>
      <c r="AC615" s="10"/>
      <c r="AD615" s="10"/>
      <c r="AE615" s="10"/>
    </row>
    <row r="616" ht="15.75" customHeight="1" spans="1:31">
      <c r="A616" s="3" t="s">
        <v>214</v>
      </c>
      <c r="B616" s="3" t="s">
        <v>55</v>
      </c>
      <c r="C616" s="8">
        <v>780</v>
      </c>
      <c r="D616" s="3">
        <v>0</v>
      </c>
      <c r="E616" s="8">
        <v>0</v>
      </c>
      <c r="F616" s="8">
        <v>105</v>
      </c>
      <c r="G616" s="3">
        <v>770</v>
      </c>
      <c r="H616" s="8">
        <v>15000</v>
      </c>
      <c r="I616" s="3">
        <v>490</v>
      </c>
      <c r="J616" s="3"/>
      <c r="K616" s="3"/>
      <c r="L616" s="3"/>
      <c r="M616" s="8">
        <v>2.3</v>
      </c>
      <c r="N616" s="3"/>
      <c r="O616" s="8">
        <v>2</v>
      </c>
      <c r="P616" t="b">
        <v>0</v>
      </c>
      <c r="Q616" t="b">
        <v>0</v>
      </c>
      <c r="R616" s="9" t="b">
        <v>0</v>
      </c>
      <c r="S616" s="10"/>
      <c r="T616" s="10"/>
      <c r="U616" s="10"/>
      <c r="V616" s="10"/>
      <c r="W616" s="10"/>
      <c r="X616" s="10"/>
      <c r="Y616" s="10"/>
      <c r="Z616" s="10"/>
      <c r="AA616" s="10"/>
      <c r="AB616" s="10"/>
      <c r="AC616" s="10"/>
      <c r="AD616" s="10"/>
      <c r="AE616" s="10"/>
    </row>
    <row r="617" ht="15.75" customHeight="1" spans="1:31">
      <c r="A617" s="3" t="s">
        <v>214</v>
      </c>
      <c r="B617" s="3" t="s">
        <v>69</v>
      </c>
      <c r="C617" s="8">
        <v>780</v>
      </c>
      <c r="D617" s="3">
        <v>0</v>
      </c>
      <c r="E617" s="8">
        <v>0</v>
      </c>
      <c r="F617" s="8">
        <v>105</v>
      </c>
      <c r="G617" s="3">
        <v>732</v>
      </c>
      <c r="H617" s="8">
        <v>15000</v>
      </c>
      <c r="I617" s="3">
        <v>490</v>
      </c>
      <c r="J617" s="3"/>
      <c r="K617" s="3"/>
      <c r="L617" s="3"/>
      <c r="M617" s="8">
        <v>2.72</v>
      </c>
      <c r="N617" s="3"/>
      <c r="O617" s="8">
        <v>2</v>
      </c>
      <c r="P617" t="b">
        <v>0</v>
      </c>
      <c r="Q617" t="b">
        <v>0</v>
      </c>
      <c r="R617" s="9" t="b">
        <v>0</v>
      </c>
      <c r="S617" s="10"/>
      <c r="T617" s="10"/>
      <c r="U617" s="10"/>
      <c r="V617" s="10"/>
      <c r="W617" s="10"/>
      <c r="X617" s="10"/>
      <c r="Y617" s="10"/>
      <c r="Z617" s="10"/>
      <c r="AA617" s="10"/>
      <c r="AB617" s="10"/>
      <c r="AC617" s="10"/>
      <c r="AD617" s="10"/>
      <c r="AE617" s="10"/>
    </row>
    <row r="618" ht="15.75" customHeight="1" spans="1:31">
      <c r="A618" s="3" t="s">
        <v>216</v>
      </c>
      <c r="B618" t="s">
        <v>54</v>
      </c>
      <c r="C618" s="25">
        <f t="shared" ref="C618:C623" si="6">I618</f>
        <v>843.28</v>
      </c>
      <c r="D618" s="25">
        <v>0</v>
      </c>
      <c r="E618" s="25">
        <v>0</v>
      </c>
      <c r="F618" s="25">
        <v>154.89</v>
      </c>
      <c r="G618" s="25">
        <v>827</v>
      </c>
      <c r="H618" s="25">
        <v>46700</v>
      </c>
      <c r="I618" s="25">
        <f t="shared" ref="I618:I622" si="7">33.2*25.4</f>
        <v>843.28</v>
      </c>
      <c r="J618" s="3"/>
      <c r="K618" s="3"/>
      <c r="L618" s="3"/>
      <c r="M618" s="25">
        <v>10.7</v>
      </c>
      <c r="N618" s="3"/>
      <c r="O618" s="8">
        <v>1</v>
      </c>
      <c r="P618" t="b">
        <v>0</v>
      </c>
      <c r="Q618" t="b">
        <v>0</v>
      </c>
      <c r="R618" s="9" t="b">
        <v>0</v>
      </c>
      <c r="S618" s="10"/>
      <c r="T618" s="10"/>
      <c r="U618" s="10"/>
      <c r="V618" s="10"/>
      <c r="W618" s="10"/>
      <c r="X618" s="10"/>
      <c r="Y618" s="10"/>
      <c r="Z618" s="10"/>
      <c r="AA618" s="10"/>
      <c r="AB618" s="10"/>
      <c r="AC618" s="10"/>
      <c r="AD618" s="10"/>
      <c r="AE618" s="10"/>
    </row>
    <row r="619" ht="15.75" customHeight="1" spans="1:31">
      <c r="A619" s="3" t="s">
        <v>216</v>
      </c>
      <c r="B619" t="s">
        <v>215</v>
      </c>
      <c r="C619" s="25">
        <f t="shared" si="6"/>
        <v>843.28</v>
      </c>
      <c r="D619" s="25">
        <v>0</v>
      </c>
      <c r="E619" s="25">
        <v>0</v>
      </c>
      <c r="F619" s="25">
        <v>154.89</v>
      </c>
      <c r="G619" s="25">
        <v>827</v>
      </c>
      <c r="H619" s="25">
        <v>46700</v>
      </c>
      <c r="I619" s="25">
        <f t="shared" si="7"/>
        <v>843.28</v>
      </c>
      <c r="J619" s="3"/>
      <c r="K619" s="3"/>
      <c r="L619" s="3"/>
      <c r="M619" s="25">
        <v>10.7</v>
      </c>
      <c r="N619" s="3"/>
      <c r="O619" s="8">
        <v>1</v>
      </c>
      <c r="P619" t="b">
        <v>0</v>
      </c>
      <c r="Q619" t="b">
        <v>0</v>
      </c>
      <c r="R619" s="9" t="b">
        <v>0</v>
      </c>
      <c r="S619" s="10"/>
      <c r="T619" s="10"/>
      <c r="U619" s="10"/>
      <c r="V619" s="10"/>
      <c r="W619" s="10"/>
      <c r="X619" s="10"/>
      <c r="Y619" s="10"/>
      <c r="Z619" s="10"/>
      <c r="AA619" s="10"/>
      <c r="AB619" s="10"/>
      <c r="AC619" s="10"/>
      <c r="AD619" s="10"/>
      <c r="AE619" s="10"/>
    </row>
    <row r="620" ht="15.75" customHeight="1" spans="1:31">
      <c r="A620" s="3" t="s">
        <v>216</v>
      </c>
      <c r="B620" t="s">
        <v>57</v>
      </c>
      <c r="C620" s="25">
        <f t="shared" si="6"/>
        <v>843.28</v>
      </c>
      <c r="D620" s="25">
        <v>0</v>
      </c>
      <c r="E620" s="25">
        <v>0</v>
      </c>
      <c r="F620" s="25">
        <v>154.89</v>
      </c>
      <c r="G620" s="25">
        <v>827</v>
      </c>
      <c r="H620" s="25">
        <v>46700</v>
      </c>
      <c r="I620" s="25">
        <f t="shared" si="7"/>
        <v>843.28</v>
      </c>
      <c r="J620" s="3"/>
      <c r="K620" s="3"/>
      <c r="L620" s="3"/>
      <c r="M620" s="25">
        <v>4.2</v>
      </c>
      <c r="N620" s="3"/>
      <c r="O620" s="8">
        <v>1</v>
      </c>
      <c r="P620" t="b">
        <v>0</v>
      </c>
      <c r="Q620" t="b">
        <v>0</v>
      </c>
      <c r="R620" s="9" t="b">
        <v>0</v>
      </c>
      <c r="S620" s="10"/>
      <c r="T620" s="10"/>
      <c r="U620" s="10"/>
      <c r="V620" s="10"/>
      <c r="W620" s="10"/>
      <c r="X620" s="10"/>
      <c r="Y620" s="10"/>
      <c r="Z620" s="10"/>
      <c r="AA620" s="10"/>
      <c r="AB620" s="10"/>
      <c r="AC620" s="10"/>
      <c r="AD620" s="10"/>
      <c r="AE620" s="10"/>
    </row>
    <row r="621" ht="15.75" customHeight="1" spans="1:31">
      <c r="A621" s="3" t="s">
        <v>216</v>
      </c>
      <c r="B621" t="s">
        <v>55</v>
      </c>
      <c r="C621" s="25">
        <f t="shared" si="6"/>
        <v>843.28</v>
      </c>
      <c r="D621" s="25">
        <v>0</v>
      </c>
      <c r="E621" s="25">
        <v>0</v>
      </c>
      <c r="F621" s="25">
        <v>154.89</v>
      </c>
      <c r="G621" s="25">
        <v>827</v>
      </c>
      <c r="H621" s="25">
        <v>46700</v>
      </c>
      <c r="I621" s="25">
        <f t="shared" si="7"/>
        <v>843.28</v>
      </c>
      <c r="J621" s="3"/>
      <c r="K621" s="3"/>
      <c r="L621" s="3"/>
      <c r="M621" s="25">
        <v>10.7</v>
      </c>
      <c r="N621" s="3"/>
      <c r="O621" s="8">
        <v>1</v>
      </c>
      <c r="P621" t="b">
        <v>0</v>
      </c>
      <c r="Q621" t="b">
        <v>0</v>
      </c>
      <c r="R621" s="9" t="b">
        <v>0</v>
      </c>
      <c r="S621" s="10"/>
      <c r="T621" s="10"/>
      <c r="U621" s="10"/>
      <c r="V621" s="10"/>
      <c r="W621" s="10"/>
      <c r="X621" s="10"/>
      <c r="Y621" s="10"/>
      <c r="Z621" s="10"/>
      <c r="AA621" s="10"/>
      <c r="AB621" s="10"/>
      <c r="AC621" s="10"/>
      <c r="AD621" s="10"/>
      <c r="AE621" s="10"/>
    </row>
    <row r="622" ht="15.75" customHeight="1" spans="1:31">
      <c r="A622" s="3" t="s">
        <v>216</v>
      </c>
      <c r="B622" t="s">
        <v>69</v>
      </c>
      <c r="C622" s="25">
        <f t="shared" si="6"/>
        <v>843.28</v>
      </c>
      <c r="D622" s="25">
        <v>0</v>
      </c>
      <c r="E622" s="25">
        <v>0</v>
      </c>
      <c r="F622" s="25">
        <v>154.89</v>
      </c>
      <c r="G622" s="25">
        <v>827</v>
      </c>
      <c r="H622" s="25">
        <v>44200</v>
      </c>
      <c r="I622" s="25">
        <f t="shared" si="7"/>
        <v>843.28</v>
      </c>
      <c r="J622" s="3"/>
      <c r="K622" s="3"/>
      <c r="L622" s="3"/>
      <c r="M622" s="25">
        <v>5.8</v>
      </c>
      <c r="N622" s="3"/>
      <c r="O622" s="8">
        <v>1</v>
      </c>
      <c r="P622" t="b">
        <v>0</v>
      </c>
      <c r="Q622" t="b">
        <v>0</v>
      </c>
      <c r="R622" s="9" t="b">
        <v>0</v>
      </c>
      <c r="S622" s="10"/>
      <c r="T622" s="10"/>
      <c r="U622" s="10"/>
      <c r="V622" s="10"/>
      <c r="W622" s="10"/>
      <c r="X622" s="10"/>
      <c r="Y622" s="10"/>
      <c r="Z622" s="10"/>
      <c r="AA622" s="10"/>
      <c r="AB622" s="10"/>
      <c r="AC622" s="10"/>
      <c r="AD622" s="10"/>
      <c r="AE622" s="10"/>
    </row>
    <row r="623" ht="15.75" customHeight="1" spans="1:31">
      <c r="A623" s="3" t="s">
        <v>217</v>
      </c>
      <c r="B623" t="s">
        <v>54</v>
      </c>
      <c r="C623" s="25">
        <f t="shared" si="6"/>
        <v>1273</v>
      </c>
      <c r="D623" s="25">
        <v>0</v>
      </c>
      <c r="E623" s="25">
        <v>0</v>
      </c>
      <c r="F623" s="25">
        <v>283</v>
      </c>
      <c r="G623" s="25">
        <v>890</v>
      </c>
      <c r="H623" s="25">
        <v>300000</v>
      </c>
      <c r="I623" s="25">
        <v>1273</v>
      </c>
      <c r="J623" s="3"/>
      <c r="K623" s="3"/>
      <c r="L623" s="3"/>
      <c r="M623" s="25">
        <v>21.8</v>
      </c>
      <c r="N623" s="3"/>
      <c r="O623" s="8">
        <v>1</v>
      </c>
      <c r="P623" t="b">
        <v>0</v>
      </c>
      <c r="Q623" t="b">
        <v>0</v>
      </c>
      <c r="R623" s="9" t="b">
        <v>0</v>
      </c>
      <c r="S623" s="10"/>
      <c r="T623" s="10"/>
      <c r="U623" s="10"/>
      <c r="V623" s="10"/>
      <c r="W623" s="10"/>
      <c r="X623" s="10"/>
      <c r="Y623" s="10"/>
      <c r="Z623" s="10"/>
      <c r="AA623" s="10"/>
      <c r="AB623" s="10"/>
      <c r="AC623" s="10"/>
      <c r="AD623" s="10"/>
      <c r="AE623" s="10"/>
    </row>
    <row r="624" ht="15.75" customHeight="1" spans="1:31">
      <c r="A624" s="3" t="s">
        <v>218</v>
      </c>
      <c r="B624" t="s">
        <v>54</v>
      </c>
      <c r="C624" s="25">
        <v>423</v>
      </c>
      <c r="D624" s="25">
        <v>40</v>
      </c>
      <c r="E624" s="25">
        <v>570</v>
      </c>
      <c r="F624" s="25">
        <v>37</v>
      </c>
      <c r="G624" s="25">
        <v>792</v>
      </c>
      <c r="H624" s="25">
        <v>610</v>
      </c>
      <c r="I624" s="25"/>
      <c r="J624" s="3"/>
      <c r="K624" s="3"/>
      <c r="L624" s="34"/>
      <c r="M624" s="3"/>
      <c r="N624" s="3"/>
      <c r="O624" s="8">
        <v>25</v>
      </c>
      <c r="P624" t="b">
        <v>0</v>
      </c>
      <c r="Q624" t="b">
        <v>0</v>
      </c>
      <c r="R624" s="9" t="b">
        <v>0</v>
      </c>
      <c r="S624" s="3"/>
      <c r="T624" s="3"/>
      <c r="U624" s="3"/>
      <c r="V624" s="3"/>
      <c r="W624" s="3"/>
      <c r="X624" s="3"/>
      <c r="Y624" s="3"/>
      <c r="Z624" s="3"/>
      <c r="AA624" s="3"/>
      <c r="AB624" s="3"/>
      <c r="AC624" s="3"/>
      <c r="AD624" s="3"/>
      <c r="AE624" s="3"/>
    </row>
    <row r="625" ht="15.75" customHeight="1" spans="1:31">
      <c r="A625" s="3" t="s">
        <v>218</v>
      </c>
      <c r="B625" t="s">
        <v>65</v>
      </c>
      <c r="C625" s="25">
        <v>423</v>
      </c>
      <c r="D625" s="25">
        <v>40</v>
      </c>
      <c r="E625" s="25">
        <v>600</v>
      </c>
      <c r="F625" s="25">
        <v>37</v>
      </c>
      <c r="G625" s="25">
        <v>625</v>
      </c>
      <c r="H625" s="25">
        <v>870</v>
      </c>
      <c r="I625" s="25"/>
      <c r="J625" s="3"/>
      <c r="K625" s="3"/>
      <c r="L625" s="34"/>
      <c r="M625" s="3"/>
      <c r="N625" s="3"/>
      <c r="O625" s="8">
        <v>25</v>
      </c>
      <c r="P625" t="b">
        <v>0</v>
      </c>
      <c r="Q625" t="b">
        <v>0</v>
      </c>
      <c r="R625" s="9" t="b">
        <v>0</v>
      </c>
      <c r="S625" s="10"/>
      <c r="T625" s="10"/>
      <c r="U625" s="10"/>
      <c r="V625" s="10"/>
      <c r="W625" s="10"/>
      <c r="X625" s="10"/>
      <c r="Y625" s="10"/>
      <c r="Z625" s="10"/>
      <c r="AA625" s="10"/>
      <c r="AB625" s="10"/>
      <c r="AC625" s="10"/>
      <c r="AD625" s="10"/>
      <c r="AE625" s="10"/>
    </row>
    <row r="626" ht="15.75" customHeight="1" spans="1:31">
      <c r="A626" s="3" t="s">
        <v>219</v>
      </c>
      <c r="B626" t="s">
        <v>54</v>
      </c>
      <c r="C626" s="25">
        <v>534</v>
      </c>
      <c r="D626" s="25">
        <v>61</v>
      </c>
      <c r="E626" s="25">
        <f t="shared" ref="E626:E627" si="8">2150-H626</f>
        <v>1190</v>
      </c>
      <c r="F626" s="25">
        <v>40</v>
      </c>
      <c r="G626" s="25">
        <v>1021</v>
      </c>
      <c r="H626" s="25">
        <v>960</v>
      </c>
      <c r="I626" s="25">
        <v>157</v>
      </c>
      <c r="J626" s="3"/>
      <c r="K626" s="3"/>
      <c r="L626" s="34">
        <f>L627/2</f>
        <v>32.5</v>
      </c>
      <c r="M626" s="3"/>
      <c r="N626" s="3"/>
      <c r="O626" s="8">
        <v>25</v>
      </c>
      <c r="P626" t="b">
        <v>0</v>
      </c>
      <c r="Q626" t="b">
        <v>0</v>
      </c>
      <c r="R626" s="9" t="b">
        <v>0</v>
      </c>
      <c r="S626" s="10"/>
      <c r="T626" s="10"/>
      <c r="U626" s="10"/>
      <c r="V626" s="10"/>
      <c r="W626" s="10"/>
      <c r="X626" s="10"/>
      <c r="Y626" s="10"/>
      <c r="Z626" s="10"/>
      <c r="AA626" s="10"/>
      <c r="AB626" s="10"/>
      <c r="AC626" s="10"/>
      <c r="AD626" s="10"/>
      <c r="AE626" s="10"/>
    </row>
    <row r="627" ht="15.75" customHeight="1" spans="1:31">
      <c r="A627" s="3" t="s">
        <v>219</v>
      </c>
      <c r="B627" t="s">
        <v>65</v>
      </c>
      <c r="C627" s="25">
        <v>534</v>
      </c>
      <c r="D627" s="25">
        <v>61</v>
      </c>
      <c r="E627" s="25">
        <f t="shared" si="8"/>
        <v>1190</v>
      </c>
      <c r="F627" s="25">
        <v>40</v>
      </c>
      <c r="G627" s="25">
        <v>1021</v>
      </c>
      <c r="H627" s="25">
        <v>960</v>
      </c>
      <c r="I627" s="25">
        <v>157</v>
      </c>
      <c r="J627" s="3"/>
      <c r="K627" s="3"/>
      <c r="L627" s="25">
        <v>65</v>
      </c>
      <c r="M627" s="3"/>
      <c r="N627" s="3"/>
      <c r="O627" s="8">
        <v>25</v>
      </c>
      <c r="P627" t="b">
        <v>0</v>
      </c>
      <c r="Q627" t="b">
        <v>0</v>
      </c>
      <c r="R627" s="9" t="b">
        <v>0</v>
      </c>
      <c r="S627" s="10"/>
      <c r="T627" s="10"/>
      <c r="U627" s="10"/>
      <c r="V627" s="10"/>
      <c r="W627" s="10"/>
      <c r="X627" s="10"/>
      <c r="Y627" s="10"/>
      <c r="Z627" s="10"/>
      <c r="AA627" s="10"/>
      <c r="AB627" s="10"/>
      <c r="AC627" s="10"/>
      <c r="AD627" s="10"/>
      <c r="AE627" s="10"/>
    </row>
    <row r="628" ht="15.75" customHeight="1" spans="1:31">
      <c r="A628" s="3" t="s">
        <v>219</v>
      </c>
      <c r="B628" t="s">
        <v>25</v>
      </c>
      <c r="C628" s="25">
        <v>534</v>
      </c>
      <c r="D628" s="37">
        <v>61</v>
      </c>
      <c r="E628" s="25">
        <v>1540</v>
      </c>
      <c r="F628" s="25">
        <v>40</v>
      </c>
      <c r="G628" s="25">
        <v>1532</v>
      </c>
      <c r="H628" s="25">
        <v>548</v>
      </c>
      <c r="I628" s="25">
        <v>157</v>
      </c>
      <c r="J628" s="3"/>
      <c r="K628" s="3"/>
      <c r="L628" s="48">
        <v>175</v>
      </c>
      <c r="M628" s="3"/>
      <c r="N628" s="3"/>
      <c r="O628" s="8">
        <v>25</v>
      </c>
      <c r="P628" t="b">
        <v>0</v>
      </c>
      <c r="Q628" t="b">
        <v>0</v>
      </c>
      <c r="R628" s="9" t="b">
        <v>0</v>
      </c>
      <c r="S628" s="10"/>
      <c r="T628" s="10"/>
      <c r="U628" s="10"/>
      <c r="V628" s="10"/>
      <c r="W628" s="10"/>
      <c r="X628" s="10"/>
      <c r="Y628" s="10"/>
      <c r="Z628" s="10"/>
      <c r="AA628" s="10"/>
      <c r="AB628" s="10"/>
      <c r="AC628" s="10"/>
      <c r="AD628" s="10"/>
      <c r="AE628" s="10"/>
    </row>
    <row r="629" ht="15.75" customHeight="1" spans="1:31">
      <c r="A629" t="s">
        <v>220</v>
      </c>
      <c r="B629" t="s">
        <v>65</v>
      </c>
      <c r="C629" s="25">
        <v>307</v>
      </c>
      <c r="D629" s="46">
        <v>62</v>
      </c>
      <c r="E629" s="25">
        <v>1600</v>
      </c>
      <c r="F629" s="25">
        <v>57</v>
      </c>
      <c r="G629" s="8">
        <v>411</v>
      </c>
      <c r="H629" s="25">
        <v>2700</v>
      </c>
      <c r="I629" s="3">
        <v>200</v>
      </c>
      <c r="J629" s="3"/>
      <c r="K629" s="3"/>
      <c r="L629" s="3">
        <v>32</v>
      </c>
      <c r="M629" s="25"/>
      <c r="N629" s="3"/>
      <c r="O629" s="8">
        <v>10</v>
      </c>
      <c r="P629" t="b">
        <v>0</v>
      </c>
      <c r="Q629" t="b">
        <v>0</v>
      </c>
      <c r="R629" s="9" t="b">
        <v>0</v>
      </c>
      <c r="S629" s="10"/>
      <c r="T629" s="10"/>
      <c r="U629" s="10"/>
      <c r="V629" s="10"/>
      <c r="W629" s="10"/>
      <c r="X629" s="10"/>
      <c r="Y629" s="10"/>
      <c r="Z629" s="10"/>
      <c r="AA629" s="10"/>
      <c r="AB629" s="10"/>
      <c r="AC629" s="10"/>
      <c r="AD629" s="10"/>
      <c r="AE629" s="10"/>
    </row>
    <row r="630" ht="15.75" customHeight="1" spans="1:31">
      <c r="A630" t="s">
        <v>220</v>
      </c>
      <c r="B630" t="s">
        <v>54</v>
      </c>
      <c r="C630" s="25">
        <v>307</v>
      </c>
      <c r="D630" s="46">
        <v>62</v>
      </c>
      <c r="E630" s="25">
        <v>1600</v>
      </c>
      <c r="F630" s="25">
        <v>57</v>
      </c>
      <c r="G630" s="8">
        <v>411</v>
      </c>
      <c r="H630" s="25">
        <v>2700</v>
      </c>
      <c r="I630" s="3">
        <v>200</v>
      </c>
      <c r="J630" s="3"/>
      <c r="K630" s="3"/>
      <c r="L630" s="3"/>
      <c r="M630" s="25">
        <v>0.1</v>
      </c>
      <c r="N630" s="3"/>
      <c r="O630" s="8">
        <v>10</v>
      </c>
      <c r="P630" t="b">
        <v>0</v>
      </c>
      <c r="Q630" t="b">
        <v>0</v>
      </c>
      <c r="R630" s="9" t="b">
        <v>0</v>
      </c>
      <c r="S630" s="10"/>
      <c r="T630" s="10"/>
      <c r="U630" s="10"/>
      <c r="V630" s="10"/>
      <c r="W630" s="10"/>
      <c r="X630" s="10"/>
      <c r="Y630" s="10"/>
      <c r="Z630" s="10"/>
      <c r="AA630" s="10"/>
      <c r="AB630" s="10"/>
      <c r="AC630" s="10"/>
      <c r="AD630" s="10"/>
      <c r="AE630" s="10"/>
    </row>
    <row r="631" ht="15.75" customHeight="1" spans="1:31">
      <c r="A631" s="47" t="s">
        <v>221</v>
      </c>
      <c r="B631" t="s">
        <v>65</v>
      </c>
      <c r="C631" s="25">
        <v>675.3</v>
      </c>
      <c r="D631" s="46">
        <f t="shared" ref="D631:D633" si="9">(70/49)*57</f>
        <v>81.4285714285714</v>
      </c>
      <c r="E631" s="25">
        <v>3700</v>
      </c>
      <c r="F631" s="25">
        <v>57</v>
      </c>
      <c r="G631" s="8">
        <v>1035</v>
      </c>
      <c r="H631" s="25">
        <v>2400</v>
      </c>
      <c r="I631" s="3"/>
      <c r="J631" s="3"/>
      <c r="K631" s="3"/>
      <c r="L631" s="8">
        <v>120</v>
      </c>
      <c r="M631" s="25">
        <f>0.45*1.6</f>
        <v>0.72</v>
      </c>
      <c r="N631" s="3"/>
      <c r="O631" s="8">
        <v>10</v>
      </c>
      <c r="P631" t="b">
        <v>0</v>
      </c>
      <c r="Q631" t="b">
        <v>0</v>
      </c>
      <c r="R631" s="9" t="b">
        <v>0</v>
      </c>
      <c r="S631" s="10"/>
      <c r="T631" s="10"/>
      <c r="U631" s="10"/>
      <c r="V631" s="10"/>
      <c r="W631" s="10"/>
      <c r="X631" s="10"/>
      <c r="Y631" s="10"/>
      <c r="Z631" s="10"/>
      <c r="AA631" s="10"/>
      <c r="AB631" s="10"/>
      <c r="AC631" s="10"/>
      <c r="AD631" s="10"/>
      <c r="AE631" s="10"/>
    </row>
    <row r="632" ht="15.75" customHeight="1" spans="1:31">
      <c r="A632" t="s">
        <v>221</v>
      </c>
      <c r="B632" t="s">
        <v>54</v>
      </c>
      <c r="C632" s="37">
        <v>675.3</v>
      </c>
      <c r="D632" s="46">
        <f t="shared" si="9"/>
        <v>81.4285714285714</v>
      </c>
      <c r="E632" s="25">
        <v>3700</v>
      </c>
      <c r="F632" s="25">
        <v>57</v>
      </c>
      <c r="G632" s="8">
        <v>1035</v>
      </c>
      <c r="H632" s="25">
        <v>2400</v>
      </c>
      <c r="I632" s="3"/>
      <c r="J632" s="3"/>
      <c r="K632" s="3"/>
      <c r="L632" s="3"/>
      <c r="M632" s="25"/>
      <c r="N632" s="3"/>
      <c r="O632" s="8">
        <v>10</v>
      </c>
      <c r="P632" t="b">
        <v>0</v>
      </c>
      <c r="Q632" t="b">
        <v>0</v>
      </c>
      <c r="R632" s="9" t="b">
        <v>0</v>
      </c>
      <c r="S632" s="3"/>
      <c r="T632" s="3"/>
      <c r="U632" s="3"/>
      <c r="V632" s="3"/>
      <c r="W632" s="3"/>
      <c r="X632" s="3"/>
      <c r="Y632" s="3"/>
      <c r="Z632" s="3"/>
      <c r="AA632" s="3"/>
      <c r="AB632" s="3"/>
      <c r="AC632" s="3"/>
      <c r="AD632" s="3"/>
      <c r="AE632" s="3"/>
    </row>
    <row r="633" ht="15.75" customHeight="1" spans="1:31">
      <c r="A633" s="47" t="s">
        <v>221</v>
      </c>
      <c r="B633" t="s">
        <v>25</v>
      </c>
      <c r="C633" s="37">
        <v>675.3</v>
      </c>
      <c r="D633" s="46">
        <f t="shared" si="9"/>
        <v>81.4285714285714</v>
      </c>
      <c r="E633" s="25">
        <v>3700</v>
      </c>
      <c r="F633" s="25">
        <v>57</v>
      </c>
      <c r="G633" s="8">
        <v>1552</v>
      </c>
      <c r="H633" s="25">
        <v>1371</v>
      </c>
      <c r="I633" s="3"/>
      <c r="J633" s="3"/>
      <c r="K633" s="3"/>
      <c r="L633" s="8">
        <v>210</v>
      </c>
      <c r="M633" s="25"/>
      <c r="N633" s="3"/>
      <c r="O633" s="8">
        <v>10</v>
      </c>
      <c r="P633" t="b">
        <v>0</v>
      </c>
      <c r="Q633" t="b">
        <v>0</v>
      </c>
      <c r="R633" s="9" t="b">
        <v>0</v>
      </c>
      <c r="S633" s="10"/>
      <c r="T633" s="10"/>
      <c r="U633" s="10"/>
      <c r="V633" s="10"/>
      <c r="W633" s="10"/>
      <c r="X633" s="10"/>
      <c r="Y633" s="10"/>
      <c r="Z633" s="10"/>
      <c r="AA633" s="10"/>
      <c r="AB633" s="10"/>
      <c r="AC633" s="10"/>
      <c r="AD633" s="10"/>
      <c r="AE633" s="10"/>
    </row>
    <row r="634" ht="15.75" customHeight="1" spans="1:31">
      <c r="A634" t="s">
        <v>222</v>
      </c>
      <c r="B634" t="s">
        <v>65</v>
      </c>
      <c r="C634" s="37">
        <v>528.64</v>
      </c>
      <c r="D634" s="8">
        <v>86.3</v>
      </c>
      <c r="E634" s="25">
        <v>2204</v>
      </c>
      <c r="F634" s="25">
        <v>75</v>
      </c>
      <c r="G634" s="8">
        <v>618</v>
      </c>
      <c r="H634" s="25">
        <v>6323</v>
      </c>
      <c r="I634" s="3"/>
      <c r="J634" s="3"/>
      <c r="K634" s="3"/>
      <c r="L634" s="3">
        <v>88</v>
      </c>
      <c r="M634" s="25"/>
      <c r="N634" s="3"/>
      <c r="O634" s="8">
        <v>5</v>
      </c>
      <c r="P634" t="b">
        <v>0</v>
      </c>
      <c r="Q634" t="b">
        <v>0</v>
      </c>
      <c r="R634" s="9" t="b">
        <v>0</v>
      </c>
      <c r="S634" s="10"/>
      <c r="T634" s="10"/>
      <c r="U634" s="10"/>
      <c r="V634" s="10"/>
      <c r="W634" s="10"/>
      <c r="X634" s="10"/>
      <c r="Y634" s="10"/>
      <c r="Z634" s="10"/>
      <c r="AA634" s="10"/>
      <c r="AB634" s="10"/>
      <c r="AC634" s="10"/>
      <c r="AD634" s="10"/>
      <c r="AE634" s="10"/>
    </row>
    <row r="635" ht="15.75" customHeight="1" spans="1:31">
      <c r="A635" t="s">
        <v>222</v>
      </c>
      <c r="B635" t="s">
        <v>54</v>
      </c>
      <c r="C635" s="37">
        <v>675.64</v>
      </c>
      <c r="D635" s="8">
        <v>86.3</v>
      </c>
      <c r="E635" s="25">
        <v>1860</v>
      </c>
      <c r="F635" s="25">
        <v>75</v>
      </c>
      <c r="G635" s="8">
        <v>463</v>
      </c>
      <c r="H635" s="25">
        <v>6667</v>
      </c>
      <c r="I635" s="3"/>
      <c r="J635" s="3"/>
      <c r="K635" s="3"/>
      <c r="L635" s="3"/>
      <c r="M635" s="25">
        <v>0.68</v>
      </c>
      <c r="N635" s="3"/>
      <c r="O635" s="8">
        <v>5</v>
      </c>
      <c r="P635" t="b">
        <v>0</v>
      </c>
      <c r="Q635" t="b">
        <v>0</v>
      </c>
      <c r="R635" s="9" t="b">
        <v>0</v>
      </c>
      <c r="S635" s="10"/>
      <c r="T635" s="10"/>
      <c r="U635" s="10"/>
      <c r="V635" s="10"/>
      <c r="W635" s="10"/>
      <c r="X635" s="10"/>
      <c r="Y635" s="10"/>
      <c r="Z635" s="10"/>
      <c r="AA635" s="10"/>
      <c r="AB635" s="10"/>
      <c r="AC635" s="10"/>
      <c r="AD635" s="10"/>
      <c r="AE635" s="10"/>
    </row>
    <row r="636" ht="15.75" customHeight="1" spans="1:31">
      <c r="A636" s="47" t="s">
        <v>222</v>
      </c>
      <c r="B636" t="s">
        <v>223</v>
      </c>
      <c r="C636" s="37">
        <v>528.64</v>
      </c>
      <c r="D636" s="8">
        <v>86.3</v>
      </c>
      <c r="E636" s="25">
        <v>2204</v>
      </c>
      <c r="F636" s="25">
        <v>75</v>
      </c>
      <c r="G636" s="8">
        <v>927</v>
      </c>
      <c r="H636" s="25">
        <v>3613</v>
      </c>
      <c r="I636" s="3"/>
      <c r="J636" s="3"/>
      <c r="K636" s="3"/>
      <c r="L636" s="8">
        <v>154</v>
      </c>
      <c r="M636" s="3"/>
      <c r="N636" s="3"/>
      <c r="O636" s="8">
        <v>5</v>
      </c>
      <c r="P636" t="b">
        <v>0</v>
      </c>
      <c r="Q636" t="b">
        <v>0</v>
      </c>
      <c r="R636" s="9" t="b">
        <v>0</v>
      </c>
      <c r="S636" s="10"/>
      <c r="T636" s="10"/>
      <c r="U636" s="10"/>
      <c r="V636" s="10"/>
      <c r="W636" s="10"/>
      <c r="X636" s="10"/>
      <c r="Y636" s="10"/>
      <c r="Z636" s="10"/>
      <c r="AA636" s="10"/>
      <c r="AB636" s="10"/>
      <c r="AC636" s="10"/>
      <c r="AD636" s="10"/>
      <c r="AE636" s="10"/>
    </row>
    <row r="637" ht="15.75" customHeight="1" spans="1:31">
      <c r="A637" t="s">
        <v>224</v>
      </c>
      <c r="B637" t="s">
        <v>54</v>
      </c>
      <c r="C637" s="37">
        <v>650</v>
      </c>
      <c r="D637" s="8">
        <v>78</v>
      </c>
      <c r="E637" s="25">
        <v>1250</v>
      </c>
      <c r="F637" s="25">
        <v>77</v>
      </c>
      <c r="G637" s="8">
        <v>465</v>
      </c>
      <c r="H637" s="25">
        <v>5600</v>
      </c>
      <c r="I637" s="3">
        <v>290</v>
      </c>
      <c r="J637" s="3"/>
      <c r="K637" s="3"/>
      <c r="L637" s="3"/>
      <c r="M637" s="25">
        <v>0.25</v>
      </c>
      <c r="N637" s="3"/>
      <c r="O637" s="8">
        <v>5</v>
      </c>
      <c r="P637" t="b">
        <v>0</v>
      </c>
      <c r="Q637" t="b">
        <v>0</v>
      </c>
      <c r="R637" s="9" t="b">
        <v>0</v>
      </c>
      <c r="S637" s="10"/>
      <c r="T637" s="10"/>
      <c r="U637" s="10"/>
      <c r="V637" s="10"/>
      <c r="W637" s="10"/>
      <c r="X637" s="10"/>
      <c r="Y637" s="10"/>
      <c r="Z637" s="10"/>
      <c r="AA637" s="10"/>
      <c r="AB637" s="10"/>
      <c r="AC637" s="10"/>
      <c r="AD637" s="10"/>
      <c r="AE637" s="10"/>
    </row>
    <row r="638" ht="15.75" customHeight="1" spans="1:31">
      <c r="A638" t="s">
        <v>224</v>
      </c>
      <c r="B638" t="s">
        <v>55</v>
      </c>
      <c r="C638" s="37">
        <v>650</v>
      </c>
      <c r="D638" s="8">
        <v>78</v>
      </c>
      <c r="E638" s="25">
        <v>1250</v>
      </c>
      <c r="F638" s="25">
        <v>77</v>
      </c>
      <c r="G638" s="8">
        <v>465</v>
      </c>
      <c r="H638" s="25">
        <v>5600</v>
      </c>
      <c r="I638" s="3">
        <v>290</v>
      </c>
      <c r="J638" s="3"/>
      <c r="K638" s="3"/>
      <c r="L638" s="3"/>
      <c r="M638" s="25">
        <v>0.25</v>
      </c>
      <c r="N638" s="3"/>
      <c r="O638" s="8">
        <v>5</v>
      </c>
      <c r="P638" t="b">
        <v>0</v>
      </c>
      <c r="Q638" t="b">
        <v>0</v>
      </c>
      <c r="R638" s="9" t="b">
        <v>0</v>
      </c>
      <c r="S638" s="10"/>
      <c r="T638" s="10"/>
      <c r="U638" s="10"/>
      <c r="V638" s="10"/>
      <c r="W638" s="10"/>
      <c r="X638" s="10"/>
      <c r="Y638" s="10"/>
      <c r="Z638" s="10"/>
      <c r="AA638" s="10"/>
      <c r="AB638" s="10"/>
      <c r="AC638" s="10"/>
      <c r="AD638" s="10"/>
      <c r="AE638" s="10"/>
    </row>
    <row r="639" ht="15.75" customHeight="1" spans="1:31">
      <c r="A639" t="s">
        <v>225</v>
      </c>
      <c r="B639" t="s">
        <v>81</v>
      </c>
      <c r="C639" s="37">
        <f t="shared" ref="C639:C643" si="10">(23.62*25.4)+43</f>
        <v>642.948</v>
      </c>
      <c r="D639" s="8">
        <v>80</v>
      </c>
      <c r="E639" s="25">
        <v>2620</v>
      </c>
      <c r="F639" s="25">
        <v>76.2</v>
      </c>
      <c r="G639" s="8">
        <v>680</v>
      </c>
      <c r="H639" s="25">
        <v>6200</v>
      </c>
      <c r="I639" s="3"/>
      <c r="J639" s="3"/>
      <c r="K639" s="3"/>
      <c r="L639" s="8">
        <v>300</v>
      </c>
      <c r="M639" s="25">
        <v>0.74</v>
      </c>
      <c r="N639" s="8">
        <v>120</v>
      </c>
      <c r="O639" s="8">
        <v>5</v>
      </c>
      <c r="P639" t="b">
        <v>0</v>
      </c>
      <c r="Q639" t="b">
        <v>0</v>
      </c>
      <c r="R639" s="9" t="b">
        <v>0</v>
      </c>
      <c r="S639" s="10"/>
      <c r="T639" s="10"/>
      <c r="U639" s="10"/>
      <c r="V639" s="10"/>
      <c r="W639" s="10"/>
      <c r="X639" s="10"/>
      <c r="Y639" s="10"/>
      <c r="Z639" s="10"/>
      <c r="AA639" s="10"/>
      <c r="AB639" s="10"/>
      <c r="AC639" s="10"/>
      <c r="AD639" s="10"/>
      <c r="AE639" s="10"/>
    </row>
    <row r="640" ht="15.75" customHeight="1" spans="1:31">
      <c r="A640" t="s">
        <v>225</v>
      </c>
      <c r="B640" t="s">
        <v>65</v>
      </c>
      <c r="C640" s="37">
        <f t="shared" si="10"/>
        <v>642.948</v>
      </c>
      <c r="D640" s="8">
        <v>80</v>
      </c>
      <c r="E640" s="25">
        <v>2620</v>
      </c>
      <c r="F640" s="25">
        <v>76.2</v>
      </c>
      <c r="G640" s="8">
        <v>680</v>
      </c>
      <c r="H640" s="25">
        <v>6200</v>
      </c>
      <c r="I640" s="3"/>
      <c r="J640" s="3"/>
      <c r="K640" s="3"/>
      <c r="L640" s="8">
        <v>110</v>
      </c>
      <c r="M640" s="3"/>
      <c r="N640" s="3"/>
      <c r="O640" s="8">
        <v>5</v>
      </c>
      <c r="P640" t="b">
        <v>0</v>
      </c>
      <c r="Q640" t="b">
        <v>0</v>
      </c>
      <c r="R640" s="9" t="b">
        <v>0</v>
      </c>
      <c r="S640" s="10"/>
      <c r="T640" s="10"/>
      <c r="U640" s="10"/>
      <c r="V640" s="10"/>
      <c r="W640" s="10"/>
      <c r="X640" s="10"/>
      <c r="Y640" s="10"/>
      <c r="Z640" s="10"/>
      <c r="AA640" s="10"/>
      <c r="AB640" s="10"/>
      <c r="AC640" s="10"/>
      <c r="AD640" s="10"/>
      <c r="AE640" s="10"/>
    </row>
    <row r="641" ht="15.75" customHeight="1" spans="1:31">
      <c r="A641" t="s">
        <v>225</v>
      </c>
      <c r="B641" t="s">
        <v>54</v>
      </c>
      <c r="C641" s="37">
        <f t="shared" si="10"/>
        <v>642.948</v>
      </c>
      <c r="D641" s="8">
        <v>80</v>
      </c>
      <c r="E641" s="25">
        <v>2620</v>
      </c>
      <c r="F641" s="25">
        <v>76.2</v>
      </c>
      <c r="G641" s="8">
        <v>680</v>
      </c>
      <c r="H641" s="25">
        <v>6200</v>
      </c>
      <c r="I641" s="3"/>
      <c r="J641" s="3"/>
      <c r="K641" s="3"/>
      <c r="L641" s="3"/>
      <c r="M641" s="25">
        <v>0.621</v>
      </c>
      <c r="N641" s="3"/>
      <c r="O641" s="8">
        <v>5</v>
      </c>
      <c r="P641" t="b">
        <v>0</v>
      </c>
      <c r="Q641" t="b">
        <v>0</v>
      </c>
      <c r="R641" s="9" t="b">
        <v>0</v>
      </c>
      <c r="S641" s="10"/>
      <c r="T641" s="10"/>
      <c r="U641" s="10"/>
      <c r="V641" s="10"/>
      <c r="W641" s="10"/>
      <c r="X641" s="10"/>
      <c r="Y641" s="10"/>
      <c r="Z641" s="10"/>
      <c r="AA641" s="10"/>
      <c r="AB641" s="10"/>
      <c r="AC641" s="10"/>
      <c r="AD641" s="10"/>
      <c r="AE641" s="10"/>
    </row>
    <row r="642" ht="15.75" customHeight="1" spans="1:31">
      <c r="A642" t="s">
        <v>225</v>
      </c>
      <c r="B642" t="s">
        <v>223</v>
      </c>
      <c r="C642" s="37">
        <f t="shared" si="10"/>
        <v>642.948</v>
      </c>
      <c r="D642" s="8">
        <v>80</v>
      </c>
      <c r="E642" s="25">
        <v>2620</v>
      </c>
      <c r="F642" s="25">
        <v>76.2</v>
      </c>
      <c r="G642" s="8">
        <v>1020</v>
      </c>
      <c r="H642" s="25">
        <v>3540</v>
      </c>
      <c r="I642" s="3"/>
      <c r="J642" s="3"/>
      <c r="K642" s="3"/>
      <c r="L642" s="8">
        <v>192</v>
      </c>
      <c r="M642" s="3"/>
      <c r="N642" s="3"/>
      <c r="O642" s="8">
        <v>5</v>
      </c>
      <c r="P642" t="b">
        <v>0</v>
      </c>
      <c r="Q642" t="b">
        <v>0</v>
      </c>
      <c r="R642" s="9" t="b">
        <v>0</v>
      </c>
      <c r="S642" s="3"/>
      <c r="T642" s="3"/>
      <c r="U642" s="3"/>
      <c r="V642" s="3"/>
      <c r="W642" s="3"/>
      <c r="X642" s="3"/>
      <c r="Y642" s="3"/>
      <c r="Z642" s="3"/>
      <c r="AA642" s="3"/>
      <c r="AB642" s="3"/>
      <c r="AC642" s="3"/>
      <c r="AD642" s="3"/>
      <c r="AE642" s="3"/>
    </row>
    <row r="643" ht="15.75" customHeight="1" spans="1:31">
      <c r="A643" t="s">
        <v>225</v>
      </c>
      <c r="B643" t="s">
        <v>55</v>
      </c>
      <c r="C643" s="37">
        <f t="shared" si="10"/>
        <v>642.948</v>
      </c>
      <c r="D643" s="8">
        <v>80</v>
      </c>
      <c r="E643" s="25">
        <v>2620</v>
      </c>
      <c r="F643" s="25">
        <v>76.2</v>
      </c>
      <c r="G643" s="8">
        <v>680</v>
      </c>
      <c r="H643" s="25">
        <v>6200</v>
      </c>
      <c r="I643" s="3"/>
      <c r="J643" s="3"/>
      <c r="K643" s="3"/>
      <c r="L643" s="3"/>
      <c r="M643" s="25">
        <v>0.621</v>
      </c>
      <c r="N643" s="3"/>
      <c r="O643" s="8">
        <v>5</v>
      </c>
      <c r="P643" t="b">
        <v>0</v>
      </c>
      <c r="Q643" t="b">
        <v>0</v>
      </c>
      <c r="R643" s="9" t="b">
        <v>0</v>
      </c>
      <c r="S643" s="10"/>
      <c r="T643" s="10"/>
      <c r="U643" s="10"/>
      <c r="V643" s="10"/>
      <c r="W643" s="10"/>
      <c r="X643" s="10"/>
      <c r="Y643" s="10"/>
      <c r="Z643" s="10"/>
      <c r="AA643" s="10"/>
      <c r="AB643" s="10"/>
      <c r="AC643" s="10"/>
      <c r="AD643" s="10"/>
      <c r="AE643" s="10"/>
    </row>
    <row r="644" ht="15.75" customHeight="1" spans="1:31">
      <c r="A644" t="s">
        <v>226</v>
      </c>
      <c r="B644" t="s">
        <v>65</v>
      </c>
      <c r="C644" s="25">
        <v>539</v>
      </c>
      <c r="D644" s="25">
        <v>93</v>
      </c>
      <c r="E644" s="25">
        <v>4000</v>
      </c>
      <c r="F644" s="25">
        <v>76.2</v>
      </c>
      <c r="G644" s="25">
        <v>820</v>
      </c>
      <c r="H644" s="25">
        <v>6800</v>
      </c>
      <c r="I644" s="25">
        <v>188</v>
      </c>
      <c r="J644" s="3"/>
      <c r="K644" s="3"/>
      <c r="L644" s="25">
        <v>132</v>
      </c>
      <c r="N644" s="3"/>
      <c r="O644" s="8">
        <v>5</v>
      </c>
      <c r="P644" t="b">
        <v>0</v>
      </c>
      <c r="Q644" t="b">
        <v>0</v>
      </c>
      <c r="R644" s="9" t="b">
        <v>0</v>
      </c>
      <c r="S644" s="10"/>
      <c r="T644" s="10"/>
      <c r="U644" s="10"/>
      <c r="V644" s="10"/>
      <c r="W644" s="10"/>
      <c r="X644" s="10"/>
      <c r="Y644" s="10"/>
      <c r="Z644" s="10"/>
      <c r="AA644" s="10"/>
      <c r="AB644" s="10"/>
      <c r="AC644" s="10"/>
      <c r="AD644" s="10"/>
      <c r="AE644" s="10"/>
    </row>
    <row r="645" ht="15.75" customHeight="1" spans="1:31">
      <c r="A645" t="s">
        <v>226</v>
      </c>
      <c r="B645" t="s">
        <v>54</v>
      </c>
      <c r="C645" s="25">
        <v>539</v>
      </c>
      <c r="D645" s="25">
        <v>93</v>
      </c>
      <c r="E645" s="25">
        <v>4000</v>
      </c>
      <c r="F645" s="25">
        <v>76.2</v>
      </c>
      <c r="G645" s="25">
        <v>820</v>
      </c>
      <c r="H645" s="25">
        <v>6800</v>
      </c>
      <c r="I645" s="25">
        <v>188</v>
      </c>
      <c r="J645" s="3"/>
      <c r="K645" s="3"/>
      <c r="L645" s="3"/>
      <c r="M645" s="25">
        <v>0.39</v>
      </c>
      <c r="N645" s="3"/>
      <c r="O645" s="8">
        <v>5</v>
      </c>
      <c r="P645" t="b">
        <v>0</v>
      </c>
      <c r="Q645" t="b">
        <v>0</v>
      </c>
      <c r="R645" s="9" t="b">
        <v>0</v>
      </c>
      <c r="S645" s="10"/>
      <c r="T645" s="10"/>
      <c r="U645" s="10"/>
      <c r="V645" s="10"/>
      <c r="W645" s="10"/>
      <c r="X645" s="10"/>
      <c r="Y645" s="10"/>
      <c r="Z645" s="10"/>
      <c r="AA645" s="10"/>
      <c r="AB645" s="10"/>
      <c r="AC645" s="10"/>
      <c r="AD645" s="10"/>
      <c r="AE645" s="10"/>
    </row>
    <row r="646" ht="15.75" customHeight="1" spans="1:31">
      <c r="A646" t="s">
        <v>226</v>
      </c>
      <c r="B646" t="s">
        <v>223</v>
      </c>
      <c r="C646" s="25">
        <v>539</v>
      </c>
      <c r="D646" s="25">
        <v>93</v>
      </c>
      <c r="E646" s="25">
        <v>4000</v>
      </c>
      <c r="F646" s="25">
        <v>76.2</v>
      </c>
      <c r="G646" s="25">
        <v>1230</v>
      </c>
      <c r="H646" s="25">
        <v>3885</v>
      </c>
      <c r="I646" s="3"/>
      <c r="J646" s="3"/>
      <c r="K646" s="3"/>
      <c r="L646" s="25">
        <v>231</v>
      </c>
      <c r="M646" s="3"/>
      <c r="N646" s="3"/>
      <c r="O646" s="8">
        <v>5</v>
      </c>
      <c r="P646" t="b">
        <v>0</v>
      </c>
      <c r="Q646" t="b">
        <v>0</v>
      </c>
      <c r="R646" s="9" t="b">
        <v>0</v>
      </c>
      <c r="S646" s="10"/>
      <c r="T646" s="10"/>
      <c r="U646" s="10"/>
      <c r="V646" s="10"/>
      <c r="W646" s="10"/>
      <c r="X646" s="10"/>
      <c r="Y646" s="10"/>
      <c r="Z646" s="10"/>
      <c r="AA646" s="10"/>
      <c r="AB646" s="10"/>
      <c r="AC646" s="10"/>
      <c r="AD646" s="10"/>
      <c r="AE646" s="10"/>
    </row>
    <row r="647" ht="15.75" customHeight="1" spans="1:31">
      <c r="A647" t="s">
        <v>227</v>
      </c>
      <c r="B647" t="s">
        <v>54</v>
      </c>
      <c r="C647">
        <v>528</v>
      </c>
      <c r="D647">
        <v>0</v>
      </c>
      <c r="E647">
        <v>0</v>
      </c>
      <c r="F647">
        <v>81</v>
      </c>
      <c r="H647">
        <v>5270</v>
      </c>
      <c r="M647">
        <v>1.33</v>
      </c>
      <c r="N647" s="10"/>
      <c r="O647" s="3">
        <v>5</v>
      </c>
      <c r="P647" t="b">
        <v>0</v>
      </c>
      <c r="Q647" t="b">
        <v>0</v>
      </c>
      <c r="R647" s="9" t="b">
        <v>0</v>
      </c>
      <c r="S647" s="10"/>
      <c r="T647" s="10"/>
      <c r="U647" s="10"/>
      <c r="V647" s="10"/>
      <c r="W647" s="10"/>
      <c r="X647" s="10"/>
      <c r="Y647" s="10"/>
      <c r="Z647" s="10"/>
      <c r="AA647" s="10"/>
      <c r="AB647" s="10"/>
      <c r="AC647" s="10"/>
      <c r="AD647" s="10"/>
      <c r="AE647" s="10"/>
    </row>
    <row r="648" ht="15.75" customHeight="1" spans="1:31">
      <c r="A648" t="s">
        <v>227</v>
      </c>
      <c r="B648" t="s">
        <v>215</v>
      </c>
      <c r="C648">
        <v>528</v>
      </c>
      <c r="D648">
        <v>0</v>
      </c>
      <c r="E648">
        <v>0</v>
      </c>
      <c r="F648">
        <v>81</v>
      </c>
      <c r="H648">
        <v>5270</v>
      </c>
      <c r="M648">
        <v>1.33</v>
      </c>
      <c r="N648" s="10"/>
      <c r="O648" s="3">
        <v>5</v>
      </c>
      <c r="P648" t="b">
        <v>0</v>
      </c>
      <c r="Q648" t="b">
        <v>0</v>
      </c>
      <c r="R648" s="9" t="b">
        <v>0</v>
      </c>
      <c r="S648" s="10"/>
      <c r="T648" s="10"/>
      <c r="U648" s="10"/>
      <c r="V648" s="10"/>
      <c r="W648" s="10"/>
      <c r="X648" s="10"/>
      <c r="Y648" s="10"/>
      <c r="Z648" s="10"/>
      <c r="AA648" s="10"/>
      <c r="AB648" s="10"/>
      <c r="AC648" s="10"/>
      <c r="AD648" s="10"/>
      <c r="AE648" s="10"/>
    </row>
    <row r="649" ht="15.75" customHeight="1" spans="1:31">
      <c r="A649" t="s">
        <v>227</v>
      </c>
      <c r="B649" t="s">
        <v>48</v>
      </c>
      <c r="C649">
        <v>582</v>
      </c>
      <c r="D649">
        <v>0</v>
      </c>
      <c r="E649">
        <v>0</v>
      </c>
      <c r="F649">
        <v>81</v>
      </c>
      <c r="H649">
        <v>5650</v>
      </c>
      <c r="M649">
        <v>0.7</v>
      </c>
      <c r="N649" s="10"/>
      <c r="O649" s="3">
        <v>5</v>
      </c>
      <c r="P649" t="b">
        <v>0</v>
      </c>
      <c r="Q649" t="b">
        <v>0</v>
      </c>
      <c r="R649" s="9" t="b">
        <v>0</v>
      </c>
      <c r="S649" s="10"/>
      <c r="T649" s="10"/>
      <c r="U649" s="10"/>
      <c r="V649" s="10"/>
      <c r="W649" s="10"/>
      <c r="X649" s="10"/>
      <c r="Y649" s="10"/>
      <c r="Z649" s="10"/>
      <c r="AA649" s="10"/>
      <c r="AB649" s="10"/>
      <c r="AC649" s="10"/>
      <c r="AD649" s="10"/>
      <c r="AE649" s="10"/>
    </row>
    <row r="650" ht="15.75" customHeight="1" spans="1:31">
      <c r="A650" t="s">
        <v>227</v>
      </c>
      <c r="B650" t="s">
        <v>55</v>
      </c>
      <c r="C650">
        <v>528</v>
      </c>
      <c r="D650">
        <v>0</v>
      </c>
      <c r="E650">
        <v>0</v>
      </c>
      <c r="F650">
        <v>81</v>
      </c>
      <c r="H650">
        <v>5270</v>
      </c>
      <c r="M650">
        <v>1.33</v>
      </c>
      <c r="N650" s="10"/>
      <c r="O650" s="3">
        <v>5</v>
      </c>
      <c r="P650" t="b">
        <v>0</v>
      </c>
      <c r="Q650" t="b">
        <v>0</v>
      </c>
      <c r="R650" s="9" t="b">
        <v>0</v>
      </c>
      <c r="S650" s="10"/>
      <c r="T650" s="10"/>
      <c r="U650" s="10"/>
      <c r="V650" s="10"/>
      <c r="W650" s="10"/>
      <c r="X650" s="10"/>
      <c r="Y650" s="10"/>
      <c r="Z650" s="10"/>
      <c r="AA650" s="10"/>
      <c r="AB650" s="10"/>
      <c r="AC650" s="10"/>
      <c r="AD650" s="10"/>
      <c r="AE650" s="10"/>
    </row>
    <row r="651" ht="15.75" customHeight="1" spans="1:31">
      <c r="A651" t="s">
        <v>227</v>
      </c>
      <c r="B651" t="s">
        <v>50</v>
      </c>
      <c r="C651">
        <v>647</v>
      </c>
      <c r="D651">
        <v>0</v>
      </c>
      <c r="E651">
        <v>0</v>
      </c>
      <c r="F651">
        <v>81</v>
      </c>
      <c r="H651">
        <v>4100</v>
      </c>
      <c r="M651">
        <v>1</v>
      </c>
      <c r="N651" s="10"/>
      <c r="O651" s="3">
        <v>5</v>
      </c>
      <c r="P651" t="b">
        <v>0</v>
      </c>
      <c r="Q651" t="b">
        <v>0</v>
      </c>
      <c r="R651" s="9" t="b">
        <v>0</v>
      </c>
      <c r="S651" s="10"/>
      <c r="T651" s="10"/>
      <c r="U651" s="10"/>
      <c r="V651" s="10"/>
      <c r="W651" s="10"/>
      <c r="X651" s="10"/>
      <c r="Y651" s="10"/>
      <c r="Z651" s="10"/>
      <c r="AA651" s="10"/>
      <c r="AB651" s="10"/>
      <c r="AC651" s="10"/>
      <c r="AD651" s="10"/>
      <c r="AE651" s="10"/>
    </row>
    <row r="652" ht="15.75" customHeight="1" spans="1:31">
      <c r="A652" t="s">
        <v>227</v>
      </c>
      <c r="B652" t="s">
        <v>69</v>
      </c>
      <c r="C652">
        <v>647</v>
      </c>
      <c r="D652">
        <v>0</v>
      </c>
      <c r="E652">
        <v>0</v>
      </c>
      <c r="F652">
        <v>81</v>
      </c>
      <c r="H652">
        <v>4100</v>
      </c>
      <c r="M652">
        <v>1</v>
      </c>
      <c r="N652" s="10"/>
      <c r="O652" s="3">
        <v>5</v>
      </c>
      <c r="P652" t="b">
        <v>0</v>
      </c>
      <c r="Q652" t="b">
        <v>0</v>
      </c>
      <c r="R652" s="9" t="b">
        <v>0</v>
      </c>
      <c r="S652" s="10"/>
      <c r="T652" s="10"/>
      <c r="U652" s="10"/>
      <c r="V652" s="10"/>
      <c r="W652" s="10"/>
      <c r="X652" s="10"/>
      <c r="Y652" s="10"/>
      <c r="Z652" s="10"/>
      <c r="AA652" s="10"/>
      <c r="AB652" s="10"/>
      <c r="AC652" s="10"/>
      <c r="AD652" s="10"/>
      <c r="AE652" s="10"/>
    </row>
    <row r="653" ht="15.75" customHeight="1" spans="1:31">
      <c r="A653" t="s">
        <v>228</v>
      </c>
      <c r="B653" t="s">
        <v>54</v>
      </c>
      <c r="C653" s="25">
        <v>402</v>
      </c>
      <c r="D653">
        <v>0</v>
      </c>
      <c r="E653" s="25">
        <v>0</v>
      </c>
      <c r="F653" s="25">
        <v>60</v>
      </c>
      <c r="G653" s="3"/>
      <c r="H653" s="25">
        <v>1970</v>
      </c>
      <c r="I653" s="3"/>
      <c r="J653" s="3"/>
      <c r="K653" s="3"/>
      <c r="L653" s="3"/>
      <c r="M653" s="25">
        <v>0.4</v>
      </c>
      <c r="N653" s="3"/>
      <c r="O653" s="3">
        <v>5</v>
      </c>
      <c r="P653" t="b">
        <v>0</v>
      </c>
      <c r="Q653" t="b">
        <v>0</v>
      </c>
      <c r="R653" s="9" t="b">
        <v>0</v>
      </c>
      <c r="S653" s="10"/>
      <c r="T653" s="10"/>
      <c r="U653" s="10"/>
      <c r="V653" s="10"/>
      <c r="W653" s="10"/>
      <c r="X653" s="10"/>
      <c r="Y653" s="10"/>
      <c r="Z653" s="10"/>
      <c r="AA653" s="10"/>
      <c r="AB653" s="10"/>
      <c r="AC653" s="10"/>
      <c r="AD653" s="10"/>
      <c r="AE653" s="10"/>
    </row>
    <row r="654" ht="15.75" customHeight="1" spans="1:31">
      <c r="A654" t="s">
        <v>228</v>
      </c>
      <c r="B654" t="s">
        <v>48</v>
      </c>
      <c r="C654" s="25">
        <v>402</v>
      </c>
      <c r="D654">
        <v>0</v>
      </c>
      <c r="E654" s="25">
        <v>0</v>
      </c>
      <c r="F654" s="25">
        <v>60</v>
      </c>
      <c r="G654" s="3"/>
      <c r="H654" s="25">
        <v>1970</v>
      </c>
      <c r="I654" s="3"/>
      <c r="J654" s="3"/>
      <c r="K654" s="3"/>
      <c r="L654" s="3"/>
      <c r="M654" s="25">
        <v>0.28</v>
      </c>
      <c r="N654" s="3"/>
      <c r="O654" s="3">
        <v>5</v>
      </c>
      <c r="P654" t="b">
        <v>0</v>
      </c>
      <c r="Q654" t="b">
        <v>0</v>
      </c>
      <c r="R654" s="9" t="b">
        <v>0</v>
      </c>
      <c r="S654" s="10"/>
      <c r="T654" s="10"/>
      <c r="U654" s="10"/>
      <c r="V654" s="10"/>
      <c r="W654" s="10"/>
      <c r="X654" s="10"/>
      <c r="Y654" s="10"/>
      <c r="Z654" s="10"/>
      <c r="AA654" s="10"/>
      <c r="AB654" s="10"/>
      <c r="AC654" s="10"/>
      <c r="AD654" s="10"/>
      <c r="AE654" s="10"/>
    </row>
    <row r="655" ht="15.75" customHeight="1" spans="1:31">
      <c r="A655" t="s">
        <v>228</v>
      </c>
      <c r="B655" t="s">
        <v>55</v>
      </c>
      <c r="C655" s="25">
        <v>402</v>
      </c>
      <c r="D655">
        <v>0</v>
      </c>
      <c r="E655" s="25">
        <v>0</v>
      </c>
      <c r="F655" s="25">
        <v>60</v>
      </c>
      <c r="G655" s="3"/>
      <c r="H655" s="25">
        <v>1970</v>
      </c>
      <c r="I655" s="3"/>
      <c r="J655" s="3"/>
      <c r="K655" s="3"/>
      <c r="L655" s="3"/>
      <c r="M655" s="25">
        <v>0.4</v>
      </c>
      <c r="N655" s="3"/>
      <c r="O655" s="3">
        <v>5</v>
      </c>
      <c r="P655" t="b">
        <v>0</v>
      </c>
      <c r="Q655" t="b">
        <v>0</v>
      </c>
      <c r="R655" s="9" t="b">
        <v>0</v>
      </c>
      <c r="S655" s="10"/>
      <c r="T655" s="10"/>
      <c r="U655" s="10"/>
      <c r="V655" s="10"/>
      <c r="W655" s="10"/>
      <c r="X655" s="10"/>
      <c r="Y655" s="10"/>
      <c r="Z655" s="10"/>
      <c r="AA655" s="10"/>
      <c r="AB655" s="10"/>
      <c r="AC655" s="10"/>
      <c r="AD655" s="10"/>
      <c r="AE655" s="10"/>
    </row>
    <row r="656" ht="15.75" customHeight="1" spans="1:31">
      <c r="A656" t="s">
        <v>228</v>
      </c>
      <c r="B656" t="s">
        <v>50</v>
      </c>
      <c r="C656" s="25">
        <v>402</v>
      </c>
      <c r="D656">
        <v>0</v>
      </c>
      <c r="E656" s="25">
        <v>0</v>
      </c>
      <c r="F656" s="25">
        <v>60</v>
      </c>
      <c r="G656" s="3"/>
      <c r="H656" s="25">
        <v>1970</v>
      </c>
      <c r="I656" s="3"/>
      <c r="J656" s="3"/>
      <c r="K656" s="3"/>
      <c r="L656" s="3"/>
      <c r="M656" s="25">
        <v>0.4</v>
      </c>
      <c r="N656" s="3"/>
      <c r="O656" s="3">
        <v>5</v>
      </c>
      <c r="P656" t="b">
        <v>0</v>
      </c>
      <c r="Q656" t="b">
        <v>0</v>
      </c>
      <c r="R656" s="9" t="b">
        <v>0</v>
      </c>
      <c r="S656" s="10"/>
      <c r="T656" s="10"/>
      <c r="U656" s="10"/>
      <c r="V656" s="10"/>
      <c r="W656" s="10"/>
      <c r="X656" s="10"/>
      <c r="Y656" s="10"/>
      <c r="Z656" s="10"/>
      <c r="AA656" s="10"/>
      <c r="AB656" s="10"/>
      <c r="AC656" s="10"/>
      <c r="AD656" s="10"/>
      <c r="AE656" s="10"/>
    </row>
    <row r="657" ht="15.75" customHeight="1" spans="1:31">
      <c r="A657" t="s">
        <v>228</v>
      </c>
      <c r="B657" t="s">
        <v>69</v>
      </c>
      <c r="C657" s="25">
        <v>402</v>
      </c>
      <c r="D657">
        <v>0</v>
      </c>
      <c r="E657" s="25">
        <v>0</v>
      </c>
      <c r="F657" s="25">
        <v>60</v>
      </c>
      <c r="G657" s="3"/>
      <c r="H657" s="25">
        <v>1970</v>
      </c>
      <c r="I657" s="3"/>
      <c r="J657" s="3"/>
      <c r="K657" s="3"/>
      <c r="L657" s="3"/>
      <c r="M657" s="25">
        <v>0.4</v>
      </c>
      <c r="N657" s="3"/>
      <c r="O657" s="3">
        <v>5</v>
      </c>
      <c r="P657" t="b">
        <v>0</v>
      </c>
      <c r="Q657" t="b">
        <v>0</v>
      </c>
      <c r="R657" s="9" t="b">
        <v>0</v>
      </c>
      <c r="S657" s="10"/>
      <c r="T657" s="10"/>
      <c r="U657" s="10"/>
      <c r="V657" s="10"/>
      <c r="W657" s="10"/>
      <c r="X657" s="10"/>
      <c r="Y657" s="10"/>
      <c r="Z657" s="10"/>
      <c r="AA657" s="10"/>
      <c r="AB657" s="10"/>
      <c r="AC657" s="10"/>
      <c r="AD657" s="10"/>
      <c r="AE657" s="10"/>
    </row>
    <row r="658" ht="15.75" customHeight="1" spans="1:31">
      <c r="A658" t="s">
        <v>229</v>
      </c>
      <c r="B658" t="s">
        <v>54</v>
      </c>
      <c r="C658" s="25">
        <v>147</v>
      </c>
      <c r="D658">
        <v>0</v>
      </c>
      <c r="E658" s="25">
        <v>0</v>
      </c>
      <c r="F658" s="25">
        <v>50</v>
      </c>
      <c r="G658" s="3"/>
      <c r="H658" s="25">
        <v>900</v>
      </c>
      <c r="I658" s="3"/>
      <c r="J658" s="3"/>
      <c r="K658" s="3"/>
      <c r="L658" s="3"/>
      <c r="M658" s="25">
        <v>0.15</v>
      </c>
      <c r="N658" s="3"/>
      <c r="O658" s="8">
        <v>5</v>
      </c>
      <c r="P658" t="b">
        <v>0</v>
      </c>
      <c r="Q658" t="b">
        <v>0</v>
      </c>
      <c r="R658" s="9" t="b">
        <v>0</v>
      </c>
      <c r="S658" s="10"/>
      <c r="T658" s="10"/>
      <c r="U658" s="10"/>
      <c r="V658" s="10"/>
      <c r="W658" s="10"/>
      <c r="X658" s="10"/>
      <c r="Y658" s="10"/>
      <c r="Z658" s="10"/>
      <c r="AA658" s="10"/>
      <c r="AB658" s="10"/>
      <c r="AC658" s="10"/>
      <c r="AD658" s="10"/>
      <c r="AE658" s="10"/>
    </row>
    <row r="659" ht="15.75" customHeight="1" spans="1:31">
      <c r="A659" t="s">
        <v>229</v>
      </c>
      <c r="B659" t="s">
        <v>48</v>
      </c>
      <c r="C659" s="25">
        <v>147</v>
      </c>
      <c r="D659">
        <v>0</v>
      </c>
      <c r="E659" s="25">
        <v>0</v>
      </c>
      <c r="F659" s="25">
        <v>50</v>
      </c>
      <c r="G659" s="3"/>
      <c r="H659" s="25">
        <v>900</v>
      </c>
      <c r="I659" s="3"/>
      <c r="J659" s="3"/>
      <c r="K659" s="3"/>
      <c r="L659" s="3"/>
      <c r="M659" s="25">
        <v>0.24</v>
      </c>
      <c r="N659" s="3"/>
      <c r="O659" s="8">
        <v>5</v>
      </c>
      <c r="P659" t="b">
        <v>0</v>
      </c>
      <c r="Q659" t="b">
        <v>0</v>
      </c>
      <c r="R659" s="9" t="b">
        <v>0</v>
      </c>
      <c r="S659" s="10"/>
      <c r="T659" s="10"/>
      <c r="U659" s="10"/>
      <c r="V659" s="10"/>
      <c r="W659" s="10"/>
      <c r="X659" s="10"/>
      <c r="Y659" s="10"/>
      <c r="Z659" s="10"/>
      <c r="AA659" s="10"/>
      <c r="AB659" s="10"/>
      <c r="AC659" s="10"/>
      <c r="AD659" s="10"/>
      <c r="AE659" s="10"/>
    </row>
    <row r="660" ht="15.75" customHeight="1" spans="1:31">
      <c r="A660" t="s">
        <v>229</v>
      </c>
      <c r="B660" t="s">
        <v>55</v>
      </c>
      <c r="C660" s="25">
        <v>147</v>
      </c>
      <c r="D660">
        <v>0</v>
      </c>
      <c r="E660" s="25">
        <v>0</v>
      </c>
      <c r="F660" s="25">
        <v>50</v>
      </c>
      <c r="G660" s="3"/>
      <c r="H660" s="25">
        <v>900</v>
      </c>
      <c r="I660" s="3"/>
      <c r="J660" s="3"/>
      <c r="K660" s="3"/>
      <c r="L660" s="3"/>
      <c r="M660" s="25">
        <v>0.15</v>
      </c>
      <c r="N660" s="3"/>
      <c r="O660" s="8">
        <v>5</v>
      </c>
      <c r="P660" t="b">
        <v>0</v>
      </c>
      <c r="Q660" t="b">
        <v>0</v>
      </c>
      <c r="R660" s="9" t="b">
        <v>0</v>
      </c>
      <c r="S660" s="10"/>
      <c r="T660" s="10"/>
      <c r="U660" s="10"/>
      <c r="V660" s="10"/>
      <c r="W660" s="10"/>
      <c r="X660" s="10"/>
      <c r="Y660" s="10"/>
      <c r="Z660" s="10"/>
      <c r="AA660" s="10"/>
      <c r="AB660" s="10"/>
      <c r="AC660" s="10"/>
      <c r="AD660" s="10"/>
      <c r="AE660" s="10"/>
    </row>
    <row r="661" ht="15.75" customHeight="1" spans="1:31">
      <c r="A661" t="s">
        <v>229</v>
      </c>
      <c r="B661" t="s">
        <v>69</v>
      </c>
      <c r="C661" s="25">
        <v>147</v>
      </c>
      <c r="D661" s="3"/>
      <c r="E661" s="25">
        <v>0</v>
      </c>
      <c r="F661" s="25">
        <v>50</v>
      </c>
      <c r="G661" s="3"/>
      <c r="H661" s="25">
        <v>900</v>
      </c>
      <c r="I661" s="3"/>
      <c r="J661" s="3"/>
      <c r="K661" s="3"/>
      <c r="L661" s="3"/>
      <c r="M661" s="25">
        <v>0.15</v>
      </c>
      <c r="N661" s="3"/>
      <c r="O661" s="8">
        <v>5</v>
      </c>
      <c r="P661" t="b">
        <v>0</v>
      </c>
      <c r="Q661" t="b">
        <v>0</v>
      </c>
      <c r="R661" s="9" t="b">
        <v>0</v>
      </c>
      <c r="S661" s="10"/>
      <c r="T661" s="10"/>
      <c r="U661" s="10"/>
      <c r="V661" s="10"/>
      <c r="W661" s="10"/>
      <c r="X661" s="10"/>
      <c r="Y661" s="10"/>
      <c r="Z661" s="10"/>
      <c r="AA661" s="10"/>
      <c r="AB661" s="10"/>
      <c r="AC661" s="10"/>
      <c r="AD661" s="10"/>
      <c r="AE661" s="10"/>
    </row>
    <row r="662" ht="15.75" customHeight="1" spans="1:31">
      <c r="A662" t="s">
        <v>230</v>
      </c>
      <c r="B662" t="s">
        <v>81</v>
      </c>
      <c r="C662" s="25">
        <v>951</v>
      </c>
      <c r="D662" s="25">
        <v>100</v>
      </c>
      <c r="E662" s="25">
        <v>7000</v>
      </c>
      <c r="F662" s="25">
        <v>90</v>
      </c>
      <c r="G662" s="25">
        <v>800</v>
      </c>
      <c r="H662" s="8">
        <v>12500</v>
      </c>
      <c r="I662" s="25">
        <v>380</v>
      </c>
      <c r="J662" s="3"/>
      <c r="K662" s="3"/>
      <c r="L662" s="44">
        <v>500</v>
      </c>
      <c r="M662" s="25">
        <v>0.94</v>
      </c>
      <c r="N662" s="25">
        <v>180</v>
      </c>
      <c r="O662" s="8">
        <v>5</v>
      </c>
      <c r="P662" t="b">
        <v>0</v>
      </c>
      <c r="Q662" t="b">
        <v>0</v>
      </c>
      <c r="R662" s="9" t="b">
        <v>0</v>
      </c>
      <c r="S662" s="10"/>
      <c r="T662" s="10"/>
      <c r="U662" s="10"/>
      <c r="V662" s="10"/>
      <c r="W662" s="10"/>
      <c r="X662" s="10"/>
      <c r="Y662" s="10"/>
      <c r="Z662" s="10"/>
      <c r="AA662" s="10"/>
      <c r="AB662" s="10"/>
      <c r="AC662" s="10"/>
      <c r="AD662" s="10"/>
      <c r="AE662" s="10"/>
    </row>
    <row r="663" ht="14.4" spans="1:31">
      <c r="A663" t="s">
        <v>230</v>
      </c>
      <c r="B663" t="s">
        <v>65</v>
      </c>
      <c r="C663" s="25">
        <v>951</v>
      </c>
      <c r="D663" s="25">
        <v>100</v>
      </c>
      <c r="E663" s="25">
        <v>7000</v>
      </c>
      <c r="F663" s="25">
        <v>90</v>
      </c>
      <c r="G663" s="25">
        <v>800</v>
      </c>
      <c r="H663" s="8">
        <v>11000</v>
      </c>
      <c r="I663" s="25">
        <v>380</v>
      </c>
      <c r="J663" s="3"/>
      <c r="K663" s="3"/>
      <c r="L663" s="25">
        <v>170</v>
      </c>
      <c r="M663" s="3"/>
      <c r="N663" s="3"/>
      <c r="O663" s="8">
        <v>5</v>
      </c>
      <c r="P663" t="b">
        <v>0</v>
      </c>
      <c r="Q663" t="b">
        <v>0</v>
      </c>
      <c r="R663" s="9" t="b">
        <v>0</v>
      </c>
      <c r="S663" s="10"/>
      <c r="T663" s="10"/>
      <c r="U663" s="10"/>
      <c r="V663" s="10"/>
      <c r="W663" s="10"/>
      <c r="X663" s="10"/>
      <c r="Y663" s="10"/>
      <c r="Z663" s="10"/>
      <c r="AA663" s="10"/>
      <c r="AB663" s="10"/>
      <c r="AC663" s="10"/>
      <c r="AD663" s="10"/>
      <c r="AE663" s="10"/>
    </row>
    <row r="664" ht="14.4" spans="1:31">
      <c r="A664" t="s">
        <v>230</v>
      </c>
      <c r="B664" t="s">
        <v>54</v>
      </c>
      <c r="C664" s="25">
        <v>951</v>
      </c>
      <c r="D664" s="25">
        <v>100</v>
      </c>
      <c r="E664" s="25">
        <v>7000</v>
      </c>
      <c r="F664" s="25">
        <v>90</v>
      </c>
      <c r="G664" s="25">
        <v>800</v>
      </c>
      <c r="H664" s="25">
        <v>11000</v>
      </c>
      <c r="I664" s="25">
        <v>380</v>
      </c>
      <c r="J664" s="3"/>
      <c r="K664" s="3"/>
      <c r="L664" s="3"/>
      <c r="M664" s="25">
        <v>1.264</v>
      </c>
      <c r="N664" s="3"/>
      <c r="O664" s="8">
        <v>5</v>
      </c>
      <c r="P664" t="b">
        <v>0</v>
      </c>
      <c r="Q664" t="b">
        <v>0</v>
      </c>
      <c r="R664" s="9" t="b">
        <v>0</v>
      </c>
      <c r="S664" s="10"/>
      <c r="T664" s="10"/>
      <c r="U664" s="10"/>
      <c r="V664" s="10"/>
      <c r="W664" s="10"/>
      <c r="X664" s="10"/>
      <c r="Y664" s="10"/>
      <c r="Z664" s="10"/>
      <c r="AA664" s="10"/>
      <c r="AB664" s="10"/>
      <c r="AC664" s="10"/>
      <c r="AD664" s="10"/>
      <c r="AE664" s="10"/>
    </row>
    <row r="665" ht="14.4" spans="1:31">
      <c r="A665" t="s">
        <v>230</v>
      </c>
      <c r="B665" t="s">
        <v>223</v>
      </c>
      <c r="C665" s="25">
        <v>951</v>
      </c>
      <c r="D665" s="25">
        <v>100</v>
      </c>
      <c r="E665" s="25">
        <v>7000</v>
      </c>
      <c r="F665" s="25">
        <v>90</v>
      </c>
      <c r="G665" s="25">
        <v>1200</v>
      </c>
      <c r="H665" s="8">
        <v>6300</v>
      </c>
      <c r="I665" s="25">
        <v>380</v>
      </c>
      <c r="J665" s="3"/>
      <c r="K665" s="3"/>
      <c r="L665" s="25">
        <v>300</v>
      </c>
      <c r="M665" s="3"/>
      <c r="N665" s="3"/>
      <c r="O665" s="8">
        <v>5</v>
      </c>
      <c r="P665" t="b">
        <v>0</v>
      </c>
      <c r="Q665" t="b">
        <v>0</v>
      </c>
      <c r="R665" s="9" t="b">
        <v>0</v>
      </c>
      <c r="S665" s="10"/>
      <c r="T665" s="10"/>
      <c r="U665" s="10"/>
      <c r="V665" s="10"/>
      <c r="W665" s="10"/>
      <c r="X665" s="10"/>
      <c r="Y665" s="10"/>
      <c r="Z665" s="10"/>
      <c r="AA665" s="10"/>
      <c r="AB665" s="10"/>
      <c r="AC665" s="10"/>
      <c r="AD665" s="10"/>
      <c r="AE665" s="10"/>
    </row>
    <row r="666" ht="14.4" spans="1:31">
      <c r="A666" t="s">
        <v>230</v>
      </c>
      <c r="B666" t="s">
        <v>55</v>
      </c>
      <c r="C666" s="25">
        <v>951</v>
      </c>
      <c r="D666" s="25">
        <v>100</v>
      </c>
      <c r="E666" s="25">
        <v>7000</v>
      </c>
      <c r="F666" s="25">
        <v>90</v>
      </c>
      <c r="G666" s="25">
        <v>800</v>
      </c>
      <c r="H666" s="25">
        <v>11000</v>
      </c>
      <c r="I666" s="25">
        <v>380</v>
      </c>
      <c r="J666" s="3"/>
      <c r="K666" s="3"/>
      <c r="L666" s="3"/>
      <c r="M666" s="25">
        <v>1.264</v>
      </c>
      <c r="N666" s="3"/>
      <c r="O666" s="8">
        <v>5</v>
      </c>
      <c r="P666" t="b">
        <v>0</v>
      </c>
      <c r="Q666" t="b">
        <v>0</v>
      </c>
      <c r="R666" s="9" t="b">
        <v>0</v>
      </c>
      <c r="S666" s="10"/>
      <c r="T666" s="10"/>
      <c r="U666" s="10"/>
      <c r="V666" s="10"/>
      <c r="W666" s="10"/>
      <c r="X666" s="10"/>
      <c r="Y666" s="10"/>
      <c r="Z666" s="10"/>
      <c r="AA666" s="10"/>
      <c r="AB666" s="10"/>
      <c r="AC666" s="10"/>
      <c r="AD666" s="10"/>
      <c r="AE666" s="10"/>
    </row>
    <row r="667" ht="14.4" spans="1:31">
      <c r="A667" s="14" t="s">
        <v>231</v>
      </c>
      <c r="B667" s="15"/>
      <c r="C667" s="15"/>
      <c r="D667" s="15"/>
      <c r="E667" s="15"/>
      <c r="F667" s="15"/>
      <c r="G667" s="15"/>
      <c r="H667" s="15"/>
      <c r="I667" s="15"/>
      <c r="J667" s="15"/>
      <c r="K667" s="15"/>
      <c r="L667" s="15"/>
      <c r="M667" s="15"/>
      <c r="N667" s="23"/>
      <c r="O667" s="27"/>
      <c r="P667" s="23"/>
      <c r="Q667" s="23"/>
      <c r="R667" s="27"/>
      <c r="S667" s="10"/>
      <c r="T667" s="10"/>
      <c r="U667" s="10"/>
      <c r="V667" s="10"/>
      <c r="W667" s="10"/>
      <c r="X667" s="10"/>
      <c r="Y667" s="10"/>
      <c r="Z667" s="10"/>
      <c r="AA667" s="10"/>
      <c r="AB667" s="10"/>
      <c r="AC667" s="10"/>
      <c r="AD667" s="10"/>
      <c r="AE667" s="10"/>
    </row>
    <row r="668" ht="14.4" spans="1:31">
      <c r="A668" t="s">
        <v>232</v>
      </c>
      <c r="B668" t="s">
        <v>233</v>
      </c>
      <c r="C668" s="25">
        <v>350</v>
      </c>
      <c r="D668" s="8">
        <v>17</v>
      </c>
      <c r="E668" s="25">
        <v>41</v>
      </c>
      <c r="F668" s="25">
        <v>17</v>
      </c>
      <c r="G668" s="25">
        <v>50</v>
      </c>
      <c r="H668" s="25">
        <v>40</v>
      </c>
      <c r="I668" s="25">
        <v>76</v>
      </c>
      <c r="J668" s="3"/>
      <c r="K668" s="25">
        <v>680</v>
      </c>
      <c r="L668" s="25">
        <v>1.5</v>
      </c>
      <c r="M668" s="3"/>
      <c r="N668" s="3"/>
      <c r="O668" s="8">
        <v>10</v>
      </c>
      <c r="P668" t="b">
        <v>0</v>
      </c>
      <c r="Q668" t="b">
        <v>0</v>
      </c>
      <c r="R668" s="9" t="b">
        <v>0</v>
      </c>
      <c r="S668" s="10"/>
      <c r="T668" s="10"/>
      <c r="U668" s="10"/>
      <c r="V668" s="10"/>
      <c r="W668" s="10"/>
      <c r="X668" s="10"/>
      <c r="Y668" s="10"/>
      <c r="Z668" s="10"/>
      <c r="AA668" s="10"/>
      <c r="AB668" s="10"/>
      <c r="AC668" s="10"/>
      <c r="AD668" s="10"/>
      <c r="AE668" s="10"/>
    </row>
    <row r="669" ht="14.4" spans="1:31">
      <c r="A669" t="s">
        <v>232</v>
      </c>
      <c r="B669" t="s">
        <v>234</v>
      </c>
      <c r="C669" s="25">
        <v>350</v>
      </c>
      <c r="D669" s="8">
        <v>17</v>
      </c>
      <c r="E669" s="25">
        <v>41</v>
      </c>
      <c r="F669" s="25">
        <v>17</v>
      </c>
      <c r="G669" s="25">
        <v>85</v>
      </c>
      <c r="H669" s="25">
        <v>90</v>
      </c>
      <c r="I669" s="25">
        <v>76</v>
      </c>
      <c r="J669" s="3"/>
      <c r="K669" s="3"/>
      <c r="L669" s="25">
        <v>2.5</v>
      </c>
      <c r="M669" s="3"/>
      <c r="N669" s="3"/>
      <c r="O669" s="8">
        <v>10</v>
      </c>
      <c r="P669" t="b">
        <v>0</v>
      </c>
      <c r="Q669" t="b">
        <v>0</v>
      </c>
      <c r="R669" s="9" t="b">
        <v>0</v>
      </c>
      <c r="S669" s="10"/>
      <c r="T669" s="10"/>
      <c r="U669" s="10"/>
      <c r="V669" s="10"/>
      <c r="W669" s="10"/>
      <c r="X669" s="10"/>
      <c r="Y669" s="10"/>
      <c r="Z669" s="10"/>
      <c r="AA669" s="10"/>
      <c r="AB669" s="10"/>
      <c r="AC669" s="10"/>
      <c r="AD669" s="10"/>
      <c r="AE669" s="10"/>
    </row>
    <row r="670" ht="14.4" spans="1:31">
      <c r="A670" t="s">
        <v>232</v>
      </c>
      <c r="B670" t="s">
        <v>235</v>
      </c>
      <c r="C670" s="25">
        <v>350</v>
      </c>
      <c r="D670" s="8">
        <v>17</v>
      </c>
      <c r="E670" s="25">
        <v>41</v>
      </c>
      <c r="F670" s="25">
        <v>17</v>
      </c>
      <c r="G670" s="25">
        <v>95</v>
      </c>
      <c r="H670" s="25">
        <v>90</v>
      </c>
      <c r="I670" s="25">
        <v>76</v>
      </c>
      <c r="J670" s="3"/>
      <c r="K670" s="3"/>
      <c r="L670" s="25">
        <v>3.5</v>
      </c>
      <c r="M670" s="3"/>
      <c r="N670" s="3"/>
      <c r="O670" s="8">
        <v>10</v>
      </c>
      <c r="P670" t="b">
        <v>0</v>
      </c>
      <c r="Q670" t="b">
        <v>0</v>
      </c>
      <c r="R670" s="9" t="b">
        <v>0</v>
      </c>
      <c r="S670" s="10"/>
      <c r="T670" s="10"/>
      <c r="U670" s="10"/>
      <c r="V670" s="10"/>
      <c r="W670" s="10"/>
      <c r="X670" s="10"/>
      <c r="Y670" s="10"/>
      <c r="Z670" s="10"/>
      <c r="AA670" s="10"/>
      <c r="AB670" s="10"/>
      <c r="AC670" s="10"/>
      <c r="AD670" s="10"/>
      <c r="AE670" s="10"/>
    </row>
    <row r="671" ht="14.4" spans="1:31">
      <c r="A671" t="s">
        <v>232</v>
      </c>
      <c r="B671" t="s">
        <v>236</v>
      </c>
      <c r="C671" s="25">
        <v>350</v>
      </c>
      <c r="D671" s="8">
        <v>17</v>
      </c>
      <c r="E671" s="25">
        <v>41</v>
      </c>
      <c r="F671" s="25">
        <v>17</v>
      </c>
      <c r="G671" s="25">
        <v>85</v>
      </c>
      <c r="H671" s="25">
        <v>90</v>
      </c>
      <c r="I671" s="25">
        <v>76</v>
      </c>
      <c r="L671">
        <v>2.5</v>
      </c>
      <c r="N671" s="10"/>
      <c r="O671" s="8">
        <v>10</v>
      </c>
      <c r="P671" t="b">
        <v>0</v>
      </c>
      <c r="Q671" t="b">
        <v>0</v>
      </c>
      <c r="R671" s="9" t="b">
        <v>0</v>
      </c>
      <c r="S671" s="10"/>
      <c r="T671" s="10"/>
      <c r="U671" s="10"/>
      <c r="V671" s="10"/>
      <c r="W671" s="10"/>
      <c r="X671" s="10"/>
      <c r="Y671" s="10"/>
      <c r="Z671" s="10"/>
      <c r="AA671" s="10"/>
      <c r="AB671" s="10"/>
      <c r="AC671" s="10"/>
      <c r="AD671" s="10"/>
      <c r="AE671" s="10"/>
    </row>
    <row r="672" ht="14.4" spans="1:31">
      <c r="A672" t="s">
        <v>232</v>
      </c>
      <c r="B672" t="s">
        <v>237</v>
      </c>
      <c r="C672" s="25">
        <v>350</v>
      </c>
      <c r="D672" s="8">
        <v>17</v>
      </c>
      <c r="E672" s="25">
        <v>41</v>
      </c>
      <c r="F672" s="25">
        <v>17</v>
      </c>
      <c r="G672" s="25">
        <v>85</v>
      </c>
      <c r="H672" s="25">
        <v>45</v>
      </c>
      <c r="I672" s="25">
        <v>76</v>
      </c>
      <c r="L672">
        <v>1.5</v>
      </c>
      <c r="M672">
        <v>0.002</v>
      </c>
      <c r="N672" s="10"/>
      <c r="O672" s="8">
        <v>10</v>
      </c>
      <c r="P672" t="b">
        <v>0</v>
      </c>
      <c r="Q672" t="b">
        <v>0</v>
      </c>
      <c r="R672" s="9" t="b">
        <v>0</v>
      </c>
      <c r="S672" s="10"/>
      <c r="T672" s="10"/>
      <c r="U672" s="10"/>
      <c r="V672" s="10"/>
      <c r="W672" s="10"/>
      <c r="X672" s="10"/>
      <c r="Y672" s="10"/>
      <c r="Z672" s="10"/>
      <c r="AA672" s="10"/>
      <c r="AB672" s="10"/>
      <c r="AC672" s="10"/>
      <c r="AD672" s="10"/>
      <c r="AE672" s="10"/>
    </row>
    <row r="673" ht="14.4" spans="1:31">
      <c r="A673" t="s">
        <v>238</v>
      </c>
      <c r="B673" t="s">
        <v>233</v>
      </c>
      <c r="C673">
        <v>500</v>
      </c>
      <c r="D673">
        <v>8</v>
      </c>
      <c r="E673">
        <v>12</v>
      </c>
      <c r="F673">
        <v>8</v>
      </c>
      <c r="G673">
        <v>76</v>
      </c>
      <c r="H673">
        <v>15.35</v>
      </c>
      <c r="I673">
        <v>20</v>
      </c>
      <c r="K673">
        <v>600</v>
      </c>
      <c r="L673">
        <v>0.2</v>
      </c>
      <c r="N673" s="10"/>
      <c r="O673" s="3">
        <v>10</v>
      </c>
      <c r="P673" t="b">
        <v>0</v>
      </c>
      <c r="Q673" t="b">
        <v>0</v>
      </c>
      <c r="R673" s="9" t="b">
        <v>0</v>
      </c>
      <c r="S673" s="10"/>
      <c r="T673" s="10"/>
      <c r="U673" s="10"/>
      <c r="V673" s="10"/>
      <c r="W673" s="10"/>
      <c r="X673" s="10"/>
      <c r="Y673" s="10"/>
      <c r="Z673" s="10"/>
      <c r="AA673" s="10"/>
      <c r="AB673" s="10"/>
      <c r="AC673" s="10"/>
      <c r="AD673" s="10"/>
      <c r="AE673" s="10"/>
    </row>
    <row r="674" ht="14.4" spans="1:31">
      <c r="A674" t="s">
        <v>238</v>
      </c>
      <c r="B674" t="s">
        <v>234</v>
      </c>
      <c r="C674">
        <v>500</v>
      </c>
      <c r="D674">
        <v>8</v>
      </c>
      <c r="E674">
        <v>12</v>
      </c>
      <c r="F674">
        <v>8</v>
      </c>
      <c r="G674">
        <v>117</v>
      </c>
      <c r="H674">
        <v>22</v>
      </c>
      <c r="I674">
        <v>20</v>
      </c>
      <c r="L674">
        <v>0.5</v>
      </c>
      <c r="N674" s="10"/>
      <c r="O674" s="3">
        <v>10</v>
      </c>
      <c r="P674" t="b">
        <v>0</v>
      </c>
      <c r="Q674" t="b">
        <v>0</v>
      </c>
      <c r="R674" s="9" t="b">
        <v>0</v>
      </c>
      <c r="S674" s="10"/>
      <c r="T674" s="10"/>
      <c r="U674" s="10"/>
      <c r="V674" s="10"/>
      <c r="W674" s="10"/>
      <c r="X674" s="10"/>
      <c r="Y674" s="10"/>
      <c r="Z674" s="10"/>
      <c r="AA674" s="10"/>
      <c r="AB674" s="10"/>
      <c r="AC674" s="10"/>
      <c r="AD674" s="10"/>
      <c r="AE674" s="10"/>
    </row>
    <row r="675" ht="14.4" spans="1:31">
      <c r="A675" t="s">
        <v>238</v>
      </c>
      <c r="B675" t="s">
        <v>235</v>
      </c>
      <c r="C675">
        <v>500</v>
      </c>
      <c r="D675">
        <v>8</v>
      </c>
      <c r="E675">
        <v>12</v>
      </c>
      <c r="F675">
        <v>8</v>
      </c>
      <c r="G675">
        <v>129</v>
      </c>
      <c r="H675">
        <v>10</v>
      </c>
      <c r="I675">
        <v>20</v>
      </c>
      <c r="L675">
        <v>1</v>
      </c>
      <c r="N675" s="10"/>
      <c r="O675" s="3">
        <v>10</v>
      </c>
      <c r="P675" t="b">
        <v>0</v>
      </c>
      <c r="Q675" t="b">
        <v>0</v>
      </c>
      <c r="R675" s="9" t="b">
        <v>0</v>
      </c>
      <c r="S675" s="10"/>
      <c r="T675" s="10"/>
      <c r="U675" s="10"/>
      <c r="V675" s="10"/>
      <c r="W675" s="10"/>
      <c r="X675" s="10"/>
      <c r="Y675" s="10"/>
      <c r="Z675" s="10"/>
      <c r="AA675" s="10"/>
      <c r="AB675" s="10"/>
      <c r="AC675" s="10"/>
      <c r="AD675" s="10"/>
      <c r="AE675" s="10"/>
    </row>
    <row r="676" ht="14.4" spans="1:31">
      <c r="A676" t="s">
        <v>238</v>
      </c>
      <c r="B676" t="s">
        <v>236</v>
      </c>
      <c r="C676">
        <v>500</v>
      </c>
      <c r="D676">
        <v>8</v>
      </c>
      <c r="E676">
        <v>12</v>
      </c>
      <c r="F676">
        <v>8</v>
      </c>
      <c r="G676">
        <v>117</v>
      </c>
      <c r="H676">
        <v>22</v>
      </c>
      <c r="I676">
        <v>20</v>
      </c>
      <c r="L676">
        <v>0.5</v>
      </c>
      <c r="N676" s="10"/>
      <c r="O676" s="3">
        <v>10</v>
      </c>
      <c r="P676" t="b">
        <v>0</v>
      </c>
      <c r="Q676" t="b">
        <v>0</v>
      </c>
      <c r="R676" s="9" t="b">
        <v>0</v>
      </c>
      <c r="S676" s="10"/>
      <c r="T676" s="10"/>
      <c r="U676" s="10"/>
      <c r="V676" s="10"/>
      <c r="W676" s="10"/>
      <c r="X676" s="10"/>
      <c r="Y676" s="10"/>
      <c r="Z676" s="10"/>
      <c r="AA676" s="10"/>
      <c r="AB676" s="10"/>
      <c r="AC676" s="10"/>
      <c r="AD676" s="10"/>
      <c r="AE676" s="10"/>
    </row>
    <row r="677" ht="14.4" spans="1:31">
      <c r="A677" t="s">
        <v>238</v>
      </c>
      <c r="B677" t="s">
        <v>237</v>
      </c>
      <c r="C677">
        <v>500</v>
      </c>
      <c r="D677">
        <v>8</v>
      </c>
      <c r="E677">
        <v>12</v>
      </c>
      <c r="F677">
        <v>8</v>
      </c>
      <c r="G677">
        <v>117</v>
      </c>
      <c r="H677">
        <v>11</v>
      </c>
      <c r="I677">
        <v>20</v>
      </c>
      <c r="L677">
        <v>0.2</v>
      </c>
      <c r="M677">
        <v>0.0005</v>
      </c>
      <c r="N677" s="10"/>
      <c r="O677" s="3">
        <v>10</v>
      </c>
      <c r="P677" t="b">
        <v>0</v>
      </c>
      <c r="Q677" t="b">
        <v>0</v>
      </c>
      <c r="R677" s="9" t="b">
        <v>0</v>
      </c>
      <c r="S677" s="10"/>
      <c r="T677" s="10"/>
      <c r="U677" s="10"/>
      <c r="V677" s="10"/>
      <c r="W677" s="10"/>
      <c r="X677" s="10"/>
      <c r="Y677" s="10"/>
      <c r="Z677" s="10"/>
      <c r="AA677" s="10"/>
      <c r="AB677" s="10"/>
      <c r="AC677" s="10"/>
      <c r="AD677" s="10"/>
      <c r="AE677" s="10"/>
    </row>
    <row r="678" ht="14.4" spans="1:31">
      <c r="A678" t="s">
        <v>239</v>
      </c>
      <c r="B678" t="s">
        <v>233</v>
      </c>
      <c r="C678">
        <f t="shared" ref="C678:F678" si="11">C673</f>
        <v>500</v>
      </c>
      <c r="D678">
        <f t="shared" si="11"/>
        <v>8</v>
      </c>
      <c r="E678">
        <f t="shared" si="11"/>
        <v>12</v>
      </c>
      <c r="F678">
        <f t="shared" si="11"/>
        <v>8</v>
      </c>
      <c r="G678">
        <f t="shared" ref="G678:G682" si="12">G673*1.4</f>
        <v>106.4</v>
      </c>
      <c r="H678">
        <f t="shared" ref="H678:K678" si="13">H673</f>
        <v>15.35</v>
      </c>
      <c r="I678">
        <f t="shared" si="13"/>
        <v>20</v>
      </c>
      <c r="J678">
        <f t="shared" si="13"/>
        <v>0</v>
      </c>
      <c r="K678">
        <f t="shared" si="13"/>
        <v>600</v>
      </c>
      <c r="L678">
        <v>0.5</v>
      </c>
      <c r="N678" s="10"/>
      <c r="O678" s="3">
        <v>10</v>
      </c>
      <c r="P678" t="b">
        <v>0</v>
      </c>
      <c r="Q678" t="b">
        <v>0</v>
      </c>
      <c r="R678" s="9" t="b">
        <v>0</v>
      </c>
      <c r="S678" s="10"/>
      <c r="T678" s="10"/>
      <c r="U678" s="10"/>
      <c r="V678" s="10"/>
      <c r="W678" s="10"/>
      <c r="X678" s="10"/>
      <c r="Y678" s="10"/>
      <c r="Z678" s="10"/>
      <c r="AA678" s="10"/>
      <c r="AB678" s="10"/>
      <c r="AC678" s="10"/>
      <c r="AD678" s="10"/>
      <c r="AE678" s="10"/>
    </row>
    <row r="679" ht="14.4" spans="1:31">
      <c r="A679" t="s">
        <v>239</v>
      </c>
      <c r="B679" t="s">
        <v>234</v>
      </c>
      <c r="C679">
        <f t="shared" ref="C679:F679" si="14">C674</f>
        <v>500</v>
      </c>
      <c r="D679">
        <f t="shared" si="14"/>
        <v>8</v>
      </c>
      <c r="E679">
        <f t="shared" si="14"/>
        <v>12</v>
      </c>
      <c r="F679">
        <f t="shared" si="14"/>
        <v>8</v>
      </c>
      <c r="G679">
        <f t="shared" si="12"/>
        <v>163.8</v>
      </c>
      <c r="H679">
        <f t="shared" ref="H679:I679" si="15">H674</f>
        <v>22</v>
      </c>
      <c r="I679">
        <f t="shared" si="15"/>
        <v>20</v>
      </c>
      <c r="K679">
        <f t="shared" ref="K679:K682" si="16">K674</f>
        <v>0</v>
      </c>
      <c r="L679">
        <v>1</v>
      </c>
      <c r="N679" s="10"/>
      <c r="O679" s="3">
        <v>10</v>
      </c>
      <c r="P679" t="b">
        <v>0</v>
      </c>
      <c r="Q679" t="b">
        <v>0</v>
      </c>
      <c r="R679" s="9" t="b">
        <v>0</v>
      </c>
      <c r="S679" s="10"/>
      <c r="T679" s="10"/>
      <c r="U679" s="10"/>
      <c r="V679" s="10"/>
      <c r="W679" s="10"/>
      <c r="X679" s="10"/>
      <c r="Y679" s="10"/>
      <c r="Z679" s="10"/>
      <c r="AA679" s="10"/>
      <c r="AB679" s="10"/>
      <c r="AC679" s="10"/>
      <c r="AD679" s="10"/>
      <c r="AE679" s="10"/>
    </row>
    <row r="680" ht="14.4" spans="1:31">
      <c r="A680" t="s">
        <v>239</v>
      </c>
      <c r="B680" t="s">
        <v>235</v>
      </c>
      <c r="C680">
        <f t="shared" ref="C680:F680" si="17">C675</f>
        <v>500</v>
      </c>
      <c r="D680">
        <f t="shared" si="17"/>
        <v>8</v>
      </c>
      <c r="E680">
        <f t="shared" si="17"/>
        <v>12</v>
      </c>
      <c r="F680">
        <f t="shared" si="17"/>
        <v>8</v>
      </c>
      <c r="G680">
        <f t="shared" si="12"/>
        <v>180.6</v>
      </c>
      <c r="H680">
        <f t="shared" ref="H680:I680" si="18">H675</f>
        <v>10</v>
      </c>
      <c r="I680">
        <f t="shared" si="18"/>
        <v>20</v>
      </c>
      <c r="K680">
        <f t="shared" si="16"/>
        <v>0</v>
      </c>
      <c r="L680">
        <v>1.5</v>
      </c>
      <c r="N680" s="10"/>
      <c r="O680" s="3">
        <v>10</v>
      </c>
      <c r="P680" t="b">
        <v>0</v>
      </c>
      <c r="Q680" t="b">
        <v>0</v>
      </c>
      <c r="R680" s="9" t="b">
        <v>0</v>
      </c>
      <c r="S680" s="10"/>
      <c r="T680" s="10"/>
      <c r="U680" s="10"/>
      <c r="V680" s="10"/>
      <c r="W680" s="10"/>
      <c r="X680" s="10"/>
      <c r="Y680" s="10"/>
      <c r="Z680" s="10"/>
      <c r="AA680" s="10"/>
      <c r="AB680" s="10"/>
      <c r="AC680" s="10"/>
      <c r="AD680" s="10"/>
      <c r="AE680" s="10"/>
    </row>
    <row r="681" ht="14.4" spans="1:31">
      <c r="A681" t="s">
        <v>239</v>
      </c>
      <c r="B681" t="s">
        <v>236</v>
      </c>
      <c r="C681">
        <f t="shared" ref="C681:F681" si="19">C676</f>
        <v>500</v>
      </c>
      <c r="D681">
        <f t="shared" si="19"/>
        <v>8</v>
      </c>
      <c r="E681">
        <f t="shared" si="19"/>
        <v>12</v>
      </c>
      <c r="F681">
        <f t="shared" si="19"/>
        <v>8</v>
      </c>
      <c r="G681">
        <f t="shared" si="12"/>
        <v>163.8</v>
      </c>
      <c r="H681">
        <f t="shared" ref="H681:I681" si="20">H676</f>
        <v>22</v>
      </c>
      <c r="I681">
        <f t="shared" si="20"/>
        <v>20</v>
      </c>
      <c r="K681">
        <f t="shared" si="16"/>
        <v>0</v>
      </c>
      <c r="L681">
        <v>1</v>
      </c>
      <c r="N681" s="10"/>
      <c r="O681" s="3">
        <v>10</v>
      </c>
      <c r="P681" t="b">
        <v>0</v>
      </c>
      <c r="Q681" t="b">
        <v>0</v>
      </c>
      <c r="R681" s="9" t="b">
        <v>0</v>
      </c>
      <c r="S681" s="10"/>
      <c r="T681" s="10"/>
      <c r="U681" s="10"/>
      <c r="V681" s="10"/>
      <c r="W681" s="10"/>
      <c r="X681" s="10"/>
      <c r="Y681" s="10"/>
      <c r="Z681" s="10"/>
      <c r="AA681" s="10"/>
      <c r="AB681" s="10"/>
      <c r="AC681" s="10"/>
      <c r="AD681" s="10"/>
      <c r="AE681" s="10"/>
    </row>
    <row r="682" ht="14.4" spans="1:31">
      <c r="A682" t="s">
        <v>239</v>
      </c>
      <c r="B682" t="s">
        <v>237</v>
      </c>
      <c r="C682">
        <f t="shared" ref="C682:F682" si="21">C677</f>
        <v>500</v>
      </c>
      <c r="D682">
        <f t="shared" si="21"/>
        <v>8</v>
      </c>
      <c r="E682">
        <f t="shared" si="21"/>
        <v>12</v>
      </c>
      <c r="F682">
        <f t="shared" si="21"/>
        <v>8</v>
      </c>
      <c r="G682">
        <f t="shared" si="12"/>
        <v>163.8</v>
      </c>
      <c r="H682">
        <v>11</v>
      </c>
      <c r="I682">
        <f>I677</f>
        <v>20</v>
      </c>
      <c r="K682">
        <f t="shared" si="16"/>
        <v>0</v>
      </c>
      <c r="L682">
        <v>0.5</v>
      </c>
      <c r="M682">
        <v>0.0005</v>
      </c>
      <c r="N682" s="10"/>
      <c r="O682" s="3">
        <v>10</v>
      </c>
      <c r="P682" t="b">
        <v>0</v>
      </c>
      <c r="Q682" t="b">
        <v>0</v>
      </c>
      <c r="R682" s="9" t="b">
        <v>0</v>
      </c>
      <c r="S682" s="10"/>
      <c r="T682" s="10"/>
      <c r="U682" s="10"/>
      <c r="V682" s="10"/>
      <c r="W682" s="10"/>
      <c r="X682" s="10"/>
      <c r="Y682" s="10"/>
      <c r="Z682" s="10"/>
      <c r="AA682" s="10"/>
      <c r="AB682" s="10"/>
      <c r="AC682" s="10"/>
      <c r="AD682" s="10"/>
      <c r="AE682" s="10"/>
    </row>
    <row r="683" ht="14.4" spans="1:31">
      <c r="A683" t="s">
        <v>240</v>
      </c>
      <c r="B683" t="s">
        <v>233</v>
      </c>
      <c r="C683">
        <v>800</v>
      </c>
      <c r="D683">
        <v>12.7</v>
      </c>
      <c r="E683">
        <v>50</v>
      </c>
      <c r="F683">
        <v>13</v>
      </c>
      <c r="G683">
        <v>55</v>
      </c>
      <c r="H683">
        <v>55</v>
      </c>
      <c r="I683">
        <v>30</v>
      </c>
      <c r="L683">
        <v>1</v>
      </c>
      <c r="N683" s="10"/>
      <c r="O683" s="3">
        <v>10</v>
      </c>
      <c r="P683" t="b">
        <v>0</v>
      </c>
      <c r="Q683" t="b">
        <v>0</v>
      </c>
      <c r="R683" s="9" t="b">
        <v>0</v>
      </c>
      <c r="S683" s="10"/>
      <c r="T683" s="10"/>
      <c r="U683" s="10"/>
      <c r="V683" s="10"/>
      <c r="W683" s="10"/>
      <c r="X683" s="10"/>
      <c r="Y683" s="10"/>
      <c r="Z683" s="10"/>
      <c r="AA683" s="10"/>
      <c r="AB683" s="10"/>
      <c r="AC683" s="10"/>
      <c r="AD683" s="10"/>
      <c r="AE683" s="10"/>
    </row>
    <row r="684" ht="14.4" spans="1:31">
      <c r="A684" t="s">
        <v>240</v>
      </c>
      <c r="B684" t="s">
        <v>234</v>
      </c>
      <c r="C684">
        <v>800</v>
      </c>
      <c r="D684">
        <v>12.7</v>
      </c>
      <c r="E684">
        <v>50</v>
      </c>
      <c r="F684">
        <v>13</v>
      </c>
      <c r="G684">
        <v>60</v>
      </c>
      <c r="H684">
        <v>65</v>
      </c>
      <c r="I684">
        <v>30</v>
      </c>
      <c r="L684">
        <v>2</v>
      </c>
      <c r="N684" s="10"/>
      <c r="O684" s="3">
        <v>10</v>
      </c>
      <c r="P684" t="b">
        <v>0</v>
      </c>
      <c r="Q684" t="b">
        <v>0</v>
      </c>
      <c r="R684" s="9" t="b">
        <v>0</v>
      </c>
      <c r="S684" s="10"/>
      <c r="T684" s="10"/>
      <c r="U684" s="10"/>
      <c r="V684" s="10"/>
      <c r="W684" s="10"/>
      <c r="X684" s="10"/>
      <c r="Y684" s="10"/>
      <c r="Z684" s="10"/>
      <c r="AA684" s="10"/>
      <c r="AB684" s="10"/>
      <c r="AC684" s="10"/>
      <c r="AD684" s="10"/>
      <c r="AE684" s="10"/>
    </row>
    <row r="685" ht="14.4" spans="1:31">
      <c r="A685" t="s">
        <v>240</v>
      </c>
      <c r="B685" t="s">
        <v>235</v>
      </c>
      <c r="C685">
        <v>800</v>
      </c>
      <c r="D685">
        <v>12.7</v>
      </c>
      <c r="E685">
        <v>50</v>
      </c>
      <c r="F685">
        <v>13</v>
      </c>
      <c r="G685">
        <v>61</v>
      </c>
      <c r="H685">
        <v>57.5</v>
      </c>
      <c r="I685">
        <v>30</v>
      </c>
      <c r="L685">
        <v>3</v>
      </c>
      <c r="N685" s="10"/>
      <c r="O685" s="3">
        <v>10</v>
      </c>
      <c r="P685" t="b">
        <v>0</v>
      </c>
      <c r="Q685" t="b">
        <v>0</v>
      </c>
      <c r="R685" s="9" t="b">
        <v>0</v>
      </c>
      <c r="S685" s="10"/>
      <c r="T685" s="10"/>
      <c r="U685" s="10"/>
      <c r="V685" s="10"/>
      <c r="W685" s="10"/>
      <c r="X685" s="10"/>
      <c r="Y685" s="10"/>
      <c r="Z685" s="10"/>
      <c r="AA685" s="10"/>
      <c r="AB685" s="10"/>
      <c r="AC685" s="10"/>
      <c r="AD685" s="10"/>
      <c r="AE685" s="10"/>
    </row>
    <row r="686" ht="14.4" spans="1:31">
      <c r="A686" t="s">
        <v>240</v>
      </c>
      <c r="B686" t="s">
        <v>236</v>
      </c>
      <c r="C686">
        <v>800</v>
      </c>
      <c r="D686">
        <v>12.7</v>
      </c>
      <c r="E686">
        <v>50</v>
      </c>
      <c r="F686">
        <v>13</v>
      </c>
      <c r="G686">
        <v>60</v>
      </c>
      <c r="H686">
        <v>65</v>
      </c>
      <c r="I686">
        <v>30</v>
      </c>
      <c r="L686">
        <v>2</v>
      </c>
      <c r="N686" s="10"/>
      <c r="O686" s="3">
        <v>10</v>
      </c>
      <c r="P686" t="b">
        <v>0</v>
      </c>
      <c r="Q686" t="b">
        <v>0</v>
      </c>
      <c r="R686" s="9" t="b">
        <v>0</v>
      </c>
      <c r="S686" s="10"/>
      <c r="T686" s="10"/>
      <c r="U686" s="10"/>
      <c r="V686" s="10"/>
      <c r="W686" s="10"/>
      <c r="X686" s="10"/>
      <c r="Y686" s="10"/>
      <c r="Z686" s="10"/>
      <c r="AA686" s="10"/>
      <c r="AB686" s="10"/>
      <c r="AC686" s="10"/>
      <c r="AD686" s="10"/>
      <c r="AE686" s="10"/>
    </row>
    <row r="687" ht="14.4" spans="1:31">
      <c r="A687" t="s">
        <v>240</v>
      </c>
      <c r="B687" t="s">
        <v>237</v>
      </c>
      <c r="C687">
        <v>800</v>
      </c>
      <c r="D687">
        <v>12.7</v>
      </c>
      <c r="E687">
        <v>50</v>
      </c>
      <c r="F687">
        <v>13</v>
      </c>
      <c r="G687">
        <v>60</v>
      </c>
      <c r="H687">
        <v>32.5</v>
      </c>
      <c r="I687">
        <v>30</v>
      </c>
      <c r="L687">
        <v>1</v>
      </c>
      <c r="M687">
        <v>0.002</v>
      </c>
      <c r="N687" s="10"/>
      <c r="O687" s="3">
        <v>10</v>
      </c>
      <c r="P687" t="b">
        <v>0</v>
      </c>
      <c r="Q687" t="b">
        <v>0</v>
      </c>
      <c r="R687" s="9" t="b">
        <v>0</v>
      </c>
      <c r="S687" s="10"/>
      <c r="T687" s="10"/>
      <c r="U687" s="10"/>
      <c r="V687" s="10"/>
      <c r="W687" s="10"/>
      <c r="X687" s="10"/>
      <c r="Y687" s="10"/>
      <c r="Z687" s="10"/>
      <c r="AA687" s="10"/>
      <c r="AB687" s="10"/>
      <c r="AC687" s="10"/>
      <c r="AD687" s="10"/>
      <c r="AE687" s="10"/>
    </row>
    <row r="688" ht="14.4" spans="1:31">
      <c r="A688" t="s">
        <v>241</v>
      </c>
      <c r="B688" t="s">
        <v>241</v>
      </c>
      <c r="C688">
        <v>2000</v>
      </c>
      <c r="D688">
        <v>40</v>
      </c>
      <c r="E688">
        <v>1500</v>
      </c>
      <c r="F688">
        <v>40</v>
      </c>
      <c r="G688">
        <v>33</v>
      </c>
      <c r="H688">
        <v>500</v>
      </c>
      <c r="I688">
        <v>200</v>
      </c>
      <c r="L688">
        <v>2</v>
      </c>
      <c r="N688" s="10"/>
      <c r="O688" s="3">
        <v>5</v>
      </c>
      <c r="P688" t="b">
        <v>0</v>
      </c>
      <c r="Q688" t="b">
        <v>0</v>
      </c>
      <c r="R688" s="9" t="b">
        <v>0</v>
      </c>
      <c r="S688" s="10"/>
      <c r="T688" s="10"/>
      <c r="U688" s="10"/>
      <c r="V688" s="10"/>
      <c r="W688" s="10"/>
      <c r="X688" s="10"/>
      <c r="Y688" s="10"/>
      <c r="Z688" s="10"/>
      <c r="AA688" s="10"/>
      <c r="AB688" s="10"/>
      <c r="AC688" s="10"/>
      <c r="AD688" s="10"/>
      <c r="AE688" s="10"/>
    </row>
    <row r="689" ht="14.4" spans="1:31">
      <c r="A689" t="s">
        <v>242</v>
      </c>
      <c r="B689" t="s">
        <v>241</v>
      </c>
      <c r="C689">
        <v>2000</v>
      </c>
      <c r="D689">
        <v>40</v>
      </c>
      <c r="E689">
        <v>1500</v>
      </c>
      <c r="F689">
        <v>40</v>
      </c>
      <c r="G689">
        <v>168</v>
      </c>
      <c r="H689">
        <v>500</v>
      </c>
      <c r="I689">
        <v>200</v>
      </c>
      <c r="L689">
        <v>6</v>
      </c>
      <c r="N689" s="10"/>
      <c r="O689" s="3">
        <v>5</v>
      </c>
      <c r="P689" t="b">
        <v>0</v>
      </c>
      <c r="Q689" t="b">
        <v>0</v>
      </c>
      <c r="R689" s="9" t="b">
        <v>0</v>
      </c>
      <c r="S689" s="10"/>
      <c r="T689" s="10"/>
      <c r="U689" s="10"/>
      <c r="V689" s="10"/>
      <c r="W689" s="10"/>
      <c r="X689" s="10"/>
      <c r="Y689" s="10"/>
      <c r="Z689" s="10"/>
      <c r="AA689" s="10"/>
      <c r="AB689" s="10"/>
      <c r="AC689" s="10"/>
      <c r="AD689" s="10"/>
      <c r="AE689" s="10"/>
    </row>
    <row r="690" ht="14.4" spans="1:31">
      <c r="A690" t="s">
        <v>243</v>
      </c>
      <c r="B690" t="s">
        <v>244</v>
      </c>
      <c r="C690">
        <v>35</v>
      </c>
      <c r="F690">
        <v>20</v>
      </c>
      <c r="G690">
        <v>45</v>
      </c>
      <c r="H690">
        <v>30</v>
      </c>
      <c r="I690">
        <v>35</v>
      </c>
      <c r="L690">
        <v>0</v>
      </c>
      <c r="N690" s="10"/>
      <c r="O690" s="3">
        <v>500</v>
      </c>
      <c r="P690" t="b">
        <v>0</v>
      </c>
      <c r="Q690" t="b">
        <v>0</v>
      </c>
      <c r="R690" s="9" t="b">
        <v>0</v>
      </c>
      <c r="S690" s="3"/>
      <c r="T690" s="3"/>
      <c r="U690" s="3"/>
      <c r="V690" s="3"/>
      <c r="W690" s="3"/>
      <c r="X690" s="3"/>
      <c r="Y690" s="3"/>
      <c r="Z690" s="3"/>
      <c r="AA690" s="3"/>
      <c r="AB690" s="3"/>
      <c r="AC690" s="3"/>
      <c r="AD690" s="3"/>
      <c r="AE690" s="3"/>
    </row>
    <row r="691" ht="14.4" spans="1:31">
      <c r="A691" t="s">
        <v>245</v>
      </c>
      <c r="B691" t="s">
        <v>246</v>
      </c>
      <c r="C691">
        <v>35</v>
      </c>
      <c r="F691">
        <v>20</v>
      </c>
      <c r="G691">
        <v>45</v>
      </c>
      <c r="H691">
        <v>85</v>
      </c>
      <c r="I691">
        <v>35</v>
      </c>
      <c r="L691">
        <v>0</v>
      </c>
      <c r="N691" s="10"/>
      <c r="O691" s="3">
        <v>100</v>
      </c>
      <c r="P691" t="b">
        <v>0</v>
      </c>
      <c r="Q691" t="b">
        <v>0</v>
      </c>
      <c r="R691" s="9" t="b">
        <v>0</v>
      </c>
      <c r="S691" s="3"/>
      <c r="T691" s="3"/>
      <c r="U691" s="3"/>
      <c r="V691" s="3"/>
      <c r="W691" s="3"/>
      <c r="X691" s="3"/>
      <c r="Y691" s="3"/>
      <c r="Z691" s="3"/>
      <c r="AA691" s="3"/>
      <c r="AB691" s="3"/>
      <c r="AC691" s="3"/>
      <c r="AD691" s="3"/>
      <c r="AE691" s="3"/>
    </row>
    <row r="692" ht="14.4" spans="1:31">
      <c r="A692" t="s">
        <v>247</v>
      </c>
      <c r="B692" t="s">
        <v>84</v>
      </c>
      <c r="C692">
        <v>100</v>
      </c>
      <c r="D692">
        <v>22</v>
      </c>
      <c r="E692">
        <v>55</v>
      </c>
      <c r="F692">
        <v>17.5</v>
      </c>
      <c r="G692">
        <v>450</v>
      </c>
      <c r="H692">
        <v>32</v>
      </c>
      <c r="L692">
        <v>5</v>
      </c>
      <c r="N692" s="10"/>
      <c r="O692" s="3">
        <v>100</v>
      </c>
      <c r="P692" t="b">
        <v>0</v>
      </c>
      <c r="Q692" t="b">
        <v>0</v>
      </c>
      <c r="R692" s="9" t="b">
        <v>0</v>
      </c>
      <c r="S692" s="3"/>
      <c r="T692" s="3"/>
      <c r="U692" s="3"/>
      <c r="V692" s="3"/>
      <c r="W692" s="3"/>
      <c r="X692" s="3"/>
      <c r="Y692" s="3"/>
      <c r="Z692" s="3"/>
      <c r="AA692" s="3"/>
      <c r="AB692" s="3"/>
      <c r="AC692" s="3"/>
      <c r="AD692" s="3"/>
      <c r="AE692" s="3"/>
    </row>
    <row r="693" ht="14.4" spans="1:31">
      <c r="A693" t="s">
        <v>248</v>
      </c>
      <c r="B693" t="s">
        <v>84</v>
      </c>
      <c r="C693">
        <v>100</v>
      </c>
      <c r="D693">
        <v>22</v>
      </c>
      <c r="E693">
        <v>55</v>
      </c>
      <c r="F693">
        <v>17.5</v>
      </c>
      <c r="G693">
        <v>250</v>
      </c>
      <c r="H693">
        <v>32</v>
      </c>
      <c r="L693">
        <v>3.5</v>
      </c>
      <c r="N693" s="10"/>
      <c r="O693" s="3">
        <v>100</v>
      </c>
      <c r="P693" t="b">
        <v>0</v>
      </c>
      <c r="Q693" t="b">
        <v>0</v>
      </c>
      <c r="R693" s="9" t="b">
        <v>0</v>
      </c>
      <c r="S693" s="10"/>
      <c r="T693" s="10"/>
      <c r="U693" s="10"/>
      <c r="V693" s="10"/>
      <c r="W693" s="10"/>
      <c r="X693" s="10"/>
      <c r="Y693" s="10"/>
      <c r="Z693" s="10"/>
      <c r="AA693" s="10"/>
      <c r="AB693" s="10"/>
      <c r="AC693" s="10"/>
      <c r="AD693" s="10"/>
      <c r="AE693" s="10"/>
    </row>
    <row r="694" ht="14.4" spans="1:31">
      <c r="A694" t="s">
        <v>249</v>
      </c>
      <c r="B694" t="s">
        <v>198</v>
      </c>
      <c r="C694" s="25">
        <v>70</v>
      </c>
      <c r="D694" s="25">
        <v>35</v>
      </c>
      <c r="E694" s="25">
        <v>50</v>
      </c>
      <c r="F694" s="25">
        <v>8.38</v>
      </c>
      <c r="G694" s="25">
        <v>300</v>
      </c>
      <c r="H694" s="25">
        <v>3.49</v>
      </c>
      <c r="I694" s="3"/>
      <c r="J694" s="25">
        <v>20</v>
      </c>
      <c r="K694" s="3"/>
      <c r="L694" s="25">
        <v>3</v>
      </c>
      <c r="M694" s="3"/>
      <c r="N694" s="3"/>
      <c r="O694" s="8">
        <v>100</v>
      </c>
      <c r="P694" s="3" t="b">
        <v>1</v>
      </c>
      <c r="Q694" s="3" t="b">
        <v>1</v>
      </c>
      <c r="R694" s="9" t="b">
        <v>0</v>
      </c>
      <c r="S694" s="10"/>
      <c r="T694" s="10"/>
      <c r="U694" s="10"/>
      <c r="V694" s="10"/>
      <c r="W694" s="10"/>
      <c r="X694" s="10"/>
      <c r="Y694" s="10"/>
      <c r="Z694" s="10"/>
      <c r="AA694" s="10"/>
      <c r="AB694" s="10"/>
      <c r="AC694" s="10"/>
      <c r="AD694" s="10"/>
      <c r="AE694" s="10"/>
    </row>
    <row r="695" ht="14.4" spans="1:31">
      <c r="A695" t="s">
        <v>250</v>
      </c>
      <c r="B695" t="s">
        <v>84</v>
      </c>
      <c r="C695" s="25">
        <v>110</v>
      </c>
      <c r="D695" s="25">
        <v>38</v>
      </c>
      <c r="E695" s="25">
        <v>40</v>
      </c>
      <c r="F695" s="25">
        <v>38</v>
      </c>
      <c r="G695" s="25">
        <v>300</v>
      </c>
      <c r="H695" s="25">
        <v>230</v>
      </c>
      <c r="J695" s="3"/>
      <c r="K695" s="3"/>
      <c r="L695" s="25">
        <v>6</v>
      </c>
      <c r="M695" s="3"/>
      <c r="N695" s="3"/>
      <c r="O695" s="8">
        <v>50</v>
      </c>
      <c r="P695" t="b">
        <v>0</v>
      </c>
      <c r="Q695" t="b">
        <v>0</v>
      </c>
      <c r="R695" s="9" t="b">
        <v>0</v>
      </c>
      <c r="S695" s="10"/>
      <c r="T695" s="10"/>
      <c r="U695" s="10"/>
      <c r="V695" s="10"/>
      <c r="W695" s="10"/>
      <c r="X695" s="10"/>
      <c r="Y695" s="10"/>
      <c r="Z695" s="10"/>
      <c r="AA695" s="10"/>
      <c r="AB695" s="10"/>
      <c r="AC695" s="10"/>
      <c r="AD695" s="10"/>
      <c r="AE695" s="10"/>
    </row>
    <row r="696" ht="14.4" spans="1:31">
      <c r="A696" t="s">
        <v>250</v>
      </c>
      <c r="B696" t="s">
        <v>198</v>
      </c>
      <c r="C696" s="25">
        <v>110</v>
      </c>
      <c r="D696" s="25">
        <v>38</v>
      </c>
      <c r="E696" s="25">
        <v>40</v>
      </c>
      <c r="F696" s="25">
        <v>12</v>
      </c>
      <c r="G696" s="25">
        <v>300</v>
      </c>
      <c r="H696" s="25">
        <v>23</v>
      </c>
      <c r="J696" s="25">
        <v>10</v>
      </c>
      <c r="K696" s="3"/>
      <c r="L696" s="25">
        <v>3.5</v>
      </c>
      <c r="M696" s="3"/>
      <c r="N696" s="3"/>
      <c r="O696" s="8">
        <v>50</v>
      </c>
      <c r="P696" t="b">
        <v>0</v>
      </c>
      <c r="Q696" t="b">
        <v>0</v>
      </c>
      <c r="R696" s="9" t="b">
        <v>0</v>
      </c>
      <c r="S696" s="10"/>
      <c r="T696" s="10"/>
      <c r="U696" s="10"/>
      <c r="V696" s="10"/>
      <c r="W696" s="10"/>
      <c r="X696" s="10"/>
      <c r="Y696" s="10"/>
      <c r="Z696" s="10"/>
      <c r="AA696" s="10"/>
      <c r="AB696" s="10"/>
      <c r="AC696" s="10"/>
      <c r="AD696" s="10"/>
      <c r="AE696" s="10"/>
    </row>
    <row r="697" ht="14.4" spans="1:31">
      <c r="A697" t="s">
        <v>251</v>
      </c>
      <c r="B697" t="s">
        <v>84</v>
      </c>
      <c r="C697">
        <v>130</v>
      </c>
      <c r="D697">
        <v>114</v>
      </c>
      <c r="E697">
        <v>1000</v>
      </c>
      <c r="F697">
        <v>114</v>
      </c>
      <c r="G697">
        <v>453</v>
      </c>
      <c r="H697">
        <v>5600</v>
      </c>
      <c r="I697">
        <v>114</v>
      </c>
      <c r="L697">
        <v>20</v>
      </c>
      <c r="N697" s="10"/>
      <c r="O697" s="3">
        <v>5</v>
      </c>
      <c r="P697" t="b">
        <v>0</v>
      </c>
      <c r="Q697" t="b">
        <v>0</v>
      </c>
      <c r="R697" s="9" t="b">
        <v>0</v>
      </c>
      <c r="S697" s="3"/>
      <c r="T697" s="3"/>
      <c r="U697" s="3"/>
      <c r="V697" s="3"/>
      <c r="W697" s="3"/>
      <c r="X697" s="3"/>
      <c r="Y697" s="3"/>
      <c r="Z697" s="3"/>
      <c r="AA697" s="3"/>
      <c r="AB697" s="3"/>
      <c r="AC697" s="3"/>
      <c r="AD697" s="3"/>
      <c r="AE697" s="3"/>
    </row>
    <row r="698" ht="14.4" spans="1:31">
      <c r="A698" t="s">
        <v>251</v>
      </c>
      <c r="B698" t="s">
        <v>54</v>
      </c>
      <c r="C698">
        <v>130</v>
      </c>
      <c r="D698">
        <v>114</v>
      </c>
      <c r="E698">
        <v>1000</v>
      </c>
      <c r="F698">
        <v>114</v>
      </c>
      <c r="G698">
        <v>453</v>
      </c>
      <c r="H698">
        <v>5600</v>
      </c>
      <c r="I698">
        <v>114</v>
      </c>
      <c r="M698">
        <v>1.13</v>
      </c>
      <c r="N698" s="10"/>
      <c r="O698" s="3">
        <v>5</v>
      </c>
      <c r="P698" t="b">
        <v>0</v>
      </c>
      <c r="Q698" t="b">
        <v>0</v>
      </c>
      <c r="R698" s="9" t="b">
        <v>0</v>
      </c>
      <c r="S698" s="3"/>
      <c r="T698" s="3"/>
      <c r="U698" s="3"/>
      <c r="V698" s="3"/>
      <c r="W698" s="3"/>
      <c r="X698" s="3"/>
      <c r="Y698" s="3"/>
      <c r="Z698" s="3"/>
      <c r="AA698" s="3"/>
      <c r="AB698" s="3"/>
      <c r="AC698" s="3"/>
      <c r="AD698" s="3"/>
      <c r="AE698" s="3"/>
    </row>
    <row r="699" ht="14.4" spans="1:31">
      <c r="A699" t="s">
        <v>251</v>
      </c>
      <c r="B699" t="s">
        <v>48</v>
      </c>
      <c r="C699">
        <v>130</v>
      </c>
      <c r="D699">
        <v>114</v>
      </c>
      <c r="E699">
        <v>1000</v>
      </c>
      <c r="F699">
        <v>114</v>
      </c>
      <c r="G699">
        <v>453</v>
      </c>
      <c r="H699">
        <v>5600</v>
      </c>
      <c r="I699">
        <v>114</v>
      </c>
      <c r="M699">
        <v>0.25</v>
      </c>
      <c r="N699" s="10"/>
      <c r="O699" s="3">
        <v>5</v>
      </c>
      <c r="P699" t="b">
        <v>0</v>
      </c>
      <c r="Q699" t="b">
        <v>0</v>
      </c>
      <c r="R699" s="9" t="b">
        <v>0</v>
      </c>
      <c r="S699" s="10"/>
      <c r="T699" s="10"/>
      <c r="U699" s="10"/>
      <c r="V699" s="10"/>
      <c r="W699" s="10"/>
      <c r="X699" s="10"/>
      <c r="Y699" s="10"/>
      <c r="Z699" s="10"/>
      <c r="AA699" s="10"/>
      <c r="AB699" s="10"/>
      <c r="AC699" s="10"/>
      <c r="AD699" s="10"/>
      <c r="AE699" s="10"/>
    </row>
    <row r="700" ht="14.4" spans="1:31">
      <c r="A700" t="s">
        <v>251</v>
      </c>
      <c r="B700" t="s">
        <v>198</v>
      </c>
      <c r="C700">
        <v>130</v>
      </c>
      <c r="D700">
        <v>114</v>
      </c>
      <c r="E700">
        <v>1000</v>
      </c>
      <c r="F700">
        <v>36</v>
      </c>
      <c r="G700">
        <v>453</v>
      </c>
      <c r="H700">
        <v>205</v>
      </c>
      <c r="I700">
        <v>114</v>
      </c>
      <c r="J700">
        <v>27</v>
      </c>
      <c r="L700">
        <v>8.5</v>
      </c>
      <c r="N700" s="10"/>
      <c r="O700" s="3">
        <v>5</v>
      </c>
      <c r="P700" t="b">
        <v>0</v>
      </c>
      <c r="Q700" t="b">
        <v>0</v>
      </c>
      <c r="R700" s="9" t="b">
        <v>0</v>
      </c>
      <c r="S700" s="10"/>
      <c r="T700" s="10"/>
      <c r="U700" s="10"/>
      <c r="V700" s="10"/>
      <c r="W700" s="10"/>
      <c r="X700" s="10"/>
      <c r="Y700" s="10"/>
      <c r="Z700" s="10"/>
      <c r="AA700" s="10"/>
      <c r="AB700" s="10"/>
      <c r="AC700" s="10"/>
      <c r="AD700" s="10"/>
      <c r="AE700" s="10"/>
    </row>
    <row r="701" ht="14.4" spans="1:31">
      <c r="A701" t="s">
        <v>252</v>
      </c>
      <c r="B701" t="s">
        <v>54</v>
      </c>
      <c r="C701" s="25">
        <v>60</v>
      </c>
      <c r="D701" s="25">
        <v>60</v>
      </c>
      <c r="E701" s="25">
        <v>200</v>
      </c>
      <c r="F701" s="25">
        <v>60</v>
      </c>
      <c r="G701" s="25">
        <v>70</v>
      </c>
      <c r="H701" s="25">
        <v>750</v>
      </c>
      <c r="I701" s="3"/>
      <c r="J701" s="3"/>
      <c r="K701" s="3"/>
      <c r="L701" s="3"/>
      <c r="M701" s="25">
        <v>0.083</v>
      </c>
      <c r="N701" s="3"/>
      <c r="O701" s="8">
        <v>25</v>
      </c>
      <c r="P701" t="b">
        <v>0</v>
      </c>
      <c r="Q701" t="b">
        <v>0</v>
      </c>
      <c r="R701" s="9" t="b">
        <v>0</v>
      </c>
      <c r="S701" s="10"/>
      <c r="T701" s="10"/>
      <c r="U701" s="10"/>
      <c r="V701" s="10"/>
      <c r="W701" s="10"/>
      <c r="X701" s="10"/>
      <c r="Y701" s="10"/>
      <c r="Z701" s="10"/>
      <c r="AA701" s="10"/>
      <c r="AB701" s="10"/>
      <c r="AC701" s="10"/>
      <c r="AD701" s="10"/>
      <c r="AE701" s="10"/>
    </row>
    <row r="702" ht="14.4" spans="1:31">
      <c r="A702" t="s">
        <v>253</v>
      </c>
      <c r="B702" t="s">
        <v>234</v>
      </c>
      <c r="C702" s="25">
        <v>360</v>
      </c>
      <c r="D702" s="8">
        <v>20</v>
      </c>
      <c r="E702" s="25">
        <v>0</v>
      </c>
      <c r="F702" s="25">
        <v>20</v>
      </c>
      <c r="G702" s="25">
        <v>85</v>
      </c>
      <c r="H702" s="25">
        <v>98</v>
      </c>
      <c r="I702" s="25">
        <v>80</v>
      </c>
      <c r="J702" s="3"/>
      <c r="K702" s="3"/>
      <c r="L702" s="25">
        <v>2.5</v>
      </c>
      <c r="M702" s="25"/>
      <c r="N702" s="3"/>
      <c r="O702" s="8">
        <v>10</v>
      </c>
      <c r="P702" t="b">
        <v>0</v>
      </c>
      <c r="Q702" t="b">
        <v>0</v>
      </c>
      <c r="R702" s="9" t="b">
        <v>0</v>
      </c>
      <c r="S702" s="10"/>
      <c r="T702" s="10"/>
      <c r="U702" s="10"/>
      <c r="V702" s="10"/>
      <c r="W702" s="10"/>
      <c r="X702" s="10"/>
      <c r="Y702" s="10"/>
      <c r="Z702" s="10"/>
      <c r="AA702" s="10"/>
      <c r="AB702" s="10"/>
      <c r="AC702" s="10"/>
      <c r="AD702" s="10"/>
      <c r="AE702" s="10"/>
    </row>
    <row r="703" ht="14.4" spans="1:31">
      <c r="A703" s="14" t="s">
        <v>254</v>
      </c>
      <c r="B703" s="15"/>
      <c r="C703" s="15"/>
      <c r="D703" s="15"/>
      <c r="E703" s="15"/>
      <c r="F703" s="15"/>
      <c r="G703" s="15"/>
      <c r="H703" s="15"/>
      <c r="I703" s="15"/>
      <c r="J703" s="15"/>
      <c r="K703" s="15"/>
      <c r="L703" s="15"/>
      <c r="M703" s="15"/>
      <c r="N703" s="23"/>
      <c r="O703" s="27"/>
      <c r="P703" s="23"/>
      <c r="Q703" s="23"/>
      <c r="R703" s="27"/>
      <c r="S703" s="10"/>
      <c r="T703" s="10"/>
      <c r="U703" s="10"/>
      <c r="V703" s="10"/>
      <c r="W703" s="10"/>
      <c r="X703" s="10"/>
      <c r="Y703" s="10"/>
      <c r="Z703" s="10"/>
      <c r="AA703" s="10"/>
      <c r="AB703" s="10"/>
      <c r="AC703" s="10"/>
      <c r="AD703" s="10"/>
      <c r="AE703" s="10"/>
    </row>
    <row r="704" ht="14.4" spans="1:31">
      <c r="A704" t="s">
        <v>255</v>
      </c>
      <c r="B704" t="s">
        <v>256</v>
      </c>
      <c r="C704" s="25">
        <v>138</v>
      </c>
      <c r="D704" s="3"/>
      <c r="E704" s="3"/>
      <c r="F704" s="25">
        <v>69</v>
      </c>
      <c r="G704" s="25">
        <v>21</v>
      </c>
      <c r="H704" s="25">
        <v>436</v>
      </c>
      <c r="I704" s="25">
        <v>138</v>
      </c>
      <c r="J704" s="3"/>
      <c r="K704" s="3"/>
      <c r="L704" s="3"/>
      <c r="M704" s="25">
        <v>0.3</v>
      </c>
      <c r="N704" s="3"/>
      <c r="O704" s="8">
        <v>10</v>
      </c>
      <c r="P704" t="b">
        <v>0</v>
      </c>
      <c r="Q704" t="b">
        <v>0</v>
      </c>
      <c r="R704" s="9" t="b">
        <v>0</v>
      </c>
      <c r="S704" s="10"/>
      <c r="T704" s="10"/>
      <c r="U704" s="10"/>
      <c r="V704" s="10"/>
      <c r="W704" s="10"/>
      <c r="X704" s="10"/>
      <c r="Y704" s="10"/>
      <c r="Z704" s="10"/>
      <c r="AA704" s="10"/>
      <c r="AB704" s="10"/>
      <c r="AC704" s="10"/>
      <c r="AD704" s="10"/>
      <c r="AE704" s="10"/>
    </row>
    <row r="705" ht="14.4" spans="1:31">
      <c r="A705" t="s">
        <v>257</v>
      </c>
      <c r="B705" t="s">
        <v>68</v>
      </c>
      <c r="C705">
        <v>90</v>
      </c>
      <c r="F705">
        <v>64</v>
      </c>
      <c r="G705">
        <v>21</v>
      </c>
      <c r="H705">
        <v>400</v>
      </c>
      <c r="I705">
        <v>90</v>
      </c>
      <c r="M705">
        <v>0.24</v>
      </c>
      <c r="N705" s="10"/>
      <c r="O705" s="3">
        <v>10</v>
      </c>
      <c r="P705" t="b">
        <v>0</v>
      </c>
      <c r="Q705" t="b">
        <v>0</v>
      </c>
      <c r="R705" s="9" t="b">
        <v>0</v>
      </c>
      <c r="S705" s="10"/>
      <c r="T705" s="10"/>
      <c r="U705" s="10"/>
      <c r="V705" s="10"/>
      <c r="W705" s="10"/>
      <c r="X705" s="10"/>
      <c r="Y705" s="10"/>
      <c r="Z705" s="10"/>
      <c r="AA705" s="10"/>
      <c r="AB705" s="10"/>
      <c r="AC705" s="10"/>
      <c r="AD705" s="10"/>
      <c r="AE705" s="10"/>
    </row>
    <row r="706" ht="14.4" spans="1:31">
      <c r="A706" t="s">
        <v>258</v>
      </c>
      <c r="B706" t="s">
        <v>55</v>
      </c>
      <c r="C706">
        <v>90</v>
      </c>
      <c r="F706">
        <v>64</v>
      </c>
      <c r="G706">
        <v>21</v>
      </c>
      <c r="H706">
        <v>400</v>
      </c>
      <c r="I706">
        <v>90</v>
      </c>
      <c r="M706">
        <v>0.24</v>
      </c>
      <c r="N706" s="10"/>
      <c r="O706" s="3">
        <v>10</v>
      </c>
      <c r="P706" t="b">
        <v>0</v>
      </c>
      <c r="Q706" t="b">
        <v>0</v>
      </c>
      <c r="R706" s="9" t="b">
        <v>0</v>
      </c>
      <c r="S706" s="10"/>
      <c r="T706" s="10"/>
      <c r="U706" s="10"/>
      <c r="V706" s="10"/>
      <c r="W706" s="10"/>
      <c r="X706" s="10"/>
      <c r="Y706" s="10"/>
      <c r="Z706" s="10"/>
      <c r="AA706" s="10"/>
      <c r="AB706" s="10"/>
      <c r="AC706" s="10"/>
      <c r="AD706" s="10"/>
      <c r="AE706" s="10"/>
    </row>
    <row r="707" ht="14.4" spans="1:31">
      <c r="A707" t="s">
        <v>259</v>
      </c>
      <c r="B707" t="s">
        <v>69</v>
      </c>
      <c r="C707">
        <v>146</v>
      </c>
      <c r="F707">
        <v>55</v>
      </c>
      <c r="G707">
        <v>21</v>
      </c>
      <c r="H707">
        <v>539</v>
      </c>
      <c r="I707">
        <v>146</v>
      </c>
      <c r="M707">
        <v>0.326</v>
      </c>
      <c r="N707" s="10"/>
      <c r="O707" s="3">
        <v>10</v>
      </c>
      <c r="P707" t="b">
        <v>0</v>
      </c>
      <c r="Q707" t="b">
        <v>0</v>
      </c>
      <c r="R707" s="9" t="b">
        <v>0</v>
      </c>
      <c r="S707" s="10"/>
      <c r="T707" s="10"/>
      <c r="U707" s="10"/>
      <c r="V707" s="10"/>
      <c r="W707" s="10"/>
      <c r="X707" s="10"/>
      <c r="Y707" s="10"/>
      <c r="Z707" s="10"/>
      <c r="AA707" s="10"/>
      <c r="AB707" s="10"/>
      <c r="AC707" s="10"/>
      <c r="AD707" s="10"/>
      <c r="AE707" s="10"/>
    </row>
    <row r="708" ht="14.4" spans="1:31">
      <c r="A708" t="s">
        <v>260</v>
      </c>
      <c r="B708" t="s">
        <v>260</v>
      </c>
      <c r="C708">
        <v>133</v>
      </c>
      <c r="F708">
        <v>44</v>
      </c>
      <c r="G708">
        <v>21</v>
      </c>
      <c r="H708">
        <v>236</v>
      </c>
      <c r="I708">
        <v>133</v>
      </c>
      <c r="M708">
        <v>0.005</v>
      </c>
      <c r="N708" s="10"/>
      <c r="O708" s="3">
        <v>10</v>
      </c>
      <c r="P708" t="b">
        <v>0</v>
      </c>
      <c r="Q708" t="b">
        <v>0</v>
      </c>
      <c r="R708" s="9" t="b">
        <v>0</v>
      </c>
      <c r="S708" s="10"/>
      <c r="T708" s="10"/>
      <c r="U708" s="10"/>
      <c r="V708" s="10"/>
      <c r="W708" s="10"/>
      <c r="X708" s="10"/>
      <c r="Y708" s="10"/>
      <c r="Z708" s="10"/>
      <c r="AA708" s="10"/>
      <c r="AB708" s="10"/>
      <c r="AC708" s="10"/>
      <c r="AD708" s="10"/>
      <c r="AE708" s="10"/>
    </row>
    <row r="709" ht="15.75" customHeight="1" spans="1:31">
      <c r="A709" t="s">
        <v>261</v>
      </c>
      <c r="B709" t="s">
        <v>261</v>
      </c>
      <c r="C709">
        <v>200</v>
      </c>
      <c r="D709">
        <v>50</v>
      </c>
      <c r="E709">
        <v>500</v>
      </c>
      <c r="F709">
        <v>100</v>
      </c>
      <c r="G709">
        <v>13</v>
      </c>
      <c r="H709">
        <v>1000</v>
      </c>
      <c r="I709">
        <v>100</v>
      </c>
      <c r="M709">
        <v>1.33</v>
      </c>
      <c r="N709" s="10"/>
      <c r="O709" s="3">
        <v>10</v>
      </c>
      <c r="P709" t="b">
        <v>0</v>
      </c>
      <c r="Q709" t="b">
        <v>0</v>
      </c>
      <c r="R709" s="9" t="b">
        <v>0</v>
      </c>
      <c r="S709" s="10"/>
      <c r="T709" s="10"/>
      <c r="U709" s="10"/>
      <c r="V709" s="10"/>
      <c r="W709" s="10"/>
      <c r="X709" s="10"/>
      <c r="Y709" s="10"/>
      <c r="Z709" s="10"/>
      <c r="AA709" s="10"/>
      <c r="AB709" s="10"/>
      <c r="AC709" s="10"/>
      <c r="AD709" s="10"/>
      <c r="AE709" s="10"/>
    </row>
    <row r="710" ht="15.75" customHeight="1" spans="1:31">
      <c r="A710" t="s">
        <v>262</v>
      </c>
      <c r="B710" t="s">
        <v>50</v>
      </c>
      <c r="C710">
        <v>146</v>
      </c>
      <c r="F710">
        <v>55</v>
      </c>
      <c r="G710">
        <v>21</v>
      </c>
      <c r="H710">
        <v>500</v>
      </c>
      <c r="I710">
        <v>146</v>
      </c>
      <c r="M710">
        <v>0.326</v>
      </c>
      <c r="N710" s="3"/>
      <c r="O710" s="3">
        <v>10</v>
      </c>
      <c r="P710" t="b">
        <v>0</v>
      </c>
      <c r="Q710" t="b">
        <v>0</v>
      </c>
      <c r="R710" s="9" t="b">
        <v>0</v>
      </c>
      <c r="S710" s="10"/>
      <c r="T710" s="10"/>
      <c r="U710" s="10"/>
      <c r="V710" s="10"/>
      <c r="W710" s="10"/>
      <c r="X710" s="10"/>
      <c r="Y710" s="10"/>
      <c r="Z710" s="10"/>
      <c r="AA710" s="10"/>
      <c r="AB710" s="10"/>
      <c r="AC710" s="10"/>
      <c r="AD710" s="10"/>
      <c r="AE710" s="10"/>
    </row>
    <row r="711" ht="15.75" customHeight="1" spans="1:31">
      <c r="A711" t="s">
        <v>263</v>
      </c>
      <c r="B711" t="s">
        <v>264</v>
      </c>
      <c r="C711">
        <v>230</v>
      </c>
      <c r="D711">
        <v>60</v>
      </c>
      <c r="E711">
        <v>500</v>
      </c>
      <c r="F711">
        <v>60</v>
      </c>
      <c r="G711">
        <v>21</v>
      </c>
      <c r="H711">
        <v>200</v>
      </c>
      <c r="M711">
        <v>0.355</v>
      </c>
      <c r="N711" s="10"/>
      <c r="O711" s="3">
        <v>10</v>
      </c>
      <c r="P711" t="b">
        <v>0</v>
      </c>
      <c r="Q711" t="b">
        <v>0</v>
      </c>
      <c r="R711" s="9" t="b">
        <v>0</v>
      </c>
      <c r="S711" s="10"/>
      <c r="T711" s="10"/>
      <c r="U711" s="10"/>
      <c r="V711" s="10"/>
      <c r="W711" s="10"/>
      <c r="X711" s="10"/>
      <c r="Y711" s="10"/>
      <c r="Z711" s="10"/>
      <c r="AA711" s="10"/>
      <c r="AB711" s="10"/>
      <c r="AC711" s="10"/>
      <c r="AD711" s="10"/>
      <c r="AE711" s="10"/>
    </row>
    <row r="712" ht="15.75" customHeight="1" spans="1:31">
      <c r="A712" s="14" t="s">
        <v>265</v>
      </c>
      <c r="B712" s="15"/>
      <c r="C712" s="15"/>
      <c r="D712" s="15"/>
      <c r="E712" s="15"/>
      <c r="F712" s="15"/>
      <c r="G712" s="15"/>
      <c r="H712" s="15"/>
      <c r="I712" s="15"/>
      <c r="J712" s="15"/>
      <c r="K712" s="15"/>
      <c r="L712" s="15"/>
      <c r="M712" s="15"/>
      <c r="N712" s="27"/>
      <c r="O712" s="27"/>
      <c r="P712" s="27"/>
      <c r="Q712" s="27"/>
      <c r="R712" s="27"/>
      <c r="S712" s="10"/>
      <c r="T712" s="10"/>
      <c r="U712" s="10"/>
      <c r="V712" s="10"/>
      <c r="W712" s="10"/>
      <c r="X712" s="10"/>
      <c r="Y712" s="10"/>
      <c r="Z712" s="10"/>
      <c r="AA712" s="10"/>
      <c r="AB712" s="10"/>
      <c r="AC712" s="10"/>
      <c r="AD712" s="10"/>
      <c r="AE712" s="10"/>
    </row>
    <row r="713" ht="15.75" customHeight="1" spans="1:31">
      <c r="A713" t="s">
        <v>266</v>
      </c>
      <c r="B713" t="s">
        <v>81</v>
      </c>
      <c r="C713" s="25">
        <v>900</v>
      </c>
      <c r="E713" s="25">
        <v>200</v>
      </c>
      <c r="F713" s="25">
        <v>58</v>
      </c>
      <c r="G713" s="25">
        <v>300</v>
      </c>
      <c r="H713" s="8">
        <v>2600</v>
      </c>
      <c r="I713" s="25">
        <v>550</v>
      </c>
      <c r="J713" s="3"/>
      <c r="L713" s="44">
        <v>500</v>
      </c>
      <c r="M713" s="25">
        <v>1.241</v>
      </c>
      <c r="N713" s="25">
        <v>180</v>
      </c>
      <c r="O713" s="8">
        <v>5</v>
      </c>
      <c r="P713" s="3" t="b">
        <v>1</v>
      </c>
      <c r="Q713" s="3" t="b">
        <v>0</v>
      </c>
      <c r="R713" s="9" t="b">
        <v>0</v>
      </c>
      <c r="S713" s="10"/>
      <c r="T713" s="10"/>
      <c r="U713" s="10"/>
      <c r="V713" s="10"/>
      <c r="W713" s="10"/>
      <c r="X713" s="10"/>
      <c r="Y713" s="10"/>
      <c r="Z713" s="10"/>
      <c r="AA713" s="10"/>
      <c r="AB713" s="10"/>
      <c r="AC713" s="10"/>
      <c r="AD713" s="10"/>
      <c r="AE713" s="10"/>
    </row>
    <row r="714" ht="15.75" customHeight="1" spans="1:31">
      <c r="A714" t="s">
        <v>266</v>
      </c>
      <c r="B714" t="s">
        <v>49</v>
      </c>
      <c r="C714" s="25">
        <v>950</v>
      </c>
      <c r="E714" s="25">
        <v>200</v>
      </c>
      <c r="F714" s="25">
        <v>62</v>
      </c>
      <c r="G714" s="25">
        <v>300</v>
      </c>
      <c r="H714" s="25">
        <v>4500</v>
      </c>
      <c r="I714" s="25">
        <v>500</v>
      </c>
      <c r="J714" s="3"/>
      <c r="K714" s="3"/>
      <c r="L714" s="3"/>
      <c r="M714" s="25">
        <v>4.95</v>
      </c>
      <c r="N714" s="3"/>
      <c r="O714" s="8">
        <v>5</v>
      </c>
      <c r="P714" s="3" t="b">
        <v>1</v>
      </c>
      <c r="Q714" s="3" t="b">
        <v>0</v>
      </c>
      <c r="R714" s="9" t="b">
        <v>0</v>
      </c>
      <c r="S714" s="10"/>
      <c r="T714" s="10"/>
      <c r="U714" s="10"/>
      <c r="V714" s="10"/>
      <c r="W714" s="10"/>
      <c r="X714" s="10"/>
      <c r="Y714" s="10"/>
      <c r="Z714" s="10"/>
      <c r="AA714" s="10"/>
      <c r="AB714" s="10"/>
      <c r="AC714" s="10"/>
      <c r="AD714" s="10"/>
      <c r="AE714" s="10"/>
    </row>
    <row r="715" ht="15.75" customHeight="1" spans="1:31">
      <c r="A715" t="s">
        <v>266</v>
      </c>
      <c r="B715" t="s">
        <v>68</v>
      </c>
      <c r="C715" s="25">
        <v>900</v>
      </c>
      <c r="E715" s="25">
        <v>200</v>
      </c>
      <c r="F715" s="25">
        <v>40</v>
      </c>
      <c r="G715" s="25">
        <v>300</v>
      </c>
      <c r="H715" s="25">
        <v>2000</v>
      </c>
      <c r="I715" s="25">
        <v>300</v>
      </c>
      <c r="J715" s="3"/>
      <c r="K715" s="3"/>
      <c r="L715" s="3"/>
      <c r="M715" s="25">
        <v>0.252</v>
      </c>
      <c r="N715" s="3"/>
      <c r="O715" s="8">
        <v>5</v>
      </c>
      <c r="P715" s="3" t="b">
        <v>1</v>
      </c>
      <c r="Q715" s="3" t="b">
        <v>0</v>
      </c>
      <c r="R715" s="9" t="b">
        <v>0</v>
      </c>
      <c r="S715" s="10"/>
      <c r="T715" s="10"/>
      <c r="U715" s="10"/>
      <c r="V715" s="10"/>
      <c r="W715" s="10"/>
      <c r="X715" s="10"/>
      <c r="Y715" s="10"/>
      <c r="Z715" s="10"/>
      <c r="AA715" s="10"/>
      <c r="AB715" s="10"/>
      <c r="AC715" s="10"/>
      <c r="AD715" s="10"/>
      <c r="AE715" s="10"/>
    </row>
    <row r="716" ht="15.75" customHeight="1" spans="1:31">
      <c r="A716" t="s">
        <v>267</v>
      </c>
      <c r="B716" t="s">
        <v>49</v>
      </c>
      <c r="C716">
        <v>920</v>
      </c>
      <c r="D716">
        <v>105</v>
      </c>
      <c r="E716">
        <v>8900</v>
      </c>
      <c r="F716">
        <v>93</v>
      </c>
      <c r="G716">
        <v>125</v>
      </c>
      <c r="H716">
        <v>2100</v>
      </c>
      <c r="I716">
        <v>700</v>
      </c>
      <c r="M716">
        <v>5.5</v>
      </c>
      <c r="N716" s="10"/>
      <c r="O716" s="3">
        <v>5</v>
      </c>
      <c r="P716" s="3" t="b">
        <v>1</v>
      </c>
      <c r="Q716" s="3" t="b">
        <v>0</v>
      </c>
      <c r="R716" s="9" t="b">
        <v>0</v>
      </c>
      <c r="S716" s="10"/>
      <c r="T716" s="10"/>
      <c r="U716" s="10"/>
      <c r="V716" s="10"/>
      <c r="W716" s="10"/>
      <c r="X716" s="10"/>
      <c r="Y716" s="10"/>
      <c r="Z716" s="10"/>
      <c r="AA716" s="10"/>
      <c r="AB716" s="10"/>
      <c r="AC716" s="10"/>
      <c r="AD716" s="10"/>
      <c r="AE716" s="10"/>
    </row>
    <row r="717" ht="15.75" customHeight="1" spans="1:31">
      <c r="A717" t="s">
        <v>267</v>
      </c>
      <c r="B717" t="s">
        <v>48</v>
      </c>
      <c r="C717">
        <v>920</v>
      </c>
      <c r="D717">
        <v>105</v>
      </c>
      <c r="E717">
        <v>8900</v>
      </c>
      <c r="F717">
        <v>93</v>
      </c>
      <c r="G717">
        <v>125</v>
      </c>
      <c r="H717">
        <v>2100</v>
      </c>
      <c r="I717">
        <v>700</v>
      </c>
      <c r="M717">
        <v>2.1</v>
      </c>
      <c r="N717" s="10"/>
      <c r="O717" s="3">
        <v>5</v>
      </c>
      <c r="P717" s="3" t="b">
        <v>1</v>
      </c>
      <c r="Q717" s="3" t="b">
        <v>0</v>
      </c>
      <c r="R717" s="9" t="b">
        <v>0</v>
      </c>
      <c r="S717" s="10"/>
      <c r="T717" s="10"/>
      <c r="U717" s="10"/>
      <c r="V717" s="10"/>
      <c r="W717" s="10"/>
      <c r="X717" s="10"/>
      <c r="Y717" s="10"/>
      <c r="Z717" s="10"/>
      <c r="AA717" s="10"/>
      <c r="AB717" s="10"/>
      <c r="AC717" s="10"/>
      <c r="AD717" s="10"/>
      <c r="AE717" s="10"/>
    </row>
    <row r="718" ht="15.75" customHeight="1" spans="1:31">
      <c r="A718" t="s">
        <v>267</v>
      </c>
      <c r="B718" t="s">
        <v>69</v>
      </c>
      <c r="C718">
        <v>920</v>
      </c>
      <c r="D718">
        <v>105</v>
      </c>
      <c r="E718">
        <v>8900</v>
      </c>
      <c r="F718">
        <v>93</v>
      </c>
      <c r="G718">
        <v>125</v>
      </c>
      <c r="H718">
        <v>2100</v>
      </c>
      <c r="I718">
        <v>700</v>
      </c>
      <c r="M718">
        <v>2.3</v>
      </c>
      <c r="N718" s="10"/>
      <c r="O718" s="3">
        <v>5</v>
      </c>
      <c r="P718" s="3" t="b">
        <v>1</v>
      </c>
      <c r="Q718" s="3" t="b">
        <v>0</v>
      </c>
      <c r="R718" s="9" t="b">
        <v>0</v>
      </c>
      <c r="S718" s="10"/>
      <c r="T718" s="10"/>
      <c r="U718" s="10"/>
      <c r="V718" s="10"/>
      <c r="W718" s="10"/>
      <c r="X718" s="10"/>
      <c r="Y718" s="10"/>
      <c r="Z718" s="10"/>
      <c r="AA718" s="10"/>
      <c r="AB718" s="10"/>
      <c r="AC718" s="10"/>
      <c r="AD718" s="10"/>
      <c r="AE718" s="10"/>
    </row>
    <row r="719" ht="15.75" customHeight="1" spans="1:31">
      <c r="A719" s="3" t="s">
        <v>268</v>
      </c>
      <c r="B719" s="3" t="s">
        <v>81</v>
      </c>
      <c r="C719" s="25">
        <v>920</v>
      </c>
      <c r="D719" s="25">
        <v>73</v>
      </c>
      <c r="E719" s="25">
        <v>350</v>
      </c>
      <c r="F719" s="25">
        <v>73</v>
      </c>
      <c r="G719" s="25">
        <v>435</v>
      </c>
      <c r="H719" s="25">
        <v>5000</v>
      </c>
      <c r="I719" s="25">
        <v>757</v>
      </c>
      <c r="J719" s="3"/>
      <c r="K719" s="3"/>
      <c r="L719" s="25">
        <v>400</v>
      </c>
      <c r="M719" s="25">
        <v>0.5152</v>
      </c>
      <c r="N719" s="8">
        <v>100</v>
      </c>
      <c r="O719" s="8">
        <v>5</v>
      </c>
      <c r="P719" s="3" t="b">
        <v>1</v>
      </c>
      <c r="Q719" s="3" t="b">
        <v>0</v>
      </c>
      <c r="R719" s="9" t="b">
        <v>0</v>
      </c>
      <c r="S719" s="10"/>
      <c r="T719" s="10"/>
      <c r="U719" s="10"/>
      <c r="V719" s="10"/>
      <c r="W719" s="10"/>
      <c r="X719" s="10"/>
      <c r="Y719" s="10"/>
      <c r="Z719" s="10"/>
      <c r="AA719" s="10"/>
      <c r="AB719" s="10"/>
      <c r="AC719" s="10"/>
      <c r="AD719" s="10"/>
      <c r="AE719" s="10"/>
    </row>
    <row r="720" ht="15.75" customHeight="1" spans="1:31">
      <c r="A720" s="3" t="s">
        <v>268</v>
      </c>
      <c r="B720" s="3" t="s">
        <v>49</v>
      </c>
      <c r="C720" s="49">
        <v>920</v>
      </c>
      <c r="D720" s="8">
        <v>73</v>
      </c>
      <c r="E720" s="8">
        <v>200</v>
      </c>
      <c r="F720" s="8">
        <v>73</v>
      </c>
      <c r="G720" s="8">
        <v>316</v>
      </c>
      <c r="H720" s="8">
        <v>6000</v>
      </c>
      <c r="I720" s="8">
        <v>920</v>
      </c>
      <c r="J720" s="3"/>
      <c r="K720" s="3"/>
      <c r="L720" s="3"/>
      <c r="M720" s="8">
        <v>5</v>
      </c>
      <c r="N720" s="3"/>
      <c r="O720" s="8">
        <v>5</v>
      </c>
      <c r="P720" s="3" t="b">
        <v>1</v>
      </c>
      <c r="Q720" s="3" t="b">
        <v>0</v>
      </c>
      <c r="R720" s="9" t="b">
        <v>0</v>
      </c>
      <c r="S720" s="10"/>
      <c r="T720" s="10"/>
      <c r="U720" s="10"/>
      <c r="V720" s="10"/>
      <c r="W720" s="10"/>
      <c r="X720" s="10"/>
      <c r="Y720" s="10"/>
      <c r="Z720" s="10"/>
      <c r="AA720" s="10"/>
      <c r="AB720" s="10"/>
      <c r="AC720" s="10"/>
      <c r="AD720" s="10"/>
      <c r="AE720" s="10"/>
    </row>
    <row r="721" ht="15.75" customHeight="1" spans="1:31">
      <c r="A721" s="3" t="s">
        <v>268</v>
      </c>
      <c r="B721" s="3" t="s">
        <v>68</v>
      </c>
      <c r="C721" s="25">
        <v>1062</v>
      </c>
      <c r="D721" s="25">
        <v>73</v>
      </c>
      <c r="E721" s="25">
        <v>350</v>
      </c>
      <c r="F721" s="25">
        <v>73</v>
      </c>
      <c r="G721" s="25">
        <v>316</v>
      </c>
      <c r="H721" s="25">
        <v>6100</v>
      </c>
      <c r="I721" s="25">
        <v>729</v>
      </c>
      <c r="J721" s="3"/>
      <c r="K721" s="3"/>
      <c r="L721" s="3"/>
      <c r="M721" s="25">
        <v>0.753</v>
      </c>
      <c r="N721" s="3"/>
      <c r="O721" s="8">
        <v>5</v>
      </c>
      <c r="P721" s="3" t="b">
        <v>1</v>
      </c>
      <c r="Q721" s="3" t="b">
        <v>0</v>
      </c>
      <c r="R721" s="9" t="b">
        <v>0</v>
      </c>
      <c r="S721" s="10"/>
      <c r="T721" s="10"/>
      <c r="U721" s="10"/>
      <c r="V721" s="10"/>
      <c r="W721" s="10"/>
      <c r="X721" s="10"/>
      <c r="Y721" s="10"/>
      <c r="Z721" s="10"/>
      <c r="AA721" s="10"/>
      <c r="AB721" s="10"/>
      <c r="AC721" s="10"/>
      <c r="AD721" s="10"/>
      <c r="AE721" s="10"/>
    </row>
    <row r="722" ht="15.75" customHeight="1" spans="1:31">
      <c r="A722" s="3" t="s">
        <v>268</v>
      </c>
      <c r="B722" s="3" t="s">
        <v>55</v>
      </c>
      <c r="C722" s="49">
        <v>920</v>
      </c>
      <c r="D722" s="8">
        <v>73</v>
      </c>
      <c r="E722" s="8">
        <v>200</v>
      </c>
      <c r="F722" s="8">
        <v>73</v>
      </c>
      <c r="G722" s="8">
        <v>316</v>
      </c>
      <c r="H722" s="49">
        <v>5350</v>
      </c>
      <c r="I722" s="8">
        <v>920</v>
      </c>
      <c r="J722" s="3"/>
      <c r="K722" s="3"/>
      <c r="L722" s="3"/>
      <c r="M722" s="8">
        <v>0.75</v>
      </c>
      <c r="N722" s="3"/>
      <c r="O722" s="8">
        <v>5</v>
      </c>
      <c r="P722" s="3" t="b">
        <v>1</v>
      </c>
      <c r="Q722" s="3" t="b">
        <v>0</v>
      </c>
      <c r="R722" s="9" t="b">
        <v>0</v>
      </c>
      <c r="S722" s="10"/>
      <c r="T722" s="10"/>
      <c r="U722" s="10"/>
      <c r="V722" s="10"/>
      <c r="W722" s="10"/>
      <c r="X722" s="10"/>
      <c r="Y722" s="10"/>
      <c r="Z722" s="10"/>
      <c r="AA722" s="10"/>
      <c r="AB722" s="10"/>
      <c r="AC722" s="10"/>
      <c r="AD722" s="10"/>
      <c r="AE722" s="10"/>
    </row>
    <row r="723" ht="14.4" spans="1:31">
      <c r="A723" t="s">
        <v>269</v>
      </c>
      <c r="B723" t="s">
        <v>81</v>
      </c>
      <c r="C723">
        <v>549</v>
      </c>
      <c r="E723">
        <v>300</v>
      </c>
      <c r="F723">
        <v>60</v>
      </c>
      <c r="G723">
        <v>81</v>
      </c>
      <c r="H723">
        <v>1290</v>
      </c>
      <c r="I723">
        <v>183</v>
      </c>
      <c r="L723">
        <v>76</v>
      </c>
      <c r="M723">
        <v>1.12</v>
      </c>
      <c r="N723" s="3">
        <v>60</v>
      </c>
      <c r="O723" s="3">
        <v>5</v>
      </c>
      <c r="P723" s="3" t="b">
        <v>1</v>
      </c>
      <c r="Q723" s="3" t="b">
        <v>0</v>
      </c>
      <c r="R723" s="9" t="b">
        <v>0</v>
      </c>
      <c r="S723" s="10"/>
      <c r="T723" s="10"/>
      <c r="U723" s="10"/>
      <c r="V723" s="10"/>
      <c r="W723" s="10"/>
      <c r="X723" s="10"/>
      <c r="Y723" s="10"/>
      <c r="Z723" s="10"/>
      <c r="AA723" s="10"/>
      <c r="AB723" s="10"/>
      <c r="AC723" s="10"/>
      <c r="AD723" s="10"/>
      <c r="AE723" s="10"/>
    </row>
    <row r="724" ht="14.4" spans="1:31">
      <c r="A724" t="s">
        <v>270</v>
      </c>
      <c r="B724" t="s">
        <v>81</v>
      </c>
      <c r="C724">
        <v>549</v>
      </c>
      <c r="E724">
        <v>300</v>
      </c>
      <c r="F724">
        <v>60</v>
      </c>
      <c r="G724">
        <v>81</v>
      </c>
      <c r="H724">
        <v>1290</v>
      </c>
      <c r="I724">
        <v>183</v>
      </c>
      <c r="L724">
        <v>76</v>
      </c>
      <c r="M724">
        <v>1.12</v>
      </c>
      <c r="N724" s="3">
        <v>60</v>
      </c>
      <c r="O724" s="3">
        <v>5</v>
      </c>
      <c r="P724" s="3" t="b">
        <v>1</v>
      </c>
      <c r="Q724" s="3" t="b">
        <v>0</v>
      </c>
      <c r="R724" s="9" t="b">
        <v>0</v>
      </c>
      <c r="S724" s="10"/>
      <c r="T724" s="10"/>
      <c r="U724" s="10"/>
      <c r="V724" s="10"/>
      <c r="W724" s="10"/>
      <c r="X724" s="10"/>
      <c r="Y724" s="10"/>
      <c r="Z724" s="10"/>
      <c r="AA724" s="10"/>
      <c r="AB724" s="10"/>
      <c r="AC724" s="10"/>
      <c r="AD724" s="10"/>
      <c r="AE724" s="10"/>
    </row>
    <row r="725" ht="14.4" spans="1:31">
      <c r="A725" t="s">
        <v>271</v>
      </c>
      <c r="B725" t="s">
        <v>81</v>
      </c>
      <c r="C725">
        <v>493</v>
      </c>
      <c r="E725">
        <v>300</v>
      </c>
      <c r="F725">
        <v>60</v>
      </c>
      <c r="G725">
        <v>81</v>
      </c>
      <c r="H725">
        <v>1230</v>
      </c>
      <c r="I725">
        <v>165</v>
      </c>
      <c r="L725">
        <v>76</v>
      </c>
      <c r="M725">
        <v>1.12</v>
      </c>
      <c r="N725" s="3">
        <v>60</v>
      </c>
      <c r="O725" s="3">
        <v>5</v>
      </c>
      <c r="P725" s="3" t="b">
        <v>1</v>
      </c>
      <c r="Q725" s="3" t="b">
        <v>0</v>
      </c>
      <c r="R725" s="9" t="b">
        <v>0</v>
      </c>
      <c r="S725" s="10"/>
      <c r="T725" s="10"/>
      <c r="U725" s="10"/>
      <c r="V725" s="10"/>
      <c r="W725" s="10"/>
      <c r="X725" s="10"/>
      <c r="Y725" s="10"/>
      <c r="Z725" s="10"/>
      <c r="AA725" s="10"/>
      <c r="AB725" s="10"/>
      <c r="AC725" s="10"/>
      <c r="AD725" s="10"/>
      <c r="AE725" s="10"/>
    </row>
    <row r="726" ht="14.4" spans="1:31">
      <c r="A726" t="s">
        <v>271</v>
      </c>
      <c r="B726" t="s">
        <v>48</v>
      </c>
      <c r="C726">
        <v>449</v>
      </c>
      <c r="E726">
        <v>300</v>
      </c>
      <c r="F726">
        <v>60</v>
      </c>
      <c r="G726">
        <v>81</v>
      </c>
      <c r="H726">
        <v>1290</v>
      </c>
      <c r="I726">
        <v>140</v>
      </c>
      <c r="M726" s="3">
        <v>0.8</v>
      </c>
      <c r="N726" s="10"/>
      <c r="O726" s="3">
        <v>5</v>
      </c>
      <c r="P726" s="3" t="b">
        <v>1</v>
      </c>
      <c r="Q726" s="3" t="b">
        <v>0</v>
      </c>
      <c r="R726" s="9" t="b">
        <v>0</v>
      </c>
      <c r="S726" s="10"/>
      <c r="T726" s="10"/>
      <c r="U726" s="10"/>
      <c r="V726" s="10"/>
      <c r="W726" s="10"/>
      <c r="X726" s="10"/>
      <c r="Y726" s="10"/>
      <c r="Z726" s="10"/>
      <c r="AA726" s="10"/>
      <c r="AB726" s="10"/>
      <c r="AC726" s="10"/>
      <c r="AD726" s="10"/>
      <c r="AE726" s="10"/>
    </row>
    <row r="727" ht="14.4" spans="1:31">
      <c r="A727" t="s">
        <v>272</v>
      </c>
      <c r="B727" t="s">
        <v>81</v>
      </c>
      <c r="C727">
        <v>670</v>
      </c>
      <c r="D727">
        <v>100</v>
      </c>
      <c r="E727">
        <v>700</v>
      </c>
      <c r="F727">
        <v>66</v>
      </c>
      <c r="G727">
        <v>145</v>
      </c>
      <c r="H727">
        <v>1800</v>
      </c>
      <c r="I727">
        <v>508</v>
      </c>
      <c r="L727">
        <v>300</v>
      </c>
      <c r="M727">
        <v>0.689</v>
      </c>
      <c r="N727" s="3">
        <v>100</v>
      </c>
      <c r="O727" s="3">
        <v>5</v>
      </c>
      <c r="P727" s="3" t="b">
        <v>1</v>
      </c>
      <c r="Q727" s="3" t="b">
        <v>0</v>
      </c>
      <c r="R727" s="9" t="b">
        <v>0</v>
      </c>
      <c r="S727" s="10"/>
      <c r="T727" s="10"/>
      <c r="U727" s="10"/>
      <c r="V727" s="10"/>
      <c r="W727" s="10"/>
      <c r="X727" s="10"/>
      <c r="Y727" s="10"/>
      <c r="Z727" s="10"/>
      <c r="AA727" s="10"/>
      <c r="AB727" s="10"/>
      <c r="AC727" s="10"/>
      <c r="AD727" s="10"/>
      <c r="AE727" s="10"/>
    </row>
    <row r="728" ht="14.4" spans="1:31">
      <c r="A728" s="3" t="s">
        <v>273</v>
      </c>
      <c r="B728" t="s">
        <v>48</v>
      </c>
      <c r="C728">
        <v>546</v>
      </c>
      <c r="D728">
        <v>90</v>
      </c>
      <c r="E728">
        <v>350</v>
      </c>
      <c r="F728">
        <v>66</v>
      </c>
      <c r="G728">
        <v>114</v>
      </c>
      <c r="H728">
        <v>1360</v>
      </c>
      <c r="I728">
        <v>533</v>
      </c>
      <c r="M728">
        <v>0.58</v>
      </c>
      <c r="N728" s="3"/>
      <c r="O728" s="3">
        <v>4</v>
      </c>
      <c r="P728" s="3" t="b">
        <v>1</v>
      </c>
      <c r="Q728" s="3" t="b">
        <v>0</v>
      </c>
      <c r="R728" s="9" t="b">
        <v>0</v>
      </c>
      <c r="S728" s="10"/>
      <c r="T728" s="10"/>
      <c r="U728" s="10"/>
      <c r="V728" s="10"/>
      <c r="W728" s="10"/>
      <c r="X728" s="10"/>
      <c r="Y728" s="10"/>
      <c r="Z728" s="10"/>
      <c r="AA728" s="10"/>
      <c r="AB728" s="10"/>
      <c r="AC728" s="10"/>
      <c r="AD728" s="10"/>
      <c r="AE728" s="10"/>
    </row>
    <row r="729" ht="14.4" spans="1:31">
      <c r="A729" s="3" t="s">
        <v>274</v>
      </c>
      <c r="B729" t="s">
        <v>81</v>
      </c>
      <c r="C729">
        <v>800</v>
      </c>
      <c r="D729">
        <v>138</v>
      </c>
      <c r="E729">
        <v>1100</v>
      </c>
      <c r="F729">
        <v>125</v>
      </c>
      <c r="G729">
        <v>259</v>
      </c>
      <c r="H729">
        <v>12000</v>
      </c>
      <c r="I729">
        <v>750</v>
      </c>
      <c r="L729">
        <v>1000</v>
      </c>
      <c r="M729" s="3">
        <v>1.3</v>
      </c>
      <c r="N729" s="3">
        <v>140</v>
      </c>
      <c r="O729" s="3">
        <v>5</v>
      </c>
      <c r="P729" s="3" t="b">
        <v>1</v>
      </c>
      <c r="Q729" s="3" t="b">
        <v>0</v>
      </c>
      <c r="R729" s="9" t="b">
        <v>0</v>
      </c>
      <c r="S729" s="10"/>
      <c r="T729" s="10"/>
      <c r="U729" s="10"/>
      <c r="V729" s="10"/>
      <c r="W729" s="10"/>
      <c r="X729" s="10"/>
      <c r="Y729" s="10"/>
      <c r="Z729" s="10"/>
      <c r="AA729" s="10"/>
      <c r="AB729" s="10"/>
      <c r="AC729" s="10"/>
      <c r="AD729" s="10"/>
      <c r="AE729" s="10"/>
    </row>
    <row r="730" ht="14.4" spans="1:31">
      <c r="A730" s="3" t="s">
        <v>275</v>
      </c>
      <c r="B730" t="s">
        <v>81</v>
      </c>
      <c r="C730">
        <v>840</v>
      </c>
      <c r="D730">
        <v>110</v>
      </c>
      <c r="E730">
        <v>3000</v>
      </c>
      <c r="F730">
        <v>105</v>
      </c>
      <c r="G730">
        <v>140</v>
      </c>
      <c r="H730">
        <v>4000</v>
      </c>
      <c r="I730">
        <v>800</v>
      </c>
      <c r="L730">
        <v>650</v>
      </c>
      <c r="M730">
        <v>1.1</v>
      </c>
      <c r="N730" s="3">
        <v>120</v>
      </c>
      <c r="O730" s="3">
        <v>5</v>
      </c>
      <c r="P730" s="3" t="b">
        <v>1</v>
      </c>
      <c r="Q730" s="3" t="b">
        <v>0</v>
      </c>
      <c r="R730" s="9" t="b">
        <v>0</v>
      </c>
      <c r="S730" s="10"/>
      <c r="T730" s="10"/>
      <c r="U730" s="10"/>
      <c r="V730" s="10"/>
      <c r="W730" s="10"/>
      <c r="X730" s="10"/>
      <c r="Y730" s="10"/>
      <c r="Z730" s="10"/>
      <c r="AA730" s="10"/>
      <c r="AB730" s="10"/>
      <c r="AC730" s="10"/>
      <c r="AD730" s="10"/>
      <c r="AE730" s="10"/>
    </row>
    <row r="731" ht="14.4" spans="1:31">
      <c r="A731" s="3" t="s">
        <v>275</v>
      </c>
      <c r="B731" t="s">
        <v>49</v>
      </c>
      <c r="C731">
        <v>840</v>
      </c>
      <c r="D731">
        <v>110</v>
      </c>
      <c r="E731">
        <v>3000</v>
      </c>
      <c r="F731">
        <v>105</v>
      </c>
      <c r="G731">
        <v>140</v>
      </c>
      <c r="H731">
        <v>4000</v>
      </c>
      <c r="I731">
        <v>800</v>
      </c>
      <c r="M731">
        <v>5.1</v>
      </c>
      <c r="N731" s="3"/>
      <c r="O731" s="3">
        <v>5</v>
      </c>
      <c r="P731" s="3" t="b">
        <v>1</v>
      </c>
      <c r="Q731" s="3" t="b">
        <v>0</v>
      </c>
      <c r="R731" s="9" t="b">
        <v>0</v>
      </c>
      <c r="S731" s="10"/>
      <c r="T731" s="10"/>
      <c r="U731" s="10"/>
      <c r="V731" s="10"/>
      <c r="W731" s="10"/>
      <c r="X731" s="10"/>
      <c r="Y731" s="10"/>
      <c r="Z731" s="10"/>
      <c r="AA731" s="10"/>
      <c r="AB731" s="10"/>
      <c r="AC731" s="10"/>
      <c r="AD731" s="10"/>
      <c r="AE731" s="10"/>
    </row>
    <row r="732" ht="14.4" spans="1:31">
      <c r="A732" s="3" t="s">
        <v>276</v>
      </c>
      <c r="B732" s="3" t="s">
        <v>54</v>
      </c>
      <c r="C732" s="8">
        <v>988</v>
      </c>
      <c r="D732" s="3"/>
      <c r="E732" s="3"/>
      <c r="F732" s="8">
        <v>55</v>
      </c>
      <c r="G732" s="8">
        <v>586</v>
      </c>
      <c r="H732" s="8">
        <v>4820</v>
      </c>
      <c r="I732" s="3"/>
      <c r="J732" s="3"/>
      <c r="K732" s="3"/>
      <c r="L732" s="3"/>
      <c r="M732" s="8">
        <v>1.8</v>
      </c>
      <c r="N732" s="3"/>
      <c r="O732" s="8">
        <v>5</v>
      </c>
      <c r="P732" s="3" t="b">
        <v>1</v>
      </c>
      <c r="Q732" s="3" t="b">
        <v>0</v>
      </c>
      <c r="R732" s="9" t="b">
        <v>0</v>
      </c>
      <c r="S732" s="10"/>
      <c r="T732" s="10"/>
      <c r="U732" s="10"/>
      <c r="V732" s="10"/>
      <c r="W732" s="10"/>
      <c r="X732" s="10"/>
      <c r="Y732" s="10"/>
      <c r="Z732" s="10"/>
      <c r="AA732" s="10"/>
      <c r="AB732" s="10"/>
      <c r="AC732" s="10"/>
      <c r="AD732" s="10"/>
      <c r="AE732" s="10"/>
    </row>
    <row r="733" ht="14.4" spans="1:31">
      <c r="A733" t="s">
        <v>277</v>
      </c>
      <c r="B733" t="s">
        <v>81</v>
      </c>
      <c r="C733" s="25">
        <v>987</v>
      </c>
      <c r="D733" s="3"/>
      <c r="E733" s="3"/>
      <c r="F733" s="8">
        <v>55</v>
      </c>
      <c r="G733" s="8">
        <v>586</v>
      </c>
      <c r="H733" s="25">
        <v>4500</v>
      </c>
      <c r="I733" s="3"/>
      <c r="J733" s="3"/>
      <c r="K733" s="3"/>
      <c r="L733" s="8">
        <v>172</v>
      </c>
      <c r="M733" s="25">
        <v>0.5082</v>
      </c>
      <c r="N733" s="8">
        <v>27.2</v>
      </c>
      <c r="O733" s="8">
        <v>5</v>
      </c>
      <c r="P733" s="3" t="b">
        <v>1</v>
      </c>
      <c r="Q733" s="3" t="b">
        <v>0</v>
      </c>
      <c r="R733" s="9" t="b">
        <v>0</v>
      </c>
      <c r="S733" s="10"/>
      <c r="T733" s="10"/>
      <c r="U733" s="10"/>
      <c r="V733" s="10"/>
      <c r="W733" s="10"/>
      <c r="X733" s="10"/>
      <c r="Y733" s="10"/>
      <c r="Z733" s="10"/>
      <c r="AA733" s="10"/>
      <c r="AB733" s="10"/>
      <c r="AC733" s="10"/>
      <c r="AD733" s="10"/>
      <c r="AE733" s="10"/>
    </row>
    <row r="734" ht="14.4" spans="1:31">
      <c r="A734" t="s">
        <v>278</v>
      </c>
      <c r="B734" t="s">
        <v>49</v>
      </c>
      <c r="C734" s="25">
        <v>1079</v>
      </c>
      <c r="D734" s="3"/>
      <c r="E734" s="3"/>
      <c r="F734" s="8">
        <v>55</v>
      </c>
      <c r="G734" s="8">
        <v>586</v>
      </c>
      <c r="H734" s="25">
        <v>5010</v>
      </c>
      <c r="I734" s="3"/>
      <c r="J734" s="3"/>
      <c r="K734" s="3"/>
      <c r="L734" s="3"/>
      <c r="M734" s="25">
        <v>2</v>
      </c>
      <c r="N734" s="3"/>
      <c r="O734" s="8">
        <v>5</v>
      </c>
      <c r="P734" s="3" t="b">
        <v>1</v>
      </c>
      <c r="Q734" s="3" t="b">
        <v>0</v>
      </c>
      <c r="R734" s="9" t="b">
        <v>0</v>
      </c>
      <c r="S734" s="10"/>
      <c r="T734" s="10"/>
      <c r="U734" s="10"/>
      <c r="V734" s="10"/>
      <c r="W734" s="10"/>
      <c r="X734" s="10"/>
      <c r="Y734" s="10"/>
      <c r="Z734" s="10"/>
      <c r="AA734" s="10"/>
      <c r="AB734" s="10"/>
      <c r="AC734" s="10"/>
      <c r="AD734" s="10"/>
      <c r="AE734" s="10"/>
    </row>
    <row r="735" ht="14.4" spans="1:31">
      <c r="A735" t="s">
        <v>279</v>
      </c>
      <c r="B735" t="s">
        <v>54</v>
      </c>
      <c r="C735" s="25">
        <v>6250</v>
      </c>
      <c r="D735" s="25">
        <v>510</v>
      </c>
      <c r="E735" s="25">
        <v>0</v>
      </c>
      <c r="F735" s="25">
        <v>510</v>
      </c>
      <c r="G735" s="25">
        <v>247</v>
      </c>
      <c r="H735" s="25">
        <v>1440000</v>
      </c>
      <c r="I735" s="25">
        <v>6250</v>
      </c>
      <c r="J735" s="3"/>
      <c r="K735" s="3"/>
      <c r="M735" s="25">
        <v>526.5</v>
      </c>
      <c r="N735" s="3"/>
      <c r="O735" s="8">
        <v>1</v>
      </c>
      <c r="P735" s="3" t="b">
        <v>1</v>
      </c>
      <c r="Q735" s="3" t="b">
        <v>1</v>
      </c>
      <c r="R735" s="9" t="b">
        <v>0</v>
      </c>
      <c r="S735" s="10"/>
      <c r="T735" s="10"/>
      <c r="U735" s="10"/>
      <c r="V735" s="10"/>
      <c r="W735" s="10"/>
      <c r="X735" s="10"/>
      <c r="Y735" s="10"/>
      <c r="Z735" s="10"/>
      <c r="AA735" s="10"/>
      <c r="AB735" s="10"/>
      <c r="AC735" s="10"/>
      <c r="AD735" s="10"/>
      <c r="AE735" s="10"/>
    </row>
    <row r="736" ht="14.4" spans="1:31">
      <c r="A736" t="s">
        <v>280</v>
      </c>
      <c r="B736" t="s">
        <v>81</v>
      </c>
      <c r="C736">
        <v>1200</v>
      </c>
      <c r="D736">
        <v>142</v>
      </c>
      <c r="E736">
        <v>6070</v>
      </c>
      <c r="F736">
        <v>127</v>
      </c>
      <c r="G736">
        <v>217</v>
      </c>
      <c r="H736">
        <v>9900</v>
      </c>
      <c r="I736">
        <v>1100</v>
      </c>
      <c r="L736">
        <v>750</v>
      </c>
      <c r="M736">
        <v>12</v>
      </c>
      <c r="N736" s="3">
        <v>300</v>
      </c>
      <c r="O736" s="3">
        <v>5</v>
      </c>
      <c r="P736" s="3" t="b">
        <v>1</v>
      </c>
      <c r="Q736" s="3" t="b">
        <v>1</v>
      </c>
      <c r="R736" s="9" t="b">
        <v>0</v>
      </c>
      <c r="S736" s="10"/>
      <c r="T736" s="10"/>
      <c r="U736" s="10"/>
      <c r="V736" s="10"/>
      <c r="W736" s="10"/>
      <c r="X736" s="10"/>
      <c r="Y736" s="10"/>
      <c r="Z736" s="10"/>
      <c r="AA736" s="10"/>
      <c r="AB736" s="10"/>
      <c r="AC736" s="10"/>
      <c r="AD736" s="10"/>
      <c r="AE736" s="10"/>
    </row>
    <row r="737" ht="14.4" spans="1:31">
      <c r="A737" s="3" t="s">
        <v>281</v>
      </c>
      <c r="B737" t="s">
        <v>54</v>
      </c>
      <c r="C737" s="25">
        <v>1100</v>
      </c>
      <c r="D737" s="25">
        <v>130</v>
      </c>
      <c r="E737" s="25">
        <v>0</v>
      </c>
      <c r="F737" s="25">
        <v>130</v>
      </c>
      <c r="G737" s="25">
        <v>437</v>
      </c>
      <c r="H737" s="25">
        <v>33000</v>
      </c>
      <c r="I737" s="3"/>
      <c r="J737" s="3"/>
      <c r="K737" s="3"/>
      <c r="M737" s="25">
        <v>3</v>
      </c>
      <c r="N737" s="3"/>
      <c r="O737" s="8">
        <v>5</v>
      </c>
      <c r="P737" s="3" t="b">
        <v>1</v>
      </c>
      <c r="Q737" s="3" t="b">
        <v>0</v>
      </c>
      <c r="R737" s="9" t="b">
        <v>0</v>
      </c>
      <c r="S737" s="10"/>
      <c r="T737" s="10"/>
      <c r="U737" s="10"/>
      <c r="V737" s="10"/>
      <c r="W737" s="10"/>
      <c r="X737" s="10"/>
      <c r="Y737" s="10"/>
      <c r="Z737" s="10"/>
      <c r="AA737" s="10"/>
      <c r="AB737" s="10"/>
      <c r="AC737" s="10"/>
      <c r="AD737" s="10"/>
      <c r="AE737" s="10"/>
    </row>
    <row r="738" ht="14.4" spans="1:31">
      <c r="A738" t="s">
        <v>282</v>
      </c>
      <c r="B738" t="s">
        <v>54</v>
      </c>
      <c r="C738">
        <v>1450</v>
      </c>
      <c r="D738">
        <v>132</v>
      </c>
      <c r="E738">
        <v>0</v>
      </c>
      <c r="F738">
        <v>132</v>
      </c>
      <c r="G738">
        <v>350</v>
      </c>
      <c r="H738">
        <v>43000</v>
      </c>
      <c r="M738">
        <v>4.8</v>
      </c>
      <c r="N738" s="3"/>
      <c r="O738" s="3">
        <v>4</v>
      </c>
      <c r="P738" s="3" t="b">
        <v>1</v>
      </c>
      <c r="Q738" s="3" t="b">
        <v>0</v>
      </c>
      <c r="R738" s="9" t="b">
        <v>0</v>
      </c>
      <c r="S738" s="10"/>
      <c r="T738" s="10"/>
      <c r="U738" s="10"/>
      <c r="V738" s="10"/>
      <c r="W738" s="10"/>
      <c r="X738" s="10"/>
      <c r="Y738" s="10"/>
      <c r="Z738" s="10"/>
      <c r="AA738" s="10"/>
      <c r="AB738" s="10"/>
      <c r="AC738" s="10"/>
      <c r="AD738" s="10"/>
      <c r="AE738" s="10"/>
    </row>
    <row r="739" ht="14.4" spans="1:31">
      <c r="A739" t="s">
        <v>283</v>
      </c>
      <c r="B739" t="s">
        <v>81</v>
      </c>
      <c r="C739">
        <v>1016</v>
      </c>
      <c r="D739">
        <v>165</v>
      </c>
      <c r="E739">
        <v>4000</v>
      </c>
      <c r="F739">
        <v>150</v>
      </c>
      <c r="G739">
        <v>200</v>
      </c>
      <c r="H739">
        <v>8500</v>
      </c>
      <c r="I739">
        <v>750</v>
      </c>
      <c r="L739">
        <v>600</v>
      </c>
      <c r="M739">
        <v>8</v>
      </c>
      <c r="N739" s="3">
        <v>150</v>
      </c>
      <c r="O739" s="3">
        <v>5</v>
      </c>
      <c r="P739" s="3" t="b">
        <v>1</v>
      </c>
      <c r="Q739" s="3" t="b">
        <v>1</v>
      </c>
      <c r="R739" s="9" t="b">
        <v>0</v>
      </c>
      <c r="S739" s="10"/>
      <c r="T739" s="10"/>
      <c r="U739" s="10"/>
      <c r="V739" s="10"/>
      <c r="W739" s="10"/>
      <c r="X739" s="10"/>
      <c r="Y739" s="10"/>
      <c r="Z739" s="10"/>
      <c r="AA739" s="10"/>
      <c r="AB739" s="10"/>
      <c r="AC739" s="10"/>
      <c r="AD739" s="10"/>
      <c r="AE739" s="10"/>
    </row>
    <row r="740" ht="14.4" spans="1:31">
      <c r="A740" t="s">
        <v>284</v>
      </c>
      <c r="B740" t="s">
        <v>81</v>
      </c>
      <c r="C740">
        <v>1000</v>
      </c>
      <c r="D740">
        <v>102</v>
      </c>
      <c r="E740">
        <v>6400</v>
      </c>
      <c r="F740">
        <v>90</v>
      </c>
      <c r="G740">
        <v>250</v>
      </c>
      <c r="H740">
        <v>2500</v>
      </c>
      <c r="I740">
        <v>350</v>
      </c>
      <c r="L740">
        <v>500</v>
      </c>
      <c r="M740">
        <v>0.75</v>
      </c>
      <c r="N740" s="3">
        <v>100</v>
      </c>
      <c r="O740" s="3">
        <v>5</v>
      </c>
      <c r="P740" s="3" t="b">
        <v>1</v>
      </c>
      <c r="Q740" s="3" t="b">
        <v>0</v>
      </c>
      <c r="R740" s="9" t="b">
        <v>0</v>
      </c>
      <c r="S740" s="10"/>
      <c r="T740" s="10"/>
      <c r="U740" s="10"/>
      <c r="V740" s="10"/>
      <c r="W740" s="10"/>
      <c r="X740" s="10"/>
      <c r="Y740" s="10"/>
      <c r="Z740" s="10"/>
      <c r="AA740" s="10"/>
      <c r="AB740" s="10"/>
      <c r="AC740" s="10"/>
      <c r="AD740" s="10"/>
      <c r="AE740" s="10"/>
    </row>
    <row r="741" ht="14.4" spans="1:31">
      <c r="A741" t="s">
        <v>285</v>
      </c>
      <c r="B741" t="s">
        <v>81</v>
      </c>
      <c r="C741">
        <v>635</v>
      </c>
      <c r="E741">
        <v>500</v>
      </c>
      <c r="F741">
        <v>88</v>
      </c>
      <c r="G741">
        <v>110</v>
      </c>
      <c r="H741">
        <v>2200</v>
      </c>
      <c r="I741">
        <v>435</v>
      </c>
      <c r="L741">
        <v>220</v>
      </c>
      <c r="M741">
        <v>0.91</v>
      </c>
      <c r="N741" s="3">
        <v>60</v>
      </c>
      <c r="O741" s="3">
        <v>5</v>
      </c>
      <c r="P741" s="3" t="b">
        <v>1</v>
      </c>
      <c r="Q741" s="3" t="b">
        <v>0</v>
      </c>
      <c r="R741" s="9" t="b">
        <v>0</v>
      </c>
      <c r="S741" s="10"/>
      <c r="T741" s="10"/>
      <c r="U741" s="10"/>
      <c r="V741" s="10"/>
      <c r="W741" s="10"/>
      <c r="X741" s="10"/>
      <c r="Y741" s="10"/>
      <c r="Z741" s="10"/>
      <c r="AA741" s="10"/>
      <c r="AB741" s="10"/>
      <c r="AC741" s="10"/>
      <c r="AD741" s="10"/>
      <c r="AE741" s="10"/>
    </row>
    <row r="742" ht="14.4" spans="1:31">
      <c r="A742" t="s">
        <v>286</v>
      </c>
      <c r="B742" t="s">
        <v>81</v>
      </c>
      <c r="C742">
        <v>1020</v>
      </c>
      <c r="D742">
        <v>92</v>
      </c>
      <c r="E742">
        <v>5700</v>
      </c>
      <c r="F742">
        <v>84</v>
      </c>
      <c r="G742">
        <v>250</v>
      </c>
      <c r="H742">
        <v>1800</v>
      </c>
      <c r="I742">
        <v>455</v>
      </c>
      <c r="L742">
        <v>420</v>
      </c>
      <c r="M742">
        <v>0.704</v>
      </c>
      <c r="N742" s="3">
        <v>100</v>
      </c>
      <c r="O742" s="3">
        <v>5</v>
      </c>
      <c r="P742" s="3" t="b">
        <v>1</v>
      </c>
      <c r="Q742" s="3" t="b">
        <v>0</v>
      </c>
      <c r="R742" s="9" t="b">
        <v>0</v>
      </c>
      <c r="S742" s="10"/>
      <c r="T742" s="10"/>
      <c r="U742" s="10"/>
      <c r="V742" s="10"/>
      <c r="W742" s="10"/>
      <c r="X742" s="10"/>
      <c r="Y742" s="10"/>
      <c r="Z742" s="10"/>
      <c r="AA742" s="10"/>
      <c r="AB742" s="10"/>
      <c r="AC742" s="10"/>
      <c r="AD742" s="10"/>
      <c r="AE742" s="10"/>
    </row>
    <row r="743" ht="14.4" spans="1:31">
      <c r="A743" t="s">
        <v>287</v>
      </c>
      <c r="B743" t="s">
        <v>81</v>
      </c>
      <c r="C743" s="25">
        <v>545</v>
      </c>
      <c r="D743" s="25">
        <v>90</v>
      </c>
      <c r="E743" s="25">
        <v>800</v>
      </c>
      <c r="F743" s="25">
        <v>84</v>
      </c>
      <c r="G743" s="25">
        <v>254</v>
      </c>
      <c r="H743" s="25">
        <v>2700</v>
      </c>
      <c r="I743" s="25">
        <v>344</v>
      </c>
      <c r="J743" s="3"/>
      <c r="K743" s="3"/>
      <c r="L743" s="25">
        <v>400</v>
      </c>
      <c r="M743" s="25">
        <v>0.7424</v>
      </c>
      <c r="N743" s="8">
        <v>100</v>
      </c>
      <c r="O743" s="8">
        <v>5</v>
      </c>
      <c r="P743" s="3" t="b">
        <v>1</v>
      </c>
      <c r="Q743" s="3" t="b">
        <v>0</v>
      </c>
      <c r="R743" s="9" t="b">
        <v>0</v>
      </c>
      <c r="S743" s="10"/>
      <c r="T743" s="10"/>
      <c r="U743" s="10"/>
      <c r="V743" s="10"/>
      <c r="W743" s="10"/>
      <c r="X743" s="10"/>
      <c r="Y743" s="10"/>
      <c r="Z743" s="10"/>
      <c r="AA743" s="10"/>
      <c r="AB743" s="10"/>
      <c r="AC743" s="10"/>
      <c r="AD743" s="10"/>
      <c r="AE743" s="10"/>
    </row>
    <row r="744" ht="14.4" spans="1:31">
      <c r="A744" t="s">
        <v>287</v>
      </c>
      <c r="B744" t="s">
        <v>49</v>
      </c>
      <c r="C744" s="25">
        <v>537</v>
      </c>
      <c r="D744" s="25">
        <v>90</v>
      </c>
      <c r="E744" s="25">
        <v>800</v>
      </c>
      <c r="F744" s="25">
        <v>84</v>
      </c>
      <c r="G744" s="25">
        <v>170</v>
      </c>
      <c r="H744" s="25">
        <v>3400</v>
      </c>
      <c r="I744" s="3"/>
      <c r="J744" s="3"/>
      <c r="K744" s="3"/>
      <c r="L744" s="3"/>
      <c r="M744" s="25">
        <v>2</v>
      </c>
      <c r="N744" s="3"/>
      <c r="O744" s="8">
        <v>5</v>
      </c>
      <c r="P744" s="3" t="b">
        <v>1</v>
      </c>
      <c r="Q744" s="3" t="b">
        <v>0</v>
      </c>
      <c r="R744" s="9" t="b">
        <v>0</v>
      </c>
      <c r="S744" s="10"/>
      <c r="T744" s="10"/>
      <c r="U744" s="10"/>
      <c r="V744" s="10"/>
      <c r="W744" s="10"/>
      <c r="X744" s="10"/>
      <c r="Y744" s="10"/>
      <c r="Z744" s="10"/>
      <c r="AA744" s="10"/>
      <c r="AB744" s="10"/>
      <c r="AC744" s="10"/>
      <c r="AD744" s="10"/>
      <c r="AE744" s="10"/>
    </row>
    <row r="745" ht="14.4" spans="1:31">
      <c r="A745" t="s">
        <v>287</v>
      </c>
      <c r="B745" t="s">
        <v>54</v>
      </c>
      <c r="C745" s="25">
        <v>380</v>
      </c>
      <c r="D745" s="25">
        <v>90</v>
      </c>
      <c r="E745" s="25">
        <v>800</v>
      </c>
      <c r="F745" s="25">
        <v>84</v>
      </c>
      <c r="G745" s="25">
        <v>185</v>
      </c>
      <c r="H745" s="25">
        <v>3500</v>
      </c>
      <c r="I745" s="3"/>
      <c r="J745" s="3"/>
      <c r="K745" s="3"/>
      <c r="L745" s="3"/>
      <c r="M745" s="25">
        <v>1.26</v>
      </c>
      <c r="N745" s="3"/>
      <c r="O745" s="8">
        <v>5</v>
      </c>
      <c r="P745" s="3" t="b">
        <v>1</v>
      </c>
      <c r="Q745" s="3" t="b">
        <v>0</v>
      </c>
      <c r="R745" s="9" t="b">
        <v>0</v>
      </c>
      <c r="S745" s="10"/>
      <c r="T745" s="10"/>
      <c r="U745" s="10"/>
      <c r="V745" s="10"/>
      <c r="W745" s="10"/>
      <c r="X745" s="10"/>
      <c r="Y745" s="10"/>
      <c r="Z745" s="10"/>
      <c r="AA745" s="10"/>
      <c r="AB745" s="10"/>
      <c r="AC745" s="10"/>
      <c r="AD745" s="10"/>
      <c r="AE745" s="10"/>
    </row>
    <row r="746" ht="14.4" spans="1:31">
      <c r="A746" t="s">
        <v>288</v>
      </c>
      <c r="B746" t="s">
        <v>54</v>
      </c>
      <c r="C746" s="25">
        <v>380</v>
      </c>
      <c r="D746" s="25">
        <v>90</v>
      </c>
      <c r="E746" s="25">
        <v>800</v>
      </c>
      <c r="F746" s="25">
        <v>84</v>
      </c>
      <c r="G746" s="25">
        <v>185</v>
      </c>
      <c r="H746" s="25">
        <v>3500</v>
      </c>
      <c r="I746" s="3"/>
      <c r="J746" s="3"/>
      <c r="K746" s="3"/>
      <c r="L746" s="3"/>
      <c r="M746" s="25">
        <v>1.26</v>
      </c>
      <c r="N746" s="3"/>
      <c r="O746" s="8">
        <v>5</v>
      </c>
      <c r="P746" s="3" t="b">
        <v>1</v>
      </c>
      <c r="Q746" s="3" t="b">
        <v>0</v>
      </c>
      <c r="R746" s="9" t="b">
        <v>0</v>
      </c>
      <c r="S746" s="10"/>
      <c r="T746" s="10"/>
      <c r="U746" s="10"/>
      <c r="V746" s="10"/>
      <c r="W746" s="10"/>
      <c r="X746" s="10"/>
      <c r="Y746" s="10"/>
      <c r="Z746" s="10"/>
      <c r="AA746" s="10"/>
      <c r="AB746" s="10"/>
      <c r="AC746" s="10"/>
      <c r="AD746" s="10"/>
      <c r="AE746" s="10"/>
    </row>
    <row r="747" ht="14.4" spans="1:31">
      <c r="A747" t="s">
        <v>287</v>
      </c>
      <c r="B747" t="s">
        <v>72</v>
      </c>
      <c r="C747" s="25">
        <v>437</v>
      </c>
      <c r="D747" s="25">
        <v>90</v>
      </c>
      <c r="E747" s="25">
        <v>1010</v>
      </c>
      <c r="F747" s="25">
        <v>84</v>
      </c>
      <c r="G747" s="25">
        <v>225</v>
      </c>
      <c r="H747" s="25">
        <v>2290</v>
      </c>
      <c r="I747" s="3"/>
      <c r="J747" s="3"/>
      <c r="K747" s="3"/>
      <c r="L747" s="8">
        <v>150</v>
      </c>
      <c r="M747" s="25">
        <v>0.7552</v>
      </c>
      <c r="N747" s="3">
        <v>128</v>
      </c>
      <c r="O747" s="8">
        <v>5</v>
      </c>
      <c r="P747" s="3" t="b">
        <v>1</v>
      </c>
      <c r="Q747" s="3" t="b">
        <v>0</v>
      </c>
      <c r="R747" s="9" t="b">
        <v>0</v>
      </c>
      <c r="S747" s="10"/>
      <c r="T747" s="10"/>
      <c r="U747" s="10"/>
      <c r="V747" s="10"/>
      <c r="W747" s="10"/>
      <c r="X747" s="10"/>
      <c r="Y747" s="10"/>
      <c r="Z747" s="10"/>
      <c r="AA747" s="10"/>
      <c r="AB747" s="10"/>
      <c r="AC747" s="10"/>
      <c r="AD747" s="10"/>
      <c r="AE747" s="10"/>
    </row>
    <row r="748" ht="14.4" spans="1:31">
      <c r="A748" t="s">
        <v>287</v>
      </c>
      <c r="B748" t="s">
        <v>68</v>
      </c>
      <c r="C748" s="25">
        <v>376</v>
      </c>
      <c r="D748" s="25">
        <v>90</v>
      </c>
      <c r="E748" s="25">
        <v>900</v>
      </c>
      <c r="F748" s="25">
        <v>84</v>
      </c>
      <c r="G748" s="25">
        <v>240</v>
      </c>
      <c r="H748" s="25">
        <v>2300</v>
      </c>
      <c r="I748" s="3"/>
      <c r="J748" s="3"/>
      <c r="K748" s="3"/>
      <c r="L748" s="3"/>
      <c r="M748" s="25">
        <v>0.7552</v>
      </c>
      <c r="N748" s="3"/>
      <c r="O748" s="8">
        <v>5</v>
      </c>
      <c r="P748" s="3" t="b">
        <v>1</v>
      </c>
      <c r="Q748" s="3" t="b">
        <v>0</v>
      </c>
      <c r="R748" s="9" t="b">
        <v>0</v>
      </c>
      <c r="S748" s="10"/>
      <c r="T748" s="10"/>
      <c r="U748" s="10"/>
      <c r="V748" s="10"/>
      <c r="W748" s="10"/>
      <c r="X748" s="10"/>
      <c r="Y748" s="10"/>
      <c r="Z748" s="10"/>
      <c r="AA748" s="10"/>
      <c r="AB748" s="10"/>
      <c r="AC748" s="10"/>
      <c r="AD748" s="10"/>
      <c r="AE748" s="10"/>
    </row>
    <row r="749" ht="14.4" spans="1:31">
      <c r="A749" t="s">
        <v>287</v>
      </c>
      <c r="B749" t="s">
        <v>198</v>
      </c>
      <c r="C749" s="25">
        <v>383</v>
      </c>
      <c r="D749" s="25">
        <v>90</v>
      </c>
      <c r="E749" s="25">
        <v>900</v>
      </c>
      <c r="F749" s="25">
        <v>84</v>
      </c>
      <c r="G749" s="25">
        <v>300</v>
      </c>
      <c r="H749" s="25">
        <v>20</v>
      </c>
      <c r="I749" s="3"/>
      <c r="J749" s="8">
        <v>50</v>
      </c>
      <c r="K749" s="3"/>
      <c r="L749" s="8">
        <v>5</v>
      </c>
      <c r="M749" s="3"/>
      <c r="N749" s="3"/>
      <c r="O749" s="8">
        <v>5</v>
      </c>
      <c r="P749" s="3" t="b">
        <v>1</v>
      </c>
      <c r="Q749" s="3" t="b">
        <v>0</v>
      </c>
      <c r="R749" s="9" t="b">
        <v>0</v>
      </c>
      <c r="S749" s="10"/>
      <c r="T749" s="10"/>
      <c r="U749" s="10"/>
      <c r="V749" s="10"/>
      <c r="W749" s="10"/>
      <c r="X749" s="10"/>
      <c r="Y749" s="10"/>
      <c r="Z749" s="10"/>
      <c r="AA749" s="10"/>
      <c r="AB749" s="10"/>
      <c r="AC749" s="10"/>
      <c r="AD749" s="10"/>
      <c r="AE749" s="10"/>
    </row>
    <row r="750" ht="14.4" spans="1:31">
      <c r="A750" t="s">
        <v>287</v>
      </c>
      <c r="B750" t="s">
        <v>57</v>
      </c>
      <c r="C750" s="25">
        <v>400</v>
      </c>
      <c r="D750" s="25">
        <v>90</v>
      </c>
      <c r="E750" s="25">
        <v>820</v>
      </c>
      <c r="F750" s="25">
        <v>84</v>
      </c>
      <c r="G750" s="25">
        <v>260</v>
      </c>
      <c r="H750" s="25">
        <v>2200</v>
      </c>
      <c r="I750" s="3"/>
      <c r="J750" s="3"/>
      <c r="K750" s="3"/>
      <c r="L750" s="3"/>
      <c r="M750" s="25">
        <v>1.26</v>
      </c>
      <c r="N750" s="3"/>
      <c r="O750" s="8">
        <v>5</v>
      </c>
      <c r="P750" s="3" t="b">
        <v>1</v>
      </c>
      <c r="Q750" s="3" t="b">
        <v>0</v>
      </c>
      <c r="R750" s="9" t="b">
        <v>0</v>
      </c>
      <c r="S750" s="10"/>
      <c r="T750" s="10"/>
      <c r="U750" s="10"/>
      <c r="V750" s="10"/>
      <c r="W750" s="10"/>
      <c r="X750" s="10"/>
      <c r="Y750" s="10"/>
      <c r="Z750" s="10"/>
      <c r="AA750" s="10"/>
      <c r="AB750" s="10"/>
      <c r="AC750" s="10"/>
      <c r="AD750" s="10"/>
      <c r="AE750" s="10"/>
    </row>
    <row r="751" ht="14.4" spans="1:31">
      <c r="A751" t="s">
        <v>287</v>
      </c>
      <c r="B751" t="s">
        <v>55</v>
      </c>
      <c r="C751" s="25">
        <v>380</v>
      </c>
      <c r="D751" s="25">
        <v>90</v>
      </c>
      <c r="E751" s="25">
        <v>800</v>
      </c>
      <c r="F751" s="25">
        <v>84</v>
      </c>
      <c r="G751" s="25">
        <v>240</v>
      </c>
      <c r="H751" s="25">
        <v>2300</v>
      </c>
      <c r="I751" s="3"/>
      <c r="J751" s="3"/>
      <c r="K751" s="3"/>
      <c r="L751" s="3"/>
      <c r="M751" s="25">
        <v>1.26</v>
      </c>
      <c r="N751" s="3"/>
      <c r="O751" s="8">
        <v>5</v>
      </c>
      <c r="P751" s="3" t="b">
        <v>1</v>
      </c>
      <c r="Q751" s="3" t="b">
        <v>0</v>
      </c>
      <c r="R751" s="9" t="b">
        <v>0</v>
      </c>
      <c r="S751" s="10"/>
      <c r="T751" s="10"/>
      <c r="U751" s="10"/>
      <c r="V751" s="10"/>
      <c r="W751" s="10"/>
      <c r="X751" s="10"/>
      <c r="Y751" s="10"/>
      <c r="Z751" s="10"/>
      <c r="AA751" s="10"/>
      <c r="AB751" s="10"/>
      <c r="AC751" s="10"/>
      <c r="AD751" s="10"/>
      <c r="AE751" s="10"/>
    </row>
    <row r="752" ht="14.4" spans="1:31">
      <c r="A752" t="s">
        <v>287</v>
      </c>
      <c r="B752" t="s">
        <v>69</v>
      </c>
      <c r="C752" s="25">
        <v>437</v>
      </c>
      <c r="D752" s="25">
        <v>90</v>
      </c>
      <c r="E752" s="25">
        <v>1010</v>
      </c>
      <c r="F752" s="25">
        <v>84</v>
      </c>
      <c r="G752" s="25">
        <v>240</v>
      </c>
      <c r="H752" s="25">
        <v>2290</v>
      </c>
      <c r="I752" s="3"/>
      <c r="J752" s="3"/>
      <c r="K752" s="3"/>
      <c r="L752" s="3"/>
      <c r="M752" s="25">
        <v>0.8</v>
      </c>
      <c r="N752" s="3"/>
      <c r="O752" s="8">
        <v>5</v>
      </c>
      <c r="P752" s="3" t="b">
        <v>1</v>
      </c>
      <c r="Q752" s="3" t="b">
        <v>0</v>
      </c>
      <c r="R752" s="9" t="b">
        <v>0</v>
      </c>
      <c r="S752" s="10"/>
      <c r="T752" s="10"/>
      <c r="U752" s="10"/>
      <c r="V752" s="10"/>
      <c r="W752" s="10"/>
      <c r="X752" s="10"/>
      <c r="Y752" s="10"/>
      <c r="Z752" s="10"/>
      <c r="AA752" s="10"/>
      <c r="AB752" s="10"/>
      <c r="AC752" s="10"/>
      <c r="AD752" s="10"/>
      <c r="AE752" s="10"/>
    </row>
    <row r="753" ht="14.4" spans="1:31">
      <c r="A753" t="s">
        <v>289</v>
      </c>
      <c r="B753" t="s">
        <v>81</v>
      </c>
      <c r="C753" s="3">
        <v>842</v>
      </c>
      <c r="D753">
        <v>95</v>
      </c>
      <c r="E753">
        <v>1800</v>
      </c>
      <c r="F753">
        <v>83</v>
      </c>
      <c r="G753">
        <v>220</v>
      </c>
      <c r="H753">
        <v>4500</v>
      </c>
      <c r="I753">
        <v>561</v>
      </c>
      <c r="L753">
        <v>600</v>
      </c>
      <c r="M753">
        <v>1</v>
      </c>
      <c r="N753" s="3">
        <v>100</v>
      </c>
      <c r="O753" s="3">
        <v>5</v>
      </c>
      <c r="P753" s="3" t="b">
        <v>1</v>
      </c>
      <c r="Q753" s="3" t="b">
        <v>0</v>
      </c>
      <c r="R753" s="9" t="b">
        <v>0</v>
      </c>
      <c r="S753" s="10"/>
      <c r="T753" s="10"/>
      <c r="U753" s="10"/>
      <c r="V753" s="10"/>
      <c r="W753" s="10"/>
      <c r="X753" s="10"/>
      <c r="Y753" s="10"/>
      <c r="Z753" s="10"/>
      <c r="AA753" s="10"/>
      <c r="AB753" s="10"/>
      <c r="AC753" s="10"/>
      <c r="AD753" s="10"/>
      <c r="AE753" s="10"/>
    </row>
    <row r="754" ht="14.4" spans="1:31">
      <c r="A754" t="s">
        <v>289</v>
      </c>
      <c r="B754" t="s">
        <v>54</v>
      </c>
      <c r="C754">
        <v>746</v>
      </c>
      <c r="D754">
        <v>95</v>
      </c>
      <c r="E754">
        <v>1700</v>
      </c>
      <c r="F754">
        <v>83</v>
      </c>
      <c r="G754">
        <v>220</v>
      </c>
      <c r="H754">
        <v>4200</v>
      </c>
      <c r="I754">
        <v>640</v>
      </c>
      <c r="L754">
        <v>200</v>
      </c>
      <c r="M754">
        <v>1.3</v>
      </c>
      <c r="N754" s="3"/>
      <c r="O754" s="3">
        <v>5</v>
      </c>
      <c r="P754" s="3" t="b">
        <v>1</v>
      </c>
      <c r="Q754" s="3" t="b">
        <v>0</v>
      </c>
      <c r="R754" s="9" t="b">
        <v>0</v>
      </c>
      <c r="S754" s="10"/>
      <c r="T754" s="10"/>
      <c r="U754" s="10"/>
      <c r="V754" s="10"/>
      <c r="W754" s="10"/>
      <c r="X754" s="10"/>
      <c r="Y754" s="10"/>
      <c r="Z754" s="10"/>
      <c r="AA754" s="10"/>
      <c r="AB754" s="10"/>
      <c r="AC754" s="10"/>
      <c r="AD754" s="10"/>
      <c r="AE754" s="10"/>
    </row>
    <row r="755" ht="14.4" spans="1:31">
      <c r="A755" t="s">
        <v>289</v>
      </c>
      <c r="B755" t="s">
        <v>49</v>
      </c>
      <c r="C755">
        <v>812</v>
      </c>
      <c r="D755">
        <v>95</v>
      </c>
      <c r="E755">
        <v>1560</v>
      </c>
      <c r="F755">
        <v>83</v>
      </c>
      <c r="G755">
        <v>220</v>
      </c>
      <c r="H755">
        <v>4200</v>
      </c>
      <c r="I755">
        <v>640</v>
      </c>
      <c r="M755">
        <v>4.5</v>
      </c>
      <c r="N755" s="3"/>
      <c r="O755" s="3">
        <v>5</v>
      </c>
      <c r="P755" s="3" t="b">
        <v>1</v>
      </c>
      <c r="Q755" s="3" t="b">
        <v>0</v>
      </c>
      <c r="R755" s="9" t="b">
        <v>0</v>
      </c>
      <c r="S755" s="10"/>
      <c r="T755" s="10"/>
      <c r="U755" s="10"/>
      <c r="V755" s="10"/>
      <c r="W755" s="10"/>
      <c r="X755" s="10"/>
      <c r="Y755" s="10"/>
      <c r="Z755" s="10"/>
      <c r="AA755" s="10"/>
      <c r="AB755" s="10"/>
      <c r="AC755" s="10"/>
      <c r="AD755" s="10"/>
      <c r="AE755" s="10"/>
    </row>
    <row r="756" ht="14.4" spans="1:31">
      <c r="A756" s="3" t="s">
        <v>290</v>
      </c>
      <c r="B756" t="s">
        <v>81</v>
      </c>
      <c r="C756" s="25">
        <v>1870</v>
      </c>
      <c r="D756" s="25">
        <v>70</v>
      </c>
      <c r="E756" s="25">
        <v>0</v>
      </c>
      <c r="F756" s="25">
        <v>70</v>
      </c>
      <c r="G756" s="25">
        <v>1000</v>
      </c>
      <c r="H756" s="25">
        <v>15000</v>
      </c>
      <c r="I756" s="3"/>
      <c r="J756" s="3"/>
      <c r="K756" s="3"/>
      <c r="L756" s="25">
        <v>300</v>
      </c>
      <c r="M756" s="25">
        <f>0.91*1.33</f>
        <v>1.2103</v>
      </c>
      <c r="N756" s="8">
        <v>100</v>
      </c>
      <c r="O756" s="8">
        <v>5</v>
      </c>
      <c r="P756" s="3" t="b">
        <v>1</v>
      </c>
      <c r="Q756" s="3" t="b">
        <v>1</v>
      </c>
      <c r="R756" s="9" t="b">
        <v>0</v>
      </c>
      <c r="S756" s="10"/>
      <c r="T756" s="10"/>
      <c r="U756" s="10"/>
      <c r="V756" s="10"/>
      <c r="W756" s="10"/>
      <c r="X756" s="10"/>
      <c r="Y756" s="10"/>
      <c r="Z756" s="10"/>
      <c r="AA756" s="10"/>
      <c r="AB756" s="10"/>
      <c r="AC756" s="10"/>
      <c r="AD756" s="10"/>
      <c r="AE756" s="10"/>
    </row>
    <row r="757" ht="14.4" spans="1:31">
      <c r="A757" t="s">
        <v>291</v>
      </c>
      <c r="B757" t="s">
        <v>54</v>
      </c>
      <c r="C757">
        <v>160</v>
      </c>
      <c r="D757">
        <v>20</v>
      </c>
      <c r="E757">
        <v>30</v>
      </c>
      <c r="F757">
        <v>20</v>
      </c>
      <c r="G757">
        <v>350</v>
      </c>
      <c r="H757">
        <v>90</v>
      </c>
      <c r="I757">
        <v>138</v>
      </c>
      <c r="M757">
        <v>0.0285</v>
      </c>
      <c r="N757" s="3"/>
      <c r="O757" s="3">
        <v>10</v>
      </c>
      <c r="P757" s="3" t="b">
        <v>1</v>
      </c>
      <c r="Q757" s="3" t="b">
        <v>0</v>
      </c>
      <c r="R757" s="9" t="b">
        <v>0</v>
      </c>
      <c r="S757" s="10"/>
      <c r="T757" s="10"/>
      <c r="U757" s="10"/>
      <c r="V757" s="10"/>
      <c r="W757" s="10"/>
      <c r="X757" s="10"/>
      <c r="Y757" s="10"/>
      <c r="Z757" s="10"/>
      <c r="AA757" s="10"/>
      <c r="AB757" s="10"/>
      <c r="AC757" s="10"/>
      <c r="AD757" s="10"/>
      <c r="AE757" s="10"/>
    </row>
    <row r="758" ht="14.4" spans="1:31">
      <c r="A758" s="3" t="s">
        <v>292</v>
      </c>
      <c r="B758" t="s">
        <v>81</v>
      </c>
      <c r="C758" s="25">
        <v>714</v>
      </c>
      <c r="D758" s="25">
        <v>90</v>
      </c>
      <c r="E758" s="25">
        <v>1134</v>
      </c>
      <c r="F758" s="25">
        <v>90</v>
      </c>
      <c r="G758" s="25">
        <v>214</v>
      </c>
      <c r="H758" s="25">
        <v>3062</v>
      </c>
      <c r="I758" s="8">
        <v>282</v>
      </c>
      <c r="J758" s="3"/>
      <c r="K758" s="3"/>
      <c r="L758" s="25">
        <v>350</v>
      </c>
      <c r="M758" s="25">
        <v>0.7</v>
      </c>
      <c r="N758" s="8">
        <v>90</v>
      </c>
      <c r="O758" s="8">
        <v>5</v>
      </c>
      <c r="P758" s="3" t="b">
        <v>1</v>
      </c>
      <c r="Q758" s="3" t="b">
        <v>0</v>
      </c>
      <c r="R758" s="9" t="b">
        <v>0</v>
      </c>
      <c r="S758" s="3"/>
      <c r="T758" s="3"/>
      <c r="U758" s="3"/>
      <c r="V758" s="3"/>
      <c r="W758" s="3"/>
      <c r="X758" s="3"/>
      <c r="Y758" s="3"/>
      <c r="Z758" s="3"/>
      <c r="AA758" s="3"/>
      <c r="AB758" s="3"/>
      <c r="AC758" s="3"/>
      <c r="AD758" s="3"/>
      <c r="AE758" s="3"/>
    </row>
    <row r="759" ht="14.4" spans="1:31">
      <c r="A759" s="3" t="s">
        <v>292</v>
      </c>
      <c r="B759" t="s">
        <v>198</v>
      </c>
      <c r="C759" s="25">
        <v>487</v>
      </c>
      <c r="D759" s="25">
        <v>90</v>
      </c>
      <c r="E759" s="25">
        <v>1880</v>
      </c>
      <c r="F759" s="25">
        <v>90</v>
      </c>
      <c r="G759" s="25">
        <v>381</v>
      </c>
      <c r="H759" s="25">
        <v>10</v>
      </c>
      <c r="I759" s="8">
        <v>381</v>
      </c>
      <c r="J759" s="8">
        <v>120</v>
      </c>
      <c r="K759" s="3"/>
      <c r="L759" s="25">
        <v>5</v>
      </c>
      <c r="M759" s="25"/>
      <c r="N759" s="8">
        <v>90</v>
      </c>
      <c r="O759" s="8">
        <v>5</v>
      </c>
      <c r="P759" s="3" t="b">
        <v>1</v>
      </c>
      <c r="Q759" s="3" t="b">
        <v>0</v>
      </c>
      <c r="R759" s="9" t="b">
        <v>0</v>
      </c>
      <c r="S759" s="10"/>
      <c r="T759" s="10"/>
      <c r="U759" s="10"/>
      <c r="V759" s="10"/>
      <c r="W759" s="10"/>
      <c r="X759" s="10"/>
      <c r="Y759" s="10"/>
      <c r="Z759" s="10"/>
      <c r="AA759" s="10"/>
      <c r="AB759" s="10"/>
      <c r="AC759" s="10"/>
      <c r="AD759" s="10"/>
      <c r="AE759" s="10"/>
    </row>
    <row r="760" ht="14.4" spans="1:31">
      <c r="A760" s="14" t="s">
        <v>293</v>
      </c>
      <c r="B760" s="15"/>
      <c r="C760" s="15"/>
      <c r="D760" s="15"/>
      <c r="E760" s="15"/>
      <c r="F760" s="15"/>
      <c r="G760" s="15"/>
      <c r="H760" s="15"/>
      <c r="I760" s="15"/>
      <c r="J760" s="15"/>
      <c r="K760" s="15"/>
      <c r="L760" s="15"/>
      <c r="M760" s="15"/>
      <c r="N760" s="27"/>
      <c r="O760" s="27"/>
      <c r="P760" s="27"/>
      <c r="Q760" s="27"/>
      <c r="R760" s="27"/>
      <c r="S760" s="10"/>
      <c r="T760" s="10"/>
      <c r="U760" s="10"/>
      <c r="V760" s="10"/>
      <c r="W760" s="10"/>
      <c r="X760" s="10"/>
      <c r="Y760" s="10"/>
      <c r="Z760" s="10"/>
      <c r="AA760" s="10"/>
      <c r="AB760" s="10"/>
      <c r="AC760" s="10"/>
      <c r="AD760" s="10"/>
      <c r="AE760" s="10"/>
    </row>
    <row r="761" ht="14.4" spans="1:31">
      <c r="A761" t="s">
        <v>294</v>
      </c>
      <c r="B761" t="s">
        <v>84</v>
      </c>
      <c r="F761">
        <v>4</v>
      </c>
      <c r="G761" s="25">
        <v>600</v>
      </c>
      <c r="H761">
        <v>4</v>
      </c>
      <c r="I761">
        <v>4</v>
      </c>
      <c r="L761">
        <v>2</v>
      </c>
      <c r="N761" s="10"/>
      <c r="O761" s="10"/>
      <c r="P761" t="b">
        <v>0</v>
      </c>
      <c r="Q761" t="b">
        <v>0</v>
      </c>
      <c r="R761" s="9" t="b">
        <v>0</v>
      </c>
      <c r="S761" s="10"/>
      <c r="T761" s="10"/>
      <c r="U761" s="10"/>
      <c r="V761" s="10"/>
      <c r="W761" s="10"/>
      <c r="X761" s="10"/>
      <c r="Y761" s="10"/>
      <c r="Z761" s="10"/>
      <c r="AA761" s="10"/>
      <c r="AB761" s="10"/>
      <c r="AC761" s="10"/>
      <c r="AD761" s="10"/>
      <c r="AE761" s="10"/>
    </row>
    <row r="762" ht="14.4" spans="1:31">
      <c r="A762" t="s">
        <v>295</v>
      </c>
      <c r="B762" t="s">
        <v>84</v>
      </c>
      <c r="C762" s="3"/>
      <c r="D762" s="3"/>
      <c r="E762" s="3"/>
      <c r="F762" s="25">
        <v>7</v>
      </c>
      <c r="G762" s="25">
        <v>650</v>
      </c>
      <c r="H762" s="25">
        <v>15</v>
      </c>
      <c r="I762" s="25">
        <v>7</v>
      </c>
      <c r="J762" s="3"/>
      <c r="K762" s="3"/>
      <c r="L762" s="25">
        <v>3</v>
      </c>
      <c r="M762" s="3"/>
      <c r="N762" s="3"/>
      <c r="O762" s="3"/>
      <c r="P762" t="b">
        <v>0</v>
      </c>
      <c r="Q762" t="b">
        <v>0</v>
      </c>
      <c r="R762" s="9" t="b">
        <v>0</v>
      </c>
      <c r="S762" s="10"/>
      <c r="T762" s="10"/>
      <c r="U762" s="10"/>
      <c r="V762" s="10"/>
      <c r="W762" s="10"/>
      <c r="X762" s="10"/>
      <c r="Y762" s="10"/>
      <c r="Z762" s="10"/>
      <c r="AA762" s="10"/>
      <c r="AB762" s="10"/>
      <c r="AC762" s="10"/>
      <c r="AD762" s="10"/>
      <c r="AE762" s="10"/>
    </row>
    <row r="763" ht="14.4" spans="1:31">
      <c r="A763" t="s">
        <v>296</v>
      </c>
      <c r="B763" t="s">
        <v>84</v>
      </c>
      <c r="F763">
        <v>11</v>
      </c>
      <c r="G763" s="25">
        <v>700</v>
      </c>
      <c r="H763">
        <v>70</v>
      </c>
      <c r="I763">
        <v>11</v>
      </c>
      <c r="L763">
        <v>4.5</v>
      </c>
      <c r="N763" s="10"/>
      <c r="O763" s="10"/>
      <c r="P763" t="b">
        <v>0</v>
      </c>
      <c r="Q763" t="b">
        <v>0</v>
      </c>
      <c r="R763" s="9" t="b">
        <v>0</v>
      </c>
      <c r="S763" s="10"/>
      <c r="T763" s="10"/>
      <c r="U763" s="10"/>
      <c r="V763" s="10"/>
      <c r="W763" s="10"/>
      <c r="X763" s="10"/>
      <c r="Y763" s="10"/>
      <c r="Z763" s="10"/>
      <c r="AA763" s="10"/>
      <c r="AB763" s="10"/>
      <c r="AC763" s="10"/>
      <c r="AD763" s="10"/>
      <c r="AE763" s="10"/>
    </row>
    <row r="764" ht="14.4" spans="1:31">
      <c r="A764" t="s">
        <v>297</v>
      </c>
      <c r="B764" t="s">
        <v>81</v>
      </c>
      <c r="F764">
        <v>38</v>
      </c>
      <c r="G764" s="25">
        <v>200</v>
      </c>
      <c r="H764">
        <v>208</v>
      </c>
      <c r="I764">
        <v>81</v>
      </c>
      <c r="L764">
        <v>70</v>
      </c>
      <c r="M764">
        <v>0.048</v>
      </c>
      <c r="N764" s="3">
        <v>1</v>
      </c>
      <c r="O764" s="3"/>
      <c r="P764" t="b">
        <v>0</v>
      </c>
      <c r="Q764" t="b">
        <v>0</v>
      </c>
      <c r="R764" s="9" t="b">
        <v>0</v>
      </c>
      <c r="S764" s="10"/>
      <c r="T764" s="10"/>
      <c r="U764" s="10"/>
      <c r="V764" s="10"/>
      <c r="W764" s="10"/>
      <c r="X764" s="10"/>
      <c r="Y764" s="10"/>
      <c r="Z764" s="10"/>
      <c r="AA764" s="10"/>
      <c r="AB764" s="10"/>
      <c r="AC764" s="10"/>
      <c r="AD764" s="10"/>
      <c r="AE764" s="10"/>
    </row>
    <row r="765" ht="14.4" spans="1:31">
      <c r="A765" t="s">
        <v>298</v>
      </c>
      <c r="B765" t="s">
        <v>241</v>
      </c>
      <c r="C765">
        <v>127</v>
      </c>
      <c r="F765">
        <v>18</v>
      </c>
      <c r="G765" s="25">
        <v>17</v>
      </c>
      <c r="H765">
        <v>130</v>
      </c>
      <c r="I765">
        <v>110</v>
      </c>
      <c r="L765">
        <v>1</v>
      </c>
      <c r="N765" s="10"/>
      <c r="O765" s="3">
        <v>10</v>
      </c>
      <c r="P765" t="b">
        <v>0</v>
      </c>
      <c r="Q765" t="b">
        <v>0</v>
      </c>
      <c r="R765" s="9" t="b">
        <v>0</v>
      </c>
      <c r="S765" s="3"/>
      <c r="T765" s="3"/>
      <c r="U765" s="3"/>
      <c r="V765" s="3"/>
      <c r="W765" s="3"/>
      <c r="X765" s="3"/>
      <c r="Y765" s="3"/>
      <c r="Z765" s="3"/>
      <c r="AA765" s="3"/>
      <c r="AB765" s="3"/>
      <c r="AC765" s="3"/>
      <c r="AD765" s="3"/>
      <c r="AE765" s="3"/>
    </row>
    <row r="766" ht="14.4" spans="1:31">
      <c r="A766" t="s">
        <v>299</v>
      </c>
      <c r="B766" t="s">
        <v>84</v>
      </c>
      <c r="F766">
        <v>9</v>
      </c>
      <c r="G766">
        <v>285</v>
      </c>
      <c r="H766">
        <v>5.2</v>
      </c>
      <c r="I766">
        <v>14</v>
      </c>
      <c r="L766">
        <v>3.85</v>
      </c>
      <c r="N766" s="10"/>
      <c r="O766" s="10"/>
      <c r="P766" t="b">
        <v>0</v>
      </c>
      <c r="Q766" t="b">
        <v>0</v>
      </c>
      <c r="R766" s="9" t="b">
        <v>0</v>
      </c>
      <c r="S766" s="3"/>
      <c r="T766" s="3"/>
      <c r="U766" s="3"/>
      <c r="V766" s="3"/>
      <c r="W766" s="3"/>
      <c r="X766" s="3"/>
      <c r="Y766" s="3"/>
      <c r="Z766" s="3"/>
      <c r="AA766" s="3"/>
      <c r="AB766" s="3"/>
      <c r="AC766" s="3"/>
      <c r="AD766" s="3"/>
      <c r="AE766" s="3"/>
    </row>
    <row r="767" ht="14.4" spans="1:31">
      <c r="A767" t="s">
        <v>300</v>
      </c>
      <c r="B767" t="s">
        <v>84</v>
      </c>
      <c r="F767">
        <v>11</v>
      </c>
      <c r="G767">
        <v>285</v>
      </c>
      <c r="H767">
        <v>10.1</v>
      </c>
      <c r="I767">
        <v>18</v>
      </c>
      <c r="L767" s="3">
        <v>7.5</v>
      </c>
      <c r="P767" t="b">
        <v>0</v>
      </c>
      <c r="Q767" t="b">
        <v>0</v>
      </c>
      <c r="R767" s="9" t="b">
        <v>0</v>
      </c>
      <c r="S767" s="10"/>
      <c r="T767" s="10"/>
      <c r="U767" s="10"/>
      <c r="V767" s="10"/>
      <c r="W767" s="10"/>
      <c r="X767" s="10"/>
      <c r="Y767" s="10"/>
      <c r="Z767" s="10"/>
      <c r="AA767" s="10"/>
      <c r="AB767" s="10"/>
      <c r="AC767" s="10"/>
      <c r="AD767" s="10"/>
      <c r="AE767" s="10"/>
    </row>
    <row r="768" ht="14.4" spans="1:31">
      <c r="A768" t="s">
        <v>301</v>
      </c>
      <c r="B768" t="s">
        <v>84</v>
      </c>
      <c r="F768">
        <v>14</v>
      </c>
      <c r="G768">
        <v>285</v>
      </c>
      <c r="H768">
        <v>19.9</v>
      </c>
      <c r="I768">
        <v>22</v>
      </c>
      <c r="L768">
        <v>14.75</v>
      </c>
      <c r="N768" s="10"/>
      <c r="O768" s="10"/>
      <c r="P768" t="b">
        <v>0</v>
      </c>
      <c r="Q768" t="b">
        <v>0</v>
      </c>
      <c r="R768" s="9" t="b">
        <v>0</v>
      </c>
      <c r="S768" s="10"/>
      <c r="T768" s="10"/>
      <c r="U768" s="10"/>
      <c r="V768" s="10"/>
      <c r="W768" s="10"/>
      <c r="X768" s="10"/>
      <c r="Y768" s="10"/>
      <c r="Z768" s="10"/>
      <c r="AA768" s="10"/>
      <c r="AB768" s="10"/>
      <c r="AC768" s="10"/>
      <c r="AD768" s="10"/>
      <c r="AE768" s="10"/>
    </row>
    <row r="769" ht="14.4" spans="1:31">
      <c r="A769" s="3" t="s">
        <v>302</v>
      </c>
      <c r="B769" t="s">
        <v>84</v>
      </c>
      <c r="C769" s="25">
        <v>73</v>
      </c>
      <c r="D769" s="25">
        <v>2.8</v>
      </c>
      <c r="E769" s="25">
        <v>0</v>
      </c>
      <c r="F769" s="25">
        <v>2.8</v>
      </c>
      <c r="G769" s="25">
        <v>41</v>
      </c>
      <c r="H769" s="25">
        <v>3.2</v>
      </c>
      <c r="I769" s="8">
        <v>73</v>
      </c>
      <c r="J769" s="3"/>
      <c r="K769" s="3"/>
      <c r="L769" s="34">
        <v>0.2</v>
      </c>
      <c r="M769" s="3"/>
      <c r="N769" s="50"/>
      <c r="O769" s="8">
        <v>500</v>
      </c>
      <c r="P769" t="b">
        <v>0</v>
      </c>
      <c r="Q769" t="b">
        <v>0</v>
      </c>
      <c r="R769" s="9" t="b">
        <v>0</v>
      </c>
      <c r="S769" s="10"/>
      <c r="T769" s="10"/>
      <c r="U769" s="10"/>
      <c r="V769" s="10"/>
      <c r="W769" s="10"/>
      <c r="X769" s="10"/>
      <c r="Y769" s="10"/>
      <c r="Z769" s="10"/>
      <c r="AA769" s="10"/>
      <c r="AB769" s="10"/>
      <c r="AC769" s="10"/>
      <c r="AD769" s="10"/>
      <c r="AE769" s="10"/>
    </row>
    <row r="770" ht="14.4" spans="1:31">
      <c r="A770" s="3" t="s">
        <v>303</v>
      </c>
      <c r="B770" t="s">
        <v>84</v>
      </c>
      <c r="C770" s="25">
        <v>73</v>
      </c>
      <c r="D770" s="25">
        <v>2.8</v>
      </c>
      <c r="E770" s="25">
        <v>0</v>
      </c>
      <c r="F770" s="25">
        <v>2.8</v>
      </c>
      <c r="G770" s="25">
        <v>160</v>
      </c>
      <c r="H770" s="25">
        <v>3.2</v>
      </c>
      <c r="I770" s="8">
        <v>73</v>
      </c>
      <c r="J770" s="3"/>
      <c r="K770" s="3"/>
      <c r="L770" s="34">
        <v>3</v>
      </c>
      <c r="M770" s="3"/>
      <c r="N770" s="50"/>
      <c r="O770" s="8">
        <v>500</v>
      </c>
      <c r="P770" t="b">
        <v>0</v>
      </c>
      <c r="Q770" t="b">
        <v>0</v>
      </c>
      <c r="R770" s="9" t="b">
        <v>0</v>
      </c>
      <c r="S770" s="10"/>
      <c r="T770" s="10"/>
      <c r="U770" s="10"/>
      <c r="V770" s="10"/>
      <c r="W770" s="10"/>
      <c r="X770" s="10"/>
      <c r="Y770" s="10"/>
      <c r="Z770" s="10"/>
      <c r="AA770" s="10"/>
      <c r="AB770" s="10"/>
      <c r="AC770" s="10"/>
      <c r="AD770" s="10"/>
      <c r="AE770" s="10"/>
    </row>
    <row r="771" ht="14.4" spans="14:31">
      <c r="N771" s="10"/>
      <c r="O771" s="10"/>
      <c r="P771" t="b">
        <v>0</v>
      </c>
      <c r="Q771" t="b">
        <v>0</v>
      </c>
      <c r="R771" s="9" t="b">
        <v>0</v>
      </c>
      <c r="S771" s="10"/>
      <c r="T771" s="10"/>
      <c r="U771" s="10"/>
      <c r="V771" s="10"/>
      <c r="W771" s="10"/>
      <c r="X771" s="10"/>
      <c r="Y771" s="10"/>
      <c r="Z771" s="10"/>
      <c r="AA771" s="10"/>
      <c r="AB771" s="10"/>
      <c r="AC771" s="10"/>
      <c r="AD771" s="10"/>
      <c r="AE771" s="10"/>
    </row>
    <row r="772" ht="14.4" spans="14:31">
      <c r="N772" s="10"/>
      <c r="O772" s="10"/>
      <c r="P772" t="b">
        <v>0</v>
      </c>
      <c r="Q772" t="b">
        <v>0</v>
      </c>
      <c r="R772" s="9" t="b">
        <v>0</v>
      </c>
      <c r="S772" s="10"/>
      <c r="T772" s="10"/>
      <c r="U772" s="10"/>
      <c r="V772" s="10"/>
      <c r="W772" s="10"/>
      <c r="X772" s="10"/>
      <c r="Y772" s="10"/>
      <c r="Z772" s="10"/>
      <c r="AA772" s="10"/>
      <c r="AB772" s="10"/>
      <c r="AC772" s="10"/>
      <c r="AD772" s="10"/>
      <c r="AE772" s="10"/>
    </row>
    <row r="773" ht="14.4" spans="14:31">
      <c r="N773" s="10"/>
      <c r="O773" s="10"/>
      <c r="P773" t="b">
        <v>0</v>
      </c>
      <c r="Q773" t="b">
        <v>0</v>
      </c>
      <c r="R773" s="9" t="b">
        <v>0</v>
      </c>
      <c r="S773" s="10"/>
      <c r="T773" s="10"/>
      <c r="U773" s="10"/>
      <c r="V773" s="10"/>
      <c r="W773" s="10"/>
      <c r="X773" s="10"/>
      <c r="Y773" s="10"/>
      <c r="Z773" s="10"/>
      <c r="AA773" s="10"/>
      <c r="AB773" s="10"/>
      <c r="AC773" s="10"/>
      <c r="AD773" s="10"/>
      <c r="AE773" s="10"/>
    </row>
    <row r="774" ht="14.4" spans="14:31">
      <c r="N774" s="10"/>
      <c r="O774" s="10"/>
      <c r="P774" t="b">
        <v>0</v>
      </c>
      <c r="Q774" t="b">
        <v>0</v>
      </c>
      <c r="R774" s="9" t="b">
        <v>0</v>
      </c>
      <c r="S774" s="10"/>
      <c r="T774" s="10"/>
      <c r="U774" s="10"/>
      <c r="V774" s="10"/>
      <c r="W774" s="10"/>
      <c r="X774" s="10"/>
      <c r="Y774" s="10"/>
      <c r="Z774" s="10"/>
      <c r="AA774" s="10"/>
      <c r="AB774" s="10"/>
      <c r="AC774" s="10"/>
      <c r="AD774" s="10"/>
      <c r="AE774" s="10"/>
    </row>
    <row r="775" ht="14.4" spans="14:31">
      <c r="N775" s="10"/>
      <c r="O775" s="10"/>
      <c r="P775" t="b">
        <v>0</v>
      </c>
      <c r="Q775" t="b">
        <v>0</v>
      </c>
      <c r="R775" s="9" t="b">
        <v>0</v>
      </c>
      <c r="S775" s="10"/>
      <c r="T775" s="10"/>
      <c r="U775" s="10"/>
      <c r="V775" s="10"/>
      <c r="W775" s="10"/>
      <c r="X775" s="10"/>
      <c r="Y775" s="10"/>
      <c r="Z775" s="10"/>
      <c r="AA775" s="10"/>
      <c r="AB775" s="10"/>
      <c r="AC775" s="10"/>
      <c r="AD775" s="10"/>
      <c r="AE775" s="10"/>
    </row>
    <row r="776" ht="14.4" spans="14:31">
      <c r="N776" s="10"/>
      <c r="O776" s="10"/>
      <c r="P776" t="b">
        <v>0</v>
      </c>
      <c r="Q776" t="b">
        <v>0</v>
      </c>
      <c r="R776" s="9" t="b">
        <v>0</v>
      </c>
      <c r="S776" s="10"/>
      <c r="T776" s="10"/>
      <c r="U776" s="10"/>
      <c r="V776" s="10"/>
      <c r="W776" s="10"/>
      <c r="X776" s="10"/>
      <c r="Y776" s="10"/>
      <c r="Z776" s="10"/>
      <c r="AA776" s="10"/>
      <c r="AB776" s="10"/>
      <c r="AC776" s="10"/>
      <c r="AD776" s="10"/>
      <c r="AE776" s="10"/>
    </row>
    <row r="777" ht="14.4" spans="14:31">
      <c r="N777" s="10"/>
      <c r="O777" s="10"/>
      <c r="P777" t="b">
        <v>0</v>
      </c>
      <c r="Q777" t="b">
        <v>0</v>
      </c>
      <c r="R777" s="9" t="b">
        <v>0</v>
      </c>
      <c r="S777" s="10"/>
      <c r="T777" s="10"/>
      <c r="U777" s="10"/>
      <c r="V777" s="10"/>
      <c r="W777" s="10"/>
      <c r="X777" s="10"/>
      <c r="Y777" s="10"/>
      <c r="Z777" s="10"/>
      <c r="AA777" s="10"/>
      <c r="AB777" s="10"/>
      <c r="AC777" s="10"/>
      <c r="AD777" s="10"/>
      <c r="AE777" s="10"/>
    </row>
    <row r="778" ht="14.4" spans="14:31">
      <c r="N778" s="10"/>
      <c r="O778" s="10"/>
      <c r="P778" t="b">
        <v>0</v>
      </c>
      <c r="Q778" t="b">
        <v>0</v>
      </c>
      <c r="R778" s="9" t="b">
        <v>0</v>
      </c>
      <c r="S778" s="10"/>
      <c r="T778" s="10"/>
      <c r="U778" s="10"/>
      <c r="V778" s="10"/>
      <c r="W778" s="10"/>
      <c r="X778" s="10"/>
      <c r="Y778" s="10"/>
      <c r="Z778" s="10"/>
      <c r="AA778" s="10"/>
      <c r="AB778" s="10"/>
      <c r="AC778" s="10"/>
      <c r="AD778" s="10"/>
      <c r="AE778" s="10"/>
    </row>
    <row r="779" ht="14.4" spans="14:31">
      <c r="N779" s="10"/>
      <c r="O779" s="10"/>
      <c r="P779" t="b">
        <v>0</v>
      </c>
      <c r="Q779" t="b">
        <v>0</v>
      </c>
      <c r="R779" s="9" t="b">
        <v>0</v>
      </c>
      <c r="S779" s="10"/>
      <c r="T779" s="10"/>
      <c r="U779" s="10"/>
      <c r="V779" s="10"/>
      <c r="W779" s="10"/>
      <c r="X779" s="10"/>
      <c r="Y779" s="10"/>
      <c r="Z779" s="10"/>
      <c r="AA779" s="10"/>
      <c r="AB779" s="10"/>
      <c r="AC779" s="10"/>
      <c r="AD779" s="10"/>
      <c r="AE779" s="10"/>
    </row>
    <row r="780" ht="14.4" spans="14:31">
      <c r="N780" s="10"/>
      <c r="O780" s="10"/>
      <c r="P780" t="b">
        <v>0</v>
      </c>
      <c r="Q780" t="b">
        <v>0</v>
      </c>
      <c r="R780" s="9" t="b">
        <v>0</v>
      </c>
      <c r="S780" s="10"/>
      <c r="T780" s="10"/>
      <c r="U780" s="10"/>
      <c r="V780" s="10"/>
      <c r="W780" s="10"/>
      <c r="X780" s="10"/>
      <c r="Y780" s="10"/>
      <c r="Z780" s="10"/>
      <c r="AA780" s="10"/>
      <c r="AB780" s="10"/>
      <c r="AC780" s="10"/>
      <c r="AD780" s="10"/>
      <c r="AE780" s="10"/>
    </row>
    <row r="781" ht="14.4" spans="14:31">
      <c r="N781" s="10"/>
      <c r="O781" s="10"/>
      <c r="P781" t="b">
        <v>0</v>
      </c>
      <c r="Q781" t="b">
        <v>0</v>
      </c>
      <c r="R781" s="9" t="b">
        <v>0</v>
      </c>
      <c r="S781" s="10"/>
      <c r="T781" s="10"/>
      <c r="U781" s="10"/>
      <c r="V781" s="10"/>
      <c r="W781" s="10"/>
      <c r="X781" s="10"/>
      <c r="Y781" s="10"/>
      <c r="Z781" s="10"/>
      <c r="AA781" s="10"/>
      <c r="AB781" s="10"/>
      <c r="AC781" s="10"/>
      <c r="AD781" s="10"/>
      <c r="AE781" s="10"/>
    </row>
    <row r="782" ht="14.4" spans="14:31">
      <c r="N782" s="10"/>
      <c r="O782" s="10"/>
      <c r="P782" t="b">
        <v>0</v>
      </c>
      <c r="Q782" t="b">
        <v>0</v>
      </c>
      <c r="R782" s="9" t="b">
        <v>0</v>
      </c>
      <c r="S782" s="10"/>
      <c r="T782" s="10"/>
      <c r="U782" s="10"/>
      <c r="V782" s="10"/>
      <c r="W782" s="10"/>
      <c r="X782" s="10"/>
      <c r="Y782" s="10"/>
      <c r="Z782" s="10"/>
      <c r="AA782" s="10"/>
      <c r="AB782" s="10"/>
      <c r="AC782" s="10"/>
      <c r="AD782" s="10"/>
      <c r="AE782" s="10"/>
    </row>
    <row r="783" ht="14.4" spans="14:31">
      <c r="N783" s="10"/>
      <c r="O783" s="10"/>
      <c r="P783" t="b">
        <v>0</v>
      </c>
      <c r="Q783" t="b">
        <v>0</v>
      </c>
      <c r="R783" s="9" t="b">
        <v>0</v>
      </c>
      <c r="S783" s="10"/>
      <c r="T783" s="10"/>
      <c r="U783" s="10"/>
      <c r="V783" s="10"/>
      <c r="W783" s="10"/>
      <c r="X783" s="10"/>
      <c r="Y783" s="10"/>
      <c r="Z783" s="10"/>
      <c r="AA783" s="10"/>
      <c r="AB783" s="10"/>
      <c r="AC783" s="10"/>
      <c r="AD783" s="10"/>
      <c r="AE783" s="10"/>
    </row>
    <row r="784" ht="14.4" spans="14:31">
      <c r="N784" s="10"/>
      <c r="O784" s="10"/>
      <c r="P784" t="b">
        <v>0</v>
      </c>
      <c r="Q784" t="b">
        <v>0</v>
      </c>
      <c r="R784" s="9" t="b">
        <v>0</v>
      </c>
      <c r="S784" s="10"/>
      <c r="T784" s="10"/>
      <c r="U784" s="10"/>
      <c r="V784" s="10"/>
      <c r="W784" s="10"/>
      <c r="X784" s="10"/>
      <c r="Y784" s="10"/>
      <c r="Z784" s="10"/>
      <c r="AA784" s="10"/>
      <c r="AB784" s="10"/>
      <c r="AC784" s="10"/>
      <c r="AD784" s="10"/>
      <c r="AE784" s="10"/>
    </row>
    <row r="785" ht="14.4" spans="14:31">
      <c r="N785" s="10"/>
      <c r="O785" s="10"/>
      <c r="P785" t="b">
        <v>0</v>
      </c>
      <c r="Q785" t="b">
        <v>0</v>
      </c>
      <c r="R785" s="9" t="b">
        <v>0</v>
      </c>
      <c r="S785" s="10"/>
      <c r="T785" s="10"/>
      <c r="U785" s="10"/>
      <c r="V785" s="10"/>
      <c r="W785" s="10"/>
      <c r="X785" s="10"/>
      <c r="Y785" s="10"/>
      <c r="Z785" s="10"/>
      <c r="AA785" s="10"/>
      <c r="AB785" s="10"/>
      <c r="AC785" s="10"/>
      <c r="AD785" s="10"/>
      <c r="AE785" s="10"/>
    </row>
    <row r="786" ht="14.4" spans="14:31">
      <c r="N786" s="10"/>
      <c r="O786" s="10"/>
      <c r="P786" t="b">
        <v>0</v>
      </c>
      <c r="Q786" t="b">
        <v>0</v>
      </c>
      <c r="R786" s="9" t="b">
        <v>0</v>
      </c>
      <c r="S786" s="10"/>
      <c r="T786" s="10"/>
      <c r="U786" s="10"/>
      <c r="V786" s="10"/>
      <c r="W786" s="10"/>
      <c r="X786" s="10"/>
      <c r="Y786" s="10"/>
      <c r="Z786" s="10"/>
      <c r="AA786" s="10"/>
      <c r="AB786" s="10"/>
      <c r="AC786" s="10"/>
      <c r="AD786" s="10"/>
      <c r="AE786" s="10"/>
    </row>
    <row r="787" ht="14.4" spans="14:31">
      <c r="N787" s="10"/>
      <c r="O787" s="10"/>
      <c r="P787" t="b">
        <v>0</v>
      </c>
      <c r="Q787" t="b">
        <v>0</v>
      </c>
      <c r="R787" s="9" t="b">
        <v>0</v>
      </c>
      <c r="S787" s="10"/>
      <c r="T787" s="10"/>
      <c r="U787" s="10"/>
      <c r="V787" s="10"/>
      <c r="W787" s="10"/>
      <c r="X787" s="10"/>
      <c r="Y787" s="10"/>
      <c r="Z787" s="10"/>
      <c r="AA787" s="10"/>
      <c r="AB787" s="10"/>
      <c r="AC787" s="10"/>
      <c r="AD787" s="10"/>
      <c r="AE787" s="10"/>
    </row>
    <row r="788" ht="14.4" spans="14:31">
      <c r="N788" s="10"/>
      <c r="O788" s="10"/>
      <c r="P788" t="b">
        <v>0</v>
      </c>
      <c r="Q788" t="b">
        <v>0</v>
      </c>
      <c r="R788" s="9" t="b">
        <v>0</v>
      </c>
      <c r="S788" s="10"/>
      <c r="T788" s="10"/>
      <c r="U788" s="10"/>
      <c r="V788" s="10"/>
      <c r="W788" s="10"/>
      <c r="X788" s="10"/>
      <c r="Y788" s="10"/>
      <c r="Z788" s="10"/>
      <c r="AA788" s="10"/>
      <c r="AB788" s="10"/>
      <c r="AC788" s="10"/>
      <c r="AD788" s="10"/>
      <c r="AE788" s="10"/>
    </row>
    <row r="789" ht="14.4" spans="14:31">
      <c r="N789" s="10"/>
      <c r="O789" s="10"/>
      <c r="P789" t="b">
        <v>0</v>
      </c>
      <c r="Q789" t="b">
        <v>0</v>
      </c>
      <c r="R789" s="9" t="b">
        <v>0</v>
      </c>
      <c r="S789" s="10"/>
      <c r="T789" s="10"/>
      <c r="U789" s="10"/>
      <c r="V789" s="10"/>
      <c r="W789" s="10"/>
      <c r="X789" s="10"/>
      <c r="Y789" s="10"/>
      <c r="Z789" s="10"/>
      <c r="AA789" s="10"/>
      <c r="AB789" s="10"/>
      <c r="AC789" s="10"/>
      <c r="AD789" s="10"/>
      <c r="AE789" s="10"/>
    </row>
    <row r="790" ht="14.4" spans="14:31">
      <c r="N790" s="10"/>
      <c r="O790" s="10"/>
      <c r="P790" t="b">
        <v>0</v>
      </c>
      <c r="Q790" t="b">
        <v>0</v>
      </c>
      <c r="R790" s="3"/>
      <c r="S790" s="10"/>
      <c r="T790" s="10"/>
      <c r="U790" s="10"/>
      <c r="V790" s="10"/>
      <c r="W790" s="10"/>
      <c r="X790" s="10"/>
      <c r="Y790" s="10"/>
      <c r="Z790" s="10"/>
      <c r="AA790" s="10"/>
      <c r="AB790" s="10"/>
      <c r="AC790" s="10"/>
      <c r="AD790" s="10"/>
      <c r="AE790" s="10"/>
    </row>
    <row r="791" ht="14.4" spans="14:31">
      <c r="N791" s="10"/>
      <c r="O791" s="10"/>
      <c r="P791" t="b">
        <v>0</v>
      </c>
      <c r="Q791" t="b">
        <v>0</v>
      </c>
      <c r="R791" s="3"/>
      <c r="S791" s="10"/>
      <c r="T791" s="10"/>
      <c r="U791" s="10"/>
      <c r="V791" s="10"/>
      <c r="W791" s="10"/>
      <c r="X791" s="10"/>
      <c r="Y791" s="10"/>
      <c r="Z791" s="10"/>
      <c r="AA791" s="10"/>
      <c r="AB791" s="10"/>
      <c r="AC791" s="10"/>
      <c r="AD791" s="10"/>
      <c r="AE791" s="10"/>
    </row>
    <row r="792" ht="14.4" spans="14:31">
      <c r="N792" s="10"/>
      <c r="O792" s="10"/>
      <c r="P792" t="b">
        <v>0</v>
      </c>
      <c r="Q792" t="b">
        <v>0</v>
      </c>
      <c r="R792" s="3"/>
      <c r="S792" s="10"/>
      <c r="T792" s="10"/>
      <c r="U792" s="10"/>
      <c r="V792" s="10"/>
      <c r="W792" s="10"/>
      <c r="X792" s="10"/>
      <c r="Y792" s="10"/>
      <c r="Z792" s="10"/>
      <c r="AA792" s="10"/>
      <c r="AB792" s="10"/>
      <c r="AC792" s="10"/>
      <c r="AD792" s="10"/>
      <c r="AE792" s="10"/>
    </row>
    <row r="793" ht="14.4" spans="14:31">
      <c r="N793" s="10"/>
      <c r="O793" s="10"/>
      <c r="P793" t="b">
        <v>0</v>
      </c>
      <c r="Q793" t="b">
        <v>0</v>
      </c>
      <c r="R793" s="3"/>
      <c r="S793" s="10"/>
      <c r="T793" s="10"/>
      <c r="U793" s="10"/>
      <c r="V793" s="10"/>
      <c r="W793" s="10"/>
      <c r="X793" s="10"/>
      <c r="Y793" s="10"/>
      <c r="Z793" s="10"/>
      <c r="AA793" s="10"/>
      <c r="AB793" s="10"/>
      <c r="AC793" s="10"/>
      <c r="AD793" s="10"/>
      <c r="AE793" s="10"/>
    </row>
    <row r="794" ht="14.4" spans="14:31">
      <c r="N794" s="10"/>
      <c r="O794" s="10"/>
      <c r="P794" t="b">
        <v>0</v>
      </c>
      <c r="Q794" t="b">
        <v>0</v>
      </c>
      <c r="R794" s="3"/>
      <c r="S794" s="10"/>
      <c r="T794" s="10"/>
      <c r="U794" s="10"/>
      <c r="V794" s="10"/>
      <c r="W794" s="10"/>
      <c r="X794" s="10"/>
      <c r="Y794" s="10"/>
      <c r="Z794" s="10"/>
      <c r="AA794" s="10"/>
      <c r="AB794" s="10"/>
      <c r="AC794" s="10"/>
      <c r="AD794" s="10"/>
      <c r="AE794" s="10"/>
    </row>
    <row r="795" ht="14.4" spans="14:31">
      <c r="N795" s="10"/>
      <c r="O795" s="10"/>
      <c r="P795" t="b">
        <v>0</v>
      </c>
      <c r="Q795" t="b">
        <v>0</v>
      </c>
      <c r="R795" s="3"/>
      <c r="S795" s="10"/>
      <c r="T795" s="10"/>
      <c r="U795" s="10"/>
      <c r="V795" s="10"/>
      <c r="W795" s="10"/>
      <c r="X795" s="10"/>
      <c r="Y795" s="10"/>
      <c r="Z795" s="10"/>
      <c r="AA795" s="10"/>
      <c r="AB795" s="10"/>
      <c r="AC795" s="10"/>
      <c r="AD795" s="10"/>
      <c r="AE795" s="10"/>
    </row>
    <row r="796" ht="14.4" spans="14:31">
      <c r="N796" s="10"/>
      <c r="O796" s="10"/>
      <c r="P796" t="b">
        <v>0</v>
      </c>
      <c r="Q796" t="b">
        <v>0</v>
      </c>
      <c r="R796" s="3"/>
      <c r="S796" s="10"/>
      <c r="T796" s="10"/>
      <c r="U796" s="10"/>
      <c r="V796" s="10"/>
      <c r="W796" s="10"/>
      <c r="X796" s="10"/>
      <c r="Y796" s="10"/>
      <c r="Z796" s="10"/>
      <c r="AA796" s="10"/>
      <c r="AB796" s="10"/>
      <c r="AC796" s="10"/>
      <c r="AD796" s="10"/>
      <c r="AE796" s="10"/>
    </row>
    <row r="797" ht="14.4" spans="14:31">
      <c r="N797" s="10"/>
      <c r="O797" s="10"/>
      <c r="P797" t="b">
        <v>0</v>
      </c>
      <c r="Q797" t="b">
        <v>0</v>
      </c>
      <c r="R797" s="3"/>
      <c r="S797" s="10"/>
      <c r="T797" s="10"/>
      <c r="U797" s="10"/>
      <c r="V797" s="10"/>
      <c r="W797" s="10"/>
      <c r="X797" s="10"/>
      <c r="Y797" s="10"/>
      <c r="Z797" s="10"/>
      <c r="AA797" s="10"/>
      <c r="AB797" s="10"/>
      <c r="AC797" s="10"/>
      <c r="AD797" s="10"/>
      <c r="AE797" s="10"/>
    </row>
    <row r="798" ht="14.4" spans="14:31">
      <c r="N798" s="10"/>
      <c r="O798" s="10"/>
      <c r="P798" t="b">
        <v>0</v>
      </c>
      <c r="Q798" t="b">
        <v>0</v>
      </c>
      <c r="R798" s="3"/>
      <c r="S798" s="10"/>
      <c r="T798" s="10"/>
      <c r="U798" s="10"/>
      <c r="V798" s="10"/>
      <c r="W798" s="10"/>
      <c r="X798" s="10"/>
      <c r="Y798" s="10"/>
      <c r="Z798" s="10"/>
      <c r="AA798" s="10"/>
      <c r="AB798" s="10"/>
      <c r="AC798" s="10"/>
      <c r="AD798" s="10"/>
      <c r="AE798" s="10"/>
    </row>
    <row r="799" ht="14.4" spans="14:31">
      <c r="N799" s="10"/>
      <c r="O799" s="10"/>
      <c r="P799" t="b">
        <v>0</v>
      </c>
      <c r="Q799" t="b">
        <v>0</v>
      </c>
      <c r="R799" s="3"/>
      <c r="S799" s="10"/>
      <c r="T799" s="10"/>
      <c r="U799" s="10"/>
      <c r="V799" s="10"/>
      <c r="W799" s="10"/>
      <c r="X799" s="10"/>
      <c r="Y799" s="10"/>
      <c r="Z799" s="10"/>
      <c r="AA799" s="10"/>
      <c r="AB799" s="10"/>
      <c r="AC799" s="10"/>
      <c r="AD799" s="10"/>
      <c r="AE799" s="10"/>
    </row>
    <row r="800" ht="14.4" spans="14:31">
      <c r="N800" s="10"/>
      <c r="O800" s="10"/>
      <c r="P800" t="b">
        <v>0</v>
      </c>
      <c r="Q800" t="b">
        <v>0</v>
      </c>
      <c r="R800" s="3"/>
      <c r="S800" s="10"/>
      <c r="T800" s="10"/>
      <c r="U800" s="10"/>
      <c r="V800" s="10"/>
      <c r="W800" s="10"/>
      <c r="X800" s="10"/>
      <c r="Y800" s="10"/>
      <c r="Z800" s="10"/>
      <c r="AA800" s="10"/>
      <c r="AB800" s="10"/>
      <c r="AC800" s="10"/>
      <c r="AD800" s="10"/>
      <c r="AE800" s="10"/>
    </row>
    <row r="801" ht="14.4" spans="14:31">
      <c r="N801" s="10"/>
      <c r="O801" s="10"/>
      <c r="P801" t="b">
        <v>0</v>
      </c>
      <c r="Q801" t="b">
        <v>0</v>
      </c>
      <c r="R801" s="3"/>
      <c r="S801" s="10"/>
      <c r="T801" s="10"/>
      <c r="U801" s="10"/>
      <c r="V801" s="10"/>
      <c r="W801" s="10"/>
      <c r="X801" s="10"/>
      <c r="Y801" s="10"/>
      <c r="Z801" s="10"/>
      <c r="AA801" s="10"/>
      <c r="AB801" s="10"/>
      <c r="AC801" s="10"/>
      <c r="AD801" s="10"/>
      <c r="AE801" s="10"/>
    </row>
    <row r="802" ht="14.4" spans="14:31">
      <c r="N802" s="10"/>
      <c r="O802" s="10"/>
      <c r="P802" t="b">
        <v>0</v>
      </c>
      <c r="Q802" t="b">
        <v>0</v>
      </c>
      <c r="R802" s="3"/>
      <c r="S802" s="10"/>
      <c r="T802" s="10"/>
      <c r="U802" s="10"/>
      <c r="V802" s="10"/>
      <c r="W802" s="10"/>
      <c r="X802" s="10"/>
      <c r="Y802" s="10"/>
      <c r="Z802" s="10"/>
      <c r="AA802" s="10"/>
      <c r="AB802" s="10"/>
      <c r="AC802" s="10"/>
      <c r="AD802" s="10"/>
      <c r="AE802" s="10"/>
    </row>
    <row r="803" ht="14.4" spans="14:31">
      <c r="N803" s="10"/>
      <c r="O803" s="10"/>
      <c r="P803" t="b">
        <v>0</v>
      </c>
      <c r="Q803" t="b">
        <v>0</v>
      </c>
      <c r="R803" s="3"/>
      <c r="S803" s="10"/>
      <c r="T803" s="10"/>
      <c r="U803" s="10"/>
      <c r="V803" s="10"/>
      <c r="W803" s="10"/>
      <c r="X803" s="10"/>
      <c r="Y803" s="10"/>
      <c r="Z803" s="10"/>
      <c r="AA803" s="10"/>
      <c r="AB803" s="10"/>
      <c r="AC803" s="10"/>
      <c r="AD803" s="10"/>
      <c r="AE803" s="10"/>
    </row>
    <row r="804" ht="14.4" spans="14:31">
      <c r="N804" s="10"/>
      <c r="O804" s="10"/>
      <c r="P804" t="b">
        <v>0</v>
      </c>
      <c r="Q804" t="b">
        <v>0</v>
      </c>
      <c r="R804" s="3"/>
      <c r="S804" s="10"/>
      <c r="T804" s="10"/>
      <c r="U804" s="10"/>
      <c r="V804" s="10"/>
      <c r="W804" s="10"/>
      <c r="X804" s="10"/>
      <c r="Y804" s="10"/>
      <c r="Z804" s="10"/>
      <c r="AA804" s="10"/>
      <c r="AB804" s="10"/>
      <c r="AC804" s="10"/>
      <c r="AD804" s="10"/>
      <c r="AE804" s="10"/>
    </row>
    <row r="805" ht="14.4" spans="14:31">
      <c r="N805" s="10"/>
      <c r="O805" s="10"/>
      <c r="P805" t="b">
        <v>0</v>
      </c>
      <c r="Q805" t="b">
        <v>0</v>
      </c>
      <c r="R805" s="3"/>
      <c r="S805" s="10"/>
      <c r="T805" s="10"/>
      <c r="U805" s="10"/>
      <c r="V805" s="10"/>
      <c r="W805" s="10"/>
      <c r="X805" s="10"/>
      <c r="Y805" s="10"/>
      <c r="Z805" s="10"/>
      <c r="AA805" s="10"/>
      <c r="AB805" s="10"/>
      <c r="AC805" s="10"/>
      <c r="AD805" s="10"/>
      <c r="AE805" s="10"/>
    </row>
    <row r="806" ht="14.4" spans="14:31">
      <c r="N806" s="10"/>
      <c r="O806" s="10"/>
      <c r="P806" t="b">
        <v>0</v>
      </c>
      <c r="Q806" t="b">
        <v>0</v>
      </c>
      <c r="R806" s="3"/>
      <c r="S806" s="10"/>
      <c r="T806" s="10"/>
      <c r="U806" s="10"/>
      <c r="V806" s="10"/>
      <c r="W806" s="10"/>
      <c r="X806" s="10"/>
      <c r="Y806" s="10"/>
      <c r="Z806" s="10"/>
      <c r="AA806" s="10"/>
      <c r="AB806" s="10"/>
      <c r="AC806" s="10"/>
      <c r="AD806" s="10"/>
      <c r="AE806" s="10"/>
    </row>
    <row r="807" ht="14.4" spans="14:31">
      <c r="N807" s="10"/>
      <c r="O807" s="10"/>
      <c r="P807" t="b">
        <v>0</v>
      </c>
      <c r="Q807" t="b">
        <v>0</v>
      </c>
      <c r="R807" s="3"/>
      <c r="S807" s="10"/>
      <c r="T807" s="10"/>
      <c r="U807" s="10"/>
      <c r="V807" s="10"/>
      <c r="W807" s="10"/>
      <c r="X807" s="10"/>
      <c r="Y807" s="10"/>
      <c r="Z807" s="10"/>
      <c r="AA807" s="10"/>
      <c r="AB807" s="10"/>
      <c r="AC807" s="10"/>
      <c r="AD807" s="10"/>
      <c r="AE807" s="10"/>
    </row>
    <row r="808" ht="14.4" spans="14:31">
      <c r="N808" s="10"/>
      <c r="O808" s="10"/>
      <c r="P808" t="b">
        <v>0</v>
      </c>
      <c r="Q808" t="b">
        <v>0</v>
      </c>
      <c r="R808" s="3"/>
      <c r="S808" s="10"/>
      <c r="T808" s="10"/>
      <c r="U808" s="10"/>
      <c r="V808" s="10"/>
      <c r="W808" s="10"/>
      <c r="X808" s="10"/>
      <c r="Y808" s="10"/>
      <c r="Z808" s="10"/>
      <c r="AA808" s="10"/>
      <c r="AB808" s="10"/>
      <c r="AC808" s="10"/>
      <c r="AD808" s="10"/>
      <c r="AE808" s="10"/>
    </row>
    <row r="809" ht="14.4" spans="14:31">
      <c r="N809" s="10"/>
      <c r="O809" s="10"/>
      <c r="P809" t="b">
        <v>0</v>
      </c>
      <c r="Q809" t="b">
        <v>0</v>
      </c>
      <c r="R809" s="3"/>
      <c r="S809" s="10"/>
      <c r="T809" s="10"/>
      <c r="U809" s="10"/>
      <c r="V809" s="10"/>
      <c r="W809" s="10"/>
      <c r="X809" s="10"/>
      <c r="Y809" s="10"/>
      <c r="Z809" s="10"/>
      <c r="AA809" s="10"/>
      <c r="AB809" s="10"/>
      <c r="AC809" s="10"/>
      <c r="AD809" s="10"/>
      <c r="AE809" s="10"/>
    </row>
    <row r="810" ht="14.4" spans="14:31">
      <c r="N810" s="10"/>
      <c r="O810" s="10"/>
      <c r="P810" t="b">
        <v>0</v>
      </c>
      <c r="Q810" t="b">
        <v>0</v>
      </c>
      <c r="R810" s="3"/>
      <c r="S810" s="10"/>
      <c r="T810" s="10"/>
      <c r="U810" s="10"/>
      <c r="V810" s="10"/>
      <c r="W810" s="10"/>
      <c r="X810" s="10"/>
      <c r="Y810" s="10"/>
      <c r="Z810" s="10"/>
      <c r="AA810" s="10"/>
      <c r="AB810" s="10"/>
      <c r="AC810" s="10"/>
      <c r="AD810" s="10"/>
      <c r="AE810" s="10"/>
    </row>
    <row r="811" ht="14.4" spans="14:31">
      <c r="N811" s="10"/>
      <c r="O811" s="10"/>
      <c r="P811" t="b">
        <v>0</v>
      </c>
      <c r="Q811" t="b">
        <v>0</v>
      </c>
      <c r="R811" s="3"/>
      <c r="S811" s="10"/>
      <c r="T811" s="10"/>
      <c r="U811" s="10"/>
      <c r="V811" s="10"/>
      <c r="W811" s="10"/>
      <c r="X811" s="10"/>
      <c r="Y811" s="10"/>
      <c r="Z811" s="10"/>
      <c r="AA811" s="10"/>
      <c r="AB811" s="10"/>
      <c r="AC811" s="10"/>
      <c r="AD811" s="10"/>
      <c r="AE811" s="10"/>
    </row>
    <row r="812" ht="14.4" spans="14:31">
      <c r="N812" s="10"/>
      <c r="O812" s="10"/>
      <c r="P812" t="b">
        <v>0</v>
      </c>
      <c r="Q812" t="b">
        <v>0</v>
      </c>
      <c r="R812" s="3"/>
      <c r="S812" s="10"/>
      <c r="T812" s="10"/>
      <c r="U812" s="10"/>
      <c r="V812" s="10"/>
      <c r="W812" s="10"/>
      <c r="X812" s="10"/>
      <c r="Y812" s="10"/>
      <c r="Z812" s="10"/>
      <c r="AA812" s="10"/>
      <c r="AB812" s="10"/>
      <c r="AC812" s="10"/>
      <c r="AD812" s="10"/>
      <c r="AE812" s="10"/>
    </row>
    <row r="813" ht="14.4" spans="14:31">
      <c r="N813" s="10"/>
      <c r="O813" s="10"/>
      <c r="P813" t="b">
        <v>0</v>
      </c>
      <c r="Q813" t="b">
        <v>0</v>
      </c>
      <c r="R813" s="3"/>
      <c r="S813" s="10"/>
      <c r="T813" s="10"/>
      <c r="U813" s="10"/>
      <c r="V813" s="10"/>
      <c r="W813" s="10"/>
      <c r="X813" s="10"/>
      <c r="Y813" s="10"/>
      <c r="Z813" s="10"/>
      <c r="AA813" s="10"/>
      <c r="AB813" s="10"/>
      <c r="AC813" s="10"/>
      <c r="AD813" s="10"/>
      <c r="AE813" s="10"/>
    </row>
    <row r="814" ht="14.4" spans="14:31">
      <c r="N814" s="10"/>
      <c r="O814" s="10"/>
      <c r="P814" t="b">
        <v>0</v>
      </c>
      <c r="Q814" t="b">
        <v>0</v>
      </c>
      <c r="R814" s="3"/>
      <c r="S814" s="10"/>
      <c r="T814" s="10"/>
      <c r="U814" s="10"/>
      <c r="V814" s="10"/>
      <c r="W814" s="10"/>
      <c r="X814" s="10"/>
      <c r="Y814" s="10"/>
      <c r="Z814" s="10"/>
      <c r="AA814" s="10"/>
      <c r="AB814" s="10"/>
      <c r="AC814" s="10"/>
      <c r="AD814" s="10"/>
      <c r="AE814" s="10"/>
    </row>
    <row r="815" ht="14.4" spans="14:31">
      <c r="N815" s="10"/>
      <c r="O815" s="10"/>
      <c r="P815" t="b">
        <v>0</v>
      </c>
      <c r="Q815" t="b">
        <v>0</v>
      </c>
      <c r="R815" s="3"/>
      <c r="S815" s="10"/>
      <c r="T815" s="10"/>
      <c r="U815" s="10"/>
      <c r="V815" s="10"/>
      <c r="W815" s="10"/>
      <c r="X815" s="10"/>
      <c r="Y815" s="10"/>
      <c r="Z815" s="10"/>
      <c r="AA815" s="10"/>
      <c r="AB815" s="10"/>
      <c r="AC815" s="10"/>
      <c r="AD815" s="10"/>
      <c r="AE815" s="10"/>
    </row>
    <row r="816" ht="14.4" spans="14:31">
      <c r="N816" s="10"/>
      <c r="O816" s="10"/>
      <c r="P816" t="b">
        <v>0</v>
      </c>
      <c r="Q816" t="b">
        <v>0</v>
      </c>
      <c r="R816" s="3"/>
      <c r="S816" s="10"/>
      <c r="T816" s="10"/>
      <c r="U816" s="10"/>
      <c r="V816" s="10"/>
      <c r="W816" s="10"/>
      <c r="X816" s="10"/>
      <c r="Y816" s="10"/>
      <c r="Z816" s="10"/>
      <c r="AA816" s="10"/>
      <c r="AB816" s="10"/>
      <c r="AC816" s="10"/>
      <c r="AD816" s="10"/>
      <c r="AE816" s="10"/>
    </row>
    <row r="817" ht="14.4" spans="14:31">
      <c r="N817" s="10"/>
      <c r="O817" s="10"/>
      <c r="P817" t="b">
        <v>0</v>
      </c>
      <c r="Q817" t="b">
        <v>0</v>
      </c>
      <c r="R817" s="3"/>
      <c r="S817" s="10"/>
      <c r="T817" s="10"/>
      <c r="U817" s="10"/>
      <c r="V817" s="10"/>
      <c r="W817" s="10"/>
      <c r="X817" s="10"/>
      <c r="Y817" s="10"/>
      <c r="Z817" s="10"/>
      <c r="AA817" s="10"/>
      <c r="AB817" s="10"/>
      <c r="AC817" s="10"/>
      <c r="AD817" s="10"/>
      <c r="AE817" s="10"/>
    </row>
    <row r="818" ht="14.4" spans="14:31">
      <c r="N818" s="10"/>
      <c r="O818" s="10"/>
      <c r="P818" t="b">
        <v>0</v>
      </c>
      <c r="Q818" t="b">
        <v>0</v>
      </c>
      <c r="R818" s="3"/>
      <c r="S818" s="10"/>
      <c r="T818" s="10"/>
      <c r="U818" s="10"/>
      <c r="V818" s="10"/>
      <c r="W818" s="10"/>
      <c r="X818" s="10"/>
      <c r="Y818" s="10"/>
      <c r="Z818" s="10"/>
      <c r="AA818" s="10"/>
      <c r="AB818" s="10"/>
      <c r="AC818" s="10"/>
      <c r="AD818" s="10"/>
      <c r="AE818" s="10"/>
    </row>
    <row r="819" ht="14.4" spans="14:31">
      <c r="N819" s="10"/>
      <c r="O819" s="10"/>
      <c r="P819" t="b">
        <v>0</v>
      </c>
      <c r="Q819" t="b">
        <v>0</v>
      </c>
      <c r="R819" s="3"/>
      <c r="S819" s="10"/>
      <c r="T819" s="10"/>
      <c r="U819" s="10"/>
      <c r="V819" s="10"/>
      <c r="W819" s="10"/>
      <c r="X819" s="10"/>
      <c r="Y819" s="10"/>
      <c r="Z819" s="10"/>
      <c r="AA819" s="10"/>
      <c r="AB819" s="10"/>
      <c r="AC819" s="10"/>
      <c r="AD819" s="10"/>
      <c r="AE819" s="10"/>
    </row>
    <row r="820" ht="14.4" spans="14:31">
      <c r="N820" s="10"/>
      <c r="O820" s="10"/>
      <c r="P820" t="b">
        <v>0</v>
      </c>
      <c r="Q820" t="b">
        <v>0</v>
      </c>
      <c r="R820" s="3"/>
      <c r="S820" s="10"/>
      <c r="T820" s="10"/>
      <c r="U820" s="10"/>
      <c r="V820" s="10"/>
      <c r="W820" s="10"/>
      <c r="X820" s="10"/>
      <c r="Y820" s="10"/>
      <c r="Z820" s="10"/>
      <c r="AA820" s="10"/>
      <c r="AB820" s="10"/>
      <c r="AC820" s="10"/>
      <c r="AD820" s="10"/>
      <c r="AE820" s="10"/>
    </row>
    <row r="821" ht="14.4" spans="14:31">
      <c r="N821" s="10"/>
      <c r="O821" s="10"/>
      <c r="P821" t="b">
        <v>0</v>
      </c>
      <c r="Q821" t="b">
        <v>0</v>
      </c>
      <c r="R821" s="3"/>
      <c r="S821" s="10"/>
      <c r="T821" s="10"/>
      <c r="U821" s="10"/>
      <c r="V821" s="10"/>
      <c r="W821" s="10"/>
      <c r="X821" s="10"/>
      <c r="Y821" s="10"/>
      <c r="Z821" s="10"/>
      <c r="AA821" s="10"/>
      <c r="AB821" s="10"/>
      <c r="AC821" s="10"/>
      <c r="AD821" s="10"/>
      <c r="AE821" s="10"/>
    </row>
    <row r="822" ht="14.4" spans="14:31">
      <c r="N822" s="10"/>
      <c r="O822" s="10"/>
      <c r="P822" t="b">
        <v>0</v>
      </c>
      <c r="Q822" t="b">
        <v>0</v>
      </c>
      <c r="R822" s="3"/>
      <c r="S822" s="10"/>
      <c r="T822" s="10"/>
      <c r="U822" s="10"/>
      <c r="V822" s="10"/>
      <c r="W822" s="10"/>
      <c r="X822" s="10"/>
      <c r="Y822" s="10"/>
      <c r="Z822" s="10"/>
      <c r="AA822" s="10"/>
      <c r="AB822" s="10"/>
      <c r="AC822" s="10"/>
      <c r="AD822" s="10"/>
      <c r="AE822" s="10"/>
    </row>
    <row r="823" ht="14.4" spans="14:31">
      <c r="N823" s="10"/>
      <c r="O823" s="10"/>
      <c r="P823" t="b">
        <v>0</v>
      </c>
      <c r="Q823" t="b">
        <v>0</v>
      </c>
      <c r="R823" s="3"/>
      <c r="S823" s="10"/>
      <c r="T823" s="10"/>
      <c r="U823" s="10"/>
      <c r="V823" s="10"/>
      <c r="W823" s="10"/>
      <c r="X823" s="10"/>
      <c r="Y823" s="10"/>
      <c r="Z823" s="10"/>
      <c r="AA823" s="10"/>
      <c r="AB823" s="10"/>
      <c r="AC823" s="10"/>
      <c r="AD823" s="10"/>
      <c r="AE823" s="10"/>
    </row>
    <row r="824" ht="14.4" spans="14:31">
      <c r="N824" s="10"/>
      <c r="O824" s="10"/>
      <c r="P824" t="b">
        <v>0</v>
      </c>
      <c r="Q824" t="b">
        <v>0</v>
      </c>
      <c r="R824" s="3"/>
      <c r="S824" s="10"/>
      <c r="T824" s="10"/>
      <c r="U824" s="10"/>
      <c r="V824" s="10"/>
      <c r="W824" s="10"/>
      <c r="X824" s="10"/>
      <c r="Y824" s="10"/>
      <c r="Z824" s="10"/>
      <c r="AA824" s="10"/>
      <c r="AB824" s="10"/>
      <c r="AC824" s="10"/>
      <c r="AD824" s="10"/>
      <c r="AE824" s="10"/>
    </row>
    <row r="825" ht="14.4" spans="14:31">
      <c r="N825" s="10"/>
      <c r="O825" s="10"/>
      <c r="P825" t="b">
        <v>0</v>
      </c>
      <c r="Q825" t="b">
        <v>0</v>
      </c>
      <c r="R825" s="3"/>
      <c r="S825" s="10"/>
      <c r="T825" s="10"/>
      <c r="U825" s="10"/>
      <c r="V825" s="10"/>
      <c r="W825" s="10"/>
      <c r="X825" s="10"/>
      <c r="Y825" s="10"/>
      <c r="Z825" s="10"/>
      <c r="AA825" s="10"/>
      <c r="AB825" s="10"/>
      <c r="AC825" s="10"/>
      <c r="AD825" s="10"/>
      <c r="AE825" s="10"/>
    </row>
    <row r="826" ht="14.4" spans="14:31">
      <c r="N826" s="10"/>
      <c r="O826" s="10"/>
      <c r="P826" t="b">
        <v>0</v>
      </c>
      <c r="Q826" t="b">
        <v>0</v>
      </c>
      <c r="R826" s="3"/>
      <c r="S826" s="10"/>
      <c r="T826" s="10"/>
      <c r="U826" s="10"/>
      <c r="V826" s="10"/>
      <c r="W826" s="10"/>
      <c r="X826" s="10"/>
      <c r="Y826" s="10"/>
      <c r="Z826" s="10"/>
      <c r="AA826" s="10"/>
      <c r="AB826" s="10"/>
      <c r="AC826" s="10"/>
      <c r="AD826" s="10"/>
      <c r="AE826" s="10"/>
    </row>
    <row r="827" ht="14.4" spans="14:31">
      <c r="N827" s="10"/>
      <c r="O827" s="10"/>
      <c r="P827" t="b">
        <v>0</v>
      </c>
      <c r="Q827" t="b">
        <v>0</v>
      </c>
      <c r="R827" s="3"/>
      <c r="S827" s="10"/>
      <c r="T827" s="10"/>
      <c r="U827" s="10"/>
      <c r="V827" s="10"/>
      <c r="W827" s="10"/>
      <c r="X827" s="10"/>
      <c r="Y827" s="10"/>
      <c r="Z827" s="10"/>
      <c r="AA827" s="10"/>
      <c r="AB827" s="10"/>
      <c r="AC827" s="10"/>
      <c r="AD827" s="10"/>
      <c r="AE827" s="10"/>
    </row>
    <row r="828" ht="14.4" spans="14:31">
      <c r="N828" s="10"/>
      <c r="O828" s="10"/>
      <c r="P828" t="b">
        <v>0</v>
      </c>
      <c r="Q828" t="b">
        <v>0</v>
      </c>
      <c r="R828" s="3"/>
      <c r="S828" s="10"/>
      <c r="T828" s="10"/>
      <c r="U828" s="10"/>
      <c r="V828" s="10"/>
      <c r="W828" s="10"/>
      <c r="X828" s="10"/>
      <c r="Y828" s="10"/>
      <c r="Z828" s="10"/>
      <c r="AA828" s="10"/>
      <c r="AB828" s="10"/>
      <c r="AC828" s="10"/>
      <c r="AD828" s="10"/>
      <c r="AE828" s="10"/>
    </row>
    <row r="829" ht="14.4" spans="14:31">
      <c r="N829" s="10"/>
      <c r="O829" s="10"/>
      <c r="P829" t="b">
        <v>0</v>
      </c>
      <c r="Q829" t="b">
        <v>0</v>
      </c>
      <c r="R829" s="3"/>
      <c r="S829" s="10"/>
      <c r="T829" s="10"/>
      <c r="U829" s="10"/>
      <c r="V829" s="10"/>
      <c r="W829" s="10"/>
      <c r="X829" s="10"/>
      <c r="Y829" s="10"/>
      <c r="Z829" s="10"/>
      <c r="AA829" s="10"/>
      <c r="AB829" s="10"/>
      <c r="AC829" s="10"/>
      <c r="AD829" s="10"/>
      <c r="AE829" s="10"/>
    </row>
    <row r="830" ht="14.4" spans="14:31">
      <c r="N830" s="10"/>
      <c r="O830" s="10"/>
      <c r="P830" t="b">
        <v>0</v>
      </c>
      <c r="Q830" t="b">
        <v>0</v>
      </c>
      <c r="R830" s="3"/>
      <c r="S830" s="10"/>
      <c r="T830" s="10"/>
      <c r="U830" s="10"/>
      <c r="V830" s="10"/>
      <c r="W830" s="10"/>
      <c r="X830" s="10"/>
      <c r="Y830" s="10"/>
      <c r="Z830" s="10"/>
      <c r="AA830" s="10"/>
      <c r="AB830" s="10"/>
      <c r="AC830" s="10"/>
      <c r="AD830" s="10"/>
      <c r="AE830" s="10"/>
    </row>
    <row r="831" ht="14.4" spans="14:31">
      <c r="N831" s="10"/>
      <c r="O831" s="10"/>
      <c r="P831" t="b">
        <v>0</v>
      </c>
      <c r="Q831" t="b">
        <v>0</v>
      </c>
      <c r="R831" s="3"/>
      <c r="S831" s="10"/>
      <c r="T831" s="10"/>
      <c r="U831" s="10"/>
      <c r="V831" s="10"/>
      <c r="W831" s="10"/>
      <c r="X831" s="10"/>
      <c r="Y831" s="10"/>
      <c r="Z831" s="10"/>
      <c r="AA831" s="10"/>
      <c r="AB831" s="10"/>
      <c r="AC831" s="10"/>
      <c r="AD831" s="10"/>
      <c r="AE831" s="10"/>
    </row>
    <row r="832" ht="14.4" spans="14:31">
      <c r="N832" s="10"/>
      <c r="O832" s="10"/>
      <c r="P832" t="b">
        <v>0</v>
      </c>
      <c r="Q832" t="b">
        <v>0</v>
      </c>
      <c r="R832" s="3"/>
      <c r="S832" s="10"/>
      <c r="T832" s="10"/>
      <c r="U832" s="10"/>
      <c r="V832" s="10"/>
      <c r="W832" s="10"/>
      <c r="X832" s="10"/>
      <c r="Y832" s="10"/>
      <c r="Z832" s="10"/>
      <c r="AA832" s="10"/>
      <c r="AB832" s="10"/>
      <c r="AC832" s="10"/>
      <c r="AD832" s="10"/>
      <c r="AE832" s="10"/>
    </row>
    <row r="833" ht="14.4" spans="14:31">
      <c r="N833" s="10"/>
      <c r="O833" s="10"/>
      <c r="P833" t="b">
        <v>0</v>
      </c>
      <c r="Q833" t="b">
        <v>0</v>
      </c>
      <c r="R833" s="3"/>
      <c r="S833" s="10"/>
      <c r="T833" s="10"/>
      <c r="U833" s="10"/>
      <c r="V833" s="10"/>
      <c r="W833" s="10"/>
      <c r="X833" s="10"/>
      <c r="Y833" s="10"/>
      <c r="Z833" s="10"/>
      <c r="AA833" s="10"/>
      <c r="AB833" s="10"/>
      <c r="AC833" s="10"/>
      <c r="AD833" s="10"/>
      <c r="AE833" s="10"/>
    </row>
    <row r="834" ht="14.4" spans="14:31">
      <c r="N834" s="10"/>
      <c r="O834" s="10"/>
      <c r="P834" t="b">
        <v>0</v>
      </c>
      <c r="Q834" t="b">
        <v>0</v>
      </c>
      <c r="R834" s="3"/>
      <c r="S834" s="10"/>
      <c r="T834" s="10"/>
      <c r="U834" s="10"/>
      <c r="V834" s="10"/>
      <c r="W834" s="10"/>
      <c r="X834" s="10"/>
      <c r="Y834" s="10"/>
      <c r="Z834" s="10"/>
      <c r="AA834" s="10"/>
      <c r="AB834" s="10"/>
      <c r="AC834" s="10"/>
      <c r="AD834" s="10"/>
      <c r="AE834" s="10"/>
    </row>
    <row r="835" ht="14.4" spans="14:31">
      <c r="N835" s="10"/>
      <c r="O835" s="10"/>
      <c r="P835" t="b">
        <v>0</v>
      </c>
      <c r="Q835" t="b">
        <v>0</v>
      </c>
      <c r="R835" s="3"/>
      <c r="S835" s="10"/>
      <c r="T835" s="10"/>
      <c r="U835" s="10"/>
      <c r="V835" s="10"/>
      <c r="W835" s="10"/>
      <c r="X835" s="10"/>
      <c r="Y835" s="10"/>
      <c r="Z835" s="10"/>
      <c r="AA835" s="10"/>
      <c r="AB835" s="10"/>
      <c r="AC835" s="10"/>
      <c r="AD835" s="10"/>
      <c r="AE835" s="10"/>
    </row>
    <row r="836" ht="14.4" spans="14:31">
      <c r="N836" s="10"/>
      <c r="O836" s="10"/>
      <c r="P836" t="b">
        <v>0</v>
      </c>
      <c r="Q836" t="b">
        <v>0</v>
      </c>
      <c r="R836" s="3"/>
      <c r="S836" s="10"/>
      <c r="T836" s="10"/>
      <c r="U836" s="10"/>
      <c r="V836" s="10"/>
      <c r="W836" s="10"/>
      <c r="X836" s="10"/>
      <c r="Y836" s="10"/>
      <c r="Z836" s="10"/>
      <c r="AA836" s="10"/>
      <c r="AB836" s="10"/>
      <c r="AC836" s="10"/>
      <c r="AD836" s="10"/>
      <c r="AE836" s="10"/>
    </row>
    <row r="837" ht="14.4" spans="14:31">
      <c r="N837" s="10"/>
      <c r="O837" s="10"/>
      <c r="P837" t="b">
        <v>0</v>
      </c>
      <c r="Q837" t="b">
        <v>0</v>
      </c>
      <c r="R837" s="3"/>
      <c r="S837" s="10"/>
      <c r="T837" s="10"/>
      <c r="U837" s="10"/>
      <c r="V837" s="10"/>
      <c r="W837" s="10"/>
      <c r="X837" s="10"/>
      <c r="Y837" s="10"/>
      <c r="Z837" s="10"/>
      <c r="AA837" s="10"/>
      <c r="AB837" s="10"/>
      <c r="AC837" s="10"/>
      <c r="AD837" s="10"/>
      <c r="AE837" s="10"/>
    </row>
    <row r="838" ht="14.4" spans="14:31">
      <c r="N838" s="10"/>
      <c r="O838" s="10"/>
      <c r="P838" t="b">
        <v>0</v>
      </c>
      <c r="Q838" t="b">
        <v>0</v>
      </c>
      <c r="R838" s="3"/>
      <c r="S838" s="10"/>
      <c r="T838" s="10"/>
      <c r="U838" s="10"/>
      <c r="V838" s="10"/>
      <c r="W838" s="10"/>
      <c r="X838" s="10"/>
      <c r="Y838" s="10"/>
      <c r="Z838" s="10"/>
      <c r="AA838" s="10"/>
      <c r="AB838" s="10"/>
      <c r="AC838" s="10"/>
      <c r="AD838" s="10"/>
      <c r="AE838" s="10"/>
    </row>
    <row r="839" ht="14.4" spans="14:31">
      <c r="N839" s="10"/>
      <c r="O839" s="10"/>
      <c r="P839" t="b">
        <v>0</v>
      </c>
      <c r="Q839" t="b">
        <v>0</v>
      </c>
      <c r="R839" s="3"/>
      <c r="S839" s="10"/>
      <c r="T839" s="10"/>
      <c r="U839" s="10"/>
      <c r="V839" s="10"/>
      <c r="W839" s="10"/>
      <c r="X839" s="10"/>
      <c r="Y839" s="10"/>
      <c r="Z839" s="10"/>
      <c r="AA839" s="10"/>
      <c r="AB839" s="10"/>
      <c r="AC839" s="10"/>
      <c r="AD839" s="10"/>
      <c r="AE839" s="10"/>
    </row>
    <row r="840" ht="14.4" spans="14:31">
      <c r="N840" s="10"/>
      <c r="O840" s="10"/>
      <c r="P840" t="b">
        <v>0</v>
      </c>
      <c r="Q840" t="b">
        <v>0</v>
      </c>
      <c r="R840" s="3"/>
      <c r="S840" s="10"/>
      <c r="T840" s="10"/>
      <c r="U840" s="10"/>
      <c r="V840" s="10"/>
      <c r="W840" s="10"/>
      <c r="X840" s="10"/>
      <c r="Y840" s="10"/>
      <c r="Z840" s="10"/>
      <c r="AA840" s="10"/>
      <c r="AB840" s="10"/>
      <c r="AC840" s="10"/>
      <c r="AD840" s="10"/>
      <c r="AE840" s="10"/>
    </row>
    <row r="841" ht="14.4" spans="14:31">
      <c r="N841" s="10"/>
      <c r="O841" s="10"/>
      <c r="P841" t="b">
        <v>0</v>
      </c>
      <c r="Q841" t="b">
        <v>0</v>
      </c>
      <c r="R841" s="3"/>
      <c r="S841" s="10"/>
      <c r="T841" s="10"/>
      <c r="U841" s="10"/>
      <c r="V841" s="10"/>
      <c r="W841" s="10"/>
      <c r="X841" s="10"/>
      <c r="Y841" s="10"/>
      <c r="Z841" s="10"/>
      <c r="AA841" s="10"/>
      <c r="AB841" s="10"/>
      <c r="AC841" s="10"/>
      <c r="AD841" s="10"/>
      <c r="AE841" s="10"/>
    </row>
    <row r="842" ht="14.4" spans="14:31">
      <c r="N842" s="10"/>
      <c r="O842" s="10"/>
      <c r="P842" t="b">
        <v>0</v>
      </c>
      <c r="Q842" t="b">
        <v>0</v>
      </c>
      <c r="R842" s="3"/>
      <c r="S842" s="10"/>
      <c r="T842" s="10"/>
      <c r="U842" s="10"/>
      <c r="V842" s="10"/>
      <c r="W842" s="10"/>
      <c r="X842" s="10"/>
      <c r="Y842" s="10"/>
      <c r="Z842" s="10"/>
      <c r="AA842" s="10"/>
      <c r="AB842" s="10"/>
      <c r="AC842" s="10"/>
      <c r="AD842" s="10"/>
      <c r="AE842" s="10"/>
    </row>
    <row r="843" ht="14.4" spans="14:31">
      <c r="N843" s="10"/>
      <c r="O843" s="10"/>
      <c r="P843" t="b">
        <v>0</v>
      </c>
      <c r="Q843" t="b">
        <v>0</v>
      </c>
      <c r="R843" s="3"/>
      <c r="S843" s="10"/>
      <c r="T843" s="10"/>
      <c r="U843" s="10"/>
      <c r="V843" s="10"/>
      <c r="W843" s="10"/>
      <c r="X843" s="10"/>
      <c r="Y843" s="10"/>
      <c r="Z843" s="10"/>
      <c r="AA843" s="10"/>
      <c r="AB843" s="10"/>
      <c r="AC843" s="10"/>
      <c r="AD843" s="10"/>
      <c r="AE843" s="10"/>
    </row>
    <row r="844" ht="14.4" spans="14:31">
      <c r="N844" s="10"/>
      <c r="O844" s="10"/>
      <c r="P844" t="b">
        <v>0</v>
      </c>
      <c r="Q844" t="b">
        <v>0</v>
      </c>
      <c r="R844" s="3"/>
      <c r="S844" s="10"/>
      <c r="T844" s="10"/>
      <c r="U844" s="10"/>
      <c r="V844" s="10"/>
      <c r="W844" s="10"/>
      <c r="X844" s="10"/>
      <c r="Y844" s="10"/>
      <c r="Z844" s="10"/>
      <c r="AA844" s="10"/>
      <c r="AB844" s="10"/>
      <c r="AC844" s="10"/>
      <c r="AD844" s="10"/>
      <c r="AE844" s="10"/>
    </row>
    <row r="845" ht="14.4" spans="14:31">
      <c r="N845" s="10"/>
      <c r="O845" s="10"/>
      <c r="P845" t="b">
        <v>0</v>
      </c>
      <c r="Q845" t="b">
        <v>0</v>
      </c>
      <c r="R845" s="3"/>
      <c r="S845" s="10"/>
      <c r="T845" s="10"/>
      <c r="U845" s="10"/>
      <c r="V845" s="10"/>
      <c r="W845" s="10"/>
      <c r="X845" s="10"/>
      <c r="Y845" s="10"/>
      <c r="Z845" s="10"/>
      <c r="AA845" s="10"/>
      <c r="AB845" s="10"/>
      <c r="AC845" s="10"/>
      <c r="AD845" s="10"/>
      <c r="AE845" s="10"/>
    </row>
    <row r="846" ht="14.4" spans="14:31">
      <c r="N846" s="10"/>
      <c r="O846" s="10"/>
      <c r="P846" t="b">
        <v>0</v>
      </c>
      <c r="Q846" t="b">
        <v>0</v>
      </c>
      <c r="R846" s="3"/>
      <c r="S846" s="10"/>
      <c r="T846" s="10"/>
      <c r="U846" s="10"/>
      <c r="V846" s="10"/>
      <c r="W846" s="10"/>
      <c r="X846" s="10"/>
      <c r="Y846" s="10"/>
      <c r="Z846" s="10"/>
      <c r="AA846" s="10"/>
      <c r="AB846" s="10"/>
      <c r="AC846" s="10"/>
      <c r="AD846" s="10"/>
      <c r="AE846" s="10"/>
    </row>
    <row r="847" ht="14.4" spans="14:31">
      <c r="N847" s="10"/>
      <c r="O847" s="10"/>
      <c r="P847" t="b">
        <v>0</v>
      </c>
      <c r="Q847" t="b">
        <v>0</v>
      </c>
      <c r="R847" s="3"/>
      <c r="S847" s="10"/>
      <c r="T847" s="10"/>
      <c r="U847" s="10"/>
      <c r="V847" s="10"/>
      <c r="W847" s="10"/>
      <c r="X847" s="10"/>
      <c r="Y847" s="10"/>
      <c r="Z847" s="10"/>
      <c r="AA847" s="10"/>
      <c r="AB847" s="10"/>
      <c r="AC847" s="10"/>
      <c r="AD847" s="10"/>
      <c r="AE847" s="10"/>
    </row>
    <row r="848" ht="14.4" spans="14:31">
      <c r="N848" s="10"/>
      <c r="O848" s="10"/>
      <c r="P848" t="b">
        <v>0</v>
      </c>
      <c r="Q848" t="b">
        <v>0</v>
      </c>
      <c r="R848" s="3"/>
      <c r="S848" s="10"/>
      <c r="T848" s="10"/>
      <c r="U848" s="10"/>
      <c r="V848" s="10"/>
      <c r="W848" s="10"/>
      <c r="X848" s="10"/>
      <c r="Y848" s="10"/>
      <c r="Z848" s="10"/>
      <c r="AA848" s="10"/>
      <c r="AB848" s="10"/>
      <c r="AC848" s="10"/>
      <c r="AD848" s="10"/>
      <c r="AE848" s="10"/>
    </row>
    <row r="849" ht="14.4" spans="14:31">
      <c r="N849" s="10"/>
      <c r="O849" s="10"/>
      <c r="P849" t="b">
        <v>0</v>
      </c>
      <c r="Q849" t="b">
        <v>0</v>
      </c>
      <c r="R849" s="3"/>
      <c r="S849" s="10"/>
      <c r="T849" s="10"/>
      <c r="U849" s="10"/>
      <c r="V849" s="10"/>
      <c r="W849" s="10"/>
      <c r="X849" s="10"/>
      <c r="Y849" s="10"/>
      <c r="Z849" s="10"/>
      <c r="AA849" s="10"/>
      <c r="AB849" s="10"/>
      <c r="AC849" s="10"/>
      <c r="AD849" s="10"/>
      <c r="AE849" s="10"/>
    </row>
    <row r="850" ht="14.4" spans="14:31">
      <c r="N850" s="10"/>
      <c r="O850" s="10"/>
      <c r="P850" t="b">
        <v>0</v>
      </c>
      <c r="Q850" t="b">
        <v>0</v>
      </c>
      <c r="R850" s="3"/>
      <c r="S850" s="10"/>
      <c r="T850" s="10"/>
      <c r="U850" s="10"/>
      <c r="V850" s="10"/>
      <c r="W850" s="10"/>
      <c r="X850" s="10"/>
      <c r="Y850" s="10"/>
      <c r="Z850" s="10"/>
      <c r="AA850" s="10"/>
      <c r="AB850" s="10"/>
      <c r="AC850" s="10"/>
      <c r="AD850" s="10"/>
      <c r="AE850" s="10"/>
    </row>
    <row r="851" ht="14.4" spans="14:31">
      <c r="N851" s="10"/>
      <c r="O851" s="10"/>
      <c r="P851" t="b">
        <v>0</v>
      </c>
      <c r="Q851" t="b">
        <v>0</v>
      </c>
      <c r="R851" s="3"/>
      <c r="S851" s="10"/>
      <c r="T851" s="10"/>
      <c r="U851" s="10"/>
      <c r="V851" s="10"/>
      <c r="W851" s="10"/>
      <c r="X851" s="10"/>
      <c r="Y851" s="10"/>
      <c r="Z851" s="10"/>
      <c r="AA851" s="10"/>
      <c r="AB851" s="10"/>
      <c r="AC851" s="10"/>
      <c r="AD851" s="10"/>
      <c r="AE851" s="10"/>
    </row>
    <row r="852" ht="14.4" spans="14:31">
      <c r="N852" s="10"/>
      <c r="O852" s="10"/>
      <c r="P852" t="b">
        <v>0</v>
      </c>
      <c r="Q852" t="b">
        <v>0</v>
      </c>
      <c r="R852" s="3"/>
      <c r="S852" s="10"/>
      <c r="T852" s="10"/>
      <c r="U852" s="10"/>
      <c r="V852" s="10"/>
      <c r="W852" s="10"/>
      <c r="X852" s="10"/>
      <c r="Y852" s="10"/>
      <c r="Z852" s="10"/>
      <c r="AA852" s="10"/>
      <c r="AB852" s="10"/>
      <c r="AC852" s="10"/>
      <c r="AD852" s="10"/>
      <c r="AE852" s="10"/>
    </row>
    <row r="853" ht="14.4" spans="14:31">
      <c r="N853" s="10"/>
      <c r="O853" s="10"/>
      <c r="P853" t="b">
        <v>0</v>
      </c>
      <c r="Q853" t="b">
        <v>0</v>
      </c>
      <c r="R853" s="3"/>
      <c r="S853" s="10"/>
      <c r="T853" s="10"/>
      <c r="U853" s="10"/>
      <c r="V853" s="10"/>
      <c r="W853" s="10"/>
      <c r="X853" s="10"/>
      <c r="Y853" s="10"/>
      <c r="Z853" s="10"/>
      <c r="AA853" s="10"/>
      <c r="AB853" s="10"/>
      <c r="AC853" s="10"/>
      <c r="AD853" s="10"/>
      <c r="AE853" s="10"/>
    </row>
    <row r="854" ht="14.4" spans="14:31">
      <c r="N854" s="10"/>
      <c r="O854" s="10"/>
      <c r="P854" t="b">
        <v>0</v>
      </c>
      <c r="Q854" t="b">
        <v>0</v>
      </c>
      <c r="R854" s="3"/>
      <c r="S854" s="10"/>
      <c r="T854" s="10"/>
      <c r="U854" s="10"/>
      <c r="V854" s="10"/>
      <c r="W854" s="10"/>
      <c r="X854" s="10"/>
      <c r="Y854" s="10"/>
      <c r="Z854" s="10"/>
      <c r="AA854" s="10"/>
      <c r="AB854" s="10"/>
      <c r="AC854" s="10"/>
      <c r="AD854" s="10"/>
      <c r="AE854" s="10"/>
    </row>
    <row r="855" ht="14.4" spans="14:31">
      <c r="N855" s="10"/>
      <c r="O855" s="10"/>
      <c r="P855" t="b">
        <v>0</v>
      </c>
      <c r="Q855" t="b">
        <v>0</v>
      </c>
      <c r="R855" s="3"/>
      <c r="S855" s="10"/>
      <c r="T855" s="10"/>
      <c r="U855" s="10"/>
      <c r="V855" s="10"/>
      <c r="W855" s="10"/>
      <c r="X855" s="10"/>
      <c r="Y855" s="10"/>
      <c r="Z855" s="10"/>
      <c r="AA855" s="10"/>
      <c r="AB855" s="10"/>
      <c r="AC855" s="10"/>
      <c r="AD855" s="10"/>
      <c r="AE855" s="10"/>
    </row>
    <row r="856" ht="14.4" spans="14:31">
      <c r="N856" s="10"/>
      <c r="O856" s="10"/>
      <c r="P856" t="b">
        <v>0</v>
      </c>
      <c r="Q856" t="b">
        <v>0</v>
      </c>
      <c r="R856" s="3"/>
      <c r="S856" s="10"/>
      <c r="T856" s="10"/>
      <c r="U856" s="10"/>
      <c r="V856" s="10"/>
      <c r="W856" s="10"/>
      <c r="X856" s="10"/>
      <c r="Y856" s="10"/>
      <c r="Z856" s="10"/>
      <c r="AA856" s="10"/>
      <c r="AB856" s="10"/>
      <c r="AC856" s="10"/>
      <c r="AD856" s="10"/>
      <c r="AE856" s="10"/>
    </row>
    <row r="857" ht="14.4" spans="14:31">
      <c r="N857" s="10"/>
      <c r="O857" s="10"/>
      <c r="P857" t="b">
        <v>0</v>
      </c>
      <c r="Q857" t="b">
        <v>0</v>
      </c>
      <c r="R857" s="3"/>
      <c r="S857" s="10"/>
      <c r="T857" s="10"/>
      <c r="U857" s="10"/>
      <c r="V857" s="10"/>
      <c r="W857" s="10"/>
      <c r="X857" s="10"/>
      <c r="Y857" s="10"/>
      <c r="Z857" s="10"/>
      <c r="AA857" s="10"/>
      <c r="AB857" s="10"/>
      <c r="AC857" s="10"/>
      <c r="AD857" s="10"/>
      <c r="AE857" s="10"/>
    </row>
    <row r="858" ht="14.4" spans="14:31">
      <c r="N858" s="10"/>
      <c r="O858" s="10"/>
      <c r="P858" t="b">
        <v>0</v>
      </c>
      <c r="Q858" t="b">
        <v>0</v>
      </c>
      <c r="R858" s="3"/>
      <c r="S858" s="10"/>
      <c r="T858" s="10"/>
      <c r="U858" s="10"/>
      <c r="V858" s="10"/>
      <c r="W858" s="10"/>
      <c r="X858" s="10"/>
      <c r="Y858" s="10"/>
      <c r="Z858" s="10"/>
      <c r="AA858" s="10"/>
      <c r="AB858" s="10"/>
      <c r="AC858" s="10"/>
      <c r="AD858" s="10"/>
      <c r="AE858" s="10"/>
    </row>
    <row r="859" ht="14.4" spans="14:31">
      <c r="N859" s="10"/>
      <c r="O859" s="10"/>
      <c r="P859" t="b">
        <v>0</v>
      </c>
      <c r="Q859" t="b">
        <v>0</v>
      </c>
      <c r="R859" s="3"/>
      <c r="S859" s="10"/>
      <c r="T859" s="10"/>
      <c r="U859" s="10"/>
      <c r="V859" s="10"/>
      <c r="W859" s="10"/>
      <c r="X859" s="10"/>
      <c r="Y859" s="10"/>
      <c r="Z859" s="10"/>
      <c r="AA859" s="10"/>
      <c r="AB859" s="10"/>
      <c r="AC859" s="10"/>
      <c r="AD859" s="10"/>
      <c r="AE859" s="10"/>
    </row>
    <row r="860" ht="14.4" spans="14:31">
      <c r="N860" s="10"/>
      <c r="O860" s="10"/>
      <c r="P860" t="b">
        <v>0</v>
      </c>
      <c r="Q860" t="b">
        <v>0</v>
      </c>
      <c r="R860" s="3"/>
      <c r="S860" s="10"/>
      <c r="T860" s="10"/>
      <c r="U860" s="10"/>
      <c r="V860" s="10"/>
      <c r="W860" s="10"/>
      <c r="X860" s="10"/>
      <c r="Y860" s="10"/>
      <c r="Z860" s="10"/>
      <c r="AA860" s="10"/>
      <c r="AB860" s="10"/>
      <c r="AC860" s="10"/>
      <c r="AD860" s="10"/>
      <c r="AE860" s="10"/>
    </row>
    <row r="861" ht="14.4" spans="14:31">
      <c r="N861" s="10"/>
      <c r="O861" s="10"/>
      <c r="P861" t="b">
        <v>0</v>
      </c>
      <c r="Q861" t="b">
        <v>0</v>
      </c>
      <c r="R861" s="3"/>
      <c r="S861" s="10"/>
      <c r="T861" s="10"/>
      <c r="U861" s="10"/>
      <c r="V861" s="10"/>
      <c r="W861" s="10"/>
      <c r="X861" s="10"/>
      <c r="Y861" s="10"/>
      <c r="Z861" s="10"/>
      <c r="AA861" s="10"/>
      <c r="AB861" s="10"/>
      <c r="AC861" s="10"/>
      <c r="AD861" s="10"/>
      <c r="AE861" s="10"/>
    </row>
    <row r="862" ht="14.4" spans="14:31">
      <c r="N862" s="10"/>
      <c r="O862" s="10"/>
      <c r="P862" t="b">
        <v>0</v>
      </c>
      <c r="Q862" t="b">
        <v>0</v>
      </c>
      <c r="R862" s="3"/>
      <c r="S862" s="10"/>
      <c r="T862" s="10"/>
      <c r="U862" s="10"/>
      <c r="V862" s="10"/>
      <c r="W862" s="10"/>
      <c r="X862" s="10"/>
      <c r="Y862" s="10"/>
      <c r="Z862" s="10"/>
      <c r="AA862" s="10"/>
      <c r="AB862" s="10"/>
      <c r="AC862" s="10"/>
      <c r="AD862" s="10"/>
      <c r="AE862" s="10"/>
    </row>
    <row r="863" ht="14.4" spans="14:31">
      <c r="N863" s="10"/>
      <c r="O863" s="10"/>
      <c r="P863" t="b">
        <v>0</v>
      </c>
      <c r="Q863" t="b">
        <v>0</v>
      </c>
      <c r="R863" s="3"/>
      <c r="S863" s="10"/>
      <c r="T863" s="10"/>
      <c r="U863" s="10"/>
      <c r="V863" s="10"/>
      <c r="W863" s="10"/>
      <c r="X863" s="10"/>
      <c r="Y863" s="10"/>
      <c r="Z863" s="10"/>
      <c r="AA863" s="10"/>
      <c r="AB863" s="10"/>
      <c r="AC863" s="10"/>
      <c r="AD863" s="10"/>
      <c r="AE863" s="10"/>
    </row>
    <row r="864" ht="14.4" spans="14:31">
      <c r="N864" s="10"/>
      <c r="O864" s="10"/>
      <c r="P864" t="b">
        <v>0</v>
      </c>
      <c r="Q864" t="b">
        <v>0</v>
      </c>
      <c r="R864" s="3"/>
      <c r="S864" s="10"/>
      <c r="T864" s="10"/>
      <c r="U864" s="10"/>
      <c r="V864" s="10"/>
      <c r="W864" s="10"/>
      <c r="X864" s="10"/>
      <c r="Y864" s="10"/>
      <c r="Z864" s="10"/>
      <c r="AA864" s="10"/>
      <c r="AB864" s="10"/>
      <c r="AC864" s="10"/>
      <c r="AD864" s="10"/>
      <c r="AE864" s="10"/>
    </row>
    <row r="865" ht="14.4" spans="14:31">
      <c r="N865" s="10"/>
      <c r="O865" s="10"/>
      <c r="P865" t="b">
        <v>0</v>
      </c>
      <c r="Q865" t="b">
        <v>0</v>
      </c>
      <c r="R865" s="3"/>
      <c r="S865" s="10"/>
      <c r="T865" s="10"/>
      <c r="U865" s="10"/>
      <c r="V865" s="10"/>
      <c r="W865" s="10"/>
      <c r="X865" s="10"/>
      <c r="Y865" s="10"/>
      <c r="Z865" s="10"/>
      <c r="AA865" s="10"/>
      <c r="AB865" s="10"/>
      <c r="AC865" s="10"/>
      <c r="AD865" s="10"/>
      <c r="AE865" s="10"/>
    </row>
    <row r="866" ht="14.4" spans="14:31">
      <c r="N866" s="10"/>
      <c r="O866" s="10"/>
      <c r="P866" t="b">
        <v>0</v>
      </c>
      <c r="Q866" t="b">
        <v>0</v>
      </c>
      <c r="R866" s="3"/>
      <c r="S866" s="10"/>
      <c r="T866" s="10"/>
      <c r="U866" s="10"/>
      <c r="V866" s="10"/>
      <c r="W866" s="10"/>
      <c r="X866" s="10"/>
      <c r="Y866" s="10"/>
      <c r="Z866" s="10"/>
      <c r="AA866" s="10"/>
      <c r="AB866" s="10"/>
      <c r="AC866" s="10"/>
      <c r="AD866" s="10"/>
      <c r="AE866" s="10"/>
    </row>
    <row r="867" ht="14.4" spans="14:31">
      <c r="N867" s="10"/>
      <c r="O867" s="10"/>
      <c r="P867" t="b">
        <v>0</v>
      </c>
      <c r="Q867" t="b">
        <v>0</v>
      </c>
      <c r="R867" s="3"/>
      <c r="S867" s="10"/>
      <c r="T867" s="10"/>
      <c r="U867" s="10"/>
      <c r="V867" s="10"/>
      <c r="W867" s="10"/>
      <c r="X867" s="10"/>
      <c r="Y867" s="10"/>
      <c r="Z867" s="10"/>
      <c r="AA867" s="10"/>
      <c r="AB867" s="10"/>
      <c r="AC867" s="10"/>
      <c r="AD867" s="10"/>
      <c r="AE867" s="10"/>
    </row>
    <row r="868" ht="14.4" spans="14:31">
      <c r="N868" s="10"/>
      <c r="O868" s="10"/>
      <c r="P868" t="b">
        <v>0</v>
      </c>
      <c r="Q868" t="b">
        <v>0</v>
      </c>
      <c r="R868" s="3"/>
      <c r="S868" s="10"/>
      <c r="T868" s="10"/>
      <c r="U868" s="10"/>
      <c r="V868" s="10"/>
      <c r="W868" s="10"/>
      <c r="X868" s="10"/>
      <c r="Y868" s="10"/>
      <c r="Z868" s="10"/>
      <c r="AA868" s="10"/>
      <c r="AB868" s="10"/>
      <c r="AC868" s="10"/>
      <c r="AD868" s="10"/>
      <c r="AE868" s="10"/>
    </row>
    <row r="869" ht="14.4" spans="14:31">
      <c r="N869" s="10"/>
      <c r="O869" s="10"/>
      <c r="P869" t="b">
        <v>0</v>
      </c>
      <c r="Q869" t="b">
        <v>0</v>
      </c>
      <c r="R869" s="3"/>
      <c r="S869" s="10"/>
      <c r="T869" s="10"/>
      <c r="U869" s="10"/>
      <c r="V869" s="10"/>
      <c r="W869" s="10"/>
      <c r="X869" s="10"/>
      <c r="Y869" s="10"/>
      <c r="Z869" s="10"/>
      <c r="AA869" s="10"/>
      <c r="AB869" s="10"/>
      <c r="AC869" s="10"/>
      <c r="AD869" s="10"/>
      <c r="AE869" s="10"/>
    </row>
    <row r="870" ht="14.4" spans="14:31">
      <c r="N870" s="10"/>
      <c r="O870" s="10"/>
      <c r="P870" t="b">
        <v>0</v>
      </c>
      <c r="Q870" t="b">
        <v>0</v>
      </c>
      <c r="R870" s="3"/>
      <c r="S870" s="10"/>
      <c r="T870" s="10"/>
      <c r="U870" s="10"/>
      <c r="V870" s="10"/>
      <c r="W870" s="10"/>
      <c r="X870" s="10"/>
      <c r="Y870" s="10"/>
      <c r="Z870" s="10"/>
      <c r="AA870" s="10"/>
      <c r="AB870" s="10"/>
      <c r="AC870" s="10"/>
      <c r="AD870" s="10"/>
      <c r="AE870" s="10"/>
    </row>
    <row r="871" ht="14.4" spans="14:31">
      <c r="N871" s="10"/>
      <c r="O871" s="10"/>
      <c r="P871" t="b">
        <v>0</v>
      </c>
      <c r="Q871" t="b">
        <v>0</v>
      </c>
      <c r="R871" s="3"/>
      <c r="S871" s="10"/>
      <c r="T871" s="10"/>
      <c r="U871" s="10"/>
      <c r="V871" s="10"/>
      <c r="W871" s="10"/>
      <c r="X871" s="10"/>
      <c r="Y871" s="10"/>
      <c r="Z871" s="10"/>
      <c r="AA871" s="10"/>
      <c r="AB871" s="10"/>
      <c r="AC871" s="10"/>
      <c r="AD871" s="10"/>
      <c r="AE871" s="10"/>
    </row>
    <row r="872" ht="14.4" spans="14:31">
      <c r="N872" s="10"/>
      <c r="O872" s="10"/>
      <c r="P872" t="b">
        <v>0</v>
      </c>
      <c r="Q872" t="b">
        <v>0</v>
      </c>
      <c r="R872" s="3"/>
      <c r="S872" s="10"/>
      <c r="T872" s="10"/>
      <c r="U872" s="10"/>
      <c r="V872" s="10"/>
      <c r="W872" s="10"/>
      <c r="X872" s="10"/>
      <c r="Y872" s="10"/>
      <c r="Z872" s="10"/>
      <c r="AA872" s="10"/>
      <c r="AB872" s="10"/>
      <c r="AC872" s="10"/>
      <c r="AD872" s="10"/>
      <c r="AE872" s="10"/>
    </row>
    <row r="873" ht="14.4" spans="14:31">
      <c r="N873" s="10"/>
      <c r="O873" s="10"/>
      <c r="P873" t="b">
        <v>0</v>
      </c>
      <c r="Q873" t="b">
        <v>0</v>
      </c>
      <c r="R873" s="3"/>
      <c r="S873" s="10"/>
      <c r="T873" s="10"/>
      <c r="U873" s="10"/>
      <c r="V873" s="10"/>
      <c r="W873" s="10"/>
      <c r="X873" s="10"/>
      <c r="Y873" s="10"/>
      <c r="Z873" s="10"/>
      <c r="AA873" s="10"/>
      <c r="AB873" s="10"/>
      <c r="AC873" s="10"/>
      <c r="AD873" s="10"/>
      <c r="AE873" s="10"/>
    </row>
    <row r="874" ht="14.4" spans="14:31">
      <c r="N874" s="10"/>
      <c r="O874" s="10"/>
      <c r="P874" t="b">
        <v>0</v>
      </c>
      <c r="Q874" t="b">
        <v>0</v>
      </c>
      <c r="R874" s="3"/>
      <c r="S874" s="10"/>
      <c r="T874" s="10"/>
      <c r="U874" s="10"/>
      <c r="V874" s="10"/>
      <c r="W874" s="10"/>
      <c r="X874" s="10"/>
      <c r="Y874" s="10"/>
      <c r="Z874" s="10"/>
      <c r="AA874" s="10"/>
      <c r="AB874" s="10"/>
      <c r="AC874" s="10"/>
      <c r="AD874" s="10"/>
      <c r="AE874" s="10"/>
    </row>
    <row r="875" ht="14.4" spans="14:31">
      <c r="N875" s="10"/>
      <c r="O875" s="10"/>
      <c r="P875" t="b">
        <v>0</v>
      </c>
      <c r="Q875" t="b">
        <v>0</v>
      </c>
      <c r="R875" s="3"/>
      <c r="S875" s="10"/>
      <c r="T875" s="10"/>
      <c r="U875" s="10"/>
      <c r="V875" s="10"/>
      <c r="W875" s="10"/>
      <c r="X875" s="10"/>
      <c r="Y875" s="10"/>
      <c r="Z875" s="10"/>
      <c r="AA875" s="10"/>
      <c r="AB875" s="10"/>
      <c r="AC875" s="10"/>
      <c r="AD875" s="10"/>
      <c r="AE875" s="10"/>
    </row>
    <row r="876" ht="14.4" spans="14:31">
      <c r="N876" s="10"/>
      <c r="O876" s="10"/>
      <c r="P876" t="b">
        <v>0</v>
      </c>
      <c r="Q876" t="b">
        <v>0</v>
      </c>
      <c r="R876" s="3"/>
      <c r="S876" s="10"/>
      <c r="T876" s="10"/>
      <c r="U876" s="10"/>
      <c r="V876" s="10"/>
      <c r="W876" s="10"/>
      <c r="X876" s="10"/>
      <c r="Y876" s="10"/>
      <c r="Z876" s="10"/>
      <c r="AA876" s="10"/>
      <c r="AB876" s="10"/>
      <c r="AC876" s="10"/>
      <c r="AD876" s="10"/>
      <c r="AE876" s="10"/>
    </row>
    <row r="877" ht="14.4" spans="14:31">
      <c r="N877" s="10"/>
      <c r="O877" s="10"/>
      <c r="P877" t="b">
        <v>0</v>
      </c>
      <c r="Q877" t="b">
        <v>0</v>
      </c>
      <c r="R877" s="3"/>
      <c r="S877" s="10"/>
      <c r="T877" s="10"/>
      <c r="U877" s="10"/>
      <c r="V877" s="10"/>
      <c r="W877" s="10"/>
      <c r="X877" s="10"/>
      <c r="Y877" s="10"/>
      <c r="Z877" s="10"/>
      <c r="AA877" s="10"/>
      <c r="AB877" s="10"/>
      <c r="AC877" s="10"/>
      <c r="AD877" s="10"/>
      <c r="AE877" s="10"/>
    </row>
    <row r="878" ht="14.4" spans="14:31">
      <c r="N878" s="10"/>
      <c r="O878" s="10"/>
      <c r="P878" t="b">
        <v>0</v>
      </c>
      <c r="Q878" t="b">
        <v>0</v>
      </c>
      <c r="R878" s="3"/>
      <c r="S878" s="10"/>
      <c r="T878" s="10"/>
      <c r="U878" s="10"/>
      <c r="V878" s="10"/>
      <c r="W878" s="10"/>
      <c r="X878" s="10"/>
      <c r="Y878" s="10"/>
      <c r="Z878" s="10"/>
      <c r="AA878" s="10"/>
      <c r="AB878" s="10"/>
      <c r="AC878" s="10"/>
      <c r="AD878" s="10"/>
      <c r="AE878" s="10"/>
    </row>
    <row r="879" ht="14.4" spans="14:31">
      <c r="N879" s="10"/>
      <c r="O879" s="10"/>
      <c r="P879" t="b">
        <v>0</v>
      </c>
      <c r="Q879" t="b">
        <v>0</v>
      </c>
      <c r="R879" s="3"/>
      <c r="S879" s="10"/>
      <c r="T879" s="10"/>
      <c r="U879" s="10"/>
      <c r="V879" s="10"/>
      <c r="W879" s="10"/>
      <c r="X879" s="10"/>
      <c r="Y879" s="10"/>
      <c r="Z879" s="10"/>
      <c r="AA879" s="10"/>
      <c r="AB879" s="10"/>
      <c r="AC879" s="10"/>
      <c r="AD879" s="10"/>
      <c r="AE879" s="10"/>
    </row>
    <row r="880" ht="14.4" spans="14:31">
      <c r="N880" s="10"/>
      <c r="O880" s="10"/>
      <c r="P880" t="b">
        <v>0</v>
      </c>
      <c r="Q880" t="b">
        <v>0</v>
      </c>
      <c r="R880" s="3"/>
      <c r="S880" s="10"/>
      <c r="T880" s="10"/>
      <c r="U880" s="10"/>
      <c r="V880" s="10"/>
      <c r="W880" s="10"/>
      <c r="X880" s="10"/>
      <c r="Y880" s="10"/>
      <c r="Z880" s="10"/>
      <c r="AA880" s="10"/>
      <c r="AB880" s="10"/>
      <c r="AC880" s="10"/>
      <c r="AD880" s="10"/>
      <c r="AE880" s="10"/>
    </row>
    <row r="881" ht="14.4" spans="14:31">
      <c r="N881" s="10"/>
      <c r="O881" s="10"/>
      <c r="P881" t="b">
        <v>0</v>
      </c>
      <c r="Q881" t="b">
        <v>0</v>
      </c>
      <c r="R881" s="3"/>
      <c r="S881" s="10"/>
      <c r="T881" s="10"/>
      <c r="U881" s="10"/>
      <c r="V881" s="10"/>
      <c r="W881" s="10"/>
      <c r="X881" s="10"/>
      <c r="Y881" s="10"/>
      <c r="Z881" s="10"/>
      <c r="AA881" s="10"/>
      <c r="AB881" s="10"/>
      <c r="AC881" s="10"/>
      <c r="AD881" s="10"/>
      <c r="AE881" s="10"/>
    </row>
    <row r="882" ht="14.4" spans="14:31">
      <c r="N882" s="10"/>
      <c r="O882" s="10"/>
      <c r="P882" t="b">
        <v>0</v>
      </c>
      <c r="Q882" t="b">
        <v>0</v>
      </c>
      <c r="R882" s="3"/>
      <c r="S882" s="10"/>
      <c r="T882" s="10"/>
      <c r="U882" s="10"/>
      <c r="V882" s="10"/>
      <c r="W882" s="10"/>
      <c r="X882" s="10"/>
      <c r="Y882" s="10"/>
      <c r="Z882" s="10"/>
      <c r="AA882" s="10"/>
      <c r="AB882" s="10"/>
      <c r="AC882" s="10"/>
      <c r="AD882" s="10"/>
      <c r="AE882" s="10"/>
    </row>
    <row r="883" ht="14.4" spans="14:31">
      <c r="N883" s="10"/>
      <c r="O883" s="10"/>
      <c r="P883" t="b">
        <v>0</v>
      </c>
      <c r="Q883" t="b">
        <v>0</v>
      </c>
      <c r="R883" s="3"/>
      <c r="S883" s="10"/>
      <c r="T883" s="10"/>
      <c r="U883" s="10"/>
      <c r="V883" s="10"/>
      <c r="W883" s="10"/>
      <c r="X883" s="10"/>
      <c r="Y883" s="10"/>
      <c r="Z883" s="10"/>
      <c r="AA883" s="10"/>
      <c r="AB883" s="10"/>
      <c r="AC883" s="10"/>
      <c r="AD883" s="10"/>
      <c r="AE883" s="10"/>
    </row>
    <row r="884" ht="14.4" spans="14:31">
      <c r="N884" s="10"/>
      <c r="O884" s="10"/>
      <c r="P884" t="b">
        <v>0</v>
      </c>
      <c r="Q884" t="b">
        <v>0</v>
      </c>
      <c r="R884" s="3"/>
      <c r="S884" s="10"/>
      <c r="T884" s="10"/>
      <c r="U884" s="10"/>
      <c r="V884" s="10"/>
      <c r="W884" s="10"/>
      <c r="X884" s="10"/>
      <c r="Y884" s="10"/>
      <c r="Z884" s="10"/>
      <c r="AA884" s="10"/>
      <c r="AB884" s="10"/>
      <c r="AC884" s="10"/>
      <c r="AD884" s="10"/>
      <c r="AE884" s="10"/>
    </row>
    <row r="885" ht="14.4" spans="14:31">
      <c r="N885" s="10"/>
      <c r="O885" s="10"/>
      <c r="P885" t="b">
        <v>0</v>
      </c>
      <c r="Q885" t="b">
        <v>0</v>
      </c>
      <c r="R885" s="3"/>
      <c r="S885" s="10"/>
      <c r="T885" s="10"/>
      <c r="U885" s="10"/>
      <c r="V885" s="10"/>
      <c r="W885" s="10"/>
      <c r="X885" s="10"/>
      <c r="Y885" s="10"/>
      <c r="Z885" s="10"/>
      <c r="AA885" s="10"/>
      <c r="AB885" s="10"/>
      <c r="AC885" s="10"/>
      <c r="AD885" s="10"/>
      <c r="AE885" s="10"/>
    </row>
    <row r="886" ht="14.4" spans="14:31">
      <c r="N886" s="10"/>
      <c r="O886" s="10"/>
      <c r="P886" t="b">
        <v>0</v>
      </c>
      <c r="Q886" t="b">
        <v>0</v>
      </c>
      <c r="R886" s="3"/>
      <c r="S886" s="10"/>
      <c r="T886" s="10"/>
      <c r="U886" s="10"/>
      <c r="V886" s="10"/>
      <c r="W886" s="10"/>
      <c r="X886" s="10"/>
      <c r="Y886" s="10"/>
      <c r="Z886" s="10"/>
      <c r="AA886" s="10"/>
      <c r="AB886" s="10"/>
      <c r="AC886" s="10"/>
      <c r="AD886" s="10"/>
      <c r="AE886" s="10"/>
    </row>
    <row r="887" ht="14.4" spans="14:31">
      <c r="N887" s="10"/>
      <c r="O887" s="10"/>
      <c r="P887" t="b">
        <v>0</v>
      </c>
      <c r="Q887" t="b">
        <v>0</v>
      </c>
      <c r="R887" s="3"/>
      <c r="S887" s="10"/>
      <c r="T887" s="10"/>
      <c r="U887" s="10"/>
      <c r="V887" s="10"/>
      <c r="W887" s="10"/>
      <c r="X887" s="10"/>
      <c r="Y887" s="10"/>
      <c r="Z887" s="10"/>
      <c r="AA887" s="10"/>
      <c r="AB887" s="10"/>
      <c r="AC887" s="10"/>
      <c r="AD887" s="10"/>
      <c r="AE887" s="10"/>
    </row>
    <row r="888" ht="14.4" spans="14:31">
      <c r="N888" s="10"/>
      <c r="O888" s="10"/>
      <c r="P888" t="b">
        <v>0</v>
      </c>
      <c r="Q888" t="b">
        <v>0</v>
      </c>
      <c r="R888" s="3"/>
      <c r="S888" s="10"/>
      <c r="T888" s="10"/>
      <c r="U888" s="10"/>
      <c r="V888" s="10"/>
      <c r="W888" s="10"/>
      <c r="X888" s="10"/>
      <c r="Y888" s="10"/>
      <c r="Z888" s="10"/>
      <c r="AA888" s="10"/>
      <c r="AB888" s="10"/>
      <c r="AC888" s="10"/>
      <c r="AD888" s="10"/>
      <c r="AE888" s="10"/>
    </row>
    <row r="889" ht="14.4" spans="14:31">
      <c r="N889" s="10"/>
      <c r="O889" s="10"/>
      <c r="P889" t="b">
        <v>0</v>
      </c>
      <c r="Q889" t="b">
        <v>0</v>
      </c>
      <c r="R889" s="3"/>
      <c r="S889" s="10"/>
      <c r="T889" s="10"/>
      <c r="U889" s="10"/>
      <c r="V889" s="10"/>
      <c r="W889" s="10"/>
      <c r="X889" s="10"/>
      <c r="Y889" s="10"/>
      <c r="Z889" s="10"/>
      <c r="AA889" s="10"/>
      <c r="AB889" s="10"/>
      <c r="AC889" s="10"/>
      <c r="AD889" s="10"/>
      <c r="AE889" s="10"/>
    </row>
    <row r="890" ht="14.4" spans="14:31">
      <c r="N890" s="10"/>
      <c r="O890" s="10"/>
      <c r="P890" t="b">
        <v>0</v>
      </c>
      <c r="Q890" t="b">
        <v>0</v>
      </c>
      <c r="R890" s="3"/>
      <c r="S890" s="10"/>
      <c r="T890" s="10"/>
      <c r="U890" s="10"/>
      <c r="V890" s="10"/>
      <c r="W890" s="10"/>
      <c r="X890" s="10"/>
      <c r="Y890" s="10"/>
      <c r="Z890" s="10"/>
      <c r="AA890" s="10"/>
      <c r="AB890" s="10"/>
      <c r="AC890" s="10"/>
      <c r="AD890" s="10"/>
      <c r="AE890" s="10"/>
    </row>
    <row r="891" ht="14.4" spans="14:31">
      <c r="N891" s="10"/>
      <c r="O891" s="10"/>
      <c r="P891" t="b">
        <v>0</v>
      </c>
      <c r="Q891" t="b">
        <v>0</v>
      </c>
      <c r="R891" s="3"/>
      <c r="S891" s="10"/>
      <c r="T891" s="10"/>
      <c r="U891" s="10"/>
      <c r="V891" s="10"/>
      <c r="W891" s="10"/>
      <c r="X891" s="10"/>
      <c r="Y891" s="10"/>
      <c r="Z891" s="10"/>
      <c r="AA891" s="10"/>
      <c r="AB891" s="10"/>
      <c r="AC891" s="10"/>
      <c r="AD891" s="10"/>
      <c r="AE891" s="10"/>
    </row>
    <row r="892" ht="14.4" spans="14:31">
      <c r="N892" s="10"/>
      <c r="O892" s="10"/>
      <c r="P892" t="b">
        <v>0</v>
      </c>
      <c r="Q892" t="b">
        <v>0</v>
      </c>
      <c r="R892" s="3"/>
      <c r="S892" s="10"/>
      <c r="T892" s="10"/>
      <c r="U892" s="10"/>
      <c r="V892" s="10"/>
      <c r="W892" s="10"/>
      <c r="X892" s="10"/>
      <c r="Y892" s="10"/>
      <c r="Z892" s="10"/>
      <c r="AA892" s="10"/>
      <c r="AB892" s="10"/>
      <c r="AC892" s="10"/>
      <c r="AD892" s="10"/>
      <c r="AE892" s="10"/>
    </row>
    <row r="893" ht="14.4" spans="14:31">
      <c r="N893" s="10"/>
      <c r="O893" s="10"/>
      <c r="P893" t="b">
        <v>0</v>
      </c>
      <c r="Q893" t="b">
        <v>0</v>
      </c>
      <c r="R893" s="3"/>
      <c r="S893" s="10"/>
      <c r="T893" s="10"/>
      <c r="U893" s="10"/>
      <c r="V893" s="10"/>
      <c r="W893" s="10"/>
      <c r="X893" s="10"/>
      <c r="Y893" s="10"/>
      <c r="Z893" s="10"/>
      <c r="AA893" s="10"/>
      <c r="AB893" s="10"/>
      <c r="AC893" s="10"/>
      <c r="AD893" s="10"/>
      <c r="AE893" s="10"/>
    </row>
    <row r="894" ht="14.4" spans="14:31">
      <c r="N894" s="10"/>
      <c r="O894" s="10"/>
      <c r="P894" t="b">
        <v>0</v>
      </c>
      <c r="Q894" t="b">
        <v>0</v>
      </c>
      <c r="R894" s="3"/>
      <c r="S894" s="10"/>
      <c r="T894" s="10"/>
      <c r="U894" s="10"/>
      <c r="V894" s="10"/>
      <c r="W894" s="10"/>
      <c r="X894" s="10"/>
      <c r="Y894" s="10"/>
      <c r="Z894" s="10"/>
      <c r="AA894" s="10"/>
      <c r="AB894" s="10"/>
      <c r="AC894" s="10"/>
      <c r="AD894" s="10"/>
      <c r="AE894" s="10"/>
    </row>
    <row r="895" ht="14.4" spans="14:31">
      <c r="N895" s="10"/>
      <c r="O895" s="10"/>
      <c r="P895" t="b">
        <v>0</v>
      </c>
      <c r="Q895" t="b">
        <v>0</v>
      </c>
      <c r="R895" s="3"/>
      <c r="S895" s="10"/>
      <c r="T895" s="10"/>
      <c r="U895" s="10"/>
      <c r="V895" s="10"/>
      <c r="W895" s="10"/>
      <c r="X895" s="10"/>
      <c r="Y895" s="10"/>
      <c r="Z895" s="10"/>
      <c r="AA895" s="10"/>
      <c r="AB895" s="10"/>
      <c r="AC895" s="10"/>
      <c r="AD895" s="10"/>
      <c r="AE895" s="10"/>
    </row>
    <row r="896" ht="14.4" spans="14:31">
      <c r="N896" s="10"/>
      <c r="O896" s="10"/>
      <c r="P896" t="b">
        <v>0</v>
      </c>
      <c r="Q896" t="b">
        <v>0</v>
      </c>
      <c r="R896" s="3"/>
      <c r="S896" s="10"/>
      <c r="T896" s="10"/>
      <c r="U896" s="10"/>
      <c r="V896" s="10"/>
      <c r="W896" s="10"/>
      <c r="X896" s="10"/>
      <c r="Y896" s="10"/>
      <c r="Z896" s="10"/>
      <c r="AA896" s="10"/>
      <c r="AB896" s="10"/>
      <c r="AC896" s="10"/>
      <c r="AD896" s="10"/>
      <c r="AE896" s="10"/>
    </row>
    <row r="897" ht="14.4" spans="14:31">
      <c r="N897" s="10"/>
      <c r="O897" s="10"/>
      <c r="P897" t="b">
        <v>0</v>
      </c>
      <c r="Q897" t="b">
        <v>0</v>
      </c>
      <c r="R897" s="3"/>
      <c r="S897" s="10"/>
      <c r="T897" s="10"/>
      <c r="U897" s="10"/>
      <c r="V897" s="10"/>
      <c r="W897" s="10"/>
      <c r="X897" s="10"/>
      <c r="Y897" s="10"/>
      <c r="Z897" s="10"/>
      <c r="AA897" s="10"/>
      <c r="AB897" s="10"/>
      <c r="AC897" s="10"/>
      <c r="AD897" s="10"/>
      <c r="AE897" s="10"/>
    </row>
    <row r="898" ht="14.4" spans="14:31">
      <c r="N898" s="10"/>
      <c r="O898" s="10"/>
      <c r="P898" t="b">
        <v>0</v>
      </c>
      <c r="Q898" t="b">
        <v>0</v>
      </c>
      <c r="R898" s="3"/>
      <c r="S898" s="10"/>
      <c r="T898" s="10"/>
      <c r="U898" s="10"/>
      <c r="V898" s="10"/>
      <c r="W898" s="10"/>
      <c r="X898" s="10"/>
      <c r="Y898" s="10"/>
      <c r="Z898" s="10"/>
      <c r="AA898" s="10"/>
      <c r="AB898" s="10"/>
      <c r="AC898" s="10"/>
      <c r="AD898" s="10"/>
      <c r="AE898" s="10"/>
    </row>
    <row r="899" ht="14.4" spans="14:31">
      <c r="N899" s="10"/>
      <c r="O899" s="10"/>
      <c r="P899" t="b">
        <v>0</v>
      </c>
      <c r="Q899" t="b">
        <v>0</v>
      </c>
      <c r="R899" s="3"/>
      <c r="S899" s="10"/>
      <c r="T899" s="10"/>
      <c r="U899" s="10"/>
      <c r="V899" s="10"/>
      <c r="W899" s="10"/>
      <c r="X899" s="10"/>
      <c r="Y899" s="10"/>
      <c r="Z899" s="10"/>
      <c r="AA899" s="10"/>
      <c r="AB899" s="10"/>
      <c r="AC899" s="10"/>
      <c r="AD899" s="10"/>
      <c r="AE899" s="10"/>
    </row>
    <row r="900" ht="14.4" spans="14:31">
      <c r="N900" s="10"/>
      <c r="O900" s="10"/>
      <c r="P900" t="b">
        <v>0</v>
      </c>
      <c r="Q900" t="b">
        <v>0</v>
      </c>
      <c r="R900" s="3"/>
      <c r="S900" s="10"/>
      <c r="T900" s="10"/>
      <c r="U900" s="10"/>
      <c r="V900" s="10"/>
      <c r="W900" s="10"/>
      <c r="X900" s="10"/>
      <c r="Y900" s="10"/>
      <c r="Z900" s="10"/>
      <c r="AA900" s="10"/>
      <c r="AB900" s="10"/>
      <c r="AC900" s="10"/>
      <c r="AD900" s="10"/>
      <c r="AE900" s="10"/>
    </row>
    <row r="901" ht="14.4" spans="14:31">
      <c r="N901" s="10"/>
      <c r="O901" s="10"/>
      <c r="P901" t="b">
        <v>0</v>
      </c>
      <c r="Q901" t="b">
        <v>0</v>
      </c>
      <c r="R901" s="3"/>
      <c r="S901" s="10"/>
      <c r="T901" s="10"/>
      <c r="U901" s="10"/>
      <c r="V901" s="10"/>
      <c r="W901" s="10"/>
      <c r="X901" s="10"/>
      <c r="Y901" s="10"/>
      <c r="Z901" s="10"/>
      <c r="AA901" s="10"/>
      <c r="AB901" s="10"/>
      <c r="AC901" s="10"/>
      <c r="AD901" s="10"/>
      <c r="AE901" s="10"/>
    </row>
    <row r="902" ht="14.4" spans="14:31">
      <c r="N902" s="10"/>
      <c r="O902" s="10"/>
      <c r="P902" t="b">
        <v>0</v>
      </c>
      <c r="Q902" t="b">
        <v>0</v>
      </c>
      <c r="R902" s="3"/>
      <c r="S902" s="10"/>
      <c r="T902" s="10"/>
      <c r="U902" s="10"/>
      <c r="V902" s="10"/>
      <c r="W902" s="10"/>
      <c r="X902" s="10"/>
      <c r="Y902" s="10"/>
      <c r="Z902" s="10"/>
      <c r="AA902" s="10"/>
      <c r="AB902" s="10"/>
      <c r="AC902" s="10"/>
      <c r="AD902" s="10"/>
      <c r="AE902" s="10"/>
    </row>
    <row r="903" ht="14.4" spans="14:31">
      <c r="N903" s="10"/>
      <c r="O903" s="10"/>
      <c r="P903" t="b">
        <v>0</v>
      </c>
      <c r="Q903" t="b">
        <v>0</v>
      </c>
      <c r="R903" s="3"/>
      <c r="S903" s="10"/>
      <c r="T903" s="10"/>
      <c r="U903" s="10"/>
      <c r="V903" s="10"/>
      <c r="W903" s="10"/>
      <c r="X903" s="10"/>
      <c r="Y903" s="10"/>
      <c r="Z903" s="10"/>
      <c r="AA903" s="10"/>
      <c r="AB903" s="10"/>
      <c r="AC903" s="10"/>
      <c r="AD903" s="10"/>
      <c r="AE903" s="10"/>
    </row>
    <row r="904" ht="14.4" spans="14:31">
      <c r="N904" s="10"/>
      <c r="O904" s="10"/>
      <c r="P904" t="b">
        <v>0</v>
      </c>
      <c r="Q904" t="b">
        <v>0</v>
      </c>
      <c r="R904" s="3"/>
      <c r="S904" s="10"/>
      <c r="T904" s="10"/>
      <c r="U904" s="10"/>
      <c r="V904" s="10"/>
      <c r="W904" s="10"/>
      <c r="X904" s="10"/>
      <c r="Y904" s="10"/>
      <c r="Z904" s="10"/>
      <c r="AA904" s="10"/>
      <c r="AB904" s="10"/>
      <c r="AC904" s="10"/>
      <c r="AD904" s="10"/>
      <c r="AE904" s="10"/>
    </row>
    <row r="905" ht="14.4" spans="14:31">
      <c r="N905" s="10"/>
      <c r="O905" s="10"/>
      <c r="P905" t="b">
        <v>0</v>
      </c>
      <c r="Q905" t="b">
        <v>0</v>
      </c>
      <c r="R905" s="3"/>
      <c r="S905" s="10"/>
      <c r="T905" s="10"/>
      <c r="U905" s="10"/>
      <c r="V905" s="10"/>
      <c r="W905" s="10"/>
      <c r="X905" s="10"/>
      <c r="Y905" s="10"/>
      <c r="Z905" s="10"/>
      <c r="AA905" s="10"/>
      <c r="AB905" s="10"/>
      <c r="AC905" s="10"/>
      <c r="AD905" s="10"/>
      <c r="AE905" s="10"/>
    </row>
    <row r="906" ht="14.4" spans="14:31">
      <c r="N906" s="10"/>
      <c r="O906" s="10"/>
      <c r="P906" t="b">
        <v>0</v>
      </c>
      <c r="Q906" t="b">
        <v>0</v>
      </c>
      <c r="R906" s="3"/>
      <c r="S906" s="10"/>
      <c r="T906" s="10"/>
      <c r="U906" s="10"/>
      <c r="V906" s="10"/>
      <c r="W906" s="10"/>
      <c r="X906" s="10"/>
      <c r="Y906" s="10"/>
      <c r="Z906" s="10"/>
      <c r="AA906" s="10"/>
      <c r="AB906" s="10"/>
      <c r="AC906" s="10"/>
      <c r="AD906" s="10"/>
      <c r="AE906" s="10"/>
    </row>
    <row r="907" ht="14.4" spans="14:31">
      <c r="N907" s="10"/>
      <c r="O907" s="10"/>
      <c r="P907" t="b">
        <v>0</v>
      </c>
      <c r="Q907" t="b">
        <v>0</v>
      </c>
      <c r="R907" s="3"/>
      <c r="S907" s="10"/>
      <c r="T907" s="10"/>
      <c r="U907" s="10"/>
      <c r="V907" s="10"/>
      <c r="W907" s="10"/>
      <c r="X907" s="10"/>
      <c r="Y907" s="10"/>
      <c r="Z907" s="10"/>
      <c r="AA907" s="10"/>
      <c r="AB907" s="10"/>
      <c r="AC907" s="10"/>
      <c r="AD907" s="10"/>
      <c r="AE907" s="10"/>
    </row>
    <row r="908" ht="14.4" spans="14:31">
      <c r="N908" s="10"/>
      <c r="O908" s="10"/>
      <c r="P908" t="b">
        <v>0</v>
      </c>
      <c r="Q908" t="b">
        <v>0</v>
      </c>
      <c r="R908" s="3"/>
      <c r="S908" s="10"/>
      <c r="T908" s="10"/>
      <c r="U908" s="10"/>
      <c r="V908" s="10"/>
      <c r="W908" s="10"/>
      <c r="X908" s="10"/>
      <c r="Y908" s="10"/>
      <c r="Z908" s="10"/>
      <c r="AA908" s="10"/>
      <c r="AB908" s="10"/>
      <c r="AC908" s="10"/>
      <c r="AD908" s="10"/>
      <c r="AE908" s="10"/>
    </row>
    <row r="909" ht="14.4" spans="14:31">
      <c r="N909" s="10"/>
      <c r="O909" s="10"/>
      <c r="P909" t="b">
        <v>0</v>
      </c>
      <c r="Q909" t="b">
        <v>0</v>
      </c>
      <c r="R909" s="3"/>
      <c r="S909" s="10"/>
      <c r="T909" s="10"/>
      <c r="U909" s="10"/>
      <c r="V909" s="10"/>
      <c r="W909" s="10"/>
      <c r="X909" s="10"/>
      <c r="Y909" s="10"/>
      <c r="Z909" s="10"/>
      <c r="AA909" s="10"/>
      <c r="AB909" s="10"/>
      <c r="AC909" s="10"/>
      <c r="AD909" s="10"/>
      <c r="AE909" s="10"/>
    </row>
    <row r="910" ht="14.4" spans="14:31">
      <c r="N910" s="10"/>
      <c r="O910" s="10"/>
      <c r="P910" t="b">
        <v>0</v>
      </c>
      <c r="Q910" t="b">
        <v>0</v>
      </c>
      <c r="R910" s="3"/>
      <c r="S910" s="10"/>
      <c r="T910" s="10"/>
      <c r="U910" s="10"/>
      <c r="V910" s="10"/>
      <c r="W910" s="10"/>
      <c r="X910" s="10"/>
      <c r="Y910" s="10"/>
      <c r="Z910" s="10"/>
      <c r="AA910" s="10"/>
      <c r="AB910" s="10"/>
      <c r="AC910" s="10"/>
      <c r="AD910" s="10"/>
      <c r="AE910" s="10"/>
    </row>
    <row r="911" ht="14.4" spans="14:31">
      <c r="N911" s="10"/>
      <c r="O911" s="10"/>
      <c r="P911" t="b">
        <v>0</v>
      </c>
      <c r="Q911" t="b">
        <v>0</v>
      </c>
      <c r="R911" s="3"/>
      <c r="S911" s="10"/>
      <c r="T911" s="10"/>
      <c r="U911" s="10"/>
      <c r="V911" s="10"/>
      <c r="W911" s="10"/>
      <c r="X911" s="10"/>
      <c r="Y911" s="10"/>
      <c r="Z911" s="10"/>
      <c r="AA911" s="10"/>
      <c r="AB911" s="10"/>
      <c r="AC911" s="10"/>
      <c r="AD911" s="10"/>
      <c r="AE911" s="10"/>
    </row>
    <row r="912" ht="14.4" spans="14:31">
      <c r="N912" s="10"/>
      <c r="O912" s="10"/>
      <c r="P912" t="b">
        <v>0</v>
      </c>
      <c r="Q912" t="b">
        <v>0</v>
      </c>
      <c r="R912" s="3"/>
      <c r="S912" s="10"/>
      <c r="T912" s="10"/>
      <c r="U912" s="10"/>
      <c r="V912" s="10"/>
      <c r="W912" s="10"/>
      <c r="X912" s="10"/>
      <c r="Y912" s="10"/>
      <c r="Z912" s="10"/>
      <c r="AA912" s="10"/>
      <c r="AB912" s="10"/>
      <c r="AC912" s="10"/>
      <c r="AD912" s="10"/>
      <c r="AE912" s="10"/>
    </row>
    <row r="913" ht="14.4" spans="14:31">
      <c r="N913" s="10"/>
      <c r="O913" s="10"/>
      <c r="P913" t="b">
        <v>0</v>
      </c>
      <c r="Q913" t="b">
        <v>0</v>
      </c>
      <c r="R913" s="3"/>
      <c r="S913" s="10"/>
      <c r="T913" s="10"/>
      <c r="U913" s="10"/>
      <c r="V913" s="10"/>
      <c r="W913" s="10"/>
      <c r="X913" s="10"/>
      <c r="Y913" s="10"/>
      <c r="Z913" s="10"/>
      <c r="AA913" s="10"/>
      <c r="AB913" s="10"/>
      <c r="AC913" s="10"/>
      <c r="AD913" s="10"/>
      <c r="AE913" s="10"/>
    </row>
    <row r="914" ht="14.4" spans="14:31">
      <c r="N914" s="10"/>
      <c r="O914" s="10"/>
      <c r="P914" t="b">
        <v>0</v>
      </c>
      <c r="Q914" t="b">
        <v>0</v>
      </c>
      <c r="R914" s="3"/>
      <c r="S914" s="10"/>
      <c r="T914" s="10"/>
      <c r="U914" s="10"/>
      <c r="V914" s="10"/>
      <c r="W914" s="10"/>
      <c r="X914" s="10"/>
      <c r="Y914" s="10"/>
      <c r="Z914" s="10"/>
      <c r="AA914" s="10"/>
      <c r="AB914" s="10"/>
      <c r="AC914" s="10"/>
      <c r="AD914" s="10"/>
      <c r="AE914" s="10"/>
    </row>
    <row r="915" ht="14.4" spans="14:31">
      <c r="N915" s="10"/>
      <c r="O915" s="10"/>
      <c r="P915" t="b">
        <v>0</v>
      </c>
      <c r="Q915" t="b">
        <v>0</v>
      </c>
      <c r="R915" s="3"/>
      <c r="S915" s="10"/>
      <c r="T915" s="10"/>
      <c r="U915" s="10"/>
      <c r="V915" s="10"/>
      <c r="W915" s="10"/>
      <c r="X915" s="10"/>
      <c r="Y915" s="10"/>
      <c r="Z915" s="10"/>
      <c r="AA915" s="10"/>
      <c r="AB915" s="10"/>
      <c r="AC915" s="10"/>
      <c r="AD915" s="10"/>
      <c r="AE915" s="10"/>
    </row>
    <row r="916" ht="14.4" spans="14:31">
      <c r="N916" s="10"/>
      <c r="O916" s="10"/>
      <c r="P916" t="b">
        <v>0</v>
      </c>
      <c r="Q916" t="b">
        <v>0</v>
      </c>
      <c r="R916" s="3"/>
      <c r="S916" s="10"/>
      <c r="T916" s="10"/>
      <c r="U916" s="10"/>
      <c r="V916" s="10"/>
      <c r="W916" s="10"/>
      <c r="X916" s="10"/>
      <c r="Y916" s="10"/>
      <c r="Z916" s="10"/>
      <c r="AA916" s="10"/>
      <c r="AB916" s="10"/>
      <c r="AC916" s="10"/>
      <c r="AD916" s="10"/>
      <c r="AE916" s="10"/>
    </row>
    <row r="917" ht="14.4" spans="14:31">
      <c r="N917" s="10"/>
      <c r="O917" s="10"/>
      <c r="P917" t="b">
        <v>0</v>
      </c>
      <c r="Q917" t="b">
        <v>0</v>
      </c>
      <c r="R917" s="3"/>
      <c r="S917" s="10"/>
      <c r="T917" s="10"/>
      <c r="U917" s="10"/>
      <c r="V917" s="10"/>
      <c r="W917" s="10"/>
      <c r="X917" s="10"/>
      <c r="Y917" s="10"/>
      <c r="Z917" s="10"/>
      <c r="AA917" s="10"/>
      <c r="AB917" s="10"/>
      <c r="AC917" s="10"/>
      <c r="AD917" s="10"/>
      <c r="AE917" s="10"/>
    </row>
    <row r="918" ht="14.4" spans="14:31">
      <c r="N918" s="10"/>
      <c r="O918" s="10"/>
      <c r="P918" t="b">
        <v>0</v>
      </c>
      <c r="Q918" t="b">
        <v>0</v>
      </c>
      <c r="R918" s="3"/>
      <c r="S918" s="10"/>
      <c r="T918" s="10"/>
      <c r="U918" s="10"/>
      <c r="V918" s="10"/>
      <c r="W918" s="10"/>
      <c r="X918" s="10"/>
      <c r="Y918" s="10"/>
      <c r="Z918" s="10"/>
      <c r="AA918" s="10"/>
      <c r="AB918" s="10"/>
      <c r="AC918" s="10"/>
      <c r="AD918" s="10"/>
      <c r="AE918" s="10"/>
    </row>
    <row r="919" ht="14.4" spans="14:31">
      <c r="N919" s="10"/>
      <c r="O919" s="10"/>
      <c r="P919" t="b">
        <v>0</v>
      </c>
      <c r="Q919" t="b">
        <v>0</v>
      </c>
      <c r="R919" s="3"/>
      <c r="S919" s="10"/>
      <c r="T919" s="10"/>
      <c r="U919" s="10"/>
      <c r="V919" s="10"/>
      <c r="W919" s="10"/>
      <c r="X919" s="10"/>
      <c r="Y919" s="10"/>
      <c r="Z919" s="10"/>
      <c r="AA919" s="10"/>
      <c r="AB919" s="10"/>
      <c r="AC919" s="10"/>
      <c r="AD919" s="10"/>
      <c r="AE919" s="10"/>
    </row>
    <row r="920" ht="14.4" spans="14:31">
      <c r="N920" s="10"/>
      <c r="O920" s="10"/>
      <c r="P920" t="b">
        <v>0</v>
      </c>
      <c r="Q920" t="b">
        <v>0</v>
      </c>
      <c r="R920" s="3"/>
      <c r="S920" s="10"/>
      <c r="T920" s="10"/>
      <c r="U920" s="10"/>
      <c r="V920" s="10"/>
      <c r="W920" s="10"/>
      <c r="X920" s="10"/>
      <c r="Y920" s="10"/>
      <c r="Z920" s="10"/>
      <c r="AA920" s="10"/>
      <c r="AB920" s="10"/>
      <c r="AC920" s="10"/>
      <c r="AD920" s="10"/>
      <c r="AE920" s="10"/>
    </row>
    <row r="921" ht="14.4" spans="14:31">
      <c r="N921" s="10"/>
      <c r="O921" s="10"/>
      <c r="P921" t="b">
        <v>0</v>
      </c>
      <c r="Q921" t="b">
        <v>0</v>
      </c>
      <c r="R921" s="3"/>
      <c r="S921" s="10"/>
      <c r="T921" s="10"/>
      <c r="U921" s="10"/>
      <c r="V921" s="10"/>
      <c r="W921" s="10"/>
      <c r="X921" s="10"/>
      <c r="Y921" s="10"/>
      <c r="Z921" s="10"/>
      <c r="AA921" s="10"/>
      <c r="AB921" s="10"/>
      <c r="AC921" s="10"/>
      <c r="AD921" s="10"/>
      <c r="AE921" s="10"/>
    </row>
    <row r="922" ht="14.4" spans="14:31">
      <c r="N922" s="10"/>
      <c r="O922" s="10"/>
      <c r="P922" t="b">
        <v>0</v>
      </c>
      <c r="Q922" t="b">
        <v>0</v>
      </c>
      <c r="R922" s="3"/>
      <c r="S922" s="10"/>
      <c r="T922" s="10"/>
      <c r="U922" s="10"/>
      <c r="V922" s="10"/>
      <c r="W922" s="10"/>
      <c r="X922" s="10"/>
      <c r="Y922" s="10"/>
      <c r="Z922" s="10"/>
      <c r="AA922" s="10"/>
      <c r="AB922" s="10"/>
      <c r="AC922" s="10"/>
      <c r="AD922" s="10"/>
      <c r="AE922" s="10"/>
    </row>
    <row r="923" ht="14.4" spans="14:31">
      <c r="N923" s="10"/>
      <c r="O923" s="10"/>
      <c r="P923" t="b">
        <v>0</v>
      </c>
      <c r="Q923" t="b">
        <v>0</v>
      </c>
      <c r="R923" s="3"/>
      <c r="S923" s="10"/>
      <c r="T923" s="10"/>
      <c r="U923" s="10"/>
      <c r="V923" s="10"/>
      <c r="W923" s="10"/>
      <c r="X923" s="10"/>
      <c r="Y923" s="10"/>
      <c r="Z923" s="10"/>
      <c r="AA923" s="10"/>
      <c r="AB923" s="10"/>
      <c r="AC923" s="10"/>
      <c r="AD923" s="10"/>
      <c r="AE923" s="10"/>
    </row>
    <row r="924" ht="14.4" spans="14:31">
      <c r="N924" s="10"/>
      <c r="O924" s="10"/>
      <c r="P924" t="b">
        <v>0</v>
      </c>
      <c r="Q924" t="b">
        <v>0</v>
      </c>
      <c r="R924" s="3"/>
      <c r="S924" s="10"/>
      <c r="T924" s="10"/>
      <c r="U924" s="10"/>
      <c r="V924" s="10"/>
      <c r="W924" s="10"/>
      <c r="X924" s="10"/>
      <c r="Y924" s="10"/>
      <c r="Z924" s="10"/>
      <c r="AA924" s="10"/>
      <c r="AB924" s="10"/>
      <c r="AC924" s="10"/>
      <c r="AD924" s="10"/>
      <c r="AE924" s="10"/>
    </row>
    <row r="925" ht="14.4" spans="14:31">
      <c r="N925" s="10"/>
      <c r="O925" s="10"/>
      <c r="P925" t="b">
        <v>0</v>
      </c>
      <c r="Q925" t="b">
        <v>0</v>
      </c>
      <c r="R925" s="3"/>
      <c r="S925" s="10"/>
      <c r="T925" s="10"/>
      <c r="U925" s="10"/>
      <c r="V925" s="10"/>
      <c r="W925" s="10"/>
      <c r="X925" s="10"/>
      <c r="Y925" s="10"/>
      <c r="Z925" s="10"/>
      <c r="AA925" s="10"/>
      <c r="AB925" s="10"/>
      <c r="AC925" s="10"/>
      <c r="AD925" s="10"/>
      <c r="AE925" s="10"/>
    </row>
    <row r="926" ht="14.4" spans="14:31">
      <c r="N926" s="10"/>
      <c r="O926" s="10"/>
      <c r="P926" t="b">
        <v>0</v>
      </c>
      <c r="Q926" t="b">
        <v>0</v>
      </c>
      <c r="R926" s="3"/>
      <c r="S926" s="10"/>
      <c r="T926" s="10"/>
      <c r="U926" s="10"/>
      <c r="V926" s="10"/>
      <c r="W926" s="10"/>
      <c r="X926" s="10"/>
      <c r="Y926" s="10"/>
      <c r="Z926" s="10"/>
      <c r="AA926" s="10"/>
      <c r="AB926" s="10"/>
      <c r="AC926" s="10"/>
      <c r="AD926" s="10"/>
      <c r="AE926" s="10"/>
    </row>
    <row r="927" ht="14.4" spans="14:31">
      <c r="N927" s="10"/>
      <c r="O927" s="10"/>
      <c r="P927" t="b">
        <v>0</v>
      </c>
      <c r="Q927" t="b">
        <v>0</v>
      </c>
      <c r="R927" s="3"/>
      <c r="S927" s="10"/>
      <c r="T927" s="10"/>
      <c r="U927" s="10"/>
      <c r="V927" s="10"/>
      <c r="W927" s="10"/>
      <c r="X927" s="10"/>
      <c r="Y927" s="10"/>
      <c r="Z927" s="10"/>
      <c r="AA927" s="10"/>
      <c r="AB927" s="10"/>
      <c r="AC927" s="10"/>
      <c r="AD927" s="10"/>
      <c r="AE927" s="10"/>
    </row>
    <row r="928" ht="14.4" spans="14:31">
      <c r="N928" s="10"/>
      <c r="O928" s="10"/>
      <c r="P928" t="b">
        <v>0</v>
      </c>
      <c r="Q928" t="b">
        <v>0</v>
      </c>
      <c r="R928" s="3"/>
      <c r="S928" s="10"/>
      <c r="T928" s="10"/>
      <c r="U928" s="10"/>
      <c r="V928" s="10"/>
      <c r="W928" s="10"/>
      <c r="X928" s="10"/>
      <c r="Y928" s="10"/>
      <c r="Z928" s="10"/>
      <c r="AA928" s="10"/>
      <c r="AB928" s="10"/>
      <c r="AC928" s="10"/>
      <c r="AD928" s="10"/>
      <c r="AE928" s="10"/>
    </row>
    <row r="929" ht="14.4" spans="14:31">
      <c r="N929" s="10"/>
      <c r="O929" s="10"/>
      <c r="P929" t="b">
        <v>0</v>
      </c>
      <c r="Q929" t="b">
        <v>0</v>
      </c>
      <c r="R929" s="3"/>
      <c r="S929" s="10"/>
      <c r="T929" s="10"/>
      <c r="U929" s="10"/>
      <c r="V929" s="10"/>
      <c r="W929" s="10"/>
      <c r="X929" s="10"/>
      <c r="Y929" s="10"/>
      <c r="Z929" s="10"/>
      <c r="AA929" s="10"/>
      <c r="AB929" s="10"/>
      <c r="AC929" s="10"/>
      <c r="AD929" s="10"/>
      <c r="AE929" s="10"/>
    </row>
    <row r="930" ht="14.4" spans="14:31">
      <c r="N930" s="10"/>
      <c r="O930" s="10"/>
      <c r="P930" t="b">
        <v>0</v>
      </c>
      <c r="Q930" t="b">
        <v>0</v>
      </c>
      <c r="R930" s="3"/>
      <c r="S930" s="10"/>
      <c r="T930" s="10"/>
      <c r="U930" s="10"/>
      <c r="V930" s="10"/>
      <c r="W930" s="10"/>
      <c r="X930" s="10"/>
      <c r="Y930" s="10"/>
      <c r="Z930" s="10"/>
      <c r="AA930" s="10"/>
      <c r="AB930" s="10"/>
      <c r="AC930" s="10"/>
      <c r="AD930" s="10"/>
      <c r="AE930" s="10"/>
    </row>
    <row r="931" ht="14.4" spans="14:31">
      <c r="N931" s="10"/>
      <c r="O931" s="10"/>
      <c r="P931" t="b">
        <v>0</v>
      </c>
      <c r="Q931" t="b">
        <v>0</v>
      </c>
      <c r="R931" s="3"/>
      <c r="S931" s="10"/>
      <c r="T931" s="10"/>
      <c r="U931" s="10"/>
      <c r="V931" s="10"/>
      <c r="W931" s="10"/>
      <c r="X931" s="10"/>
      <c r="Y931" s="10"/>
      <c r="Z931" s="10"/>
      <c r="AA931" s="10"/>
      <c r="AB931" s="10"/>
      <c r="AC931" s="10"/>
      <c r="AD931" s="10"/>
      <c r="AE931" s="10"/>
    </row>
    <row r="932" ht="14.4" spans="14:31">
      <c r="N932" s="10"/>
      <c r="O932" s="10"/>
      <c r="P932" t="b">
        <v>0</v>
      </c>
      <c r="Q932" t="b">
        <v>0</v>
      </c>
      <c r="R932" s="3"/>
      <c r="S932" s="10"/>
      <c r="T932" s="10"/>
      <c r="U932" s="10"/>
      <c r="V932" s="10"/>
      <c r="W932" s="10"/>
      <c r="X932" s="10"/>
      <c r="Y932" s="10"/>
      <c r="Z932" s="10"/>
      <c r="AA932" s="10"/>
      <c r="AB932" s="10"/>
      <c r="AC932" s="10"/>
      <c r="AD932" s="10"/>
      <c r="AE932" s="10"/>
    </row>
    <row r="933" ht="14.4" spans="14:31">
      <c r="N933" s="10"/>
      <c r="O933" s="10"/>
      <c r="P933" t="b">
        <v>0</v>
      </c>
      <c r="Q933" t="b">
        <v>0</v>
      </c>
      <c r="R933" s="3"/>
      <c r="S933" s="10"/>
      <c r="T933" s="10"/>
      <c r="U933" s="10"/>
      <c r="V933" s="10"/>
      <c r="W933" s="10"/>
      <c r="X933" s="10"/>
      <c r="Y933" s="10"/>
      <c r="Z933" s="10"/>
      <c r="AA933" s="10"/>
      <c r="AB933" s="10"/>
      <c r="AC933" s="10"/>
      <c r="AD933" s="10"/>
      <c r="AE933" s="10"/>
    </row>
    <row r="934" ht="14.4" spans="14:31">
      <c r="N934" s="10"/>
      <c r="O934" s="10"/>
      <c r="P934" t="b">
        <v>0</v>
      </c>
      <c r="Q934" t="b">
        <v>0</v>
      </c>
      <c r="R934" s="3"/>
      <c r="S934" s="10"/>
      <c r="T934" s="10"/>
      <c r="U934" s="10"/>
      <c r="V934" s="10"/>
      <c r="W934" s="10"/>
      <c r="X934" s="10"/>
      <c r="Y934" s="10"/>
      <c r="Z934" s="10"/>
      <c r="AA934" s="10"/>
      <c r="AB934" s="10"/>
      <c r="AC934" s="10"/>
      <c r="AD934" s="10"/>
      <c r="AE934" s="10"/>
    </row>
    <row r="935" ht="14.4" spans="14:31">
      <c r="N935" s="10"/>
      <c r="O935" s="10"/>
      <c r="P935" t="b">
        <v>0</v>
      </c>
      <c r="Q935" t="b">
        <v>0</v>
      </c>
      <c r="R935" s="3"/>
      <c r="S935" s="10"/>
      <c r="T935" s="10"/>
      <c r="U935" s="10"/>
      <c r="V935" s="10"/>
      <c r="W935" s="10"/>
      <c r="X935" s="10"/>
      <c r="Y935" s="10"/>
      <c r="Z935" s="10"/>
      <c r="AA935" s="10"/>
      <c r="AB935" s="10"/>
      <c r="AC935" s="10"/>
      <c r="AD935" s="10"/>
      <c r="AE935" s="10"/>
    </row>
    <row r="936" ht="14.4" spans="14:31">
      <c r="N936" s="10"/>
      <c r="O936" s="10"/>
      <c r="P936" t="b">
        <v>0</v>
      </c>
      <c r="Q936" t="b">
        <v>0</v>
      </c>
      <c r="R936" s="3"/>
      <c r="S936" s="10"/>
      <c r="T936" s="10"/>
      <c r="U936" s="10"/>
      <c r="V936" s="10"/>
      <c r="W936" s="10"/>
      <c r="X936" s="10"/>
      <c r="Y936" s="10"/>
      <c r="Z936" s="10"/>
      <c r="AA936" s="10"/>
      <c r="AB936" s="10"/>
      <c r="AC936" s="10"/>
      <c r="AD936" s="10"/>
      <c r="AE936" s="10"/>
    </row>
    <row r="937" ht="14.4" spans="14:31">
      <c r="N937" s="10"/>
      <c r="O937" s="10"/>
      <c r="P937" t="b">
        <v>0</v>
      </c>
      <c r="Q937" t="b">
        <v>0</v>
      </c>
      <c r="R937" s="3"/>
      <c r="S937" s="10"/>
      <c r="T937" s="10"/>
      <c r="U937" s="10"/>
      <c r="V937" s="10"/>
      <c r="W937" s="10"/>
      <c r="X937" s="10"/>
      <c r="Y937" s="10"/>
      <c r="Z937" s="10"/>
      <c r="AA937" s="10"/>
      <c r="AB937" s="10"/>
      <c r="AC937" s="10"/>
      <c r="AD937" s="10"/>
      <c r="AE937" s="10"/>
    </row>
    <row r="938" ht="14.4" spans="14:31">
      <c r="N938" s="10"/>
      <c r="O938" s="10"/>
      <c r="P938" t="b">
        <v>0</v>
      </c>
      <c r="Q938" t="b">
        <v>0</v>
      </c>
      <c r="R938" s="3"/>
      <c r="S938" s="10"/>
      <c r="T938" s="10"/>
      <c r="U938" s="10"/>
      <c r="V938" s="10"/>
      <c r="W938" s="10"/>
      <c r="X938" s="10"/>
      <c r="Y938" s="10"/>
      <c r="Z938" s="10"/>
      <c r="AA938" s="10"/>
      <c r="AB938" s="10"/>
      <c r="AC938" s="10"/>
      <c r="AD938" s="10"/>
      <c r="AE938" s="10"/>
    </row>
    <row r="939" ht="14.4" spans="14:31">
      <c r="N939" s="10"/>
      <c r="O939" s="10"/>
      <c r="P939" t="b">
        <v>0</v>
      </c>
      <c r="Q939" t="b">
        <v>0</v>
      </c>
      <c r="R939" s="3"/>
      <c r="S939" s="10"/>
      <c r="T939" s="10"/>
      <c r="U939" s="10"/>
      <c r="V939" s="10"/>
      <c r="W939" s="10"/>
      <c r="X939" s="10"/>
      <c r="Y939" s="10"/>
      <c r="Z939" s="10"/>
      <c r="AA939" s="10"/>
      <c r="AB939" s="10"/>
      <c r="AC939" s="10"/>
      <c r="AD939" s="10"/>
      <c r="AE939" s="10"/>
    </row>
    <row r="940" ht="14.4" spans="14:31">
      <c r="N940" s="10"/>
      <c r="O940" s="10"/>
      <c r="P940" t="b">
        <v>0</v>
      </c>
      <c r="Q940" t="b">
        <v>0</v>
      </c>
      <c r="R940" s="3"/>
      <c r="S940" s="10"/>
      <c r="T940" s="10"/>
      <c r="U940" s="10"/>
      <c r="V940" s="10"/>
      <c r="W940" s="10"/>
      <c r="X940" s="10"/>
      <c r="Y940" s="10"/>
      <c r="Z940" s="10"/>
      <c r="AA940" s="10"/>
      <c r="AB940" s="10"/>
      <c r="AC940" s="10"/>
      <c r="AD940" s="10"/>
      <c r="AE940" s="10"/>
    </row>
    <row r="941" ht="14.4" spans="14:31">
      <c r="N941" s="10"/>
      <c r="O941" s="10"/>
      <c r="P941" t="b">
        <v>0</v>
      </c>
      <c r="Q941" t="b">
        <v>0</v>
      </c>
      <c r="R941" s="3"/>
      <c r="S941" s="10"/>
      <c r="T941" s="10"/>
      <c r="U941" s="10"/>
      <c r="V941" s="10"/>
      <c r="W941" s="10"/>
      <c r="X941" s="10"/>
      <c r="Y941" s="10"/>
      <c r="Z941" s="10"/>
      <c r="AA941" s="10"/>
      <c r="AB941" s="10"/>
      <c r="AC941" s="10"/>
      <c r="AD941" s="10"/>
      <c r="AE941" s="10"/>
    </row>
    <row r="942" ht="14.4" spans="14:31">
      <c r="N942" s="10"/>
      <c r="O942" s="10"/>
      <c r="P942" t="b">
        <v>0</v>
      </c>
      <c r="Q942" t="b">
        <v>0</v>
      </c>
      <c r="R942" s="3"/>
      <c r="S942" s="10"/>
      <c r="T942" s="10"/>
      <c r="U942" s="10"/>
      <c r="V942" s="10"/>
      <c r="W942" s="10"/>
      <c r="X942" s="10"/>
      <c r="Y942" s="10"/>
      <c r="Z942" s="10"/>
      <c r="AA942" s="10"/>
      <c r="AB942" s="10"/>
      <c r="AC942" s="10"/>
      <c r="AD942" s="10"/>
      <c r="AE942" s="10"/>
    </row>
    <row r="943" ht="14.4" spans="14:31">
      <c r="N943" s="10"/>
      <c r="O943" s="10"/>
      <c r="P943" t="b">
        <v>0</v>
      </c>
      <c r="Q943" t="b">
        <v>0</v>
      </c>
      <c r="R943" s="3"/>
      <c r="S943" s="10"/>
      <c r="T943" s="10"/>
      <c r="U943" s="10"/>
      <c r="V943" s="10"/>
      <c r="W943" s="10"/>
      <c r="X943" s="10"/>
      <c r="Y943" s="10"/>
      <c r="Z943" s="10"/>
      <c r="AA943" s="10"/>
      <c r="AB943" s="10"/>
      <c r="AC943" s="10"/>
      <c r="AD943" s="10"/>
      <c r="AE943" s="10"/>
    </row>
    <row r="944" ht="14.4" spans="14:31">
      <c r="N944" s="10"/>
      <c r="O944" s="10"/>
      <c r="P944" t="b">
        <v>0</v>
      </c>
      <c r="Q944" t="b">
        <v>0</v>
      </c>
      <c r="R944" s="3"/>
      <c r="S944" s="10"/>
      <c r="T944" s="10"/>
      <c r="U944" s="10"/>
      <c r="V944" s="10"/>
      <c r="W944" s="10"/>
      <c r="X944" s="10"/>
      <c r="Y944" s="10"/>
      <c r="Z944" s="10"/>
      <c r="AA944" s="10"/>
      <c r="AB944" s="10"/>
      <c r="AC944" s="10"/>
      <c r="AD944" s="10"/>
      <c r="AE944" s="10"/>
    </row>
    <row r="945" ht="14.4" spans="14:31">
      <c r="N945" s="10"/>
      <c r="O945" s="10"/>
      <c r="P945" t="b">
        <v>0</v>
      </c>
      <c r="Q945" t="b">
        <v>0</v>
      </c>
      <c r="R945" s="3"/>
      <c r="S945" s="10"/>
      <c r="T945" s="10"/>
      <c r="U945" s="10"/>
      <c r="V945" s="10"/>
      <c r="W945" s="10"/>
      <c r="X945" s="10"/>
      <c r="Y945" s="10"/>
      <c r="Z945" s="10"/>
      <c r="AA945" s="10"/>
      <c r="AB945" s="10"/>
      <c r="AC945" s="10"/>
      <c r="AD945" s="10"/>
      <c r="AE945" s="10"/>
    </row>
    <row r="946" ht="14.4" spans="14:31">
      <c r="N946" s="10"/>
      <c r="O946" s="10"/>
      <c r="P946" t="b">
        <v>0</v>
      </c>
      <c r="Q946" t="b">
        <v>0</v>
      </c>
      <c r="R946" s="3"/>
      <c r="S946" s="10"/>
      <c r="T946" s="10"/>
      <c r="U946" s="10"/>
      <c r="V946" s="10"/>
      <c r="W946" s="10"/>
      <c r="X946" s="10"/>
      <c r="Y946" s="10"/>
      <c r="Z946" s="10"/>
      <c r="AA946" s="10"/>
      <c r="AB946" s="10"/>
      <c r="AC946" s="10"/>
      <c r="AD946" s="10"/>
      <c r="AE946" s="10"/>
    </row>
    <row r="947" ht="14.4" spans="14:31">
      <c r="N947" s="10"/>
      <c r="O947" s="10"/>
      <c r="P947" t="b">
        <v>0</v>
      </c>
      <c r="Q947" t="b">
        <v>0</v>
      </c>
      <c r="R947" s="3"/>
      <c r="S947" s="10"/>
      <c r="T947" s="10"/>
      <c r="U947" s="10"/>
      <c r="V947" s="10"/>
      <c r="W947" s="10"/>
      <c r="X947" s="10"/>
      <c r="Y947" s="10"/>
      <c r="Z947" s="10"/>
      <c r="AA947" s="10"/>
      <c r="AB947" s="10"/>
      <c r="AC947" s="10"/>
      <c r="AD947" s="10"/>
      <c r="AE947" s="10"/>
    </row>
    <row r="948" ht="14.4" spans="14:31">
      <c r="N948" s="10"/>
      <c r="O948" s="10"/>
      <c r="P948" t="b">
        <v>0</v>
      </c>
      <c r="Q948" t="b">
        <v>0</v>
      </c>
      <c r="R948" s="3"/>
      <c r="S948" s="10"/>
      <c r="T948" s="10"/>
      <c r="U948" s="10"/>
      <c r="V948" s="10"/>
      <c r="W948" s="10"/>
      <c r="X948" s="10"/>
      <c r="Y948" s="10"/>
      <c r="Z948" s="10"/>
      <c r="AA948" s="10"/>
      <c r="AB948" s="10"/>
      <c r="AC948" s="10"/>
      <c r="AD948" s="10"/>
      <c r="AE948" s="10"/>
    </row>
    <row r="949" ht="14.4" spans="14:31">
      <c r="N949" s="10"/>
      <c r="O949" s="10"/>
      <c r="P949" t="b">
        <v>0</v>
      </c>
      <c r="Q949" t="b">
        <v>0</v>
      </c>
      <c r="R949" s="3"/>
      <c r="S949" s="10"/>
      <c r="T949" s="10"/>
      <c r="U949" s="10"/>
      <c r="V949" s="10"/>
      <c r="W949" s="10"/>
      <c r="X949" s="10"/>
      <c r="Y949" s="10"/>
      <c r="Z949" s="10"/>
      <c r="AA949" s="10"/>
      <c r="AB949" s="10"/>
      <c r="AC949" s="10"/>
      <c r="AD949" s="10"/>
      <c r="AE949" s="10"/>
    </row>
    <row r="950" ht="14.4" spans="14:31">
      <c r="N950" s="10"/>
      <c r="O950" s="10"/>
      <c r="P950" t="b">
        <v>0</v>
      </c>
      <c r="Q950" t="b">
        <v>0</v>
      </c>
      <c r="R950" s="3"/>
      <c r="S950" s="10"/>
      <c r="T950" s="10"/>
      <c r="U950" s="10"/>
      <c r="V950" s="10"/>
      <c r="W950" s="10"/>
      <c r="X950" s="10"/>
      <c r="Y950" s="10"/>
      <c r="Z950" s="10"/>
      <c r="AA950" s="10"/>
      <c r="AB950" s="10"/>
      <c r="AC950" s="10"/>
      <c r="AD950" s="10"/>
      <c r="AE950" s="10"/>
    </row>
    <row r="951" ht="14.4" spans="14:31">
      <c r="N951" s="10"/>
      <c r="O951" s="10"/>
      <c r="P951" t="b">
        <v>0</v>
      </c>
      <c r="Q951" t="b">
        <v>0</v>
      </c>
      <c r="R951" s="3"/>
      <c r="S951" s="10"/>
      <c r="T951" s="10"/>
      <c r="U951" s="10"/>
      <c r="V951" s="10"/>
      <c r="W951" s="10"/>
      <c r="X951" s="10"/>
      <c r="Y951" s="10"/>
      <c r="Z951" s="10"/>
      <c r="AA951" s="10"/>
      <c r="AB951" s="10"/>
      <c r="AC951" s="10"/>
      <c r="AD951" s="10"/>
      <c r="AE951" s="10"/>
    </row>
    <row r="952" ht="14.4" spans="14:31">
      <c r="N952" s="10"/>
      <c r="O952" s="10"/>
      <c r="P952" t="b">
        <v>0</v>
      </c>
      <c r="Q952" t="b">
        <v>0</v>
      </c>
      <c r="R952" s="3"/>
      <c r="S952" s="10"/>
      <c r="T952" s="10"/>
      <c r="U952" s="10"/>
      <c r="V952" s="10"/>
      <c r="W952" s="10"/>
      <c r="X952" s="10"/>
      <c r="Y952" s="10"/>
      <c r="Z952" s="10"/>
      <c r="AA952" s="10"/>
      <c r="AB952" s="10"/>
      <c r="AC952" s="10"/>
      <c r="AD952" s="10"/>
      <c r="AE952" s="10"/>
    </row>
    <row r="953" ht="14.4" spans="14:31">
      <c r="N953" s="10"/>
      <c r="O953" s="10"/>
      <c r="P953" t="b">
        <v>0</v>
      </c>
      <c r="Q953" t="b">
        <v>0</v>
      </c>
      <c r="R953" s="3"/>
      <c r="S953" s="10"/>
      <c r="T953" s="10"/>
      <c r="U953" s="10"/>
      <c r="V953" s="10"/>
      <c r="W953" s="10"/>
      <c r="X953" s="10"/>
      <c r="Y953" s="10"/>
      <c r="Z953" s="10"/>
      <c r="AA953" s="10"/>
      <c r="AB953" s="10"/>
      <c r="AC953" s="10"/>
      <c r="AD953" s="10"/>
      <c r="AE953" s="10"/>
    </row>
    <row r="954" ht="14.4" spans="14:31">
      <c r="N954" s="10"/>
      <c r="O954" s="10"/>
      <c r="P954" t="b">
        <v>0</v>
      </c>
      <c r="Q954" t="b">
        <v>0</v>
      </c>
      <c r="R954" s="3"/>
      <c r="S954" s="10"/>
      <c r="T954" s="10"/>
      <c r="U954" s="10"/>
      <c r="V954" s="10"/>
      <c r="W954" s="10"/>
      <c r="X954" s="10"/>
      <c r="Y954" s="10"/>
      <c r="Z954" s="10"/>
      <c r="AA954" s="10"/>
      <c r="AB954" s="10"/>
      <c r="AC954" s="10"/>
      <c r="AD954" s="10"/>
      <c r="AE954" s="10"/>
    </row>
    <row r="955" ht="14.4" spans="14:31">
      <c r="N955" s="10"/>
      <c r="O955" s="10"/>
      <c r="P955" t="b">
        <v>0</v>
      </c>
      <c r="Q955" t="b">
        <v>0</v>
      </c>
      <c r="R955" s="3"/>
      <c r="S955" s="10"/>
      <c r="T955" s="10"/>
      <c r="U955" s="10"/>
      <c r="V955" s="10"/>
      <c r="W955" s="10"/>
      <c r="X955" s="10"/>
      <c r="Y955" s="10"/>
      <c r="Z955" s="10"/>
      <c r="AA955" s="10"/>
      <c r="AB955" s="10"/>
      <c r="AC955" s="10"/>
      <c r="AD955" s="10"/>
      <c r="AE955" s="10"/>
    </row>
    <row r="956" ht="14.4" spans="14:31">
      <c r="N956" s="10"/>
      <c r="O956" s="10"/>
      <c r="P956" t="b">
        <v>0</v>
      </c>
      <c r="Q956" t="b">
        <v>0</v>
      </c>
      <c r="R956" s="3"/>
      <c r="S956" s="10"/>
      <c r="T956" s="10"/>
      <c r="U956" s="10"/>
      <c r="V956" s="10"/>
      <c r="W956" s="10"/>
      <c r="X956" s="10"/>
      <c r="Y956" s="10"/>
      <c r="Z956" s="10"/>
      <c r="AA956" s="10"/>
      <c r="AB956" s="10"/>
      <c r="AC956" s="10"/>
      <c r="AD956" s="10"/>
      <c r="AE956" s="10"/>
    </row>
    <row r="957" ht="14.4" spans="14:31">
      <c r="N957" s="10"/>
      <c r="O957" s="10"/>
      <c r="P957" t="b">
        <v>0</v>
      </c>
      <c r="Q957" t="b">
        <v>0</v>
      </c>
      <c r="R957" s="3"/>
      <c r="S957" s="10"/>
      <c r="T957" s="10"/>
      <c r="U957" s="10"/>
      <c r="V957" s="10"/>
      <c r="W957" s="10"/>
      <c r="X957" s="10"/>
      <c r="Y957" s="10"/>
      <c r="Z957" s="10"/>
      <c r="AA957" s="10"/>
      <c r="AB957" s="10"/>
      <c r="AC957" s="10"/>
      <c r="AD957" s="10"/>
      <c r="AE957" s="10"/>
    </row>
    <row r="958" ht="14.4" spans="14:31">
      <c r="N958" s="10"/>
      <c r="O958" s="10"/>
      <c r="P958" t="b">
        <v>0</v>
      </c>
      <c r="Q958" t="b">
        <v>0</v>
      </c>
      <c r="R958" s="3"/>
      <c r="S958" s="10"/>
      <c r="T958" s="10"/>
      <c r="U958" s="10"/>
      <c r="V958" s="10"/>
      <c r="W958" s="10"/>
      <c r="X958" s="10"/>
      <c r="Y958" s="10"/>
      <c r="Z958" s="10"/>
      <c r="AA958" s="10"/>
      <c r="AB958" s="10"/>
      <c r="AC958" s="10"/>
      <c r="AD958" s="10"/>
      <c r="AE958" s="10"/>
    </row>
    <row r="959" ht="14.4" spans="14:31">
      <c r="N959" s="10"/>
      <c r="O959" s="10"/>
      <c r="P959" t="b">
        <v>0</v>
      </c>
      <c r="Q959" t="b">
        <v>0</v>
      </c>
      <c r="R959" s="3"/>
      <c r="S959" s="10"/>
      <c r="T959" s="10"/>
      <c r="U959" s="10"/>
      <c r="V959" s="10"/>
      <c r="W959" s="10"/>
      <c r="X959" s="10"/>
      <c r="Y959" s="10"/>
      <c r="Z959" s="10"/>
      <c r="AA959" s="10"/>
      <c r="AB959" s="10"/>
      <c r="AC959" s="10"/>
      <c r="AD959" s="10"/>
      <c r="AE959" s="10"/>
    </row>
    <row r="960" ht="14.4" spans="14:31">
      <c r="N960" s="10"/>
      <c r="O960" s="10"/>
      <c r="P960" t="b">
        <v>0</v>
      </c>
      <c r="Q960" t="b">
        <v>0</v>
      </c>
      <c r="R960" s="3"/>
      <c r="S960" s="10"/>
      <c r="T960" s="10"/>
      <c r="U960" s="10"/>
      <c r="V960" s="10"/>
      <c r="W960" s="10"/>
      <c r="X960" s="10"/>
      <c r="Y960" s="10"/>
      <c r="Z960" s="10"/>
      <c r="AA960" s="10"/>
      <c r="AB960" s="10"/>
      <c r="AC960" s="10"/>
      <c r="AD960" s="10"/>
      <c r="AE960" s="10"/>
    </row>
    <row r="961" ht="14.4" spans="14:31">
      <c r="N961" s="10"/>
      <c r="O961" s="10"/>
      <c r="P961" t="b">
        <v>0</v>
      </c>
      <c r="Q961" t="b">
        <v>0</v>
      </c>
      <c r="R961" s="3"/>
      <c r="S961" s="10"/>
      <c r="T961" s="10"/>
      <c r="U961" s="10"/>
      <c r="V961" s="10"/>
      <c r="W961" s="10"/>
      <c r="X961" s="10"/>
      <c r="Y961" s="10"/>
      <c r="Z961" s="10"/>
      <c r="AA961" s="10"/>
      <c r="AB961" s="10"/>
      <c r="AC961" s="10"/>
      <c r="AD961" s="10"/>
      <c r="AE961" s="10"/>
    </row>
    <row r="962" ht="14.4" spans="14:31">
      <c r="N962" s="10"/>
      <c r="O962" s="10"/>
      <c r="P962" t="b">
        <v>0</v>
      </c>
      <c r="Q962" t="b">
        <v>0</v>
      </c>
      <c r="R962" s="3"/>
      <c r="S962" s="10"/>
      <c r="T962" s="10"/>
      <c r="U962" s="10"/>
      <c r="V962" s="10"/>
      <c r="W962" s="10"/>
      <c r="X962" s="10"/>
      <c r="Y962" s="10"/>
      <c r="Z962" s="10"/>
      <c r="AA962" s="10"/>
      <c r="AB962" s="10"/>
      <c r="AC962" s="10"/>
      <c r="AD962" s="10"/>
      <c r="AE962" s="10"/>
    </row>
    <row r="963" ht="14.4" spans="14:31">
      <c r="N963" s="10"/>
      <c r="O963" s="10"/>
      <c r="P963" t="b">
        <v>0</v>
      </c>
      <c r="Q963" t="b">
        <v>0</v>
      </c>
      <c r="R963" s="3"/>
      <c r="S963" s="10"/>
      <c r="T963" s="10"/>
      <c r="U963" s="10"/>
      <c r="V963" s="10"/>
      <c r="W963" s="10"/>
      <c r="X963" s="10"/>
      <c r="Y963" s="10"/>
      <c r="Z963" s="10"/>
      <c r="AA963" s="10"/>
      <c r="AB963" s="10"/>
      <c r="AC963" s="10"/>
      <c r="AD963" s="10"/>
      <c r="AE963" s="10"/>
    </row>
    <row r="964" ht="14.4" spans="14:31">
      <c r="N964" s="10"/>
      <c r="O964" s="10"/>
      <c r="P964" t="b">
        <v>0</v>
      </c>
      <c r="Q964" t="b">
        <v>0</v>
      </c>
      <c r="R964" s="3"/>
      <c r="S964" s="10"/>
      <c r="T964" s="10"/>
      <c r="U964" s="10"/>
      <c r="V964" s="10"/>
      <c r="W964" s="10"/>
      <c r="X964" s="10"/>
      <c r="Y964" s="10"/>
      <c r="Z964" s="10"/>
      <c r="AA964" s="10"/>
      <c r="AB964" s="10"/>
      <c r="AC964" s="10"/>
      <c r="AD964" s="10"/>
      <c r="AE964" s="10"/>
    </row>
    <row r="965" ht="14.4" spans="14:31">
      <c r="N965" s="10"/>
      <c r="O965" s="10"/>
      <c r="P965" t="b">
        <v>0</v>
      </c>
      <c r="Q965" t="b">
        <v>0</v>
      </c>
      <c r="R965" s="3"/>
      <c r="S965" s="10"/>
      <c r="T965" s="10"/>
      <c r="U965" s="10"/>
      <c r="V965" s="10"/>
      <c r="W965" s="10"/>
      <c r="X965" s="10"/>
      <c r="Y965" s="10"/>
      <c r="Z965" s="10"/>
      <c r="AA965" s="10"/>
      <c r="AB965" s="10"/>
      <c r="AC965" s="10"/>
      <c r="AD965" s="10"/>
      <c r="AE965" s="10"/>
    </row>
    <row r="966" ht="14.4" spans="14:31">
      <c r="N966" s="10"/>
      <c r="O966" s="10"/>
      <c r="P966" t="b">
        <v>0</v>
      </c>
      <c r="Q966" t="b">
        <v>0</v>
      </c>
      <c r="R966" s="3"/>
      <c r="S966" s="10"/>
      <c r="T966" s="10"/>
      <c r="U966" s="10"/>
      <c r="V966" s="10"/>
      <c r="W966" s="10"/>
      <c r="X966" s="10"/>
      <c r="Y966" s="10"/>
      <c r="Z966" s="10"/>
      <c r="AA966" s="10"/>
      <c r="AB966" s="10"/>
      <c r="AC966" s="10"/>
      <c r="AD966" s="10"/>
      <c r="AE966" s="10"/>
    </row>
    <row r="967" ht="14.4" spans="14:31">
      <c r="N967" s="10"/>
      <c r="O967" s="10"/>
      <c r="P967" t="b">
        <v>0</v>
      </c>
      <c r="Q967" t="b">
        <v>0</v>
      </c>
      <c r="R967" s="3"/>
      <c r="S967" s="10"/>
      <c r="T967" s="10"/>
      <c r="U967" s="10"/>
      <c r="V967" s="10"/>
      <c r="W967" s="10"/>
      <c r="X967" s="10"/>
      <c r="Y967" s="10"/>
      <c r="Z967" s="10"/>
      <c r="AA967" s="10"/>
      <c r="AB967" s="10"/>
      <c r="AC967" s="10"/>
      <c r="AD967" s="10"/>
      <c r="AE967" s="10"/>
    </row>
    <row r="968" ht="14.4" spans="14:31">
      <c r="N968" s="10"/>
      <c r="O968" s="10"/>
      <c r="P968" t="b">
        <v>0</v>
      </c>
      <c r="Q968" t="b">
        <v>0</v>
      </c>
      <c r="R968" s="3"/>
      <c r="S968" s="10"/>
      <c r="T968" s="10"/>
      <c r="U968" s="10"/>
      <c r="V968" s="10"/>
      <c r="W968" s="10"/>
      <c r="X968" s="10"/>
      <c r="Y968" s="10"/>
      <c r="Z968" s="10"/>
      <c r="AA968" s="10"/>
      <c r="AB968" s="10"/>
      <c r="AC968" s="10"/>
      <c r="AD968" s="10"/>
      <c r="AE968" s="10"/>
    </row>
    <row r="969" ht="14.4" spans="14:31">
      <c r="N969" s="10"/>
      <c r="O969" s="10"/>
      <c r="P969" t="b">
        <v>0</v>
      </c>
      <c r="Q969" t="b">
        <v>0</v>
      </c>
      <c r="R969" s="3"/>
      <c r="S969" s="10"/>
      <c r="T969" s="10"/>
      <c r="U969" s="10"/>
      <c r="V969" s="10"/>
      <c r="W969" s="10"/>
      <c r="X969" s="10"/>
      <c r="Y969" s="10"/>
      <c r="Z969" s="10"/>
      <c r="AA969" s="10"/>
      <c r="AB969" s="10"/>
      <c r="AC969" s="10"/>
      <c r="AD969" s="10"/>
      <c r="AE969" s="10"/>
    </row>
    <row r="970" ht="14.4" spans="14:31">
      <c r="N970" s="10"/>
      <c r="O970" s="10"/>
      <c r="P970" t="b">
        <v>0</v>
      </c>
      <c r="Q970" t="b">
        <v>0</v>
      </c>
      <c r="R970" s="3"/>
      <c r="S970" s="10"/>
      <c r="T970" s="10"/>
      <c r="U970" s="10"/>
      <c r="V970" s="10"/>
      <c r="W970" s="10"/>
      <c r="X970" s="10"/>
      <c r="Y970" s="10"/>
      <c r="Z970" s="10"/>
      <c r="AA970" s="10"/>
      <c r="AB970" s="10"/>
      <c r="AC970" s="10"/>
      <c r="AD970" s="10"/>
      <c r="AE970" s="10"/>
    </row>
    <row r="971" ht="14.4" spans="14:31">
      <c r="N971" s="10"/>
      <c r="O971" s="10"/>
      <c r="P971" t="b">
        <v>0</v>
      </c>
      <c r="Q971" t="b">
        <v>0</v>
      </c>
      <c r="R971" s="3"/>
      <c r="S971" s="10"/>
      <c r="T971" s="10"/>
      <c r="U971" s="10"/>
      <c r="V971" s="10"/>
      <c r="W971" s="10"/>
      <c r="X971" s="10"/>
      <c r="Y971" s="10"/>
      <c r="Z971" s="10"/>
      <c r="AA971" s="10"/>
      <c r="AB971" s="10"/>
      <c r="AC971" s="10"/>
      <c r="AD971" s="10"/>
      <c r="AE971" s="10"/>
    </row>
    <row r="972" ht="14.4" spans="14:31">
      <c r="N972" s="10"/>
      <c r="O972" s="10"/>
      <c r="P972" t="b">
        <v>0</v>
      </c>
      <c r="Q972" t="b">
        <v>0</v>
      </c>
      <c r="R972" s="3"/>
      <c r="S972" s="10"/>
      <c r="T972" s="10"/>
      <c r="U972" s="10"/>
      <c r="V972" s="10"/>
      <c r="W972" s="10"/>
      <c r="X972" s="10"/>
      <c r="Y972" s="10"/>
      <c r="Z972" s="10"/>
      <c r="AA972" s="10"/>
      <c r="AB972" s="10"/>
      <c r="AC972" s="10"/>
      <c r="AD972" s="10"/>
      <c r="AE972" s="10"/>
    </row>
    <row r="973" ht="14.4" spans="14:31">
      <c r="N973" s="10"/>
      <c r="O973" s="10"/>
      <c r="P973" t="b">
        <v>0</v>
      </c>
      <c r="Q973" t="b">
        <v>0</v>
      </c>
      <c r="R973" s="3"/>
      <c r="S973" s="10"/>
      <c r="T973" s="10"/>
      <c r="U973" s="10"/>
      <c r="V973" s="10"/>
      <c r="W973" s="10"/>
      <c r="X973" s="10"/>
      <c r="Y973" s="10"/>
      <c r="Z973" s="10"/>
      <c r="AA973" s="10"/>
      <c r="AB973" s="10"/>
      <c r="AC973" s="10"/>
      <c r="AD973" s="10"/>
      <c r="AE973" s="10"/>
    </row>
    <row r="974" ht="14.4" spans="14:31">
      <c r="N974" s="10"/>
      <c r="O974" s="10"/>
      <c r="P974" t="b">
        <v>0</v>
      </c>
      <c r="Q974" t="b">
        <v>0</v>
      </c>
      <c r="R974" s="3"/>
      <c r="S974" s="10"/>
      <c r="T974" s="10"/>
      <c r="U974" s="10"/>
      <c r="V974" s="10"/>
      <c r="W974" s="10"/>
      <c r="X974" s="10"/>
      <c r="Y974" s="10"/>
      <c r="Z974" s="10"/>
      <c r="AA974" s="10"/>
      <c r="AB974" s="10"/>
      <c r="AC974" s="10"/>
      <c r="AD974" s="10"/>
      <c r="AE974" s="10"/>
    </row>
    <row r="975" ht="14.4" spans="14:31">
      <c r="N975" s="10"/>
      <c r="O975" s="10"/>
      <c r="P975" t="b">
        <v>0</v>
      </c>
      <c r="Q975" t="b">
        <v>0</v>
      </c>
      <c r="R975" s="3"/>
      <c r="S975" s="10"/>
      <c r="T975" s="10"/>
      <c r="U975" s="10"/>
      <c r="V975" s="10"/>
      <c r="W975" s="10"/>
      <c r="X975" s="10"/>
      <c r="Y975" s="10"/>
      <c r="Z975" s="10"/>
      <c r="AA975" s="10"/>
      <c r="AB975" s="10"/>
      <c r="AC975" s="10"/>
      <c r="AD975" s="10"/>
      <c r="AE975" s="10"/>
    </row>
    <row r="976" ht="14.4" spans="14:31">
      <c r="N976" s="10"/>
      <c r="O976" s="10"/>
      <c r="P976" t="b">
        <v>0</v>
      </c>
      <c r="Q976" t="b">
        <v>0</v>
      </c>
      <c r="R976" s="3"/>
      <c r="S976" s="10"/>
      <c r="T976" s="10"/>
      <c r="U976" s="10"/>
      <c r="V976" s="10"/>
      <c r="W976" s="10"/>
      <c r="X976" s="10"/>
      <c r="Y976" s="10"/>
      <c r="Z976" s="10"/>
      <c r="AA976" s="10"/>
      <c r="AB976" s="10"/>
      <c r="AC976" s="10"/>
      <c r="AD976" s="10"/>
      <c r="AE976" s="10"/>
    </row>
    <row r="977" ht="14.4" spans="14:31">
      <c r="N977" s="10"/>
      <c r="O977" s="10"/>
      <c r="P977" t="b">
        <v>0</v>
      </c>
      <c r="Q977" t="b">
        <v>0</v>
      </c>
      <c r="R977" s="3"/>
      <c r="S977" s="10"/>
      <c r="T977" s="10"/>
      <c r="U977" s="10"/>
      <c r="V977" s="10"/>
      <c r="W977" s="10"/>
      <c r="X977" s="10"/>
      <c r="Y977" s="10"/>
      <c r="Z977" s="10"/>
      <c r="AA977" s="10"/>
      <c r="AB977" s="10"/>
      <c r="AC977" s="10"/>
      <c r="AD977" s="10"/>
      <c r="AE977" s="10"/>
    </row>
    <row r="978" ht="14.4" spans="14:31">
      <c r="N978" s="10"/>
      <c r="O978" s="10"/>
      <c r="P978" t="b">
        <v>0</v>
      </c>
      <c r="Q978" t="b">
        <v>0</v>
      </c>
      <c r="R978" s="3"/>
      <c r="S978" s="10"/>
      <c r="T978" s="10"/>
      <c r="U978" s="10"/>
      <c r="V978" s="10"/>
      <c r="W978" s="10"/>
      <c r="X978" s="10"/>
      <c r="Y978" s="10"/>
      <c r="Z978" s="10"/>
      <c r="AA978" s="10"/>
      <c r="AB978" s="10"/>
      <c r="AC978" s="10"/>
      <c r="AD978" s="10"/>
      <c r="AE978" s="10"/>
    </row>
    <row r="979" ht="14.4" spans="14:31">
      <c r="N979" s="10"/>
      <c r="O979" s="10"/>
      <c r="P979" t="b">
        <v>0</v>
      </c>
      <c r="Q979" t="b">
        <v>0</v>
      </c>
      <c r="R979" s="3"/>
      <c r="S979" s="10"/>
      <c r="T979" s="10"/>
      <c r="U979" s="10"/>
      <c r="V979" s="10"/>
      <c r="W979" s="10"/>
      <c r="X979" s="10"/>
      <c r="Y979" s="10"/>
      <c r="Z979" s="10"/>
      <c r="AA979" s="10"/>
      <c r="AB979" s="10"/>
      <c r="AC979" s="10"/>
      <c r="AD979" s="10"/>
      <c r="AE979" s="10"/>
    </row>
    <row r="980" ht="14.4" spans="14:31">
      <c r="N980" s="10"/>
      <c r="O980" s="10"/>
      <c r="P980" t="b">
        <v>0</v>
      </c>
      <c r="Q980" t="b">
        <v>0</v>
      </c>
      <c r="R980" s="3"/>
      <c r="S980" s="10"/>
      <c r="T980" s="10"/>
      <c r="U980" s="10"/>
      <c r="V980" s="10"/>
      <c r="W980" s="10"/>
      <c r="X980" s="10"/>
      <c r="Y980" s="10"/>
      <c r="Z980" s="10"/>
      <c r="AA980" s="10"/>
      <c r="AB980" s="10"/>
      <c r="AC980" s="10"/>
      <c r="AD980" s="10"/>
      <c r="AE980" s="10"/>
    </row>
    <row r="981" ht="14.4" spans="14:31">
      <c r="N981" s="10"/>
      <c r="O981" s="10"/>
      <c r="P981" t="b">
        <v>0</v>
      </c>
      <c r="Q981" t="b">
        <v>0</v>
      </c>
      <c r="R981" s="3"/>
      <c r="S981" s="10"/>
      <c r="T981" s="10"/>
      <c r="U981" s="10"/>
      <c r="V981" s="10"/>
      <c r="W981" s="10"/>
      <c r="X981" s="10"/>
      <c r="Y981" s="10"/>
      <c r="Z981" s="10"/>
      <c r="AA981" s="10"/>
      <c r="AB981" s="10"/>
      <c r="AC981" s="10"/>
      <c r="AD981" s="10"/>
      <c r="AE981" s="10"/>
    </row>
    <row r="982" ht="14.4" spans="14:31">
      <c r="N982" s="10"/>
      <c r="O982" s="10"/>
      <c r="P982" t="b">
        <v>0</v>
      </c>
      <c r="Q982" t="b">
        <v>0</v>
      </c>
      <c r="R982" s="3"/>
      <c r="S982" s="10"/>
      <c r="T982" s="10"/>
      <c r="U982" s="10"/>
      <c r="V982" s="10"/>
      <c r="W982" s="10"/>
      <c r="X982" s="10"/>
      <c r="Y982" s="10"/>
      <c r="Z982" s="10"/>
      <c r="AA982" s="10"/>
      <c r="AB982" s="10"/>
      <c r="AC982" s="10"/>
      <c r="AD982" s="10"/>
      <c r="AE982" s="10"/>
    </row>
    <row r="983" ht="14.4" spans="14:31">
      <c r="N983" s="10"/>
      <c r="O983" s="10"/>
      <c r="P983" t="b">
        <v>0</v>
      </c>
      <c r="Q983" t="b">
        <v>0</v>
      </c>
      <c r="R983" s="3"/>
      <c r="S983" s="10"/>
      <c r="T983" s="10"/>
      <c r="U983" s="10"/>
      <c r="V983" s="10"/>
      <c r="W983" s="10"/>
      <c r="X983" s="10"/>
      <c r="Y983" s="10"/>
      <c r="Z983" s="10"/>
      <c r="AA983" s="10"/>
      <c r="AB983" s="10"/>
      <c r="AC983" s="10"/>
      <c r="AD983" s="10"/>
      <c r="AE983" s="10"/>
    </row>
    <row r="984" ht="14.4" spans="14:31">
      <c r="N984" s="10"/>
      <c r="O984" s="10"/>
      <c r="P984" t="b">
        <v>0</v>
      </c>
      <c r="Q984" t="b">
        <v>0</v>
      </c>
      <c r="R984" s="3"/>
      <c r="S984" s="10"/>
      <c r="T984" s="10"/>
      <c r="U984" s="10"/>
      <c r="V984" s="10"/>
      <c r="W984" s="10"/>
      <c r="X984" s="10"/>
      <c r="Y984" s="10"/>
      <c r="Z984" s="10"/>
      <c r="AA984" s="10"/>
      <c r="AB984" s="10"/>
      <c r="AC984" s="10"/>
      <c r="AD984" s="10"/>
      <c r="AE984" s="10"/>
    </row>
    <row r="985" ht="14.4" spans="14:31">
      <c r="N985" s="10"/>
      <c r="O985" s="10"/>
      <c r="P985" t="b">
        <v>0</v>
      </c>
      <c r="Q985" t="b">
        <v>0</v>
      </c>
      <c r="R985" s="3"/>
      <c r="S985" s="10"/>
      <c r="T985" s="10"/>
      <c r="U985" s="10"/>
      <c r="V985" s="10"/>
      <c r="W985" s="10"/>
      <c r="X985" s="10"/>
      <c r="Y985" s="10"/>
      <c r="Z985" s="10"/>
      <c r="AA985" s="10"/>
      <c r="AB985" s="10"/>
      <c r="AC985" s="10"/>
      <c r="AD985" s="10"/>
      <c r="AE985" s="10"/>
    </row>
    <row r="986" ht="14.4" spans="14:31">
      <c r="N986" s="10"/>
      <c r="O986" s="10"/>
      <c r="P986" t="b">
        <v>0</v>
      </c>
      <c r="Q986" t="b">
        <v>0</v>
      </c>
      <c r="R986" s="3"/>
      <c r="S986" s="10"/>
      <c r="T986" s="10"/>
      <c r="U986" s="10"/>
      <c r="V986" s="10"/>
      <c r="W986" s="10"/>
      <c r="X986" s="10"/>
      <c r="Y986" s="10"/>
      <c r="Z986" s="10"/>
      <c r="AA986" s="10"/>
      <c r="AB986" s="10"/>
      <c r="AC986" s="10"/>
      <c r="AD986" s="10"/>
      <c r="AE986" s="10"/>
    </row>
    <row r="987" ht="14.4" spans="14:31">
      <c r="N987" s="10"/>
      <c r="O987" s="10"/>
      <c r="P987" t="b">
        <v>0</v>
      </c>
      <c r="Q987" t="b">
        <v>0</v>
      </c>
      <c r="R987" s="3"/>
      <c r="S987" s="10"/>
      <c r="T987" s="10"/>
      <c r="U987" s="10"/>
      <c r="V987" s="10"/>
      <c r="W987" s="10"/>
      <c r="X987" s="10"/>
      <c r="Y987" s="10"/>
      <c r="Z987" s="10"/>
      <c r="AA987" s="10"/>
      <c r="AB987" s="10"/>
      <c r="AC987" s="10"/>
      <c r="AD987" s="10"/>
      <c r="AE987" s="10"/>
    </row>
    <row r="988" ht="14.4" spans="14:31">
      <c r="N988" s="10"/>
      <c r="O988" s="10"/>
      <c r="P988" t="b">
        <v>0</v>
      </c>
      <c r="Q988" t="b">
        <v>0</v>
      </c>
      <c r="R988" s="3"/>
      <c r="S988" s="10"/>
      <c r="T988" s="10"/>
      <c r="U988" s="10"/>
      <c r="V988" s="10"/>
      <c r="W988" s="10"/>
      <c r="X988" s="10"/>
      <c r="Y988" s="10"/>
      <c r="Z988" s="10"/>
      <c r="AA988" s="10"/>
      <c r="AB988" s="10"/>
      <c r="AC988" s="10"/>
      <c r="AD988" s="10"/>
      <c r="AE988" s="10"/>
    </row>
    <row r="989" ht="14.4" spans="14:31">
      <c r="N989" s="10"/>
      <c r="O989" s="10"/>
      <c r="P989" t="b">
        <v>0</v>
      </c>
      <c r="Q989" t="b">
        <v>0</v>
      </c>
      <c r="R989" s="3"/>
      <c r="S989" s="10"/>
      <c r="T989" s="10"/>
      <c r="U989" s="10"/>
      <c r="V989" s="10"/>
      <c r="W989" s="10"/>
      <c r="X989" s="10"/>
      <c r="Y989" s="10"/>
      <c r="Z989" s="10"/>
      <c r="AA989" s="10"/>
      <c r="AB989" s="10"/>
      <c r="AC989" s="10"/>
      <c r="AD989" s="10"/>
      <c r="AE989" s="10"/>
    </row>
    <row r="990" ht="14.4" spans="14:31">
      <c r="N990" s="10"/>
      <c r="O990" s="10"/>
      <c r="P990" t="b">
        <v>0</v>
      </c>
      <c r="Q990" t="b">
        <v>0</v>
      </c>
      <c r="R990" s="3"/>
      <c r="S990" s="10"/>
      <c r="T990" s="10"/>
      <c r="U990" s="10"/>
      <c r="V990" s="10"/>
      <c r="W990" s="10"/>
      <c r="X990" s="10"/>
      <c r="Y990" s="10"/>
      <c r="Z990" s="10"/>
      <c r="AA990" s="10"/>
      <c r="AB990" s="10"/>
      <c r="AC990" s="10"/>
      <c r="AD990" s="10"/>
      <c r="AE990" s="10"/>
    </row>
    <row r="991" ht="14.4" spans="14:31">
      <c r="N991" s="10"/>
      <c r="O991" s="10"/>
      <c r="P991" t="b">
        <v>0</v>
      </c>
      <c r="Q991" t="b">
        <v>0</v>
      </c>
      <c r="R991" s="3"/>
      <c r="S991" s="10"/>
      <c r="T991" s="10"/>
      <c r="U991" s="10"/>
      <c r="V991" s="10"/>
      <c r="W991" s="10"/>
      <c r="X991" s="10"/>
      <c r="Y991" s="10"/>
      <c r="Z991" s="10"/>
      <c r="AA991" s="10"/>
      <c r="AB991" s="10"/>
      <c r="AC991" s="10"/>
      <c r="AD991" s="10"/>
      <c r="AE991" s="10"/>
    </row>
    <row r="992" ht="14.4" spans="14:31">
      <c r="N992" s="10"/>
      <c r="O992" s="10"/>
      <c r="P992" t="b">
        <v>0</v>
      </c>
      <c r="Q992" t="b">
        <v>0</v>
      </c>
      <c r="R992" s="3"/>
      <c r="S992" s="10"/>
      <c r="T992" s="10"/>
      <c r="U992" s="10"/>
      <c r="V992" s="10"/>
      <c r="W992" s="10"/>
      <c r="X992" s="10"/>
      <c r="Y992" s="10"/>
      <c r="Z992" s="10"/>
      <c r="AA992" s="10"/>
      <c r="AB992" s="10"/>
      <c r="AC992" s="10"/>
      <c r="AD992" s="10"/>
      <c r="AE992" s="10"/>
    </row>
    <row r="993" ht="14.4" spans="14:31">
      <c r="N993" s="10"/>
      <c r="O993" s="10"/>
      <c r="P993" t="b">
        <v>0</v>
      </c>
      <c r="Q993" t="b">
        <v>0</v>
      </c>
      <c r="R993" s="3"/>
      <c r="S993" s="10"/>
      <c r="T993" s="10"/>
      <c r="U993" s="10"/>
      <c r="V993" s="10"/>
      <c r="W993" s="10"/>
      <c r="X993" s="10"/>
      <c r="Y993" s="10"/>
      <c r="Z993" s="10"/>
      <c r="AA993" s="10"/>
      <c r="AB993" s="10"/>
      <c r="AC993" s="10"/>
      <c r="AD993" s="10"/>
      <c r="AE993" s="10"/>
    </row>
    <row r="994" ht="14.4" spans="14:31">
      <c r="N994" s="10"/>
      <c r="O994" s="10"/>
      <c r="P994" t="b">
        <v>0</v>
      </c>
      <c r="Q994" t="b">
        <v>0</v>
      </c>
      <c r="R994" s="3"/>
      <c r="S994" s="10"/>
      <c r="T994" s="10"/>
      <c r="U994" s="10"/>
      <c r="V994" s="10"/>
      <c r="W994" s="10"/>
      <c r="X994" s="10"/>
      <c r="Y994" s="10"/>
      <c r="Z994" s="10"/>
      <c r="AA994" s="10"/>
      <c r="AB994" s="10"/>
      <c r="AC994" s="10"/>
      <c r="AD994" s="10"/>
      <c r="AE994" s="10"/>
    </row>
    <row r="995" ht="14.4" spans="14:31">
      <c r="N995" s="10"/>
      <c r="O995" s="10"/>
      <c r="P995" t="b">
        <v>0</v>
      </c>
      <c r="Q995" t="b">
        <v>0</v>
      </c>
      <c r="R995" s="3"/>
      <c r="S995" s="10"/>
      <c r="T995" s="10"/>
      <c r="U995" s="10"/>
      <c r="V995" s="10"/>
      <c r="W995" s="10"/>
      <c r="X995" s="10"/>
      <c r="Y995" s="10"/>
      <c r="Z995" s="10"/>
      <c r="AA995" s="10"/>
      <c r="AB995" s="10"/>
      <c r="AC995" s="10"/>
      <c r="AD995" s="10"/>
      <c r="AE995" s="10"/>
    </row>
    <row r="996" ht="14.4" spans="14:31">
      <c r="N996" s="10"/>
      <c r="O996" s="10"/>
      <c r="P996" t="b">
        <v>0</v>
      </c>
      <c r="Q996" t="b">
        <v>0</v>
      </c>
      <c r="R996" s="3"/>
      <c r="S996" s="10"/>
      <c r="T996" s="10"/>
      <c r="U996" s="10"/>
      <c r="V996" s="10"/>
      <c r="W996" s="10"/>
      <c r="X996" s="10"/>
      <c r="Y996" s="10"/>
      <c r="Z996" s="10"/>
      <c r="AA996" s="10"/>
      <c r="AB996" s="10"/>
      <c r="AC996" s="10"/>
      <c r="AD996" s="10"/>
      <c r="AE996" s="10"/>
    </row>
    <row r="997" ht="14.4" spans="14:31">
      <c r="N997" s="10"/>
      <c r="O997" s="10"/>
      <c r="P997" t="b">
        <v>0</v>
      </c>
      <c r="Q997" t="b">
        <v>0</v>
      </c>
      <c r="R997" s="3"/>
      <c r="S997" s="10"/>
      <c r="T997" s="10"/>
      <c r="U997" s="10"/>
      <c r="V997" s="10"/>
      <c r="W997" s="10"/>
      <c r="X997" s="10"/>
      <c r="Y997" s="10"/>
      <c r="Z997" s="10"/>
      <c r="AA997" s="10"/>
      <c r="AB997" s="10"/>
      <c r="AC997" s="10"/>
      <c r="AD997" s="10"/>
      <c r="AE997" s="10"/>
    </row>
    <row r="998" ht="14.4" spans="14:31">
      <c r="N998" s="10"/>
      <c r="O998" s="10"/>
      <c r="P998" t="b">
        <v>0</v>
      </c>
      <c r="Q998" t="b">
        <v>0</v>
      </c>
      <c r="R998" s="3"/>
      <c r="S998" s="10"/>
      <c r="T998" s="10"/>
      <c r="U998" s="10"/>
      <c r="V998" s="10"/>
      <c r="W998" s="10"/>
      <c r="X998" s="10"/>
      <c r="Y998" s="10"/>
      <c r="Z998" s="10"/>
      <c r="AA998" s="10"/>
      <c r="AB998" s="10"/>
      <c r="AC998" s="10"/>
      <c r="AD998" s="10"/>
      <c r="AE998" s="10"/>
    </row>
    <row r="999" ht="14.4" spans="14:31">
      <c r="N999" s="10"/>
      <c r="O999" s="10"/>
      <c r="P999" t="b">
        <v>0</v>
      </c>
      <c r="Q999" t="b">
        <v>0</v>
      </c>
      <c r="R999" s="3"/>
      <c r="S999" s="10"/>
      <c r="T999" s="10"/>
      <c r="U999" s="10"/>
      <c r="V999" s="10"/>
      <c r="W999" s="10"/>
      <c r="X999" s="10"/>
      <c r="Y999" s="10"/>
      <c r="Z999" s="10"/>
      <c r="AA999" s="10"/>
      <c r="AB999" s="10"/>
      <c r="AC999" s="10"/>
      <c r="AD999" s="10"/>
      <c r="AE999" s="10"/>
    </row>
    <row r="1000" ht="14.4" spans="14:31">
      <c r="N1000" s="10"/>
      <c r="O1000" s="10"/>
      <c r="P1000" t="b">
        <v>0</v>
      </c>
      <c r="Q1000" t="b">
        <v>0</v>
      </c>
      <c r="R1000" s="3"/>
      <c r="S1000" s="10"/>
      <c r="T1000" s="10"/>
      <c r="U1000" s="10"/>
      <c r="V1000" s="10"/>
      <c r="W1000" s="10"/>
      <c r="X1000" s="10"/>
      <c r="Y1000" s="10"/>
      <c r="Z1000" s="10"/>
      <c r="AA1000" s="10"/>
      <c r="AB1000" s="10"/>
      <c r="AC1000" s="10"/>
      <c r="AD1000" s="10"/>
      <c r="AE1000" s="10"/>
    </row>
    <row r="1001" ht="14.4" spans="14:31">
      <c r="N1001" s="10"/>
      <c r="O1001" s="10"/>
      <c r="P1001" t="b">
        <v>0</v>
      </c>
      <c r="Q1001" t="b">
        <v>0</v>
      </c>
      <c r="R1001" s="3"/>
      <c r="S1001" s="10"/>
      <c r="T1001" s="10"/>
      <c r="U1001" s="10"/>
      <c r="V1001" s="10"/>
      <c r="W1001" s="10"/>
      <c r="X1001" s="10"/>
      <c r="Y1001" s="10"/>
      <c r="Z1001" s="10"/>
      <c r="AA1001" s="10"/>
      <c r="AB1001" s="10"/>
      <c r="AC1001" s="10"/>
      <c r="AD1001" s="10"/>
      <c r="AE1001" s="10"/>
    </row>
    <row r="1002" ht="14.4" spans="14:31">
      <c r="N1002" s="10"/>
      <c r="O1002" s="10"/>
      <c r="P1002" t="b">
        <v>0</v>
      </c>
      <c r="Q1002" t="b">
        <v>0</v>
      </c>
      <c r="R1002" s="3"/>
      <c r="S1002" s="10"/>
      <c r="T1002" s="10"/>
      <c r="U1002" s="10"/>
      <c r="V1002" s="10"/>
      <c r="W1002" s="10"/>
      <c r="X1002" s="10"/>
      <c r="Y1002" s="10"/>
      <c r="Z1002" s="10"/>
      <c r="AA1002" s="10"/>
      <c r="AB1002" s="10"/>
      <c r="AC1002" s="10"/>
      <c r="AD1002" s="10"/>
      <c r="AE1002" s="10"/>
    </row>
    <row r="1003" ht="14.4" spans="14:31">
      <c r="N1003" s="10"/>
      <c r="O1003" s="10"/>
      <c r="P1003" t="b">
        <v>0</v>
      </c>
      <c r="Q1003" t="b">
        <v>0</v>
      </c>
      <c r="R1003" s="3"/>
      <c r="S1003" s="10"/>
      <c r="T1003" s="10"/>
      <c r="U1003" s="10"/>
      <c r="V1003" s="10"/>
      <c r="W1003" s="10"/>
      <c r="X1003" s="10"/>
      <c r="Y1003" s="10"/>
      <c r="Z1003" s="10"/>
      <c r="AA1003" s="10"/>
      <c r="AB1003" s="10"/>
      <c r="AC1003" s="10"/>
      <c r="AD1003" s="10"/>
      <c r="AE1003" s="10"/>
    </row>
    <row r="1004" ht="14.4" spans="14:31">
      <c r="N1004" s="10"/>
      <c r="O1004" s="10"/>
      <c r="P1004" t="b">
        <v>0</v>
      </c>
      <c r="Q1004" t="b">
        <v>0</v>
      </c>
      <c r="R1004" s="3"/>
      <c r="S1004" s="10"/>
      <c r="T1004" s="10"/>
      <c r="U1004" s="10"/>
      <c r="V1004" s="10"/>
      <c r="W1004" s="10"/>
      <c r="X1004" s="10"/>
      <c r="Y1004" s="10"/>
      <c r="Z1004" s="10"/>
      <c r="AA1004" s="10"/>
      <c r="AB1004" s="10"/>
      <c r="AC1004" s="10"/>
      <c r="AD1004" s="10"/>
      <c r="AE1004" s="10"/>
    </row>
    <row r="1005" ht="14.4" spans="14:31">
      <c r="N1005" s="10"/>
      <c r="O1005" s="10"/>
      <c r="P1005" t="b">
        <v>0</v>
      </c>
      <c r="Q1005" t="b">
        <v>0</v>
      </c>
      <c r="R1005" s="3"/>
      <c r="S1005" s="10"/>
      <c r="T1005" s="10"/>
      <c r="U1005" s="10"/>
      <c r="V1005" s="10"/>
      <c r="W1005" s="10"/>
      <c r="X1005" s="10"/>
      <c r="Y1005" s="10"/>
      <c r="Z1005" s="10"/>
      <c r="AA1005" s="10"/>
      <c r="AB1005" s="10"/>
      <c r="AC1005" s="10"/>
      <c r="AD1005" s="10"/>
      <c r="AE1005" s="10"/>
    </row>
    <row r="1006" ht="14.4" spans="14:31">
      <c r="N1006" s="10"/>
      <c r="O1006" s="10"/>
      <c r="P1006" t="b">
        <v>0</v>
      </c>
      <c r="Q1006" t="b">
        <v>0</v>
      </c>
      <c r="R1006" s="3"/>
      <c r="S1006" s="10"/>
      <c r="T1006" s="10"/>
      <c r="U1006" s="10"/>
      <c r="V1006" s="10"/>
      <c r="W1006" s="10"/>
      <c r="X1006" s="10"/>
      <c r="Y1006" s="10"/>
      <c r="Z1006" s="10"/>
      <c r="AA1006" s="10"/>
      <c r="AB1006" s="10"/>
      <c r="AC1006" s="10"/>
      <c r="AD1006" s="10"/>
      <c r="AE1006" s="10"/>
    </row>
    <row r="1007" ht="14.4" spans="14:31">
      <c r="N1007" s="10"/>
      <c r="O1007" s="10"/>
      <c r="P1007" t="b">
        <v>0</v>
      </c>
      <c r="Q1007" t="b">
        <v>0</v>
      </c>
      <c r="R1007" s="3"/>
      <c r="S1007" s="10"/>
      <c r="T1007" s="10"/>
      <c r="U1007" s="10"/>
      <c r="V1007" s="10"/>
      <c r="W1007" s="10"/>
      <c r="X1007" s="10"/>
      <c r="Y1007" s="10"/>
      <c r="Z1007" s="10"/>
      <c r="AA1007" s="10"/>
      <c r="AB1007" s="10"/>
      <c r="AC1007" s="10"/>
      <c r="AD1007" s="10"/>
      <c r="AE1007" s="10"/>
    </row>
    <row r="1008" ht="14.4" spans="14:31">
      <c r="N1008" s="10"/>
      <c r="O1008" s="10"/>
      <c r="P1008" t="b">
        <v>0</v>
      </c>
      <c r="Q1008" t="b">
        <v>0</v>
      </c>
      <c r="R1008" s="3"/>
      <c r="S1008" s="10"/>
      <c r="T1008" s="10"/>
      <c r="U1008" s="10"/>
      <c r="V1008" s="10"/>
      <c r="W1008" s="10"/>
      <c r="X1008" s="10"/>
      <c r="Y1008" s="10"/>
      <c r="Z1008" s="10"/>
      <c r="AA1008" s="10"/>
      <c r="AB1008" s="10"/>
      <c r="AC1008" s="10"/>
      <c r="AD1008" s="10"/>
      <c r="AE1008" s="10"/>
    </row>
    <row r="1009" ht="14.4" spans="14:31">
      <c r="N1009" s="10"/>
      <c r="O1009" s="10"/>
      <c r="P1009" t="b">
        <v>0</v>
      </c>
      <c r="Q1009" t="b">
        <v>0</v>
      </c>
      <c r="R1009" s="3"/>
      <c r="S1009" s="10"/>
      <c r="T1009" s="10"/>
      <c r="U1009" s="10"/>
      <c r="V1009" s="10"/>
      <c r="W1009" s="10"/>
      <c r="X1009" s="10"/>
      <c r="Y1009" s="10"/>
      <c r="Z1009" s="10"/>
      <c r="AA1009" s="10"/>
      <c r="AB1009" s="10"/>
      <c r="AC1009" s="10"/>
      <c r="AD1009" s="10"/>
      <c r="AE1009" s="10"/>
    </row>
    <row r="1010" ht="14.4" spans="14:31">
      <c r="N1010" s="10"/>
      <c r="O1010" s="10"/>
      <c r="P1010" t="b">
        <v>0</v>
      </c>
      <c r="Q1010" t="b">
        <v>0</v>
      </c>
      <c r="R1010" s="3"/>
      <c r="S1010" s="10"/>
      <c r="T1010" s="10"/>
      <c r="U1010" s="10"/>
      <c r="V1010" s="10"/>
      <c r="W1010" s="10"/>
      <c r="X1010" s="10"/>
      <c r="Y1010" s="10"/>
      <c r="Z1010" s="10"/>
      <c r="AA1010" s="10"/>
      <c r="AB1010" s="10"/>
      <c r="AC1010" s="10"/>
      <c r="AD1010" s="10"/>
      <c r="AE1010" s="10"/>
    </row>
    <row r="1011" ht="14.4" spans="14:31">
      <c r="N1011" s="10"/>
      <c r="O1011" s="10"/>
      <c r="P1011" t="b">
        <v>0</v>
      </c>
      <c r="Q1011" t="b">
        <v>0</v>
      </c>
      <c r="R1011" s="3"/>
      <c r="S1011" s="10"/>
      <c r="T1011" s="10"/>
      <c r="U1011" s="10"/>
      <c r="V1011" s="10"/>
      <c r="W1011" s="10"/>
      <c r="X1011" s="10"/>
      <c r="Y1011" s="10"/>
      <c r="Z1011" s="10"/>
      <c r="AA1011" s="10"/>
      <c r="AB1011" s="10"/>
      <c r="AC1011" s="10"/>
      <c r="AD1011" s="10"/>
      <c r="AE1011" s="10"/>
    </row>
    <row r="1012" ht="14.4" spans="14:31">
      <c r="N1012" s="10"/>
      <c r="O1012" s="10"/>
      <c r="P1012" t="b">
        <v>0</v>
      </c>
      <c r="Q1012" t="b">
        <v>0</v>
      </c>
      <c r="R1012" s="3"/>
      <c r="S1012" s="10"/>
      <c r="T1012" s="10"/>
      <c r="U1012" s="10"/>
      <c r="V1012" s="10"/>
      <c r="W1012" s="10"/>
      <c r="X1012" s="10"/>
      <c r="Y1012" s="10"/>
      <c r="Z1012" s="10"/>
      <c r="AA1012" s="10"/>
      <c r="AB1012" s="10"/>
      <c r="AC1012" s="10"/>
      <c r="AD1012" s="10"/>
      <c r="AE1012" s="10"/>
    </row>
    <row r="1013" ht="14.4" spans="14:31">
      <c r="N1013" s="10"/>
      <c r="O1013" s="10"/>
      <c r="P1013" t="b">
        <v>0</v>
      </c>
      <c r="Q1013" t="b">
        <v>0</v>
      </c>
      <c r="R1013" s="3"/>
      <c r="S1013" s="10"/>
      <c r="T1013" s="10"/>
      <c r="U1013" s="10"/>
      <c r="V1013" s="10"/>
      <c r="W1013" s="10"/>
      <c r="X1013" s="10"/>
      <c r="Y1013" s="10"/>
      <c r="Z1013" s="10"/>
      <c r="AA1013" s="10"/>
      <c r="AB1013" s="10"/>
      <c r="AC1013" s="10"/>
      <c r="AD1013" s="10"/>
      <c r="AE1013" s="10"/>
    </row>
    <row r="1014" ht="14.4" spans="14:31">
      <c r="N1014" s="10"/>
      <c r="O1014" s="10"/>
      <c r="P1014" t="b">
        <v>0</v>
      </c>
      <c r="Q1014" t="b">
        <v>0</v>
      </c>
      <c r="R1014" s="3"/>
      <c r="S1014" s="10"/>
      <c r="T1014" s="10"/>
      <c r="U1014" s="10"/>
      <c r="V1014" s="10"/>
      <c r="W1014" s="10"/>
      <c r="X1014" s="10"/>
      <c r="Y1014" s="10"/>
      <c r="Z1014" s="10"/>
      <c r="AA1014" s="10"/>
      <c r="AB1014" s="10"/>
      <c r="AC1014" s="10"/>
      <c r="AD1014" s="10"/>
      <c r="AE1014" s="10"/>
    </row>
    <row r="1015" ht="14.4" spans="14:31">
      <c r="N1015" s="10"/>
      <c r="O1015" s="10"/>
      <c r="P1015" t="b">
        <v>0</v>
      </c>
      <c r="Q1015" t="b">
        <v>0</v>
      </c>
      <c r="R1015" s="3"/>
      <c r="S1015" s="10"/>
      <c r="T1015" s="10"/>
      <c r="U1015" s="10"/>
      <c r="V1015" s="10"/>
      <c r="W1015" s="10"/>
      <c r="X1015" s="10"/>
      <c r="Y1015" s="10"/>
      <c r="Z1015" s="10"/>
      <c r="AA1015" s="10"/>
      <c r="AB1015" s="10"/>
      <c r="AC1015" s="10"/>
      <c r="AD1015" s="10"/>
      <c r="AE1015" s="10"/>
    </row>
    <row r="1016" ht="14.4" spans="14:31">
      <c r="N1016" s="10"/>
      <c r="O1016" s="10"/>
      <c r="P1016" t="b">
        <v>0</v>
      </c>
      <c r="Q1016" t="b">
        <v>0</v>
      </c>
      <c r="R1016" s="3"/>
      <c r="S1016" s="10"/>
      <c r="T1016" s="10"/>
      <c r="U1016" s="10"/>
      <c r="V1016" s="10"/>
      <c r="W1016" s="10"/>
      <c r="X1016" s="10"/>
      <c r="Y1016" s="10"/>
      <c r="Z1016" s="10"/>
      <c r="AA1016" s="10"/>
      <c r="AB1016" s="10"/>
      <c r="AC1016" s="10"/>
      <c r="AD1016" s="10"/>
      <c r="AE1016" s="10"/>
    </row>
    <row r="1017" ht="14.4" spans="14:31">
      <c r="N1017" s="10"/>
      <c r="O1017" s="10"/>
      <c r="P1017" t="b">
        <v>0</v>
      </c>
      <c r="Q1017" t="b">
        <v>0</v>
      </c>
      <c r="R1017" s="3"/>
      <c r="S1017" s="10"/>
      <c r="T1017" s="10"/>
      <c r="U1017" s="10"/>
      <c r="V1017" s="10"/>
      <c r="W1017" s="10"/>
      <c r="X1017" s="10"/>
      <c r="Y1017" s="10"/>
      <c r="Z1017" s="10"/>
      <c r="AA1017" s="10"/>
      <c r="AB1017" s="10"/>
      <c r="AC1017" s="10"/>
      <c r="AD1017" s="10"/>
      <c r="AE1017" s="10"/>
    </row>
    <row r="1018" ht="14.4" spans="14:31">
      <c r="N1018" s="10"/>
      <c r="O1018" s="10"/>
      <c r="P1018" t="b">
        <v>0</v>
      </c>
      <c r="Q1018" t="b">
        <v>0</v>
      </c>
      <c r="R1018" s="3"/>
      <c r="S1018" s="10"/>
      <c r="T1018" s="10"/>
      <c r="U1018" s="10"/>
      <c r="V1018" s="10"/>
      <c r="W1018" s="10"/>
      <c r="X1018" s="10"/>
      <c r="Y1018" s="10"/>
      <c r="Z1018" s="10"/>
      <c r="AA1018" s="10"/>
      <c r="AB1018" s="10"/>
      <c r="AC1018" s="10"/>
      <c r="AD1018" s="10"/>
      <c r="AE1018" s="10"/>
    </row>
    <row r="1019" ht="14.4" spans="14:31">
      <c r="N1019" s="10"/>
      <c r="O1019" s="10"/>
      <c r="P1019" t="b">
        <v>0</v>
      </c>
      <c r="Q1019" t="b">
        <v>0</v>
      </c>
      <c r="R1019" s="3"/>
      <c r="S1019" s="10"/>
      <c r="T1019" s="10"/>
      <c r="U1019" s="10"/>
      <c r="V1019" s="10"/>
      <c r="W1019" s="10"/>
      <c r="X1019" s="10"/>
      <c r="Y1019" s="10"/>
      <c r="Z1019" s="10"/>
      <c r="AA1019" s="10"/>
      <c r="AB1019" s="10"/>
      <c r="AC1019" s="10"/>
      <c r="AD1019" s="10"/>
      <c r="AE1019" s="10"/>
    </row>
    <row r="1020" ht="14.4" spans="14:31">
      <c r="N1020" s="10"/>
      <c r="O1020" s="10"/>
      <c r="P1020" t="b">
        <v>0</v>
      </c>
      <c r="Q1020" t="b">
        <v>0</v>
      </c>
      <c r="R1020" s="3"/>
      <c r="S1020" s="10"/>
      <c r="T1020" s="10"/>
      <c r="U1020" s="10"/>
      <c r="V1020" s="10"/>
      <c r="W1020" s="10"/>
      <c r="X1020" s="10"/>
      <c r="Y1020" s="10"/>
      <c r="Z1020" s="10"/>
      <c r="AA1020" s="10"/>
      <c r="AB1020" s="10"/>
      <c r="AC1020" s="10"/>
      <c r="AD1020" s="10"/>
      <c r="AE1020" s="10"/>
    </row>
    <row r="1021" ht="14.4" spans="14:31">
      <c r="N1021" s="10"/>
      <c r="O1021" s="10"/>
      <c r="P1021" t="b">
        <v>0</v>
      </c>
      <c r="Q1021" t="b">
        <v>0</v>
      </c>
      <c r="R1021" s="3"/>
      <c r="S1021" s="10"/>
      <c r="T1021" s="10"/>
      <c r="U1021" s="10"/>
      <c r="V1021" s="10"/>
      <c r="W1021" s="10"/>
      <c r="X1021" s="10"/>
      <c r="Y1021" s="10"/>
      <c r="Z1021" s="10"/>
      <c r="AA1021" s="10"/>
      <c r="AB1021" s="10"/>
      <c r="AC1021" s="10"/>
      <c r="AD1021" s="10"/>
      <c r="AE1021" s="10"/>
    </row>
    <row r="1022" ht="14.4" spans="14:31">
      <c r="N1022" s="10"/>
      <c r="O1022" s="10"/>
      <c r="P1022" t="b">
        <v>0</v>
      </c>
      <c r="Q1022" t="b">
        <v>0</v>
      </c>
      <c r="R1022" s="3"/>
      <c r="S1022" s="10"/>
      <c r="T1022" s="10"/>
      <c r="U1022" s="10"/>
      <c r="V1022" s="10"/>
      <c r="W1022" s="10"/>
      <c r="X1022" s="10"/>
      <c r="Y1022" s="10"/>
      <c r="Z1022" s="10"/>
      <c r="AA1022" s="10"/>
      <c r="AB1022" s="10"/>
      <c r="AC1022" s="10"/>
      <c r="AD1022" s="10"/>
      <c r="AE1022" s="10"/>
    </row>
    <row r="1023" ht="14.4" spans="14:31">
      <c r="N1023" s="10"/>
      <c r="O1023" s="10"/>
      <c r="P1023" t="b">
        <v>0</v>
      </c>
      <c r="Q1023" t="b">
        <v>0</v>
      </c>
      <c r="R1023" s="3"/>
      <c r="S1023" s="10"/>
      <c r="T1023" s="10"/>
      <c r="U1023" s="10"/>
      <c r="V1023" s="10"/>
      <c r="W1023" s="10"/>
      <c r="X1023" s="10"/>
      <c r="Y1023" s="10"/>
      <c r="Z1023" s="10"/>
      <c r="AA1023" s="10"/>
      <c r="AB1023" s="10"/>
      <c r="AC1023" s="10"/>
      <c r="AD1023" s="10"/>
      <c r="AE1023" s="10"/>
    </row>
    <row r="1024" ht="14.4" spans="14:31">
      <c r="N1024" s="10"/>
      <c r="O1024" s="10"/>
      <c r="P1024" t="b">
        <v>0</v>
      </c>
      <c r="Q1024" t="b">
        <v>0</v>
      </c>
      <c r="R1024" s="3"/>
      <c r="S1024" s="10"/>
      <c r="T1024" s="10"/>
      <c r="U1024" s="10"/>
      <c r="V1024" s="10"/>
      <c r="W1024" s="10"/>
      <c r="X1024" s="10"/>
      <c r="Y1024" s="10"/>
      <c r="Z1024" s="10"/>
      <c r="AA1024" s="10"/>
      <c r="AB1024" s="10"/>
      <c r="AC1024" s="10"/>
      <c r="AD1024" s="10"/>
      <c r="AE1024" s="10"/>
    </row>
    <row r="1025" ht="14.4" spans="14:31">
      <c r="N1025" s="10"/>
      <c r="O1025" s="10"/>
      <c r="P1025" t="b">
        <v>0</v>
      </c>
      <c r="Q1025" t="b">
        <v>0</v>
      </c>
      <c r="R1025" s="3"/>
      <c r="S1025" s="10"/>
      <c r="T1025" s="10"/>
      <c r="U1025" s="10"/>
      <c r="V1025" s="10"/>
      <c r="W1025" s="10"/>
      <c r="X1025" s="10"/>
      <c r="Y1025" s="10"/>
      <c r="Z1025" s="10"/>
      <c r="AA1025" s="10"/>
      <c r="AB1025" s="10"/>
      <c r="AC1025" s="10"/>
      <c r="AD1025" s="10"/>
      <c r="AE1025" s="10"/>
    </row>
    <row r="1026" ht="14.4" spans="14:31">
      <c r="N1026" s="10"/>
      <c r="O1026" s="10"/>
      <c r="P1026" t="b">
        <v>0</v>
      </c>
      <c r="Q1026" t="b">
        <v>0</v>
      </c>
      <c r="R1026" s="3"/>
      <c r="S1026" s="10"/>
      <c r="T1026" s="10"/>
      <c r="U1026" s="10"/>
      <c r="V1026" s="10"/>
      <c r="W1026" s="10"/>
      <c r="X1026" s="10"/>
      <c r="Y1026" s="10"/>
      <c r="Z1026" s="10"/>
      <c r="AA1026" s="10"/>
      <c r="AB1026" s="10"/>
      <c r="AC1026" s="10"/>
      <c r="AD1026" s="10"/>
      <c r="AE1026" s="10"/>
    </row>
    <row r="1027" ht="14.4" spans="14:31">
      <c r="N1027" s="10"/>
      <c r="O1027" s="10"/>
      <c r="P1027" t="b">
        <v>0</v>
      </c>
      <c r="Q1027" t="b">
        <v>0</v>
      </c>
      <c r="R1027" s="3"/>
      <c r="S1027" s="10"/>
      <c r="T1027" s="10"/>
      <c r="U1027" s="10"/>
      <c r="V1027" s="10"/>
      <c r="W1027" s="10"/>
      <c r="X1027" s="10"/>
      <c r="Y1027" s="10"/>
      <c r="Z1027" s="10"/>
      <c r="AA1027" s="10"/>
      <c r="AB1027" s="10"/>
      <c r="AC1027" s="10"/>
      <c r="AD1027" s="10"/>
      <c r="AE1027" s="10"/>
    </row>
    <row r="1028" ht="14.4" spans="14:31">
      <c r="N1028" s="10"/>
      <c r="O1028" s="10"/>
      <c r="P1028" t="b">
        <v>0</v>
      </c>
      <c r="Q1028" t="b">
        <v>0</v>
      </c>
      <c r="R1028" s="3"/>
      <c r="S1028" s="10"/>
      <c r="T1028" s="10"/>
      <c r="U1028" s="10"/>
      <c r="V1028" s="10"/>
      <c r="W1028" s="10"/>
      <c r="X1028" s="10"/>
      <c r="Y1028" s="10"/>
      <c r="Z1028" s="10"/>
      <c r="AA1028" s="10"/>
      <c r="AB1028" s="10"/>
      <c r="AC1028" s="10"/>
      <c r="AD1028" s="10"/>
      <c r="AE1028" s="10"/>
    </row>
    <row r="1029" ht="14.4" spans="14:31">
      <c r="N1029" s="10"/>
      <c r="O1029" s="10"/>
      <c r="P1029" t="b">
        <v>0</v>
      </c>
      <c r="Q1029" t="b">
        <v>0</v>
      </c>
      <c r="R1029" s="3"/>
      <c r="S1029" s="10"/>
      <c r="T1029" s="10"/>
      <c r="U1029" s="10"/>
      <c r="V1029" s="10"/>
      <c r="W1029" s="10"/>
      <c r="X1029" s="10"/>
      <c r="Y1029" s="10"/>
      <c r="Z1029" s="10"/>
      <c r="AA1029" s="10"/>
      <c r="AB1029" s="10"/>
      <c r="AC1029" s="10"/>
      <c r="AD1029" s="10"/>
      <c r="AE1029" s="10"/>
    </row>
    <row r="1030" ht="14.4" spans="14:31">
      <c r="N1030" s="10"/>
      <c r="O1030" s="10"/>
      <c r="P1030" t="b">
        <v>0</v>
      </c>
      <c r="Q1030" t="b">
        <v>0</v>
      </c>
      <c r="R1030" s="3"/>
      <c r="S1030" s="10"/>
      <c r="T1030" s="10"/>
      <c r="U1030" s="10"/>
      <c r="V1030" s="10"/>
      <c r="W1030" s="10"/>
      <c r="X1030" s="10"/>
      <c r="Y1030" s="10"/>
      <c r="Z1030" s="10"/>
      <c r="AA1030" s="10"/>
      <c r="AB1030" s="10"/>
      <c r="AC1030" s="10"/>
      <c r="AD1030" s="10"/>
      <c r="AE1030" s="10"/>
    </row>
    <row r="1031" ht="14.4" spans="14:31">
      <c r="N1031" s="10"/>
      <c r="O1031" s="10"/>
      <c r="P1031" t="b">
        <v>0</v>
      </c>
      <c r="Q1031" t="b">
        <v>0</v>
      </c>
      <c r="R1031" s="3"/>
      <c r="S1031" s="10"/>
      <c r="T1031" s="10"/>
      <c r="U1031" s="10"/>
      <c r="V1031" s="10"/>
      <c r="W1031" s="10"/>
      <c r="X1031" s="10"/>
      <c r="Y1031" s="10"/>
      <c r="Z1031" s="10"/>
      <c r="AA1031" s="10"/>
      <c r="AB1031" s="10"/>
      <c r="AC1031" s="10"/>
      <c r="AD1031" s="10"/>
      <c r="AE1031" s="10"/>
    </row>
    <row r="1032" ht="14.4" spans="14:31">
      <c r="N1032" s="10"/>
      <c r="O1032" s="10"/>
      <c r="P1032" t="b">
        <v>0</v>
      </c>
      <c r="Q1032" t="b">
        <v>0</v>
      </c>
      <c r="R1032" s="3"/>
      <c r="S1032" s="10"/>
      <c r="T1032" s="10"/>
      <c r="U1032" s="10"/>
      <c r="V1032" s="10"/>
      <c r="W1032" s="10"/>
      <c r="X1032" s="10"/>
      <c r="Y1032" s="10"/>
      <c r="Z1032" s="10"/>
      <c r="AA1032" s="10"/>
      <c r="AB1032" s="10"/>
      <c r="AC1032" s="10"/>
      <c r="AD1032" s="10"/>
      <c r="AE1032" s="10"/>
    </row>
    <row r="1033" ht="14.4" spans="14:31">
      <c r="N1033" s="10"/>
      <c r="O1033" s="10"/>
      <c r="P1033" t="b">
        <v>0</v>
      </c>
      <c r="Q1033" t="b">
        <v>0</v>
      </c>
      <c r="R1033" s="3"/>
      <c r="S1033" s="10"/>
      <c r="T1033" s="10"/>
      <c r="U1033" s="10"/>
      <c r="V1033" s="10"/>
      <c r="W1033" s="10"/>
      <c r="X1033" s="10"/>
      <c r="Y1033" s="10"/>
      <c r="Z1033" s="10"/>
      <c r="AA1033" s="10"/>
      <c r="AB1033" s="10"/>
      <c r="AC1033" s="10"/>
      <c r="AD1033" s="10"/>
      <c r="AE1033" s="10"/>
    </row>
    <row r="1034" ht="14.4" spans="14:31">
      <c r="N1034" s="10"/>
      <c r="O1034" s="10"/>
      <c r="P1034" t="b">
        <v>0</v>
      </c>
      <c r="Q1034" t="b">
        <v>0</v>
      </c>
      <c r="R1034" s="3"/>
      <c r="S1034" s="10"/>
      <c r="T1034" s="10"/>
      <c r="U1034" s="10"/>
      <c r="V1034" s="10"/>
      <c r="W1034" s="10"/>
      <c r="X1034" s="10"/>
      <c r="Y1034" s="10"/>
      <c r="Z1034" s="10"/>
      <c r="AA1034" s="10"/>
      <c r="AB1034" s="10"/>
      <c r="AC1034" s="10"/>
      <c r="AD1034" s="10"/>
      <c r="AE1034" s="10"/>
    </row>
    <row r="1035" ht="14.4" spans="14:31">
      <c r="N1035" s="10"/>
      <c r="O1035" s="10"/>
      <c r="P1035" t="b">
        <v>0</v>
      </c>
      <c r="Q1035" t="b">
        <v>0</v>
      </c>
      <c r="R1035" s="3"/>
      <c r="S1035" s="10"/>
      <c r="T1035" s="10"/>
      <c r="U1035" s="10"/>
      <c r="V1035" s="10"/>
      <c r="W1035" s="10"/>
      <c r="X1035" s="10"/>
      <c r="Y1035" s="10"/>
      <c r="Z1035" s="10"/>
      <c r="AA1035" s="10"/>
      <c r="AB1035" s="10"/>
      <c r="AC1035" s="10"/>
      <c r="AD1035" s="10"/>
      <c r="AE1035" s="10"/>
    </row>
    <row r="1036" ht="14.4" spans="14:31">
      <c r="N1036" s="10"/>
      <c r="O1036" s="10"/>
      <c r="P1036" t="b">
        <v>0</v>
      </c>
      <c r="Q1036" t="b">
        <v>0</v>
      </c>
      <c r="R1036" s="3"/>
      <c r="S1036" s="10"/>
      <c r="T1036" s="10"/>
      <c r="U1036" s="10"/>
      <c r="V1036" s="10"/>
      <c r="W1036" s="10"/>
      <c r="X1036" s="10"/>
      <c r="Y1036" s="10"/>
      <c r="Z1036" s="10"/>
      <c r="AA1036" s="10"/>
      <c r="AB1036" s="10"/>
      <c r="AC1036" s="10"/>
      <c r="AD1036" s="10"/>
      <c r="AE1036" s="10"/>
    </row>
    <row r="1037" ht="14.4" spans="14:31">
      <c r="N1037" s="10"/>
      <c r="O1037" s="10"/>
      <c r="P1037" t="b">
        <v>0</v>
      </c>
      <c r="Q1037" t="b">
        <v>0</v>
      </c>
      <c r="R1037" s="3"/>
      <c r="S1037" s="10"/>
      <c r="T1037" s="10"/>
      <c r="U1037" s="10"/>
      <c r="V1037" s="10"/>
      <c r="W1037" s="10"/>
      <c r="X1037" s="10"/>
      <c r="Y1037" s="10"/>
      <c r="Z1037" s="10"/>
      <c r="AA1037" s="10"/>
      <c r="AB1037" s="10"/>
      <c r="AC1037" s="10"/>
      <c r="AD1037" s="10"/>
      <c r="AE1037" s="10"/>
    </row>
    <row r="1038" ht="14.4" spans="14:31">
      <c r="N1038" s="10"/>
      <c r="O1038" s="10"/>
      <c r="P1038" t="b">
        <v>0</v>
      </c>
      <c r="Q1038" t="b">
        <v>0</v>
      </c>
      <c r="R1038" s="3"/>
      <c r="S1038" s="10"/>
      <c r="T1038" s="10"/>
      <c r="U1038" s="10"/>
      <c r="V1038" s="10"/>
      <c r="W1038" s="10"/>
      <c r="X1038" s="10"/>
      <c r="Y1038" s="10"/>
      <c r="Z1038" s="10"/>
      <c r="AA1038" s="10"/>
      <c r="AB1038" s="10"/>
      <c r="AC1038" s="10"/>
      <c r="AD1038" s="10"/>
      <c r="AE1038" s="10"/>
    </row>
    <row r="1039" ht="14.4" spans="14:31">
      <c r="N1039" s="10"/>
      <c r="O1039" s="10"/>
      <c r="P1039" t="b">
        <v>0</v>
      </c>
      <c r="Q1039" t="b">
        <v>0</v>
      </c>
      <c r="R1039" s="3"/>
      <c r="S1039" s="10"/>
      <c r="T1039" s="10"/>
      <c r="U1039" s="10"/>
      <c r="V1039" s="10"/>
      <c r="W1039" s="10"/>
      <c r="X1039" s="10"/>
      <c r="Y1039" s="10"/>
      <c r="Z1039" s="10"/>
      <c r="AA1039" s="10"/>
      <c r="AB1039" s="10"/>
      <c r="AC1039" s="10"/>
      <c r="AD1039" s="10"/>
      <c r="AE1039" s="10"/>
    </row>
    <row r="1040" ht="14.4" spans="14:31">
      <c r="N1040" s="10"/>
      <c r="O1040" s="10"/>
      <c r="P1040" t="b">
        <v>0</v>
      </c>
      <c r="Q1040" t="b">
        <v>0</v>
      </c>
      <c r="R1040" s="3"/>
      <c r="S1040" s="10"/>
      <c r="T1040" s="10"/>
      <c r="U1040" s="10"/>
      <c r="V1040" s="10"/>
      <c r="W1040" s="10"/>
      <c r="X1040" s="10"/>
      <c r="Y1040" s="10"/>
      <c r="Z1040" s="10"/>
      <c r="AA1040" s="10"/>
      <c r="AB1040" s="10"/>
      <c r="AC1040" s="10"/>
      <c r="AD1040" s="10"/>
      <c r="AE1040" s="10"/>
    </row>
    <row r="1041" ht="14.4" spans="14:31">
      <c r="N1041" s="10"/>
      <c r="O1041" s="10"/>
      <c r="P1041" t="b">
        <v>0</v>
      </c>
      <c r="Q1041" t="b">
        <v>0</v>
      </c>
      <c r="R1041" s="3"/>
      <c r="S1041" s="10"/>
      <c r="T1041" s="10"/>
      <c r="U1041" s="10"/>
      <c r="V1041" s="10"/>
      <c r="W1041" s="10"/>
      <c r="X1041" s="10"/>
      <c r="Y1041" s="10"/>
      <c r="Z1041" s="10"/>
      <c r="AA1041" s="10"/>
      <c r="AB1041" s="10"/>
      <c r="AC1041" s="10"/>
      <c r="AD1041" s="10"/>
      <c r="AE1041" s="10"/>
    </row>
    <row r="1042" ht="14.4" spans="14:31">
      <c r="N1042" s="10"/>
      <c r="O1042" s="10"/>
      <c r="P1042" t="b">
        <v>0</v>
      </c>
      <c r="Q1042" t="b">
        <v>0</v>
      </c>
      <c r="R1042" s="3"/>
      <c r="S1042" s="10"/>
      <c r="T1042" s="10"/>
      <c r="U1042" s="10"/>
      <c r="V1042" s="10"/>
      <c r="W1042" s="10"/>
      <c r="X1042" s="10"/>
      <c r="Y1042" s="10"/>
      <c r="Z1042" s="10"/>
      <c r="AA1042" s="10"/>
      <c r="AB1042" s="10"/>
      <c r="AC1042" s="10"/>
      <c r="AD1042" s="10"/>
      <c r="AE1042" s="10"/>
    </row>
    <row r="1043" ht="14.4" spans="14:31">
      <c r="N1043" s="10"/>
      <c r="O1043" s="10"/>
      <c r="P1043" t="b">
        <v>0</v>
      </c>
      <c r="Q1043" t="b">
        <v>0</v>
      </c>
      <c r="R1043" s="3"/>
      <c r="S1043" s="10"/>
      <c r="T1043" s="10"/>
      <c r="U1043" s="10"/>
      <c r="V1043" s="10"/>
      <c r="W1043" s="10"/>
      <c r="X1043" s="10"/>
      <c r="Y1043" s="10"/>
      <c r="Z1043" s="10"/>
      <c r="AA1043" s="10"/>
      <c r="AB1043" s="10"/>
      <c r="AC1043" s="10"/>
      <c r="AD1043" s="10"/>
      <c r="AE1043" s="10"/>
    </row>
    <row r="1044" ht="14.4" spans="14:31">
      <c r="N1044" s="10"/>
      <c r="O1044" s="10"/>
      <c r="P1044" t="b">
        <v>0</v>
      </c>
      <c r="Q1044" t="b">
        <v>0</v>
      </c>
      <c r="R1044" s="3"/>
      <c r="S1044" s="10"/>
      <c r="T1044" s="10"/>
      <c r="U1044" s="10"/>
      <c r="V1044" s="10"/>
      <c r="W1044" s="10"/>
      <c r="X1044" s="10"/>
      <c r="Y1044" s="10"/>
      <c r="Z1044" s="10"/>
      <c r="AA1044" s="10"/>
      <c r="AB1044" s="10"/>
      <c r="AC1044" s="10"/>
      <c r="AD1044" s="10"/>
      <c r="AE1044" s="10"/>
    </row>
    <row r="1045" ht="14.4" spans="14:31">
      <c r="N1045" s="10"/>
      <c r="O1045" s="10"/>
      <c r="P1045" t="b">
        <v>0</v>
      </c>
      <c r="Q1045" t="b">
        <v>0</v>
      </c>
      <c r="R1045" s="3"/>
      <c r="S1045" s="10"/>
      <c r="T1045" s="10"/>
      <c r="U1045" s="10"/>
      <c r="V1045" s="10"/>
      <c r="W1045" s="10"/>
      <c r="X1045" s="10"/>
      <c r="Y1045" s="10"/>
      <c r="Z1045" s="10"/>
      <c r="AA1045" s="10"/>
      <c r="AB1045" s="10"/>
      <c r="AC1045" s="10"/>
      <c r="AD1045" s="10"/>
      <c r="AE1045" s="10"/>
    </row>
    <row r="1046" ht="14.4" spans="14:31">
      <c r="N1046" s="10"/>
      <c r="O1046" s="10"/>
      <c r="P1046" t="b">
        <v>0</v>
      </c>
      <c r="Q1046" t="b">
        <v>0</v>
      </c>
      <c r="R1046" s="3"/>
      <c r="S1046" s="10"/>
      <c r="T1046" s="10"/>
      <c r="U1046" s="10"/>
      <c r="V1046" s="10"/>
      <c r="W1046" s="10"/>
      <c r="X1046" s="10"/>
      <c r="Y1046" s="10"/>
      <c r="Z1046" s="10"/>
      <c r="AA1046" s="10"/>
      <c r="AB1046" s="10"/>
      <c r="AC1046" s="10"/>
      <c r="AD1046" s="10"/>
      <c r="AE1046" s="10"/>
    </row>
    <row r="1047" ht="14.4" spans="14:31">
      <c r="N1047" s="10"/>
      <c r="O1047" s="10"/>
      <c r="P1047" t="b">
        <v>0</v>
      </c>
      <c r="Q1047" t="b">
        <v>0</v>
      </c>
      <c r="R1047" s="3"/>
      <c r="S1047" s="10"/>
      <c r="T1047" s="10"/>
      <c r="U1047" s="10"/>
      <c r="V1047" s="10"/>
      <c r="W1047" s="10"/>
      <c r="X1047" s="10"/>
      <c r="Y1047" s="10"/>
      <c r="Z1047" s="10"/>
      <c r="AA1047" s="10"/>
      <c r="AB1047" s="10"/>
      <c r="AC1047" s="10"/>
      <c r="AD1047" s="10"/>
      <c r="AE1047" s="10"/>
    </row>
    <row r="1048" ht="14.4" spans="14:31">
      <c r="N1048" s="10"/>
      <c r="O1048" s="10"/>
      <c r="P1048" t="b">
        <v>0</v>
      </c>
      <c r="Q1048" t="b">
        <v>0</v>
      </c>
      <c r="R1048" s="3"/>
      <c r="S1048" s="10"/>
      <c r="T1048" s="10"/>
      <c r="U1048" s="10"/>
      <c r="V1048" s="10"/>
      <c r="W1048" s="10"/>
      <c r="X1048" s="10"/>
      <c r="Y1048" s="10"/>
      <c r="Z1048" s="10"/>
      <c r="AA1048" s="10"/>
      <c r="AB1048" s="10"/>
      <c r="AC1048" s="10"/>
      <c r="AD1048" s="10"/>
      <c r="AE1048" s="10"/>
    </row>
    <row r="1049" ht="14.4" spans="14:31">
      <c r="N1049" s="10"/>
      <c r="O1049" s="10"/>
      <c r="P1049" t="b">
        <v>0</v>
      </c>
      <c r="Q1049" t="b">
        <v>0</v>
      </c>
      <c r="R1049" s="3"/>
      <c r="S1049" s="10"/>
      <c r="T1049" s="10"/>
      <c r="U1049" s="10"/>
      <c r="V1049" s="10"/>
      <c r="W1049" s="10"/>
      <c r="X1049" s="10"/>
      <c r="Y1049" s="10"/>
      <c r="Z1049" s="10"/>
      <c r="AA1049" s="10"/>
      <c r="AB1049" s="10"/>
      <c r="AC1049" s="10"/>
      <c r="AD1049" s="10"/>
      <c r="AE1049" s="10"/>
    </row>
    <row r="1050" ht="14.4" spans="14:31">
      <c r="N1050" s="10"/>
      <c r="O1050" s="10"/>
      <c r="P1050" t="b">
        <v>0</v>
      </c>
      <c r="Q1050" t="b">
        <v>0</v>
      </c>
      <c r="R1050" s="3"/>
      <c r="S1050" s="10"/>
      <c r="T1050" s="10"/>
      <c r="U1050" s="10"/>
      <c r="V1050" s="10"/>
      <c r="W1050" s="10"/>
      <c r="X1050" s="10"/>
      <c r="Y1050" s="10"/>
      <c r="Z1050" s="10"/>
      <c r="AA1050" s="10"/>
      <c r="AB1050" s="10"/>
      <c r="AC1050" s="10"/>
      <c r="AD1050" s="10"/>
      <c r="AE1050" s="10"/>
    </row>
    <row r="1051" ht="14.4" spans="14:31">
      <c r="N1051" s="10"/>
      <c r="O1051" s="10"/>
      <c r="P1051" t="b">
        <v>0</v>
      </c>
      <c r="Q1051" t="b">
        <v>0</v>
      </c>
      <c r="R1051" s="3"/>
      <c r="S1051" s="10"/>
      <c r="T1051" s="10"/>
      <c r="U1051" s="10"/>
      <c r="V1051" s="10"/>
      <c r="W1051" s="10"/>
      <c r="X1051" s="10"/>
      <c r="Y1051" s="10"/>
      <c r="Z1051" s="10"/>
      <c r="AA1051" s="10"/>
      <c r="AB1051" s="10"/>
      <c r="AC1051" s="10"/>
      <c r="AD1051" s="10"/>
      <c r="AE1051" s="10"/>
    </row>
    <row r="1052" ht="14.4" spans="14:31">
      <c r="N1052" s="10"/>
      <c r="O1052" s="10"/>
      <c r="P1052" t="b">
        <v>0</v>
      </c>
      <c r="Q1052" t="b">
        <v>0</v>
      </c>
      <c r="R1052" s="3"/>
      <c r="S1052" s="10"/>
      <c r="T1052" s="10"/>
      <c r="U1052" s="10"/>
      <c r="V1052" s="10"/>
      <c r="W1052" s="10"/>
      <c r="X1052" s="10"/>
      <c r="Y1052" s="10"/>
      <c r="Z1052" s="10"/>
      <c r="AA1052" s="10"/>
      <c r="AB1052" s="10"/>
      <c r="AC1052" s="10"/>
      <c r="AD1052" s="10"/>
      <c r="AE1052" s="10"/>
    </row>
    <row r="1053" ht="14.4" spans="14:31">
      <c r="N1053" s="10"/>
      <c r="O1053" s="10"/>
      <c r="P1053" t="b">
        <v>0</v>
      </c>
      <c r="Q1053" t="b">
        <v>0</v>
      </c>
      <c r="R1053" s="3"/>
      <c r="S1053" s="10"/>
      <c r="T1053" s="10"/>
      <c r="U1053" s="10"/>
      <c r="V1053" s="10"/>
      <c r="W1053" s="10"/>
      <c r="X1053" s="10"/>
      <c r="Y1053" s="10"/>
      <c r="Z1053" s="10"/>
      <c r="AA1053" s="10"/>
      <c r="AB1053" s="10"/>
      <c r="AC1053" s="10"/>
      <c r="AD1053" s="10"/>
      <c r="AE1053" s="10"/>
    </row>
    <row r="1054" ht="14.4" spans="14:31">
      <c r="N1054" s="10"/>
      <c r="O1054" s="10"/>
      <c r="P1054" t="b">
        <v>0</v>
      </c>
      <c r="Q1054" t="b">
        <v>0</v>
      </c>
      <c r="R1054" s="3"/>
      <c r="S1054" s="10"/>
      <c r="T1054" s="10"/>
      <c r="U1054" s="10"/>
      <c r="V1054" s="10"/>
      <c r="W1054" s="10"/>
      <c r="X1054" s="10"/>
      <c r="Y1054" s="10"/>
      <c r="Z1054" s="10"/>
      <c r="AA1054" s="10"/>
      <c r="AB1054" s="10"/>
      <c r="AC1054" s="10"/>
      <c r="AD1054" s="10"/>
      <c r="AE1054" s="10"/>
    </row>
    <row r="1055" ht="14.4" spans="14:31">
      <c r="N1055" s="10"/>
      <c r="O1055" s="10"/>
      <c r="P1055" t="b">
        <v>0</v>
      </c>
      <c r="Q1055" t="b">
        <v>0</v>
      </c>
      <c r="R1055" s="3"/>
      <c r="S1055" s="10"/>
      <c r="T1055" s="10"/>
      <c r="U1055" s="10"/>
      <c r="V1055" s="10"/>
      <c r="W1055" s="10"/>
      <c r="X1055" s="10"/>
      <c r="Y1055" s="10"/>
      <c r="Z1055" s="10"/>
      <c r="AA1055" s="10"/>
      <c r="AB1055" s="10"/>
      <c r="AC1055" s="10"/>
      <c r="AD1055" s="10"/>
      <c r="AE1055" s="10"/>
    </row>
    <row r="1056" ht="14.4" spans="14:31">
      <c r="N1056" s="10"/>
      <c r="O1056" s="10"/>
      <c r="P1056" t="b">
        <v>0</v>
      </c>
      <c r="Q1056" t="b">
        <v>0</v>
      </c>
      <c r="R1056" s="3"/>
      <c r="S1056" s="10"/>
      <c r="T1056" s="10"/>
      <c r="U1056" s="10"/>
      <c r="V1056" s="10"/>
      <c r="W1056" s="10"/>
      <c r="X1056" s="10"/>
      <c r="Y1056" s="10"/>
      <c r="Z1056" s="10"/>
      <c r="AA1056" s="10"/>
      <c r="AB1056" s="10"/>
      <c r="AC1056" s="10"/>
      <c r="AD1056" s="10"/>
      <c r="AE1056" s="10"/>
    </row>
    <row r="1057" ht="14.4" spans="14:31">
      <c r="N1057" s="10"/>
      <c r="O1057" s="10"/>
      <c r="P1057" t="b">
        <v>0</v>
      </c>
      <c r="Q1057" t="b">
        <v>0</v>
      </c>
      <c r="R1057" s="3"/>
      <c r="S1057" s="10"/>
      <c r="T1057" s="10"/>
      <c r="U1057" s="10"/>
      <c r="V1057" s="10"/>
      <c r="W1057" s="10"/>
      <c r="X1057" s="10"/>
      <c r="Y1057" s="10"/>
      <c r="Z1057" s="10"/>
      <c r="AA1057" s="10"/>
      <c r="AB1057" s="10"/>
      <c r="AC1057" s="10"/>
      <c r="AD1057" s="10"/>
      <c r="AE1057" s="10"/>
    </row>
    <row r="1058" ht="14.4" spans="14:31">
      <c r="N1058" s="10"/>
      <c r="O1058" s="10"/>
      <c r="P1058" t="b">
        <v>0</v>
      </c>
      <c r="Q1058" t="b">
        <v>0</v>
      </c>
      <c r="R1058" s="3"/>
      <c r="S1058" s="10"/>
      <c r="T1058" s="10"/>
      <c r="U1058" s="10"/>
      <c r="V1058" s="10"/>
      <c r="W1058" s="10"/>
      <c r="X1058" s="10"/>
      <c r="Y1058" s="10"/>
      <c r="Z1058" s="10"/>
      <c r="AA1058" s="10"/>
      <c r="AB1058" s="10"/>
      <c r="AC1058" s="10"/>
      <c r="AD1058" s="10"/>
      <c r="AE1058" s="10"/>
    </row>
    <row r="1059" ht="14.4" spans="14:31">
      <c r="N1059" s="10"/>
      <c r="O1059" s="10"/>
      <c r="P1059" t="b">
        <v>0</v>
      </c>
      <c r="Q1059" t="b">
        <v>0</v>
      </c>
      <c r="R1059" s="3"/>
      <c r="S1059" s="10"/>
      <c r="T1059" s="10"/>
      <c r="U1059" s="10"/>
      <c r="V1059" s="10"/>
      <c r="W1059" s="10"/>
      <c r="X1059" s="10"/>
      <c r="Y1059" s="10"/>
      <c r="Z1059" s="10"/>
      <c r="AA1059" s="10"/>
      <c r="AB1059" s="10"/>
      <c r="AC1059" s="10"/>
      <c r="AD1059" s="10"/>
      <c r="AE1059" s="10"/>
    </row>
    <row r="1060" ht="14.4" spans="14:31">
      <c r="N1060" s="10"/>
      <c r="O1060" s="10"/>
      <c r="P1060" t="b">
        <v>0</v>
      </c>
      <c r="Q1060" t="b">
        <v>0</v>
      </c>
      <c r="R1060" s="3"/>
      <c r="S1060" s="10"/>
      <c r="T1060" s="10"/>
      <c r="U1060" s="10"/>
      <c r="V1060" s="10"/>
      <c r="W1060" s="10"/>
      <c r="X1060" s="10"/>
      <c r="Y1060" s="10"/>
      <c r="Z1060" s="10"/>
      <c r="AA1060" s="10"/>
      <c r="AB1060" s="10"/>
      <c r="AC1060" s="10"/>
      <c r="AD1060" s="10"/>
      <c r="AE1060" s="10"/>
    </row>
    <row r="1061" ht="14.4" spans="14:31">
      <c r="N1061" s="10"/>
      <c r="O1061" s="10"/>
      <c r="P1061" t="b">
        <v>0</v>
      </c>
      <c r="Q1061" t="b">
        <v>0</v>
      </c>
      <c r="R1061" s="3"/>
      <c r="S1061" s="10"/>
      <c r="T1061" s="10"/>
      <c r="U1061" s="10"/>
      <c r="V1061" s="10"/>
      <c r="W1061" s="10"/>
      <c r="X1061" s="10"/>
      <c r="Y1061" s="10"/>
      <c r="Z1061" s="10"/>
      <c r="AA1061" s="10"/>
      <c r="AB1061" s="10"/>
      <c r="AC1061" s="10"/>
      <c r="AD1061" s="10"/>
      <c r="AE1061" s="10"/>
    </row>
    <row r="1062" ht="14.4" spans="14:31">
      <c r="N1062" s="10"/>
      <c r="O1062" s="10"/>
      <c r="P1062" t="b">
        <v>0</v>
      </c>
      <c r="Q1062" t="b">
        <v>0</v>
      </c>
      <c r="R1062" s="3"/>
      <c r="S1062" s="10"/>
      <c r="T1062" s="10"/>
      <c r="U1062" s="10"/>
      <c r="V1062" s="10"/>
      <c r="W1062" s="10"/>
      <c r="X1062" s="10"/>
      <c r="Y1062" s="10"/>
      <c r="Z1062" s="10"/>
      <c r="AA1062" s="10"/>
      <c r="AB1062" s="10"/>
      <c r="AC1062" s="10"/>
      <c r="AD1062" s="10"/>
      <c r="AE1062" s="10"/>
    </row>
    <row r="1063" ht="14.4" spans="14:31">
      <c r="N1063" s="10"/>
      <c r="O1063" s="10"/>
      <c r="P1063" t="b">
        <v>0</v>
      </c>
      <c r="Q1063" t="b">
        <v>0</v>
      </c>
      <c r="R1063" s="3"/>
      <c r="S1063" s="10"/>
      <c r="T1063" s="10"/>
      <c r="U1063" s="10"/>
      <c r="V1063" s="10"/>
      <c r="W1063" s="10"/>
      <c r="X1063" s="10"/>
      <c r="Y1063" s="10"/>
      <c r="Z1063" s="10"/>
      <c r="AA1063" s="10"/>
      <c r="AB1063" s="10"/>
      <c r="AC1063" s="10"/>
      <c r="AD1063" s="10"/>
      <c r="AE1063" s="10"/>
    </row>
    <row r="1064" ht="14.4" spans="14:31">
      <c r="N1064" s="10"/>
      <c r="O1064" s="10"/>
      <c r="P1064" t="b">
        <v>0</v>
      </c>
      <c r="Q1064" t="b">
        <v>0</v>
      </c>
      <c r="R1064" s="3"/>
      <c r="S1064" s="10"/>
      <c r="T1064" s="10"/>
      <c r="U1064" s="10"/>
      <c r="V1064" s="10"/>
      <c r="W1064" s="10"/>
      <c r="X1064" s="10"/>
      <c r="Y1064" s="10"/>
      <c r="Z1064" s="10"/>
      <c r="AA1064" s="10"/>
      <c r="AB1064" s="10"/>
      <c r="AC1064" s="10"/>
      <c r="AD1064" s="10"/>
      <c r="AE1064" s="10"/>
    </row>
    <row r="1065" ht="14.4" spans="14:31">
      <c r="N1065" s="10"/>
      <c r="O1065" s="10"/>
      <c r="P1065" t="b">
        <v>0</v>
      </c>
      <c r="Q1065" t="b">
        <v>0</v>
      </c>
      <c r="R1065" s="3"/>
      <c r="S1065" s="10"/>
      <c r="T1065" s="10"/>
      <c r="U1065" s="10"/>
      <c r="V1065" s="10"/>
      <c r="W1065" s="10"/>
      <c r="X1065" s="10"/>
      <c r="Y1065" s="10"/>
      <c r="Z1065" s="10"/>
      <c r="AA1065" s="10"/>
      <c r="AB1065" s="10"/>
      <c r="AC1065" s="10"/>
      <c r="AD1065" s="10"/>
      <c r="AE1065" s="10"/>
    </row>
    <row r="1066" ht="14.4" spans="14:31">
      <c r="N1066" s="10"/>
      <c r="O1066" s="10"/>
      <c r="P1066" t="b">
        <v>0</v>
      </c>
      <c r="Q1066" t="b">
        <v>0</v>
      </c>
      <c r="R1066" s="3"/>
      <c r="S1066" s="10"/>
      <c r="T1066" s="10"/>
      <c r="U1066" s="10"/>
      <c r="V1066" s="10"/>
      <c r="W1066" s="10"/>
      <c r="X1066" s="10"/>
      <c r="Y1066" s="10"/>
      <c r="Z1066" s="10"/>
      <c r="AA1066" s="10"/>
      <c r="AB1066" s="10"/>
      <c r="AC1066" s="10"/>
      <c r="AD1066" s="10"/>
      <c r="AE1066" s="10"/>
    </row>
    <row r="1067" ht="14.4" spans="14:31">
      <c r="N1067" s="10"/>
      <c r="O1067" s="10"/>
      <c r="P1067" t="b">
        <v>0</v>
      </c>
      <c r="Q1067" t="b">
        <v>0</v>
      </c>
      <c r="R1067" s="3"/>
      <c r="S1067" s="10"/>
      <c r="T1067" s="10"/>
      <c r="U1067" s="10"/>
      <c r="V1067" s="10"/>
      <c r="W1067" s="10"/>
      <c r="X1067" s="10"/>
      <c r="Y1067" s="10"/>
      <c r="Z1067" s="10"/>
      <c r="AA1067" s="10"/>
      <c r="AB1067" s="10"/>
      <c r="AC1067" s="10"/>
      <c r="AD1067" s="10"/>
      <c r="AE1067" s="10"/>
    </row>
    <row r="1068" ht="14.4" spans="14:31">
      <c r="N1068" s="10"/>
      <c r="O1068" s="10"/>
      <c r="P1068" t="b">
        <v>0</v>
      </c>
      <c r="Q1068" t="b">
        <v>0</v>
      </c>
      <c r="R1068" s="3"/>
      <c r="S1068" s="10"/>
      <c r="T1068" s="10"/>
      <c r="U1068" s="10"/>
      <c r="V1068" s="10"/>
      <c r="W1068" s="10"/>
      <c r="X1068" s="10"/>
      <c r="Y1068" s="10"/>
      <c r="Z1068" s="10"/>
      <c r="AA1068" s="10"/>
      <c r="AB1068" s="10"/>
      <c r="AC1068" s="10"/>
      <c r="AD1068" s="10"/>
      <c r="AE1068" s="10"/>
    </row>
    <row r="1069" ht="14.4" spans="14:31">
      <c r="N1069" s="10"/>
      <c r="O1069" s="10"/>
      <c r="P1069" t="b">
        <v>0</v>
      </c>
      <c r="Q1069" t="b">
        <v>0</v>
      </c>
      <c r="R1069" s="3"/>
      <c r="S1069" s="10"/>
      <c r="T1069" s="10"/>
      <c r="U1069" s="10"/>
      <c r="V1069" s="10"/>
      <c r="W1069" s="10"/>
      <c r="X1069" s="10"/>
      <c r="Y1069" s="10"/>
      <c r="Z1069" s="10"/>
      <c r="AA1069" s="10"/>
      <c r="AB1069" s="10"/>
      <c r="AC1069" s="10"/>
      <c r="AD1069" s="10"/>
      <c r="AE1069" s="10"/>
    </row>
    <row r="1070" ht="14.4" spans="14:31">
      <c r="N1070" s="10"/>
      <c r="O1070" s="10"/>
      <c r="P1070" t="b">
        <v>0</v>
      </c>
      <c r="Q1070" t="b">
        <v>0</v>
      </c>
      <c r="R1070" s="3"/>
      <c r="S1070" s="10"/>
      <c r="T1070" s="10"/>
      <c r="U1070" s="10"/>
      <c r="V1070" s="10"/>
      <c r="W1070" s="10"/>
      <c r="X1070" s="10"/>
      <c r="Y1070" s="10"/>
      <c r="Z1070" s="10"/>
      <c r="AA1070" s="10"/>
      <c r="AB1070" s="10"/>
      <c r="AC1070" s="10"/>
      <c r="AD1070" s="10"/>
      <c r="AE1070" s="10"/>
    </row>
    <row r="1071" ht="14.4" spans="14:31">
      <c r="N1071" s="10"/>
      <c r="O1071" s="10"/>
      <c r="P1071" t="b">
        <v>0</v>
      </c>
      <c r="Q1071" t="b">
        <v>0</v>
      </c>
      <c r="R1071" s="3"/>
      <c r="S1071" s="10"/>
      <c r="T1071" s="10"/>
      <c r="U1071" s="10"/>
      <c r="V1071" s="10"/>
      <c r="W1071" s="10"/>
      <c r="X1071" s="10"/>
      <c r="Y1071" s="10"/>
      <c r="Z1071" s="10"/>
      <c r="AA1071" s="10"/>
      <c r="AB1071" s="10"/>
      <c r="AC1071" s="10"/>
      <c r="AD1071" s="10"/>
      <c r="AE1071" s="10"/>
    </row>
    <row r="1072" ht="14.4" spans="14:31">
      <c r="N1072" s="10"/>
      <c r="O1072" s="10"/>
      <c r="P1072" t="b">
        <v>0</v>
      </c>
      <c r="Q1072" t="b">
        <v>0</v>
      </c>
      <c r="R1072" s="3"/>
      <c r="S1072" s="10"/>
      <c r="T1072" s="10"/>
      <c r="U1072" s="10"/>
      <c r="V1072" s="10"/>
      <c r="W1072" s="10"/>
      <c r="X1072" s="10"/>
      <c r="Y1072" s="10"/>
      <c r="Z1072" s="10"/>
      <c r="AA1072" s="10"/>
      <c r="AB1072" s="10"/>
      <c r="AC1072" s="10"/>
      <c r="AD1072" s="10"/>
      <c r="AE1072" s="10"/>
    </row>
    <row r="1073" ht="14.4" spans="14:31">
      <c r="N1073" s="10"/>
      <c r="O1073" s="10"/>
      <c r="P1073" t="b">
        <v>0</v>
      </c>
      <c r="Q1073" t="b">
        <v>0</v>
      </c>
      <c r="R1073" s="3"/>
      <c r="S1073" s="10"/>
      <c r="T1073" s="10"/>
      <c r="U1073" s="10"/>
      <c r="V1073" s="10"/>
      <c r="W1073" s="10"/>
      <c r="X1073" s="10"/>
      <c r="Y1073" s="10"/>
      <c r="Z1073" s="10"/>
      <c r="AA1073" s="10"/>
      <c r="AB1073" s="10"/>
      <c r="AC1073" s="10"/>
      <c r="AD1073" s="10"/>
      <c r="AE1073" s="10"/>
    </row>
    <row r="1074" ht="14.4" spans="14:31">
      <c r="N1074" s="10"/>
      <c r="O1074" s="10"/>
      <c r="P1074" t="b">
        <v>0</v>
      </c>
      <c r="Q1074" t="b">
        <v>0</v>
      </c>
      <c r="R1074" s="3"/>
      <c r="S1074" s="10"/>
      <c r="T1074" s="10"/>
      <c r="U1074" s="10"/>
      <c r="V1074" s="10"/>
      <c r="W1074" s="10"/>
      <c r="X1074" s="10"/>
      <c r="Y1074" s="10"/>
      <c r="Z1074" s="10"/>
      <c r="AA1074" s="10"/>
      <c r="AB1074" s="10"/>
      <c r="AC1074" s="10"/>
      <c r="AD1074" s="10"/>
      <c r="AE1074" s="10"/>
    </row>
    <row r="1075" ht="14.4" spans="14:31">
      <c r="N1075" s="10"/>
      <c r="O1075" s="10"/>
      <c r="P1075" t="b">
        <v>0</v>
      </c>
      <c r="Q1075" t="b">
        <v>0</v>
      </c>
      <c r="R1075" s="3"/>
      <c r="S1075" s="10"/>
      <c r="T1075" s="10"/>
      <c r="U1075" s="10"/>
      <c r="V1075" s="10"/>
      <c r="W1075" s="10"/>
      <c r="X1075" s="10"/>
      <c r="Y1075" s="10"/>
      <c r="Z1075" s="10"/>
      <c r="AA1075" s="10"/>
      <c r="AB1075" s="10"/>
      <c r="AC1075" s="10"/>
      <c r="AD1075" s="10"/>
      <c r="AE1075" s="10"/>
    </row>
    <row r="1076" ht="14.4" spans="14:31">
      <c r="N1076" s="10"/>
      <c r="O1076" s="10"/>
      <c r="P1076" t="b">
        <v>0</v>
      </c>
      <c r="Q1076" t="b">
        <v>0</v>
      </c>
      <c r="R1076" s="3"/>
      <c r="S1076" s="10"/>
      <c r="T1076" s="10"/>
      <c r="U1076" s="10"/>
      <c r="V1076" s="10"/>
      <c r="W1076" s="10"/>
      <c r="X1076" s="10"/>
      <c r="Y1076" s="10"/>
      <c r="Z1076" s="10"/>
      <c r="AA1076" s="10"/>
      <c r="AB1076" s="10"/>
      <c r="AC1076" s="10"/>
      <c r="AD1076" s="10"/>
      <c r="AE1076" s="10"/>
    </row>
    <row r="1077" ht="14.4" spans="14:31">
      <c r="N1077" s="10"/>
      <c r="O1077" s="10"/>
      <c r="P1077" t="b">
        <v>0</v>
      </c>
      <c r="Q1077" t="b">
        <v>0</v>
      </c>
      <c r="R1077" s="3"/>
      <c r="S1077" s="10"/>
      <c r="T1077" s="10"/>
      <c r="U1077" s="10"/>
      <c r="V1077" s="10"/>
      <c r="W1077" s="10"/>
      <c r="X1077" s="10"/>
      <c r="Y1077" s="10"/>
      <c r="Z1077" s="10"/>
      <c r="AA1077" s="10"/>
      <c r="AB1077" s="10"/>
      <c r="AC1077" s="10"/>
      <c r="AD1077" s="10"/>
      <c r="AE1077" s="10"/>
    </row>
    <row r="1078" ht="14.4" spans="14:31">
      <c r="N1078" s="10"/>
      <c r="O1078" s="10"/>
      <c r="P1078" t="b">
        <v>0</v>
      </c>
      <c r="Q1078" t="b">
        <v>0</v>
      </c>
      <c r="R1078" s="3"/>
      <c r="S1078" s="10"/>
      <c r="T1078" s="10"/>
      <c r="U1078" s="10"/>
      <c r="V1078" s="10"/>
      <c r="W1078" s="10"/>
      <c r="X1078" s="10"/>
      <c r="Y1078" s="10"/>
      <c r="Z1078" s="10"/>
      <c r="AA1078" s="10"/>
      <c r="AB1078" s="10"/>
      <c r="AC1078" s="10"/>
      <c r="AD1078" s="10"/>
      <c r="AE1078" s="10"/>
    </row>
    <row r="1079" ht="14.4" spans="14:31">
      <c r="N1079" s="10"/>
      <c r="O1079" s="10"/>
      <c r="P1079" t="b">
        <v>0</v>
      </c>
      <c r="Q1079" t="b">
        <v>0</v>
      </c>
      <c r="R1079" s="3"/>
      <c r="S1079" s="10"/>
      <c r="T1079" s="10"/>
      <c r="U1079" s="10"/>
      <c r="V1079" s="10"/>
      <c r="W1079" s="10"/>
      <c r="X1079" s="10"/>
      <c r="Y1079" s="10"/>
      <c r="Z1079" s="10"/>
      <c r="AA1079" s="10"/>
      <c r="AB1079" s="10"/>
      <c r="AC1079" s="10"/>
      <c r="AD1079" s="10"/>
      <c r="AE1079" s="10"/>
    </row>
    <row r="1080" ht="14.4" spans="14:31">
      <c r="N1080" s="10"/>
      <c r="O1080" s="10"/>
      <c r="P1080" t="b">
        <v>0</v>
      </c>
      <c r="Q1080" t="b">
        <v>0</v>
      </c>
      <c r="R1080" s="3"/>
      <c r="S1080" s="10"/>
      <c r="T1080" s="10"/>
      <c r="U1080" s="10"/>
      <c r="V1080" s="10"/>
      <c r="W1080" s="10"/>
      <c r="X1080" s="10"/>
      <c r="Y1080" s="10"/>
      <c r="Z1080" s="10"/>
      <c r="AA1080" s="10"/>
      <c r="AB1080" s="10"/>
      <c r="AC1080" s="10"/>
      <c r="AD1080" s="10"/>
      <c r="AE1080" s="10"/>
    </row>
    <row r="1081" ht="14.4" spans="14:31">
      <c r="N1081" s="10"/>
      <c r="O1081" s="10"/>
      <c r="P1081" t="b">
        <v>0</v>
      </c>
      <c r="Q1081" t="b">
        <v>0</v>
      </c>
      <c r="R1081" s="3"/>
      <c r="S1081" s="10"/>
      <c r="T1081" s="10"/>
      <c r="U1081" s="10"/>
      <c r="V1081" s="10"/>
      <c r="W1081" s="10"/>
      <c r="X1081" s="10"/>
      <c r="Y1081" s="10"/>
      <c r="Z1081" s="10"/>
      <c r="AA1081" s="10"/>
      <c r="AB1081" s="10"/>
      <c r="AC1081" s="10"/>
      <c r="AD1081" s="10"/>
      <c r="AE1081" s="10"/>
    </row>
    <row r="1082" ht="14.4" spans="14:31">
      <c r="N1082" s="10"/>
      <c r="O1082" s="10"/>
      <c r="P1082" t="b">
        <v>0</v>
      </c>
      <c r="Q1082" t="b">
        <v>0</v>
      </c>
      <c r="R1082" s="3"/>
      <c r="S1082" s="10"/>
      <c r="T1082" s="10"/>
      <c r="U1082" s="10"/>
      <c r="V1082" s="10"/>
      <c r="W1082" s="10"/>
      <c r="X1082" s="10"/>
      <c r="Y1082" s="10"/>
      <c r="Z1082" s="10"/>
      <c r="AA1082" s="10"/>
      <c r="AB1082" s="10"/>
      <c r="AC1082" s="10"/>
      <c r="AD1082" s="10"/>
      <c r="AE1082" s="10"/>
    </row>
    <row r="1083" ht="14.4" spans="14:31">
      <c r="N1083" s="10"/>
      <c r="O1083" s="10"/>
      <c r="P1083" t="b">
        <v>0</v>
      </c>
      <c r="Q1083" t="b">
        <v>0</v>
      </c>
      <c r="R1083" s="3"/>
      <c r="S1083" s="10"/>
      <c r="T1083" s="10"/>
      <c r="U1083" s="10"/>
      <c r="V1083" s="10"/>
      <c r="W1083" s="10"/>
      <c r="X1083" s="10"/>
      <c r="Y1083" s="10"/>
      <c r="Z1083" s="10"/>
      <c r="AA1083" s="10"/>
      <c r="AB1083" s="10"/>
      <c r="AC1083" s="10"/>
      <c r="AD1083" s="10"/>
      <c r="AE1083" s="10"/>
    </row>
    <row r="1084" ht="14.4" spans="14:31">
      <c r="N1084" s="10"/>
      <c r="O1084" s="10"/>
      <c r="P1084" t="b">
        <v>0</v>
      </c>
      <c r="Q1084" t="b">
        <v>0</v>
      </c>
      <c r="R1084" s="3"/>
      <c r="S1084" s="10"/>
      <c r="T1084" s="10"/>
      <c r="U1084" s="10"/>
      <c r="V1084" s="10"/>
      <c r="W1084" s="10"/>
      <c r="X1084" s="10"/>
      <c r="Y1084" s="10"/>
      <c r="Z1084" s="10"/>
      <c r="AA1084" s="10"/>
      <c r="AB1084" s="10"/>
      <c r="AC1084" s="10"/>
      <c r="AD1084" s="10"/>
      <c r="AE1084" s="10"/>
    </row>
    <row r="1085" ht="14.4" spans="14:31">
      <c r="N1085" s="10"/>
      <c r="O1085" s="10"/>
      <c r="P1085" t="b">
        <v>0</v>
      </c>
      <c r="Q1085" t="b">
        <v>0</v>
      </c>
      <c r="R1085" s="3"/>
      <c r="S1085" s="10"/>
      <c r="T1085" s="10"/>
      <c r="U1085" s="10"/>
      <c r="V1085" s="10"/>
      <c r="W1085" s="10"/>
      <c r="X1085" s="10"/>
      <c r="Y1085" s="10"/>
      <c r="Z1085" s="10"/>
      <c r="AA1085" s="10"/>
      <c r="AB1085" s="10"/>
      <c r="AC1085" s="10"/>
      <c r="AD1085" s="10"/>
      <c r="AE1085" s="10"/>
    </row>
    <row r="1086" ht="14.4" spans="14:31">
      <c r="N1086" s="10"/>
      <c r="O1086" s="10"/>
      <c r="P1086" t="b">
        <v>0</v>
      </c>
      <c r="Q1086" t="b">
        <v>0</v>
      </c>
      <c r="R1086" s="3"/>
      <c r="S1086" s="10"/>
      <c r="T1086" s="10"/>
      <c r="U1086" s="10"/>
      <c r="V1086" s="10"/>
      <c r="W1086" s="10"/>
      <c r="X1086" s="10"/>
      <c r="Y1086" s="10"/>
      <c r="Z1086" s="10"/>
      <c r="AA1086" s="10"/>
      <c r="AB1086" s="10"/>
      <c r="AC1086" s="10"/>
      <c r="AD1086" s="10"/>
      <c r="AE1086" s="10"/>
    </row>
    <row r="1087" ht="14.4" spans="14:31">
      <c r="N1087" s="10"/>
      <c r="O1087" s="10"/>
      <c r="P1087" t="b">
        <v>0</v>
      </c>
      <c r="Q1087" t="b">
        <v>0</v>
      </c>
      <c r="R1087" s="3"/>
      <c r="S1087" s="10"/>
      <c r="T1087" s="10"/>
      <c r="U1087" s="10"/>
      <c r="V1087" s="10"/>
      <c r="W1087" s="10"/>
      <c r="X1087" s="10"/>
      <c r="Y1087" s="10"/>
      <c r="Z1087" s="10"/>
      <c r="AA1087" s="10"/>
      <c r="AB1087" s="10"/>
      <c r="AC1087" s="10"/>
      <c r="AD1087" s="10"/>
      <c r="AE1087" s="10"/>
    </row>
    <row r="1088" ht="14.4" spans="14:31">
      <c r="N1088" s="10"/>
      <c r="O1088" s="10"/>
      <c r="P1088" t="b">
        <v>0</v>
      </c>
      <c r="Q1088" t="b">
        <v>0</v>
      </c>
      <c r="R1088" s="3"/>
      <c r="S1088" s="10"/>
      <c r="T1088" s="10"/>
      <c r="U1088" s="10"/>
      <c r="V1088" s="10"/>
      <c r="W1088" s="10"/>
      <c r="X1088" s="10"/>
      <c r="Y1088" s="10"/>
      <c r="Z1088" s="10"/>
      <c r="AA1088" s="10"/>
      <c r="AB1088" s="10"/>
      <c r="AC1088" s="10"/>
      <c r="AD1088" s="10"/>
      <c r="AE1088" s="10"/>
    </row>
    <row r="1089" ht="14.4" spans="14:31">
      <c r="N1089" s="10"/>
      <c r="O1089" s="10"/>
      <c r="P1089" t="b">
        <v>0</v>
      </c>
      <c r="Q1089" t="b">
        <v>0</v>
      </c>
      <c r="R1089" s="3"/>
      <c r="S1089" s="10"/>
      <c r="T1089" s="10"/>
      <c r="U1089" s="10"/>
      <c r="V1089" s="10"/>
      <c r="W1089" s="10"/>
      <c r="X1089" s="10"/>
      <c r="Y1089" s="10"/>
      <c r="Z1089" s="10"/>
      <c r="AA1089" s="10"/>
      <c r="AB1089" s="10"/>
      <c r="AC1089" s="10"/>
      <c r="AD1089" s="10"/>
      <c r="AE1089" s="10"/>
    </row>
    <row r="1090" ht="14.4" spans="14:31">
      <c r="N1090" s="10"/>
      <c r="O1090" s="10"/>
      <c r="P1090" t="b">
        <v>0</v>
      </c>
      <c r="Q1090" t="b">
        <v>0</v>
      </c>
      <c r="R1090" s="3"/>
      <c r="S1090" s="10"/>
      <c r="T1090" s="10"/>
      <c r="U1090" s="10"/>
      <c r="V1090" s="10"/>
      <c r="W1090" s="10"/>
      <c r="X1090" s="10"/>
      <c r="Y1090" s="10"/>
      <c r="Z1090" s="10"/>
      <c r="AA1090" s="10"/>
      <c r="AB1090" s="10"/>
      <c r="AC1090" s="10"/>
      <c r="AD1090" s="10"/>
      <c r="AE1090" s="10"/>
    </row>
    <row r="1091" ht="14.4" spans="14:31">
      <c r="N1091" s="10"/>
      <c r="O1091" s="10"/>
      <c r="P1091" t="b">
        <v>0</v>
      </c>
      <c r="Q1091" t="b">
        <v>0</v>
      </c>
      <c r="R1091" s="3"/>
      <c r="S1091" s="10"/>
      <c r="T1091" s="10"/>
      <c r="U1091" s="10"/>
      <c r="V1091" s="10"/>
      <c r="W1091" s="10"/>
      <c r="X1091" s="10"/>
      <c r="Y1091" s="10"/>
      <c r="Z1091" s="10"/>
      <c r="AA1091" s="10"/>
      <c r="AB1091" s="10"/>
      <c r="AC1091" s="10"/>
      <c r="AD1091" s="10"/>
      <c r="AE1091" s="10"/>
    </row>
    <row r="1092" ht="14.4" spans="14:31">
      <c r="N1092" s="10"/>
      <c r="O1092" s="10"/>
      <c r="P1092" t="b">
        <v>0</v>
      </c>
      <c r="Q1092" t="b">
        <v>0</v>
      </c>
      <c r="R1092" s="3"/>
      <c r="S1092" s="10"/>
      <c r="T1092" s="10"/>
      <c r="U1092" s="10"/>
      <c r="V1092" s="10"/>
      <c r="W1092" s="10"/>
      <c r="X1092" s="10"/>
      <c r="Y1092" s="10"/>
      <c r="Z1092" s="10"/>
      <c r="AA1092" s="10"/>
      <c r="AB1092" s="10"/>
      <c r="AC1092" s="10"/>
      <c r="AD1092" s="10"/>
      <c r="AE1092" s="10"/>
    </row>
    <row r="1093" ht="14.4" spans="14:31">
      <c r="N1093" s="10"/>
      <c r="O1093" s="10"/>
      <c r="P1093" t="b">
        <v>0</v>
      </c>
      <c r="Q1093" t="b">
        <v>0</v>
      </c>
      <c r="R1093" s="3"/>
      <c r="S1093" s="10"/>
      <c r="T1093" s="10"/>
      <c r="U1093" s="10"/>
      <c r="V1093" s="10"/>
      <c r="W1093" s="10"/>
      <c r="X1093" s="10"/>
      <c r="Y1093" s="10"/>
      <c r="Z1093" s="10"/>
      <c r="AA1093" s="10"/>
      <c r="AB1093" s="10"/>
      <c r="AC1093" s="10"/>
      <c r="AD1093" s="10"/>
      <c r="AE1093" s="10"/>
    </row>
    <row r="1094" ht="14.4" spans="14:31">
      <c r="N1094" s="10"/>
      <c r="O1094" s="10"/>
      <c r="P1094" t="b">
        <v>0</v>
      </c>
      <c r="Q1094" t="b">
        <v>0</v>
      </c>
      <c r="R1094" s="3"/>
      <c r="S1094" s="10"/>
      <c r="T1094" s="10"/>
      <c r="U1094" s="10"/>
      <c r="V1094" s="10"/>
      <c r="W1094" s="10"/>
      <c r="X1094" s="10"/>
      <c r="Y1094" s="10"/>
      <c r="Z1094" s="10"/>
      <c r="AA1094" s="10"/>
      <c r="AB1094" s="10"/>
      <c r="AC1094" s="10"/>
      <c r="AD1094" s="10"/>
      <c r="AE1094" s="10"/>
    </row>
    <row r="1095" ht="14.4" spans="14:31">
      <c r="N1095" s="10"/>
      <c r="O1095" s="10"/>
      <c r="P1095" t="b">
        <v>0</v>
      </c>
      <c r="Q1095" t="b">
        <v>0</v>
      </c>
      <c r="R1095" s="3"/>
      <c r="S1095" s="10"/>
      <c r="T1095" s="10"/>
      <c r="U1095" s="10"/>
      <c r="V1095" s="10"/>
      <c r="W1095" s="10"/>
      <c r="X1095" s="10"/>
      <c r="Y1095" s="10"/>
      <c r="Z1095" s="10"/>
      <c r="AA1095" s="10"/>
      <c r="AB1095" s="10"/>
      <c r="AC1095" s="10"/>
      <c r="AD1095" s="10"/>
      <c r="AE1095" s="10"/>
    </row>
    <row r="1096" ht="14.4" spans="14:31">
      <c r="N1096" s="10"/>
      <c r="O1096" s="10"/>
      <c r="P1096" t="b">
        <v>0</v>
      </c>
      <c r="Q1096" t="b">
        <v>0</v>
      </c>
      <c r="R1096" s="3"/>
      <c r="S1096" s="10"/>
      <c r="T1096" s="10"/>
      <c r="U1096" s="10"/>
      <c r="V1096" s="10"/>
      <c r="W1096" s="10"/>
      <c r="X1096" s="10"/>
      <c r="Y1096" s="10"/>
      <c r="Z1096" s="10"/>
      <c r="AA1096" s="10"/>
      <c r="AB1096" s="10"/>
      <c r="AC1096" s="10"/>
      <c r="AD1096" s="10"/>
      <c r="AE1096" s="10"/>
    </row>
    <row r="1097" ht="14.4" spans="14:31">
      <c r="N1097" s="10"/>
      <c r="O1097" s="10"/>
      <c r="P1097" t="b">
        <v>0</v>
      </c>
      <c r="Q1097" t="b">
        <v>0</v>
      </c>
      <c r="R1097" s="3"/>
      <c r="S1097" s="10"/>
      <c r="T1097" s="10"/>
      <c r="U1097" s="10"/>
      <c r="V1097" s="10"/>
      <c r="W1097" s="10"/>
      <c r="X1097" s="10"/>
      <c r="Y1097" s="10"/>
      <c r="Z1097" s="10"/>
      <c r="AA1097" s="10"/>
      <c r="AB1097" s="10"/>
      <c r="AC1097" s="10"/>
      <c r="AD1097" s="10"/>
      <c r="AE1097" s="10"/>
    </row>
    <row r="1098" ht="14.4" spans="14:31">
      <c r="N1098" s="10"/>
      <c r="O1098" s="10"/>
      <c r="P1098" t="b">
        <v>0</v>
      </c>
      <c r="Q1098" t="b">
        <v>0</v>
      </c>
      <c r="R1098" s="3"/>
      <c r="S1098" s="10"/>
      <c r="T1098" s="10"/>
      <c r="U1098" s="10"/>
      <c r="V1098" s="10"/>
      <c r="W1098" s="10"/>
      <c r="X1098" s="10"/>
      <c r="Y1098" s="10"/>
      <c r="Z1098" s="10"/>
      <c r="AA1098" s="10"/>
      <c r="AB1098" s="10"/>
      <c r="AC1098" s="10"/>
      <c r="AD1098" s="10"/>
      <c r="AE1098" s="10"/>
    </row>
    <row r="1099" ht="14.4" spans="14:31">
      <c r="N1099" s="10"/>
      <c r="O1099" s="10"/>
      <c r="P1099" t="b">
        <v>0</v>
      </c>
      <c r="Q1099" t="b">
        <v>0</v>
      </c>
      <c r="R1099" s="3"/>
      <c r="S1099" s="10"/>
      <c r="T1099" s="10"/>
      <c r="U1099" s="10"/>
      <c r="V1099" s="10"/>
      <c r="W1099" s="10"/>
      <c r="X1099" s="10"/>
      <c r="Y1099" s="10"/>
      <c r="Z1099" s="10"/>
      <c r="AA1099" s="10"/>
      <c r="AB1099" s="10"/>
      <c r="AC1099" s="10"/>
      <c r="AD1099" s="10"/>
      <c r="AE1099" s="10"/>
    </row>
    <row r="1100" ht="14.4" spans="14:31">
      <c r="N1100" s="10"/>
      <c r="O1100" s="10"/>
      <c r="P1100" t="b">
        <v>0</v>
      </c>
      <c r="Q1100" t="b">
        <v>0</v>
      </c>
      <c r="R1100" s="3"/>
      <c r="S1100" s="10"/>
      <c r="T1100" s="10"/>
      <c r="U1100" s="10"/>
      <c r="V1100" s="10"/>
      <c r="W1100" s="10"/>
      <c r="X1100" s="10"/>
      <c r="Y1100" s="10"/>
      <c r="Z1100" s="10"/>
      <c r="AA1100" s="10"/>
      <c r="AB1100" s="10"/>
      <c r="AC1100" s="10"/>
      <c r="AD1100" s="10"/>
      <c r="AE1100" s="10"/>
    </row>
    <row r="1101" ht="14.4" spans="14:31">
      <c r="N1101" s="10"/>
      <c r="O1101" s="10"/>
      <c r="P1101" t="b">
        <v>0</v>
      </c>
      <c r="Q1101" t="b">
        <v>0</v>
      </c>
      <c r="R1101" s="3"/>
      <c r="S1101" s="10"/>
      <c r="T1101" s="10"/>
      <c r="U1101" s="10"/>
      <c r="V1101" s="10"/>
      <c r="W1101" s="10"/>
      <c r="X1101" s="10"/>
      <c r="Y1101" s="10"/>
      <c r="Z1101" s="10"/>
      <c r="AA1101" s="10"/>
      <c r="AB1101" s="10"/>
      <c r="AC1101" s="10"/>
      <c r="AD1101" s="10"/>
      <c r="AE1101" s="10"/>
    </row>
    <row r="1102" ht="14.4" spans="14:31">
      <c r="N1102" s="10"/>
      <c r="O1102" s="10"/>
      <c r="P1102" t="b">
        <v>0</v>
      </c>
      <c r="Q1102" t="b">
        <v>0</v>
      </c>
      <c r="R1102" s="3"/>
      <c r="S1102" s="10"/>
      <c r="T1102" s="10"/>
      <c r="U1102" s="10"/>
      <c r="V1102" s="10"/>
      <c r="W1102" s="10"/>
      <c r="X1102" s="10"/>
      <c r="Y1102" s="10"/>
      <c r="Z1102" s="10"/>
      <c r="AA1102" s="10"/>
      <c r="AB1102" s="10"/>
      <c r="AC1102" s="10"/>
      <c r="AD1102" s="10"/>
      <c r="AE1102" s="10"/>
    </row>
    <row r="1103" ht="14.4" spans="14:31">
      <c r="N1103" s="10"/>
      <c r="O1103" s="10"/>
      <c r="P1103" t="b">
        <v>0</v>
      </c>
      <c r="Q1103" t="b">
        <v>0</v>
      </c>
      <c r="R1103" s="3"/>
      <c r="S1103" s="10"/>
      <c r="T1103" s="10"/>
      <c r="U1103" s="10"/>
      <c r="V1103" s="10"/>
      <c r="W1103" s="10"/>
      <c r="X1103" s="10"/>
      <c r="Y1103" s="10"/>
      <c r="Z1103" s="10"/>
      <c r="AA1103" s="10"/>
      <c r="AB1103" s="10"/>
      <c r="AC1103" s="10"/>
      <c r="AD1103" s="10"/>
      <c r="AE1103" s="10"/>
    </row>
    <row r="1104" ht="14.4" spans="14:31">
      <c r="N1104" s="10"/>
      <c r="O1104" s="10"/>
      <c r="P1104" t="b">
        <v>0</v>
      </c>
      <c r="Q1104" t="b">
        <v>0</v>
      </c>
      <c r="R1104" s="3"/>
      <c r="S1104" s="10"/>
      <c r="T1104" s="10"/>
      <c r="U1104" s="10"/>
      <c r="V1104" s="10"/>
      <c r="W1104" s="10"/>
      <c r="X1104" s="10"/>
      <c r="Y1104" s="10"/>
      <c r="Z1104" s="10"/>
      <c r="AA1104" s="10"/>
      <c r="AB1104" s="10"/>
      <c r="AC1104" s="10"/>
      <c r="AD1104" s="10"/>
      <c r="AE1104" s="10"/>
    </row>
    <row r="1105" ht="14.4" spans="14:31">
      <c r="N1105" s="10"/>
      <c r="O1105" s="10"/>
      <c r="P1105" t="b">
        <v>0</v>
      </c>
      <c r="Q1105" t="b">
        <v>0</v>
      </c>
      <c r="R1105" s="3"/>
      <c r="S1105" s="10"/>
      <c r="T1105" s="10"/>
      <c r="U1105" s="10"/>
      <c r="V1105" s="10"/>
      <c r="W1105" s="10"/>
      <c r="X1105" s="10"/>
      <c r="Y1105" s="10"/>
      <c r="Z1105" s="10"/>
      <c r="AA1105" s="10"/>
      <c r="AB1105" s="10"/>
      <c r="AC1105" s="10"/>
      <c r="AD1105" s="10"/>
      <c r="AE1105" s="10"/>
    </row>
    <row r="1106" ht="14.4" spans="14:31">
      <c r="N1106" s="10"/>
      <c r="O1106" s="10"/>
      <c r="P1106" t="b">
        <v>0</v>
      </c>
      <c r="Q1106" t="b">
        <v>0</v>
      </c>
      <c r="R1106" s="3"/>
      <c r="S1106" s="10"/>
      <c r="T1106" s="10"/>
      <c r="U1106" s="10"/>
      <c r="V1106" s="10"/>
      <c r="W1106" s="10"/>
      <c r="X1106" s="10"/>
      <c r="Y1106" s="10"/>
      <c r="Z1106" s="10"/>
      <c r="AA1106" s="10"/>
      <c r="AB1106" s="10"/>
      <c r="AC1106" s="10"/>
      <c r="AD1106" s="10"/>
      <c r="AE1106" s="10"/>
    </row>
    <row r="1107" ht="14.4" spans="14:31">
      <c r="N1107" s="10"/>
      <c r="O1107" s="10"/>
      <c r="P1107" t="b">
        <v>0</v>
      </c>
      <c r="Q1107" t="b">
        <v>0</v>
      </c>
      <c r="R1107" s="3"/>
      <c r="S1107" s="10"/>
      <c r="T1107" s="10"/>
      <c r="U1107" s="10"/>
      <c r="V1107" s="10"/>
      <c r="W1107" s="10"/>
      <c r="X1107" s="10"/>
      <c r="Y1107" s="10"/>
      <c r="Z1107" s="10"/>
      <c r="AA1107" s="10"/>
      <c r="AB1107" s="10"/>
      <c r="AC1107" s="10"/>
      <c r="AD1107" s="10"/>
      <c r="AE1107" s="10"/>
    </row>
    <row r="1108" ht="14.4" spans="14:31">
      <c r="N1108" s="10"/>
      <c r="O1108" s="10"/>
      <c r="P1108" t="b">
        <v>0</v>
      </c>
      <c r="Q1108" t="b">
        <v>0</v>
      </c>
      <c r="R1108" s="3"/>
      <c r="S1108" s="10"/>
      <c r="T1108" s="10"/>
      <c r="U1108" s="10"/>
      <c r="V1108" s="10"/>
      <c r="W1108" s="10"/>
      <c r="X1108" s="10"/>
      <c r="Y1108" s="10"/>
      <c r="Z1108" s="10"/>
      <c r="AA1108" s="10"/>
      <c r="AB1108" s="10"/>
      <c r="AC1108" s="10"/>
      <c r="AD1108" s="10"/>
      <c r="AE1108" s="10"/>
    </row>
    <row r="1109" ht="14.4" spans="14:31">
      <c r="N1109" s="10"/>
      <c r="O1109" s="10"/>
      <c r="P1109" t="b">
        <v>0</v>
      </c>
      <c r="Q1109" t="b">
        <v>0</v>
      </c>
      <c r="R1109" s="3"/>
      <c r="S1109" s="10"/>
      <c r="T1109" s="10"/>
      <c r="U1109" s="10"/>
      <c r="V1109" s="10"/>
      <c r="W1109" s="10"/>
      <c r="X1109" s="10"/>
      <c r="Y1109" s="10"/>
      <c r="Z1109" s="10"/>
      <c r="AA1109" s="10"/>
      <c r="AB1109" s="10"/>
      <c r="AC1109" s="10"/>
      <c r="AD1109" s="10"/>
      <c r="AE1109" s="10"/>
    </row>
    <row r="1110" ht="14.4" spans="14:31">
      <c r="N1110" s="10"/>
      <c r="O1110" s="10"/>
      <c r="P1110" t="b">
        <v>0</v>
      </c>
      <c r="Q1110" t="b">
        <v>0</v>
      </c>
      <c r="R1110" s="3"/>
      <c r="S1110" s="10"/>
      <c r="T1110" s="10"/>
      <c r="U1110" s="10"/>
      <c r="V1110" s="10"/>
      <c r="W1110" s="10"/>
      <c r="X1110" s="10"/>
      <c r="Y1110" s="10"/>
      <c r="Z1110" s="10"/>
      <c r="AA1110" s="10"/>
      <c r="AB1110" s="10"/>
      <c r="AC1110" s="10"/>
      <c r="AD1110" s="10"/>
      <c r="AE1110" s="10"/>
    </row>
    <row r="1111" ht="14.4" spans="14:31">
      <c r="N1111" s="10"/>
      <c r="O1111" s="10"/>
      <c r="P1111" t="b">
        <v>0</v>
      </c>
      <c r="Q1111" t="b">
        <v>0</v>
      </c>
      <c r="R1111" s="3"/>
      <c r="S1111" s="10"/>
      <c r="T1111" s="10"/>
      <c r="U1111" s="10"/>
      <c r="V1111" s="10"/>
      <c r="W1111" s="10"/>
      <c r="X1111" s="10"/>
      <c r="Y1111" s="10"/>
      <c r="Z1111" s="10"/>
      <c r="AA1111" s="10"/>
      <c r="AB1111" s="10"/>
      <c r="AC1111" s="10"/>
      <c r="AD1111" s="10"/>
      <c r="AE1111" s="10"/>
    </row>
    <row r="1112" ht="14.4" spans="14:31">
      <c r="N1112" s="10"/>
      <c r="O1112" s="10"/>
      <c r="P1112" t="b">
        <v>0</v>
      </c>
      <c r="Q1112" t="b">
        <v>0</v>
      </c>
      <c r="R1112" s="3"/>
      <c r="S1112" s="10"/>
      <c r="T1112" s="10"/>
      <c r="U1112" s="10"/>
      <c r="V1112" s="10"/>
      <c r="W1112" s="10"/>
      <c r="X1112" s="10"/>
      <c r="Y1112" s="10"/>
      <c r="Z1112" s="10"/>
      <c r="AA1112" s="10"/>
      <c r="AB1112" s="10"/>
      <c r="AC1112" s="10"/>
      <c r="AD1112" s="10"/>
      <c r="AE1112" s="10"/>
    </row>
    <row r="1113" ht="14.4" spans="14:31">
      <c r="N1113" s="10"/>
      <c r="O1113" s="10"/>
      <c r="P1113" t="b">
        <v>0</v>
      </c>
      <c r="Q1113" t="b">
        <v>0</v>
      </c>
      <c r="R1113" s="3"/>
      <c r="S1113" s="10"/>
      <c r="T1113" s="10"/>
      <c r="U1113" s="10"/>
      <c r="V1113" s="10"/>
      <c r="W1113" s="10"/>
      <c r="X1113" s="10"/>
      <c r="Y1113" s="10"/>
      <c r="Z1113" s="10"/>
      <c r="AA1113" s="10"/>
      <c r="AB1113" s="10"/>
      <c r="AC1113" s="10"/>
      <c r="AD1113" s="10"/>
      <c r="AE1113" s="10"/>
    </row>
    <row r="1114" ht="14.4" spans="14:31">
      <c r="N1114" s="10"/>
      <c r="O1114" s="10"/>
      <c r="P1114" t="b">
        <v>0</v>
      </c>
      <c r="Q1114" t="b">
        <v>0</v>
      </c>
      <c r="R1114" s="3"/>
      <c r="S1114" s="10"/>
      <c r="T1114" s="10"/>
      <c r="U1114" s="10"/>
      <c r="V1114" s="10"/>
      <c r="W1114" s="10"/>
      <c r="X1114" s="10"/>
      <c r="Y1114" s="10"/>
      <c r="Z1114" s="10"/>
      <c r="AA1114" s="10"/>
      <c r="AB1114" s="10"/>
      <c r="AC1114" s="10"/>
      <c r="AD1114" s="10"/>
      <c r="AE1114" s="10"/>
    </row>
    <row r="1115" ht="14.4" spans="14:31">
      <c r="N1115" s="10"/>
      <c r="O1115" s="10"/>
      <c r="P1115" t="b">
        <v>0</v>
      </c>
      <c r="Q1115" t="b">
        <v>0</v>
      </c>
      <c r="R1115" s="3"/>
      <c r="S1115" s="10"/>
      <c r="T1115" s="10"/>
      <c r="U1115" s="10"/>
      <c r="V1115" s="10"/>
      <c r="W1115" s="10"/>
      <c r="X1115" s="10"/>
      <c r="Y1115" s="10"/>
      <c r="Z1115" s="10"/>
      <c r="AA1115" s="10"/>
      <c r="AB1115" s="10"/>
      <c r="AC1115" s="10"/>
      <c r="AD1115" s="10"/>
      <c r="AE1115" s="10"/>
    </row>
    <row r="1116" ht="14.4" spans="14:31">
      <c r="N1116" s="10"/>
      <c r="O1116" s="10"/>
      <c r="P1116" t="b">
        <v>0</v>
      </c>
      <c r="Q1116" t="b">
        <v>0</v>
      </c>
      <c r="R1116" s="3"/>
      <c r="S1116" s="10"/>
      <c r="T1116" s="10"/>
      <c r="U1116" s="10"/>
      <c r="V1116" s="10"/>
      <c r="W1116" s="10"/>
      <c r="X1116" s="10"/>
      <c r="Y1116" s="10"/>
      <c r="Z1116" s="10"/>
      <c r="AA1116" s="10"/>
      <c r="AB1116" s="10"/>
      <c r="AC1116" s="10"/>
      <c r="AD1116" s="10"/>
      <c r="AE1116" s="10"/>
    </row>
    <row r="1117" ht="14.4" spans="14:31">
      <c r="N1117" s="10"/>
      <c r="O1117" s="10"/>
      <c r="P1117" t="b">
        <v>0</v>
      </c>
      <c r="Q1117" t="b">
        <v>0</v>
      </c>
      <c r="R1117" s="3"/>
      <c r="S1117" s="10"/>
      <c r="T1117" s="10"/>
      <c r="U1117" s="10"/>
      <c r="V1117" s="10"/>
      <c r="W1117" s="10"/>
      <c r="X1117" s="10"/>
      <c r="Y1117" s="10"/>
      <c r="Z1117" s="10"/>
      <c r="AA1117" s="10"/>
      <c r="AB1117" s="10"/>
      <c r="AC1117" s="10"/>
      <c r="AD1117" s="10"/>
      <c r="AE1117" s="10"/>
    </row>
    <row r="1118" ht="14.4" spans="14:31">
      <c r="N1118" s="10"/>
      <c r="O1118" s="10"/>
      <c r="P1118" t="b">
        <v>0</v>
      </c>
      <c r="Q1118" t="b">
        <v>0</v>
      </c>
      <c r="R1118" s="3"/>
      <c r="S1118" s="10"/>
      <c r="T1118" s="10"/>
      <c r="U1118" s="10"/>
      <c r="V1118" s="10"/>
      <c r="W1118" s="10"/>
      <c r="X1118" s="10"/>
      <c r="Y1118" s="10"/>
      <c r="Z1118" s="10"/>
      <c r="AA1118" s="10"/>
      <c r="AB1118" s="10"/>
      <c r="AC1118" s="10"/>
      <c r="AD1118" s="10"/>
      <c r="AE1118" s="10"/>
    </row>
    <row r="1119" ht="14.4" spans="14:31">
      <c r="N1119" s="10"/>
      <c r="O1119" s="10"/>
      <c r="P1119" t="b">
        <v>0</v>
      </c>
      <c r="Q1119" t="b">
        <v>0</v>
      </c>
      <c r="R1119" s="3"/>
      <c r="S1119" s="10"/>
      <c r="T1119" s="10"/>
      <c r="U1119" s="10"/>
      <c r="V1119" s="10"/>
      <c r="W1119" s="10"/>
      <c r="X1119" s="10"/>
      <c r="Y1119" s="10"/>
      <c r="Z1119" s="10"/>
      <c r="AA1119" s="10"/>
      <c r="AB1119" s="10"/>
      <c r="AC1119" s="10"/>
      <c r="AD1119" s="10"/>
      <c r="AE1119" s="10"/>
    </row>
    <row r="1120" ht="14.4" spans="14:31">
      <c r="N1120" s="10"/>
      <c r="O1120" s="10"/>
      <c r="P1120" t="b">
        <v>0</v>
      </c>
      <c r="Q1120" t="b">
        <v>0</v>
      </c>
      <c r="R1120" s="3"/>
      <c r="S1120" s="10"/>
      <c r="T1120" s="10"/>
      <c r="U1120" s="10"/>
      <c r="V1120" s="10"/>
      <c r="W1120" s="10"/>
      <c r="X1120" s="10"/>
      <c r="Y1120" s="10"/>
      <c r="Z1120" s="10"/>
      <c r="AA1120" s="10"/>
      <c r="AB1120" s="10"/>
      <c r="AC1120" s="10"/>
      <c r="AD1120" s="10"/>
      <c r="AE1120" s="10"/>
    </row>
    <row r="1121" ht="14.4" spans="14:31">
      <c r="N1121" s="10"/>
      <c r="O1121" s="10"/>
      <c r="P1121" t="b">
        <v>0</v>
      </c>
      <c r="Q1121" t="b">
        <v>0</v>
      </c>
      <c r="R1121" s="3"/>
      <c r="S1121" s="10"/>
      <c r="T1121" s="10"/>
      <c r="U1121" s="10"/>
      <c r="V1121" s="10"/>
      <c r="W1121" s="10"/>
      <c r="X1121" s="10"/>
      <c r="Y1121" s="10"/>
      <c r="Z1121" s="10"/>
      <c r="AA1121" s="10"/>
      <c r="AB1121" s="10"/>
      <c r="AC1121" s="10"/>
      <c r="AD1121" s="10"/>
      <c r="AE1121" s="10"/>
    </row>
    <row r="1122" ht="14.4" spans="14:31">
      <c r="N1122" s="10"/>
      <c r="O1122" s="10"/>
      <c r="P1122" t="b">
        <v>0</v>
      </c>
      <c r="Q1122" t="b">
        <v>0</v>
      </c>
      <c r="R1122" s="3"/>
      <c r="S1122" s="10"/>
      <c r="T1122" s="10"/>
      <c r="U1122" s="10"/>
      <c r="V1122" s="10"/>
      <c r="W1122" s="10"/>
      <c r="X1122" s="10"/>
      <c r="Y1122" s="10"/>
      <c r="Z1122" s="10"/>
      <c r="AA1122" s="10"/>
      <c r="AB1122" s="10"/>
      <c r="AC1122" s="10"/>
      <c r="AD1122" s="10"/>
      <c r="AE1122" s="10"/>
    </row>
    <row r="1123" ht="14.4" spans="14:31">
      <c r="N1123" s="10"/>
      <c r="O1123" s="10"/>
      <c r="P1123" t="b">
        <v>0</v>
      </c>
      <c r="Q1123" t="b">
        <v>0</v>
      </c>
      <c r="R1123" s="3"/>
      <c r="S1123" s="10"/>
      <c r="T1123" s="10"/>
      <c r="U1123" s="10"/>
      <c r="V1123" s="10"/>
      <c r="W1123" s="10"/>
      <c r="X1123" s="10"/>
      <c r="Y1123" s="10"/>
      <c r="Z1123" s="10"/>
      <c r="AA1123" s="10"/>
      <c r="AB1123" s="10"/>
      <c r="AC1123" s="10"/>
      <c r="AD1123" s="10"/>
      <c r="AE1123" s="10"/>
    </row>
    <row r="1124" ht="14.4" spans="14:31">
      <c r="N1124" s="10"/>
      <c r="O1124" s="10"/>
      <c r="P1124" t="b">
        <v>0</v>
      </c>
      <c r="Q1124" t="b">
        <v>0</v>
      </c>
      <c r="R1124" s="3"/>
      <c r="S1124" s="10"/>
      <c r="T1124" s="10"/>
      <c r="U1124" s="10"/>
      <c r="V1124" s="10"/>
      <c r="W1124" s="10"/>
      <c r="X1124" s="10"/>
      <c r="Y1124" s="10"/>
      <c r="Z1124" s="10"/>
      <c r="AA1124" s="10"/>
      <c r="AB1124" s="10"/>
      <c r="AC1124" s="10"/>
      <c r="AD1124" s="10"/>
      <c r="AE1124" s="10"/>
    </row>
    <row r="1125" ht="14.4" spans="14:31">
      <c r="N1125" s="10"/>
      <c r="O1125" s="10"/>
      <c r="P1125" t="b">
        <v>0</v>
      </c>
      <c r="Q1125" t="b">
        <v>0</v>
      </c>
      <c r="R1125" s="3"/>
      <c r="S1125" s="10"/>
      <c r="T1125" s="10"/>
      <c r="U1125" s="10"/>
      <c r="V1125" s="10"/>
      <c r="W1125" s="10"/>
      <c r="X1125" s="10"/>
      <c r="Y1125" s="10"/>
      <c r="Z1125" s="10"/>
      <c r="AA1125" s="10"/>
      <c r="AB1125" s="10"/>
      <c r="AC1125" s="10"/>
      <c r="AD1125" s="10"/>
      <c r="AE1125" s="10"/>
    </row>
    <row r="1126" ht="14.4" spans="14:31">
      <c r="N1126" s="10"/>
      <c r="O1126" s="10"/>
      <c r="P1126" t="b">
        <v>0</v>
      </c>
      <c r="Q1126" t="b">
        <v>0</v>
      </c>
      <c r="R1126" s="3"/>
      <c r="S1126" s="10"/>
      <c r="T1126" s="10"/>
      <c r="U1126" s="10"/>
      <c r="V1126" s="10"/>
      <c r="W1126" s="10"/>
      <c r="X1126" s="10"/>
      <c r="Y1126" s="10"/>
      <c r="Z1126" s="10"/>
      <c r="AA1126" s="10"/>
      <c r="AB1126" s="10"/>
      <c r="AC1126" s="10"/>
      <c r="AD1126" s="10"/>
      <c r="AE1126" s="10"/>
    </row>
    <row r="1127" ht="14.4" spans="14:31">
      <c r="N1127" s="10"/>
      <c r="O1127" s="10"/>
      <c r="P1127" t="b">
        <v>0</v>
      </c>
      <c r="Q1127" t="b">
        <v>0</v>
      </c>
      <c r="R1127" s="3"/>
      <c r="S1127" s="10"/>
      <c r="T1127" s="10"/>
      <c r="U1127" s="10"/>
      <c r="V1127" s="10"/>
      <c r="W1127" s="10"/>
      <c r="X1127" s="10"/>
      <c r="Y1127" s="10"/>
      <c r="Z1127" s="10"/>
      <c r="AA1127" s="10"/>
      <c r="AB1127" s="10"/>
      <c r="AC1127" s="10"/>
      <c r="AD1127" s="10"/>
      <c r="AE1127" s="10"/>
    </row>
    <row r="1128" ht="14.4" spans="14:31">
      <c r="N1128" s="10"/>
      <c r="O1128" s="10"/>
      <c r="P1128" t="b">
        <v>0</v>
      </c>
      <c r="Q1128" t="b">
        <v>0</v>
      </c>
      <c r="R1128" s="3"/>
      <c r="S1128" s="10"/>
      <c r="T1128" s="10"/>
      <c r="U1128" s="10"/>
      <c r="V1128" s="10"/>
      <c r="W1128" s="10"/>
      <c r="X1128" s="10"/>
      <c r="Y1128" s="10"/>
      <c r="Z1128" s="10"/>
      <c r="AA1128" s="10"/>
      <c r="AB1128" s="10"/>
      <c r="AC1128" s="10"/>
      <c r="AD1128" s="10"/>
      <c r="AE1128" s="10"/>
    </row>
    <row r="1129" ht="14.4" spans="14:31">
      <c r="N1129" s="10"/>
      <c r="O1129" s="10"/>
      <c r="P1129" t="b">
        <v>0</v>
      </c>
      <c r="Q1129" t="b">
        <v>0</v>
      </c>
      <c r="R1129" s="3"/>
      <c r="S1129" s="10"/>
      <c r="T1129" s="10"/>
      <c r="U1129" s="10"/>
      <c r="V1129" s="10"/>
      <c r="W1129" s="10"/>
      <c r="X1129" s="10"/>
      <c r="Y1129" s="10"/>
      <c r="Z1129" s="10"/>
      <c r="AA1129" s="10"/>
      <c r="AB1129" s="10"/>
      <c r="AC1129" s="10"/>
      <c r="AD1129" s="10"/>
      <c r="AE1129" s="10"/>
    </row>
    <row r="1130" ht="14.4" spans="14:31">
      <c r="N1130" s="10"/>
      <c r="O1130" s="10"/>
      <c r="P1130" t="b">
        <v>0</v>
      </c>
      <c r="Q1130" t="b">
        <v>0</v>
      </c>
      <c r="R1130" s="3"/>
      <c r="S1130" s="10"/>
      <c r="T1130" s="10"/>
      <c r="U1130" s="10"/>
      <c r="V1130" s="10"/>
      <c r="W1130" s="10"/>
      <c r="X1130" s="10"/>
      <c r="Y1130" s="10"/>
      <c r="Z1130" s="10"/>
      <c r="AA1130" s="10"/>
      <c r="AB1130" s="10"/>
      <c r="AC1130" s="10"/>
      <c r="AD1130" s="10"/>
      <c r="AE1130" s="10"/>
    </row>
    <row r="1131" ht="14.4" spans="14:31">
      <c r="N1131" s="10"/>
      <c r="O1131" s="10"/>
      <c r="P1131" t="b">
        <v>0</v>
      </c>
      <c r="Q1131" t="b">
        <v>0</v>
      </c>
      <c r="R1131" s="3"/>
      <c r="S1131" s="10"/>
      <c r="T1131" s="10"/>
      <c r="U1131" s="10"/>
      <c r="V1131" s="10"/>
      <c r="W1131" s="10"/>
      <c r="X1131" s="10"/>
      <c r="Y1131" s="10"/>
      <c r="Z1131" s="10"/>
      <c r="AA1131" s="10"/>
      <c r="AB1131" s="10"/>
      <c r="AC1131" s="10"/>
      <c r="AD1131" s="10"/>
      <c r="AE1131" s="10"/>
    </row>
    <row r="1132" ht="14.4" spans="14:31">
      <c r="N1132" s="10"/>
      <c r="O1132" s="10"/>
      <c r="P1132" t="b">
        <v>0</v>
      </c>
      <c r="Q1132" t="b">
        <v>0</v>
      </c>
      <c r="R1132" s="3"/>
      <c r="S1132" s="10"/>
      <c r="T1132" s="10"/>
      <c r="U1132" s="10"/>
      <c r="V1132" s="10"/>
      <c r="W1132" s="10"/>
      <c r="X1132" s="10"/>
      <c r="Y1132" s="10"/>
      <c r="Z1132" s="10"/>
      <c r="AA1132" s="10"/>
      <c r="AB1132" s="10"/>
      <c r="AC1132" s="10"/>
      <c r="AD1132" s="10"/>
      <c r="AE1132" s="10"/>
    </row>
    <row r="1133" ht="14.4" spans="14:31">
      <c r="N1133" s="10"/>
      <c r="O1133" s="10"/>
      <c r="P1133" t="b">
        <v>0</v>
      </c>
      <c r="Q1133" t="b">
        <v>0</v>
      </c>
      <c r="R1133" s="3"/>
      <c r="S1133" s="10"/>
      <c r="T1133" s="10"/>
      <c r="U1133" s="10"/>
      <c r="V1133" s="10"/>
      <c r="W1133" s="10"/>
      <c r="X1133" s="10"/>
      <c r="Y1133" s="10"/>
      <c r="Z1133" s="10"/>
      <c r="AA1133" s="10"/>
      <c r="AB1133" s="10"/>
      <c r="AC1133" s="10"/>
      <c r="AD1133" s="10"/>
      <c r="AE1133" s="10"/>
    </row>
    <row r="1134" ht="14.4" spans="14:31">
      <c r="N1134" s="10"/>
      <c r="O1134" s="10"/>
      <c r="P1134" t="b">
        <v>0</v>
      </c>
      <c r="Q1134" t="b">
        <v>0</v>
      </c>
      <c r="R1134" s="3"/>
      <c r="S1134" s="10"/>
      <c r="T1134" s="10"/>
      <c r="U1134" s="10"/>
      <c r="V1134" s="10"/>
      <c r="W1134" s="10"/>
      <c r="X1134" s="10"/>
      <c r="Y1134" s="10"/>
      <c r="Z1134" s="10"/>
      <c r="AA1134" s="10"/>
      <c r="AB1134" s="10"/>
      <c r="AC1134" s="10"/>
      <c r="AD1134" s="10"/>
      <c r="AE1134" s="10"/>
    </row>
    <row r="1135" ht="14.4" spans="14:31">
      <c r="N1135" s="10"/>
      <c r="O1135" s="10"/>
      <c r="P1135" t="b">
        <v>0</v>
      </c>
      <c r="Q1135" t="b">
        <v>0</v>
      </c>
      <c r="R1135" s="3"/>
      <c r="S1135" s="10"/>
      <c r="T1135" s="10"/>
      <c r="U1135" s="10"/>
      <c r="V1135" s="10"/>
      <c r="W1135" s="10"/>
      <c r="X1135" s="10"/>
      <c r="Y1135" s="10"/>
      <c r="Z1135" s="10"/>
      <c r="AA1135" s="10"/>
      <c r="AB1135" s="10"/>
      <c r="AC1135" s="10"/>
      <c r="AD1135" s="10"/>
      <c r="AE1135" s="10"/>
    </row>
    <row r="1136" ht="14.4" spans="14:31">
      <c r="N1136" s="10"/>
      <c r="O1136" s="10"/>
      <c r="P1136" t="b">
        <v>0</v>
      </c>
      <c r="Q1136" t="b">
        <v>0</v>
      </c>
      <c r="R1136" s="3"/>
      <c r="S1136" s="10"/>
      <c r="T1136" s="10"/>
      <c r="U1136" s="10"/>
      <c r="V1136" s="10"/>
      <c r="W1136" s="10"/>
      <c r="X1136" s="10"/>
      <c r="Y1136" s="10"/>
      <c r="Z1136" s="10"/>
      <c r="AA1136" s="10"/>
      <c r="AB1136" s="10"/>
      <c r="AC1136" s="10"/>
      <c r="AD1136" s="10"/>
      <c r="AE1136" s="10"/>
    </row>
    <row r="1137" ht="14.4" spans="14:31">
      <c r="N1137" s="10"/>
      <c r="O1137" s="10"/>
      <c r="P1137" t="b">
        <v>0</v>
      </c>
      <c r="Q1137" t="b">
        <v>0</v>
      </c>
      <c r="R1137" s="3"/>
      <c r="S1137" s="10"/>
      <c r="T1137" s="10"/>
      <c r="U1137" s="10"/>
      <c r="V1137" s="10"/>
      <c r="W1137" s="10"/>
      <c r="X1137" s="10"/>
      <c r="Y1137" s="10"/>
      <c r="Z1137" s="10"/>
      <c r="AA1137" s="10"/>
      <c r="AB1137" s="10"/>
      <c r="AC1137" s="10"/>
      <c r="AD1137" s="10"/>
      <c r="AE1137" s="10"/>
    </row>
    <row r="1138" ht="14.4" spans="14:31">
      <c r="N1138" s="10"/>
      <c r="O1138" s="10"/>
      <c r="P1138" t="b">
        <v>0</v>
      </c>
      <c r="Q1138" t="b">
        <v>0</v>
      </c>
      <c r="R1138" s="3"/>
      <c r="S1138" s="10"/>
      <c r="T1138" s="10"/>
      <c r="U1138" s="10"/>
      <c r="V1138" s="10"/>
      <c r="W1138" s="10"/>
      <c r="X1138" s="10"/>
      <c r="Y1138" s="10"/>
      <c r="Z1138" s="10"/>
      <c r="AA1138" s="10"/>
      <c r="AB1138" s="10"/>
      <c r="AC1138" s="10"/>
      <c r="AD1138" s="10"/>
      <c r="AE1138" s="10"/>
    </row>
    <row r="1139" ht="14.4" spans="14:31">
      <c r="N1139" s="10"/>
      <c r="O1139" s="10"/>
      <c r="P1139" t="b">
        <v>0</v>
      </c>
      <c r="Q1139" t="b">
        <v>0</v>
      </c>
      <c r="R1139" s="3"/>
      <c r="S1139" s="10"/>
      <c r="T1139" s="10"/>
      <c r="U1139" s="10"/>
      <c r="V1139" s="10"/>
      <c r="W1139" s="10"/>
      <c r="X1139" s="10"/>
      <c r="Y1139" s="10"/>
      <c r="Z1139" s="10"/>
      <c r="AA1139" s="10"/>
      <c r="AB1139" s="10"/>
      <c r="AC1139" s="10"/>
      <c r="AD1139" s="10"/>
      <c r="AE1139" s="10"/>
    </row>
    <row r="1140" ht="14.4" spans="14:31">
      <c r="N1140" s="10"/>
      <c r="O1140" s="10"/>
      <c r="P1140" t="b">
        <v>0</v>
      </c>
      <c r="Q1140" t="b">
        <v>0</v>
      </c>
      <c r="R1140" s="3"/>
      <c r="S1140" s="10"/>
      <c r="T1140" s="10"/>
      <c r="U1140" s="10"/>
      <c r="V1140" s="10"/>
      <c r="W1140" s="10"/>
      <c r="X1140" s="10"/>
      <c r="Y1140" s="10"/>
      <c r="Z1140" s="10"/>
      <c r="AA1140" s="10"/>
      <c r="AB1140" s="10"/>
      <c r="AC1140" s="10"/>
      <c r="AD1140" s="10"/>
      <c r="AE1140" s="10"/>
    </row>
    <row r="1141" ht="14.4" spans="14:31">
      <c r="N1141" s="10"/>
      <c r="O1141" s="10"/>
      <c r="P1141" t="b">
        <v>0</v>
      </c>
      <c r="Q1141" t="b">
        <v>0</v>
      </c>
      <c r="R1141" s="3"/>
      <c r="S1141" s="10"/>
      <c r="T1141" s="10"/>
      <c r="U1141" s="10"/>
      <c r="V1141" s="10"/>
      <c r="W1141" s="10"/>
      <c r="X1141" s="10"/>
      <c r="Y1141" s="10"/>
      <c r="Z1141" s="10"/>
      <c r="AA1141" s="10"/>
      <c r="AB1141" s="10"/>
      <c r="AC1141" s="10"/>
      <c r="AD1141" s="10"/>
      <c r="AE1141" s="10"/>
    </row>
    <row r="1142" ht="14.4" spans="14:31">
      <c r="N1142" s="10"/>
      <c r="O1142" s="10"/>
      <c r="P1142" t="b">
        <v>0</v>
      </c>
      <c r="Q1142" t="b">
        <v>0</v>
      </c>
      <c r="R1142" s="3"/>
      <c r="S1142" s="10"/>
      <c r="T1142" s="10"/>
      <c r="U1142" s="10"/>
      <c r="V1142" s="10"/>
      <c r="W1142" s="10"/>
      <c r="X1142" s="10"/>
      <c r="Y1142" s="10"/>
      <c r="Z1142" s="10"/>
      <c r="AA1142" s="10"/>
      <c r="AB1142" s="10"/>
      <c r="AC1142" s="10"/>
      <c r="AD1142" s="10"/>
      <c r="AE1142" s="10"/>
    </row>
    <row r="1143" ht="14.4" spans="14:31">
      <c r="N1143" s="10"/>
      <c r="O1143" s="10"/>
      <c r="P1143" t="b">
        <v>0</v>
      </c>
      <c r="Q1143" t="b">
        <v>0</v>
      </c>
      <c r="R1143" s="3"/>
      <c r="S1143" s="10"/>
      <c r="T1143" s="10"/>
      <c r="U1143" s="10"/>
      <c r="V1143" s="10"/>
      <c r="W1143" s="10"/>
      <c r="X1143" s="10"/>
      <c r="Y1143" s="10"/>
      <c r="Z1143" s="10"/>
      <c r="AA1143" s="10"/>
      <c r="AB1143" s="10"/>
      <c r="AC1143" s="10"/>
      <c r="AD1143" s="10"/>
      <c r="AE1143" s="10"/>
    </row>
    <row r="1144" ht="14.4" spans="14:31">
      <c r="N1144" s="10"/>
      <c r="O1144" s="10"/>
      <c r="P1144" t="b">
        <v>0</v>
      </c>
      <c r="Q1144" t="b">
        <v>0</v>
      </c>
      <c r="R1144" s="3"/>
      <c r="S1144" s="10"/>
      <c r="T1144" s="10"/>
      <c r="U1144" s="10"/>
      <c r="V1144" s="10"/>
      <c r="W1144" s="10"/>
      <c r="X1144" s="10"/>
      <c r="Y1144" s="10"/>
      <c r="Z1144" s="10"/>
      <c r="AA1144" s="10"/>
      <c r="AB1144" s="10"/>
      <c r="AC1144" s="10"/>
      <c r="AD1144" s="10"/>
      <c r="AE1144" s="10"/>
    </row>
    <row r="1145" ht="14.4" spans="14:31">
      <c r="N1145" s="10"/>
      <c r="O1145" s="10"/>
      <c r="P1145" t="b">
        <v>0</v>
      </c>
      <c r="Q1145" t="b">
        <v>0</v>
      </c>
      <c r="R1145" s="3"/>
      <c r="S1145" s="10"/>
      <c r="T1145" s="10"/>
      <c r="U1145" s="10"/>
      <c r="V1145" s="10"/>
      <c r="W1145" s="10"/>
      <c r="X1145" s="10"/>
      <c r="Y1145" s="10"/>
      <c r="Z1145" s="10"/>
      <c r="AA1145" s="10"/>
      <c r="AB1145" s="10"/>
      <c r="AC1145" s="10"/>
      <c r="AD1145" s="10"/>
      <c r="AE1145" s="10"/>
    </row>
    <row r="1146" ht="14.4" spans="14:31">
      <c r="N1146" s="10"/>
      <c r="O1146" s="10"/>
      <c r="P1146" t="b">
        <v>0</v>
      </c>
      <c r="Q1146" t="b">
        <v>0</v>
      </c>
      <c r="R1146" s="3"/>
      <c r="S1146" s="10"/>
      <c r="T1146" s="10"/>
      <c r="U1146" s="10"/>
      <c r="V1146" s="10"/>
      <c r="W1146" s="10"/>
      <c r="X1146" s="10"/>
      <c r="Y1146" s="10"/>
      <c r="Z1146" s="10"/>
      <c r="AA1146" s="10"/>
      <c r="AB1146" s="10"/>
      <c r="AC1146" s="10"/>
      <c r="AD1146" s="10"/>
      <c r="AE1146" s="10"/>
    </row>
    <row r="1147" ht="14.4" spans="14:31">
      <c r="N1147" s="10"/>
      <c r="O1147" s="10"/>
      <c r="P1147" t="b">
        <v>0</v>
      </c>
      <c r="Q1147" t="b">
        <v>0</v>
      </c>
      <c r="R1147" s="3"/>
      <c r="S1147" s="10"/>
      <c r="T1147" s="10"/>
      <c r="U1147" s="10"/>
      <c r="V1147" s="10"/>
      <c r="W1147" s="10"/>
      <c r="X1147" s="10"/>
      <c r="Y1147" s="10"/>
      <c r="Z1147" s="10"/>
      <c r="AA1147" s="10"/>
      <c r="AB1147" s="10"/>
      <c r="AC1147" s="10"/>
      <c r="AD1147" s="10"/>
      <c r="AE1147" s="10"/>
    </row>
    <row r="1148" ht="14.4" spans="14:31">
      <c r="N1148" s="10"/>
      <c r="O1148" s="10"/>
      <c r="P1148" t="b">
        <v>0</v>
      </c>
      <c r="Q1148" t="b">
        <v>0</v>
      </c>
      <c r="R1148" s="3"/>
      <c r="S1148" s="10"/>
      <c r="T1148" s="10"/>
      <c r="U1148" s="10"/>
      <c r="V1148" s="10"/>
      <c r="W1148" s="10"/>
      <c r="X1148" s="10"/>
      <c r="Y1148" s="10"/>
      <c r="Z1148" s="10"/>
      <c r="AA1148" s="10"/>
      <c r="AB1148" s="10"/>
      <c r="AC1148" s="10"/>
      <c r="AD1148" s="10"/>
      <c r="AE1148" s="10"/>
    </row>
    <row r="1149" ht="14.4" spans="14:31">
      <c r="N1149" s="10"/>
      <c r="O1149" s="10"/>
      <c r="P1149" t="b">
        <v>0</v>
      </c>
      <c r="Q1149" t="b">
        <v>0</v>
      </c>
      <c r="R1149" s="3"/>
      <c r="S1149" s="10"/>
      <c r="T1149" s="10"/>
      <c r="U1149" s="10"/>
      <c r="V1149" s="10"/>
      <c r="W1149" s="10"/>
      <c r="X1149" s="10"/>
      <c r="Y1149" s="10"/>
      <c r="Z1149" s="10"/>
      <c r="AA1149" s="10"/>
      <c r="AB1149" s="10"/>
      <c r="AC1149" s="10"/>
      <c r="AD1149" s="10"/>
      <c r="AE1149" s="10"/>
    </row>
    <row r="1150" ht="14.4" spans="14:31">
      <c r="N1150" s="10"/>
      <c r="O1150" s="10"/>
      <c r="P1150" t="b">
        <v>0</v>
      </c>
      <c r="Q1150" t="b">
        <v>0</v>
      </c>
      <c r="R1150" s="3"/>
      <c r="S1150" s="10"/>
      <c r="T1150" s="10"/>
      <c r="U1150" s="10"/>
      <c r="V1150" s="10"/>
      <c r="W1150" s="10"/>
      <c r="X1150" s="10"/>
      <c r="Y1150" s="10"/>
      <c r="Z1150" s="10"/>
      <c r="AA1150" s="10"/>
      <c r="AB1150" s="10"/>
      <c r="AC1150" s="10"/>
      <c r="AD1150" s="10"/>
      <c r="AE1150" s="10"/>
    </row>
    <row r="1151" ht="14.4" spans="14:31">
      <c r="N1151" s="10"/>
      <c r="O1151" s="10"/>
      <c r="P1151" t="b">
        <v>0</v>
      </c>
      <c r="Q1151" t="b">
        <v>0</v>
      </c>
      <c r="R1151" s="3"/>
      <c r="S1151" s="10"/>
      <c r="T1151" s="10"/>
      <c r="U1151" s="10"/>
      <c r="V1151" s="10"/>
      <c r="W1151" s="10"/>
      <c r="X1151" s="10"/>
      <c r="Y1151" s="10"/>
      <c r="Z1151" s="10"/>
      <c r="AA1151" s="10"/>
      <c r="AB1151" s="10"/>
      <c r="AC1151" s="10"/>
      <c r="AD1151" s="10"/>
      <c r="AE1151" s="10"/>
    </row>
    <row r="1152" ht="14.4" spans="14:31">
      <c r="N1152" s="10"/>
      <c r="O1152" s="10"/>
      <c r="P1152" t="b">
        <v>0</v>
      </c>
      <c r="Q1152" t="b">
        <v>0</v>
      </c>
      <c r="R1152" s="3"/>
      <c r="S1152" s="10"/>
      <c r="T1152" s="10"/>
      <c r="U1152" s="10"/>
      <c r="V1152" s="10"/>
      <c r="W1152" s="10"/>
      <c r="X1152" s="10"/>
      <c r="Y1152" s="10"/>
      <c r="Z1152" s="10"/>
      <c r="AA1152" s="10"/>
      <c r="AB1152" s="10"/>
      <c r="AC1152" s="10"/>
      <c r="AD1152" s="10"/>
      <c r="AE1152" s="10"/>
    </row>
    <row r="1153" ht="14.4" spans="14:31">
      <c r="N1153" s="10"/>
      <c r="O1153" s="10"/>
      <c r="P1153" t="b">
        <v>0</v>
      </c>
      <c r="Q1153" t="b">
        <v>0</v>
      </c>
      <c r="R1153" s="3"/>
      <c r="S1153" s="10"/>
      <c r="T1153" s="10"/>
      <c r="U1153" s="10"/>
      <c r="V1153" s="10"/>
      <c r="W1153" s="10"/>
      <c r="X1153" s="10"/>
      <c r="Y1153" s="10"/>
      <c r="Z1153" s="10"/>
      <c r="AA1153" s="10"/>
      <c r="AB1153" s="10"/>
      <c r="AC1153" s="10"/>
      <c r="AD1153" s="10"/>
      <c r="AE1153" s="10"/>
    </row>
    <row r="1154" ht="14.4" spans="14:31">
      <c r="N1154" s="10"/>
      <c r="O1154" s="10"/>
      <c r="P1154" t="b">
        <v>0</v>
      </c>
      <c r="Q1154" t="b">
        <v>0</v>
      </c>
      <c r="R1154" s="3"/>
      <c r="S1154" s="10"/>
      <c r="T1154" s="10"/>
      <c r="U1154" s="10"/>
      <c r="V1154" s="10"/>
      <c r="W1154" s="10"/>
      <c r="X1154" s="10"/>
      <c r="Y1154" s="10"/>
      <c r="Z1154" s="10"/>
      <c r="AA1154" s="10"/>
      <c r="AB1154" s="10"/>
      <c r="AC1154" s="10"/>
      <c r="AD1154" s="10"/>
      <c r="AE1154" s="10"/>
    </row>
    <row r="1155" ht="14.4" spans="14:31">
      <c r="N1155" s="10"/>
      <c r="O1155" s="10"/>
      <c r="P1155" t="b">
        <v>0</v>
      </c>
      <c r="Q1155" t="b">
        <v>0</v>
      </c>
      <c r="R1155" s="3"/>
      <c r="S1155" s="10"/>
      <c r="T1155" s="10"/>
      <c r="U1155" s="10"/>
      <c r="V1155" s="10"/>
      <c r="W1155" s="10"/>
      <c r="X1155" s="10"/>
      <c r="Y1155" s="10"/>
      <c r="Z1155" s="10"/>
      <c r="AA1155" s="10"/>
      <c r="AB1155" s="10"/>
      <c r="AC1155" s="10"/>
      <c r="AD1155" s="10"/>
      <c r="AE1155" s="10"/>
    </row>
    <row r="1156" ht="14.4" spans="14:31">
      <c r="N1156" s="10"/>
      <c r="O1156" s="10"/>
      <c r="P1156" t="b">
        <v>0</v>
      </c>
      <c r="Q1156" t="b">
        <v>0</v>
      </c>
      <c r="R1156" s="3"/>
      <c r="S1156" s="10"/>
      <c r="T1156" s="10"/>
      <c r="U1156" s="10"/>
      <c r="V1156" s="10"/>
      <c r="W1156" s="10"/>
      <c r="X1156" s="10"/>
      <c r="Y1156" s="10"/>
      <c r="Z1156" s="10"/>
      <c r="AA1156" s="10"/>
      <c r="AB1156" s="10"/>
      <c r="AC1156" s="10"/>
      <c r="AD1156" s="10"/>
      <c r="AE1156" s="10"/>
    </row>
    <row r="1157" ht="14.4" spans="14:31">
      <c r="N1157" s="10"/>
      <c r="O1157" s="10"/>
      <c r="P1157" t="b">
        <v>0</v>
      </c>
      <c r="Q1157" t="b">
        <v>0</v>
      </c>
      <c r="R1157" s="3"/>
      <c r="S1157" s="10"/>
      <c r="T1157" s="10"/>
      <c r="U1157" s="10"/>
      <c r="V1157" s="10"/>
      <c r="W1157" s="10"/>
      <c r="X1157" s="10"/>
      <c r="Y1157" s="10"/>
      <c r="Z1157" s="10"/>
      <c r="AA1157" s="10"/>
      <c r="AB1157" s="10"/>
      <c r="AC1157" s="10"/>
      <c r="AD1157" s="10"/>
      <c r="AE1157" s="10"/>
    </row>
    <row r="1158" ht="14.4" spans="14:31">
      <c r="N1158" s="10"/>
      <c r="O1158" s="10"/>
      <c r="P1158" t="b">
        <v>0</v>
      </c>
      <c r="Q1158" t="b">
        <v>0</v>
      </c>
      <c r="R1158" s="3"/>
      <c r="S1158" s="10"/>
      <c r="T1158" s="10"/>
      <c r="U1158" s="10"/>
      <c r="V1158" s="10"/>
      <c r="W1158" s="10"/>
      <c r="X1158" s="10"/>
      <c r="Y1158" s="10"/>
      <c r="Z1158" s="10"/>
      <c r="AA1158" s="10"/>
      <c r="AB1158" s="10"/>
      <c r="AC1158" s="10"/>
      <c r="AD1158" s="10"/>
      <c r="AE1158" s="10"/>
    </row>
    <row r="1159" ht="14.4" spans="14:31">
      <c r="N1159" s="10"/>
      <c r="O1159" s="10"/>
      <c r="P1159" t="b">
        <v>0</v>
      </c>
      <c r="Q1159" t="b">
        <v>0</v>
      </c>
      <c r="R1159" s="3"/>
      <c r="S1159" s="10"/>
      <c r="T1159" s="10"/>
      <c r="U1159" s="10"/>
      <c r="V1159" s="10"/>
      <c r="W1159" s="10"/>
      <c r="X1159" s="10"/>
      <c r="Y1159" s="10"/>
      <c r="Z1159" s="10"/>
      <c r="AA1159" s="10"/>
      <c r="AB1159" s="10"/>
      <c r="AC1159" s="10"/>
      <c r="AD1159" s="10"/>
      <c r="AE1159" s="10"/>
    </row>
    <row r="1160" ht="14.4" spans="14:31">
      <c r="N1160" s="10"/>
      <c r="O1160" s="10"/>
      <c r="P1160" t="b">
        <v>0</v>
      </c>
      <c r="Q1160" t="b">
        <v>0</v>
      </c>
      <c r="R1160" s="3"/>
      <c r="S1160" s="10"/>
      <c r="T1160" s="10"/>
      <c r="U1160" s="10"/>
      <c r="V1160" s="10"/>
      <c r="W1160" s="10"/>
      <c r="X1160" s="10"/>
      <c r="Y1160" s="10"/>
      <c r="Z1160" s="10"/>
      <c r="AA1160" s="10"/>
      <c r="AB1160" s="10"/>
      <c r="AC1160" s="10"/>
      <c r="AD1160" s="10"/>
      <c r="AE1160" s="10"/>
    </row>
    <row r="1161" ht="14.4" spans="14:31">
      <c r="N1161" s="10"/>
      <c r="O1161" s="10"/>
      <c r="P1161" t="b">
        <v>0</v>
      </c>
      <c r="Q1161" t="b">
        <v>0</v>
      </c>
      <c r="R1161" s="3"/>
      <c r="S1161" s="10"/>
      <c r="T1161" s="10"/>
      <c r="U1161" s="10"/>
      <c r="V1161" s="10"/>
      <c r="W1161" s="10"/>
      <c r="X1161" s="10"/>
      <c r="Y1161" s="10"/>
      <c r="Z1161" s="10"/>
      <c r="AA1161" s="10"/>
      <c r="AB1161" s="10"/>
      <c r="AC1161" s="10"/>
      <c r="AD1161" s="10"/>
      <c r="AE1161" s="10"/>
    </row>
    <row r="1162" ht="14.4" spans="14:31">
      <c r="N1162" s="10"/>
      <c r="O1162" s="10"/>
      <c r="P1162" t="b">
        <v>0</v>
      </c>
      <c r="Q1162" t="b">
        <v>0</v>
      </c>
      <c r="R1162" s="3"/>
      <c r="S1162" s="10"/>
      <c r="T1162" s="10"/>
      <c r="U1162" s="10"/>
      <c r="V1162" s="10"/>
      <c r="W1162" s="10"/>
      <c r="X1162" s="10"/>
      <c r="Y1162" s="10"/>
      <c r="Z1162" s="10"/>
      <c r="AA1162" s="10"/>
      <c r="AB1162" s="10"/>
      <c r="AC1162" s="10"/>
      <c r="AD1162" s="10"/>
      <c r="AE1162" s="10"/>
    </row>
    <row r="1163" ht="14.4" spans="14:31">
      <c r="N1163" s="10"/>
      <c r="O1163" s="10"/>
      <c r="P1163" t="b">
        <v>0</v>
      </c>
      <c r="Q1163" t="b">
        <v>0</v>
      </c>
      <c r="R1163" s="3"/>
      <c r="S1163" s="10"/>
      <c r="T1163" s="10"/>
      <c r="U1163" s="10"/>
      <c r="V1163" s="10"/>
      <c r="W1163" s="10"/>
      <c r="X1163" s="10"/>
      <c r="Y1163" s="10"/>
      <c r="Z1163" s="10"/>
      <c r="AA1163" s="10"/>
      <c r="AB1163" s="10"/>
      <c r="AC1163" s="10"/>
      <c r="AD1163" s="10"/>
      <c r="AE1163" s="10"/>
    </row>
    <row r="1164" ht="14.4" spans="14:31">
      <c r="N1164" s="10"/>
      <c r="O1164" s="10"/>
      <c r="P1164" t="b">
        <v>0</v>
      </c>
      <c r="Q1164" t="b">
        <v>0</v>
      </c>
      <c r="R1164" s="3"/>
      <c r="S1164" s="10"/>
      <c r="T1164" s="10"/>
      <c r="U1164" s="10"/>
      <c r="V1164" s="10"/>
      <c r="W1164" s="10"/>
      <c r="X1164" s="10"/>
      <c r="Y1164" s="10"/>
      <c r="Z1164" s="10"/>
      <c r="AA1164" s="10"/>
      <c r="AB1164" s="10"/>
      <c r="AC1164" s="10"/>
      <c r="AD1164" s="10"/>
      <c r="AE1164" s="10"/>
    </row>
    <row r="1165" ht="14.4" spans="14:31">
      <c r="N1165" s="10"/>
      <c r="O1165" s="10"/>
      <c r="P1165" t="b">
        <v>0</v>
      </c>
      <c r="Q1165" t="b">
        <v>0</v>
      </c>
      <c r="R1165" s="3"/>
      <c r="S1165" s="10"/>
      <c r="T1165" s="10"/>
      <c r="U1165" s="10"/>
      <c r="V1165" s="10"/>
      <c r="W1165" s="10"/>
      <c r="X1165" s="10"/>
      <c r="Y1165" s="10"/>
      <c r="Z1165" s="10"/>
      <c r="AA1165" s="10"/>
      <c r="AB1165" s="10"/>
      <c r="AC1165" s="10"/>
      <c r="AD1165" s="10"/>
      <c r="AE1165" s="10"/>
    </row>
    <row r="1166" ht="14.4" spans="14:31">
      <c r="N1166" s="10"/>
      <c r="O1166" s="10"/>
      <c r="P1166" t="b">
        <v>0</v>
      </c>
      <c r="Q1166" t="b">
        <v>0</v>
      </c>
      <c r="R1166" s="3"/>
      <c r="S1166" s="10"/>
      <c r="T1166" s="10"/>
      <c r="U1166" s="10"/>
      <c r="V1166" s="10"/>
      <c r="W1166" s="10"/>
      <c r="X1166" s="10"/>
      <c r="Y1166" s="10"/>
      <c r="Z1166" s="10"/>
      <c r="AA1166" s="10"/>
      <c r="AB1166" s="10"/>
      <c r="AC1166" s="10"/>
      <c r="AD1166" s="10"/>
      <c r="AE1166" s="10"/>
    </row>
    <row r="1167" ht="14.4" spans="14:31">
      <c r="N1167" s="10"/>
      <c r="O1167" s="10"/>
      <c r="P1167" t="b">
        <v>0</v>
      </c>
      <c r="Q1167" t="b">
        <v>0</v>
      </c>
      <c r="R1167" s="3"/>
      <c r="S1167" s="10"/>
      <c r="T1167" s="10"/>
      <c r="U1167" s="10"/>
      <c r="V1167" s="10"/>
      <c r="W1167" s="10"/>
      <c r="X1167" s="10"/>
      <c r="Y1167" s="10"/>
      <c r="Z1167" s="10"/>
      <c r="AA1167" s="10"/>
      <c r="AB1167" s="10"/>
      <c r="AC1167" s="10"/>
      <c r="AD1167" s="10"/>
      <c r="AE1167" s="10"/>
    </row>
    <row r="1168" ht="14.4" spans="14:31">
      <c r="N1168" s="10"/>
      <c r="O1168" s="10"/>
      <c r="P1168" t="b">
        <v>0</v>
      </c>
      <c r="Q1168" t="b">
        <v>0</v>
      </c>
      <c r="R1168" s="3"/>
      <c r="S1168" s="10"/>
      <c r="T1168" s="10"/>
      <c r="U1168" s="10"/>
      <c r="V1168" s="10"/>
      <c r="W1168" s="10"/>
      <c r="X1168" s="10"/>
      <c r="Y1168" s="10"/>
      <c r="Z1168" s="10"/>
      <c r="AA1168" s="10"/>
      <c r="AB1168" s="10"/>
      <c r="AC1168" s="10"/>
      <c r="AD1168" s="10"/>
      <c r="AE1168" s="10"/>
    </row>
    <row r="1169" ht="14.4" spans="14:31">
      <c r="N1169" s="10"/>
      <c r="O1169" s="10"/>
      <c r="P1169" t="b">
        <v>0</v>
      </c>
      <c r="Q1169" t="b">
        <v>0</v>
      </c>
      <c r="R1169" s="3"/>
      <c r="S1169" s="10"/>
      <c r="T1169" s="10"/>
      <c r="U1169" s="10"/>
      <c r="V1169" s="10"/>
      <c r="W1169" s="10"/>
      <c r="X1169" s="10"/>
      <c r="Y1169" s="10"/>
      <c r="Z1169" s="10"/>
      <c r="AA1169" s="10"/>
      <c r="AB1169" s="10"/>
      <c r="AC1169" s="10"/>
      <c r="AD1169" s="10"/>
      <c r="AE1169" s="10"/>
    </row>
    <row r="1170" ht="14.4" spans="14:31">
      <c r="N1170" s="10"/>
      <c r="O1170" s="10"/>
      <c r="P1170" t="b">
        <v>0</v>
      </c>
      <c r="Q1170" t="b">
        <v>0</v>
      </c>
      <c r="R1170" s="3"/>
      <c r="S1170" s="10"/>
      <c r="T1170" s="10"/>
      <c r="U1170" s="10"/>
      <c r="V1170" s="10"/>
      <c r="W1170" s="10"/>
      <c r="X1170" s="10"/>
      <c r="Y1170" s="10"/>
      <c r="Z1170" s="10"/>
      <c r="AA1170" s="10"/>
      <c r="AB1170" s="10"/>
      <c r="AC1170" s="10"/>
      <c r="AD1170" s="10"/>
      <c r="AE1170" s="10"/>
    </row>
    <row r="1171" ht="14.4" spans="14:31">
      <c r="N1171" s="10"/>
      <c r="O1171" s="10"/>
      <c r="P1171" t="b">
        <v>0</v>
      </c>
      <c r="Q1171" t="b">
        <v>0</v>
      </c>
      <c r="R1171" s="3"/>
      <c r="S1171" s="10"/>
      <c r="T1171" s="10"/>
      <c r="U1171" s="10"/>
      <c r="V1171" s="10"/>
      <c r="W1171" s="10"/>
      <c r="X1171" s="10"/>
      <c r="Y1171" s="10"/>
      <c r="Z1171" s="10"/>
      <c r="AA1171" s="10"/>
      <c r="AB1171" s="10"/>
      <c r="AC1171" s="10"/>
      <c r="AD1171" s="10"/>
      <c r="AE1171" s="10"/>
    </row>
    <row r="1172" ht="14.4" spans="14:31">
      <c r="N1172" s="10"/>
      <c r="O1172" s="10"/>
      <c r="P1172" t="b">
        <v>0</v>
      </c>
      <c r="Q1172" t="b">
        <v>0</v>
      </c>
      <c r="R1172" s="3"/>
      <c r="S1172" s="10"/>
      <c r="T1172" s="10"/>
      <c r="U1172" s="10"/>
      <c r="V1172" s="10"/>
      <c r="W1172" s="10"/>
      <c r="X1172" s="10"/>
      <c r="Y1172" s="10"/>
      <c r="Z1172" s="10"/>
      <c r="AA1172" s="10"/>
      <c r="AB1172" s="10"/>
      <c r="AC1172" s="10"/>
      <c r="AD1172" s="10"/>
      <c r="AE1172" s="10"/>
    </row>
    <row r="1173" ht="14.4" spans="14:31">
      <c r="N1173" s="10"/>
      <c r="O1173" s="10"/>
      <c r="P1173" t="b">
        <v>0</v>
      </c>
      <c r="Q1173" t="b">
        <v>0</v>
      </c>
      <c r="R1173" s="3"/>
      <c r="S1173" s="10"/>
      <c r="T1173" s="10"/>
      <c r="U1173" s="10"/>
      <c r="V1173" s="10"/>
      <c r="W1173" s="10"/>
      <c r="X1173" s="10"/>
      <c r="Y1173" s="10"/>
      <c r="Z1173" s="10"/>
      <c r="AA1173" s="10"/>
      <c r="AB1173" s="10"/>
      <c r="AC1173" s="10"/>
      <c r="AD1173" s="10"/>
      <c r="AE1173" s="10"/>
    </row>
    <row r="1174" ht="14.4" spans="14:31">
      <c r="N1174" s="10"/>
      <c r="O1174" s="10"/>
      <c r="P1174" t="b">
        <v>0</v>
      </c>
      <c r="Q1174" t="b">
        <v>0</v>
      </c>
      <c r="R1174" s="3"/>
      <c r="S1174" s="10"/>
      <c r="T1174" s="10"/>
      <c r="U1174" s="10"/>
      <c r="V1174" s="10"/>
      <c r="W1174" s="10"/>
      <c r="X1174" s="10"/>
      <c r="Y1174" s="10"/>
      <c r="Z1174" s="10"/>
      <c r="AA1174" s="10"/>
      <c r="AB1174" s="10"/>
      <c r="AC1174" s="10"/>
      <c r="AD1174" s="10"/>
      <c r="AE1174" s="10"/>
    </row>
    <row r="1175" ht="14.4" spans="14:31">
      <c r="N1175" s="10"/>
      <c r="O1175" s="10"/>
      <c r="P1175" t="b">
        <v>0</v>
      </c>
      <c r="Q1175" t="b">
        <v>0</v>
      </c>
      <c r="R1175" s="3"/>
      <c r="S1175" s="10"/>
      <c r="T1175" s="10"/>
      <c r="U1175" s="10"/>
      <c r="V1175" s="10"/>
      <c r="W1175" s="10"/>
      <c r="X1175" s="10"/>
      <c r="Y1175" s="10"/>
      <c r="Z1175" s="10"/>
      <c r="AA1175" s="10"/>
      <c r="AB1175" s="10"/>
      <c r="AC1175" s="10"/>
      <c r="AD1175" s="10"/>
      <c r="AE1175" s="10"/>
    </row>
    <row r="1176" ht="14.4" spans="14:31">
      <c r="N1176" s="10"/>
      <c r="O1176" s="10"/>
      <c r="P1176" t="b">
        <v>0</v>
      </c>
      <c r="Q1176" t="b">
        <v>0</v>
      </c>
      <c r="R1176" s="3"/>
      <c r="S1176" s="10"/>
      <c r="T1176" s="10"/>
      <c r="U1176" s="10"/>
      <c r="V1176" s="10"/>
      <c r="W1176" s="10"/>
      <c r="X1176" s="10"/>
      <c r="Y1176" s="10"/>
      <c r="Z1176" s="10"/>
      <c r="AA1176" s="10"/>
      <c r="AB1176" s="10"/>
      <c r="AC1176" s="10"/>
      <c r="AD1176" s="10"/>
      <c r="AE1176" s="10"/>
    </row>
    <row r="1177" ht="14.4" spans="14:31">
      <c r="N1177" s="10"/>
      <c r="O1177" s="10"/>
      <c r="P1177" t="b">
        <v>0</v>
      </c>
      <c r="Q1177" t="b">
        <v>0</v>
      </c>
      <c r="R1177" s="3"/>
      <c r="S1177" s="10"/>
      <c r="T1177" s="10"/>
      <c r="U1177" s="10"/>
      <c r="V1177" s="10"/>
      <c r="W1177" s="10"/>
      <c r="X1177" s="10"/>
      <c r="Y1177" s="10"/>
      <c r="Z1177" s="10"/>
      <c r="AA1177" s="10"/>
      <c r="AB1177" s="10"/>
      <c r="AC1177" s="10"/>
      <c r="AD1177" s="10"/>
      <c r="AE1177" s="10"/>
    </row>
    <row r="1178" ht="14.4" spans="14:31">
      <c r="N1178" s="10"/>
      <c r="O1178" s="10"/>
      <c r="P1178" t="b">
        <v>0</v>
      </c>
      <c r="Q1178" t="b">
        <v>0</v>
      </c>
      <c r="R1178" s="3"/>
      <c r="S1178" s="10"/>
      <c r="T1178" s="10"/>
      <c r="U1178" s="10"/>
      <c r="V1178" s="10"/>
      <c r="W1178" s="10"/>
      <c r="X1178" s="10"/>
      <c r="Y1178" s="10"/>
      <c r="Z1178" s="10"/>
      <c r="AA1178" s="10"/>
      <c r="AB1178" s="10"/>
      <c r="AC1178" s="10"/>
      <c r="AD1178" s="10"/>
      <c r="AE1178" s="10"/>
    </row>
    <row r="1179" ht="14.4" spans="14:31">
      <c r="N1179" s="10"/>
      <c r="O1179" s="10"/>
      <c r="P1179" t="b">
        <v>0</v>
      </c>
      <c r="Q1179" t="b">
        <v>0</v>
      </c>
      <c r="R1179" s="3"/>
      <c r="S1179" s="10"/>
      <c r="T1179" s="10"/>
      <c r="U1179" s="10"/>
      <c r="V1179" s="10"/>
      <c r="W1179" s="10"/>
      <c r="X1179" s="10"/>
      <c r="Y1179" s="10"/>
      <c r="Z1179" s="10"/>
      <c r="AA1179" s="10"/>
      <c r="AB1179" s="10"/>
      <c r="AC1179" s="10"/>
      <c r="AD1179" s="10"/>
      <c r="AE1179" s="10"/>
    </row>
    <row r="1180" ht="14.4" spans="14:31">
      <c r="N1180" s="10"/>
      <c r="O1180" s="10"/>
      <c r="P1180" t="b">
        <v>0</v>
      </c>
      <c r="Q1180" t="b">
        <v>0</v>
      </c>
      <c r="R1180" s="3"/>
      <c r="S1180" s="10"/>
      <c r="T1180" s="10"/>
      <c r="U1180" s="10"/>
      <c r="V1180" s="10"/>
      <c r="W1180" s="10"/>
      <c r="X1180" s="10"/>
      <c r="Y1180" s="10"/>
      <c r="Z1180" s="10"/>
      <c r="AA1180" s="10"/>
      <c r="AB1180" s="10"/>
      <c r="AC1180" s="10"/>
      <c r="AD1180" s="10"/>
      <c r="AE1180" s="10"/>
    </row>
    <row r="1181" ht="14.4" spans="14:31">
      <c r="N1181" s="10"/>
      <c r="O1181" s="10"/>
      <c r="P1181" t="b">
        <v>0</v>
      </c>
      <c r="Q1181" t="b">
        <v>0</v>
      </c>
      <c r="R1181" s="3"/>
      <c r="S1181" s="10"/>
      <c r="T1181" s="10"/>
      <c r="U1181" s="10"/>
      <c r="V1181" s="10"/>
      <c r="W1181" s="10"/>
      <c r="X1181" s="10"/>
      <c r="Y1181" s="10"/>
      <c r="Z1181" s="10"/>
      <c r="AA1181" s="10"/>
      <c r="AB1181" s="10"/>
      <c r="AC1181" s="10"/>
      <c r="AD1181" s="10"/>
      <c r="AE1181" s="10"/>
    </row>
    <row r="1182" ht="14.4" spans="14:31">
      <c r="N1182" s="10"/>
      <c r="O1182" s="10"/>
      <c r="P1182" t="b">
        <v>0</v>
      </c>
      <c r="Q1182" t="b">
        <v>0</v>
      </c>
      <c r="R1182" s="3"/>
      <c r="S1182" s="10"/>
      <c r="T1182" s="10"/>
      <c r="U1182" s="10"/>
      <c r="V1182" s="10"/>
      <c r="W1182" s="10"/>
      <c r="X1182" s="10"/>
      <c r="Y1182" s="10"/>
      <c r="Z1182" s="10"/>
      <c r="AA1182" s="10"/>
      <c r="AB1182" s="10"/>
      <c r="AC1182" s="10"/>
      <c r="AD1182" s="10"/>
      <c r="AE1182" s="10"/>
    </row>
    <row r="1183" ht="14.4" spans="14:31">
      <c r="N1183" s="10"/>
      <c r="O1183" s="10"/>
      <c r="P1183" t="b">
        <v>0</v>
      </c>
      <c r="Q1183" t="b">
        <v>0</v>
      </c>
      <c r="R1183" s="3"/>
      <c r="S1183" s="10"/>
      <c r="T1183" s="10"/>
      <c r="U1183" s="10"/>
      <c r="V1183" s="10"/>
      <c r="W1183" s="10"/>
      <c r="X1183" s="10"/>
      <c r="Y1183" s="10"/>
      <c r="Z1183" s="10"/>
      <c r="AA1183" s="10"/>
      <c r="AB1183" s="10"/>
      <c r="AC1183" s="10"/>
      <c r="AD1183" s="10"/>
      <c r="AE1183" s="10"/>
    </row>
    <row r="1184" ht="14.4" spans="14:31">
      <c r="N1184" s="10"/>
      <c r="O1184" s="10"/>
      <c r="P1184" t="b">
        <v>0</v>
      </c>
      <c r="Q1184" t="b">
        <v>0</v>
      </c>
      <c r="R1184" s="3"/>
      <c r="S1184" s="10"/>
      <c r="T1184" s="10"/>
      <c r="U1184" s="10"/>
      <c r="V1184" s="10"/>
      <c r="W1184" s="10"/>
      <c r="X1184" s="10"/>
      <c r="Y1184" s="10"/>
      <c r="Z1184" s="10"/>
      <c r="AA1184" s="10"/>
      <c r="AB1184" s="10"/>
      <c r="AC1184" s="10"/>
      <c r="AD1184" s="10"/>
      <c r="AE1184" s="10"/>
    </row>
    <row r="1185" ht="14.4" spans="14:31">
      <c r="N1185" s="10"/>
      <c r="O1185" s="10"/>
      <c r="P1185" t="b">
        <v>0</v>
      </c>
      <c r="Q1185" t="b">
        <v>0</v>
      </c>
      <c r="R1185" s="3"/>
      <c r="S1185" s="10"/>
      <c r="T1185" s="10"/>
      <c r="U1185" s="10"/>
      <c r="V1185" s="10"/>
      <c r="W1185" s="10"/>
      <c r="X1185" s="10"/>
      <c r="Y1185" s="10"/>
      <c r="Z1185" s="10"/>
      <c r="AA1185" s="10"/>
      <c r="AB1185" s="10"/>
      <c r="AC1185" s="10"/>
      <c r="AD1185" s="10"/>
      <c r="AE1185" s="10"/>
    </row>
    <row r="1186" ht="14.4" spans="14:31">
      <c r="N1186" s="10"/>
      <c r="O1186" s="10"/>
      <c r="P1186" t="b">
        <v>0</v>
      </c>
      <c r="Q1186" t="b">
        <v>0</v>
      </c>
      <c r="R1186" s="3"/>
      <c r="S1186" s="10"/>
      <c r="T1186" s="10"/>
      <c r="U1186" s="10"/>
      <c r="V1186" s="10"/>
      <c r="W1186" s="10"/>
      <c r="X1186" s="10"/>
      <c r="Y1186" s="10"/>
      <c r="Z1186" s="10"/>
      <c r="AA1186" s="10"/>
      <c r="AB1186" s="10"/>
      <c r="AC1186" s="10"/>
      <c r="AD1186" s="10"/>
      <c r="AE1186" s="10"/>
    </row>
    <row r="1187" ht="14.4" spans="14:31">
      <c r="N1187" s="10"/>
      <c r="O1187" s="10"/>
      <c r="P1187" t="b">
        <v>0</v>
      </c>
      <c r="Q1187" t="b">
        <v>0</v>
      </c>
      <c r="R1187" s="3"/>
      <c r="S1187" s="10"/>
      <c r="T1187" s="10"/>
      <c r="U1187" s="10"/>
      <c r="V1187" s="10"/>
      <c r="W1187" s="10"/>
      <c r="X1187" s="10"/>
      <c r="Y1187" s="10"/>
      <c r="Z1187" s="10"/>
      <c r="AA1187" s="10"/>
      <c r="AB1187" s="10"/>
      <c r="AC1187" s="10"/>
      <c r="AD1187" s="10"/>
      <c r="AE1187" s="10"/>
    </row>
    <row r="1188" ht="14.4" spans="14:31">
      <c r="N1188" s="10"/>
      <c r="O1188" s="10"/>
      <c r="P1188" t="b">
        <v>0</v>
      </c>
      <c r="Q1188" t="b">
        <v>0</v>
      </c>
      <c r="R1188" s="3"/>
      <c r="S1188" s="10"/>
      <c r="T1188" s="10"/>
      <c r="U1188" s="10"/>
      <c r="V1188" s="10"/>
      <c r="W1188" s="10"/>
      <c r="X1188" s="10"/>
      <c r="Y1188" s="10"/>
      <c r="Z1188" s="10"/>
      <c r="AA1188" s="10"/>
      <c r="AB1188" s="10"/>
      <c r="AC1188" s="10"/>
      <c r="AD1188" s="10"/>
      <c r="AE1188" s="10"/>
    </row>
    <row r="1189" ht="14.4" spans="14:31">
      <c r="N1189" s="10"/>
      <c r="O1189" s="10"/>
      <c r="P1189" t="b">
        <v>0</v>
      </c>
      <c r="Q1189" t="b">
        <v>0</v>
      </c>
      <c r="R1189" s="3"/>
      <c r="S1189" s="10"/>
      <c r="T1189" s="10"/>
      <c r="U1189" s="10"/>
      <c r="V1189" s="10"/>
      <c r="W1189" s="10"/>
      <c r="X1189" s="10"/>
      <c r="Y1189" s="10"/>
      <c r="Z1189" s="10"/>
      <c r="AA1189" s="10"/>
      <c r="AB1189" s="10"/>
      <c r="AC1189" s="10"/>
      <c r="AD1189" s="10"/>
      <c r="AE1189" s="10"/>
    </row>
    <row r="1190" ht="14.4" spans="14:31">
      <c r="N1190" s="10"/>
      <c r="O1190" s="10"/>
      <c r="P1190" t="b">
        <v>0</v>
      </c>
      <c r="Q1190" t="b">
        <v>0</v>
      </c>
      <c r="R1190" s="3"/>
      <c r="S1190" s="10"/>
      <c r="T1190" s="10"/>
      <c r="U1190" s="10"/>
      <c r="V1190" s="10"/>
      <c r="W1190" s="10"/>
      <c r="X1190" s="10"/>
      <c r="Y1190" s="10"/>
      <c r="Z1190" s="10"/>
      <c r="AA1190" s="10"/>
      <c r="AB1190" s="10"/>
      <c r="AC1190" s="10"/>
      <c r="AD1190" s="10"/>
      <c r="AE1190" s="10"/>
    </row>
    <row r="1191" ht="14.4" spans="14:31">
      <c r="N1191" s="10"/>
      <c r="O1191" s="10"/>
      <c r="P1191" t="b">
        <v>0</v>
      </c>
      <c r="Q1191" t="b">
        <v>0</v>
      </c>
      <c r="R1191" s="3"/>
      <c r="S1191" s="10"/>
      <c r="T1191" s="10"/>
      <c r="U1191" s="10"/>
      <c r="V1191" s="10"/>
      <c r="W1191" s="10"/>
      <c r="X1191" s="10"/>
      <c r="Y1191" s="10"/>
      <c r="Z1191" s="10"/>
      <c r="AA1191" s="10"/>
      <c r="AB1191" s="10"/>
      <c r="AC1191" s="10"/>
      <c r="AD1191" s="10"/>
      <c r="AE1191" s="10"/>
    </row>
    <row r="1192" ht="14.4" spans="14:31">
      <c r="N1192" s="10"/>
      <c r="O1192" s="10"/>
      <c r="P1192" t="b">
        <v>0</v>
      </c>
      <c r="Q1192" t="b">
        <v>0</v>
      </c>
      <c r="R1192" s="3"/>
      <c r="S1192" s="10"/>
      <c r="T1192" s="10"/>
      <c r="U1192" s="10"/>
      <c r="V1192" s="10"/>
      <c r="W1192" s="10"/>
      <c r="X1192" s="10"/>
      <c r="Y1192" s="10"/>
      <c r="Z1192" s="10"/>
      <c r="AA1192" s="10"/>
      <c r="AB1192" s="10"/>
      <c r="AC1192" s="10"/>
      <c r="AD1192" s="10"/>
      <c r="AE1192" s="10"/>
    </row>
    <row r="1193" ht="14.4" spans="14:31">
      <c r="N1193" s="10"/>
      <c r="O1193" s="10"/>
      <c r="P1193" t="b">
        <v>0</v>
      </c>
      <c r="Q1193" t="b">
        <v>0</v>
      </c>
      <c r="R1193" s="3"/>
      <c r="S1193" s="10"/>
      <c r="T1193" s="10"/>
      <c r="U1193" s="10"/>
      <c r="V1193" s="10"/>
      <c r="W1193" s="10"/>
      <c r="X1193" s="10"/>
      <c r="Y1193" s="10"/>
      <c r="Z1193" s="10"/>
      <c r="AA1193" s="10"/>
      <c r="AB1193" s="10"/>
      <c r="AC1193" s="10"/>
      <c r="AD1193" s="10"/>
      <c r="AE1193" s="10"/>
    </row>
    <row r="1194" ht="14.4" spans="14:31">
      <c r="N1194" s="10"/>
      <c r="O1194" s="10"/>
      <c r="P1194" t="b">
        <v>0</v>
      </c>
      <c r="Q1194" t="b">
        <v>0</v>
      </c>
      <c r="R1194" s="3"/>
      <c r="S1194" s="10"/>
      <c r="T1194" s="10"/>
      <c r="U1194" s="10"/>
      <c r="V1194" s="10"/>
      <c r="W1194" s="10"/>
      <c r="X1194" s="10"/>
      <c r="Y1194" s="10"/>
      <c r="Z1194" s="10"/>
      <c r="AA1194" s="10"/>
      <c r="AB1194" s="10"/>
      <c r="AC1194" s="10"/>
      <c r="AD1194" s="10"/>
      <c r="AE1194" s="10"/>
    </row>
    <row r="1195" ht="14.4" spans="14:31">
      <c r="N1195" s="10"/>
      <c r="O1195" s="10"/>
      <c r="P1195" t="b">
        <v>0</v>
      </c>
      <c r="Q1195" t="b">
        <v>0</v>
      </c>
      <c r="R1195" s="3"/>
      <c r="S1195" s="10"/>
      <c r="T1195" s="10"/>
      <c r="U1195" s="10"/>
      <c r="V1195" s="10"/>
      <c r="W1195" s="10"/>
      <c r="X1195" s="10"/>
      <c r="Y1195" s="10"/>
      <c r="Z1195" s="10"/>
      <c r="AA1195" s="10"/>
      <c r="AB1195" s="10"/>
      <c r="AC1195" s="10"/>
      <c r="AD1195" s="10"/>
      <c r="AE1195" s="10"/>
    </row>
    <row r="1196" ht="14.4" spans="14:31">
      <c r="N1196" s="10"/>
      <c r="O1196" s="10"/>
      <c r="P1196" t="b">
        <v>0</v>
      </c>
      <c r="Q1196" t="b">
        <v>0</v>
      </c>
      <c r="R1196" s="3"/>
      <c r="S1196" s="10"/>
      <c r="T1196" s="10"/>
      <c r="U1196" s="10"/>
      <c r="V1196" s="10"/>
      <c r="W1196" s="10"/>
      <c r="X1196" s="10"/>
      <c r="Y1196" s="10"/>
      <c r="Z1196" s="10"/>
      <c r="AA1196" s="10"/>
      <c r="AB1196" s="10"/>
      <c r="AC1196" s="10"/>
      <c r="AD1196" s="10"/>
      <c r="AE1196" s="10"/>
    </row>
    <row r="1197" ht="14.4" spans="14:31">
      <c r="N1197" s="10"/>
      <c r="O1197" s="10"/>
      <c r="P1197" t="b">
        <v>0</v>
      </c>
      <c r="Q1197" t="b">
        <v>0</v>
      </c>
      <c r="R1197" s="3"/>
      <c r="S1197" s="10"/>
      <c r="T1197" s="10"/>
      <c r="U1197" s="10"/>
      <c r="V1197" s="10"/>
      <c r="W1197" s="10"/>
      <c r="X1197" s="10"/>
      <c r="Y1197" s="10"/>
      <c r="Z1197" s="10"/>
      <c r="AA1197" s="10"/>
      <c r="AB1197" s="10"/>
      <c r="AC1197" s="10"/>
      <c r="AD1197" s="10"/>
      <c r="AE1197" s="10"/>
    </row>
    <row r="1198" ht="14.4" spans="14:31">
      <c r="N1198" s="10"/>
      <c r="O1198" s="10"/>
      <c r="P1198" t="b">
        <v>0</v>
      </c>
      <c r="Q1198" t="b">
        <v>0</v>
      </c>
      <c r="R1198" s="3"/>
      <c r="S1198" s="10"/>
      <c r="T1198" s="10"/>
      <c r="U1198" s="10"/>
      <c r="V1198" s="10"/>
      <c r="W1198" s="10"/>
      <c r="X1198" s="10"/>
      <c r="Y1198" s="10"/>
      <c r="Z1198" s="10"/>
      <c r="AA1198" s="10"/>
      <c r="AB1198" s="10"/>
      <c r="AC1198" s="10"/>
      <c r="AD1198" s="10"/>
      <c r="AE1198" s="10"/>
    </row>
    <row r="1199" ht="14.4" spans="14:31">
      <c r="N1199" s="10"/>
      <c r="O1199" s="10"/>
      <c r="P1199" t="b">
        <v>0</v>
      </c>
      <c r="Q1199" t="b">
        <v>0</v>
      </c>
      <c r="R1199" s="3"/>
      <c r="S1199" s="10"/>
      <c r="T1199" s="10"/>
      <c r="U1199" s="10"/>
      <c r="V1199" s="10"/>
      <c r="W1199" s="10"/>
      <c r="X1199" s="10"/>
      <c r="Y1199" s="10"/>
      <c r="Z1199" s="10"/>
      <c r="AA1199" s="10"/>
      <c r="AB1199" s="10"/>
      <c r="AC1199" s="10"/>
      <c r="AD1199" s="10"/>
      <c r="AE1199" s="10"/>
    </row>
    <row r="1200" ht="14.4" spans="14:31">
      <c r="N1200" s="10"/>
      <c r="O1200" s="10"/>
      <c r="P1200" t="b">
        <v>0</v>
      </c>
      <c r="Q1200" t="b">
        <v>0</v>
      </c>
      <c r="R1200" s="3"/>
      <c r="S1200" s="10"/>
      <c r="T1200" s="10"/>
      <c r="U1200" s="10"/>
      <c r="V1200" s="10"/>
      <c r="W1200" s="10"/>
      <c r="X1200" s="10"/>
      <c r="Y1200" s="10"/>
      <c r="Z1200" s="10"/>
      <c r="AA1200" s="10"/>
      <c r="AB1200" s="10"/>
      <c r="AC1200" s="10"/>
      <c r="AD1200" s="10"/>
      <c r="AE1200" s="10"/>
    </row>
    <row r="1201" ht="14.4" spans="14:31">
      <c r="N1201" s="10"/>
      <c r="O1201" s="10"/>
      <c r="P1201" t="b">
        <v>0</v>
      </c>
      <c r="Q1201" t="b">
        <v>0</v>
      </c>
      <c r="R1201" s="3"/>
      <c r="S1201" s="10"/>
      <c r="T1201" s="10"/>
      <c r="U1201" s="10"/>
      <c r="V1201" s="10"/>
      <c r="W1201" s="10"/>
      <c r="X1201" s="10"/>
      <c r="Y1201" s="10"/>
      <c r="Z1201" s="10"/>
      <c r="AA1201" s="10"/>
      <c r="AB1201" s="10"/>
      <c r="AC1201" s="10"/>
      <c r="AD1201" s="10"/>
      <c r="AE1201" s="10"/>
    </row>
    <row r="1202" ht="14.4" spans="14:31">
      <c r="N1202" s="10"/>
      <c r="O1202" s="10"/>
      <c r="P1202" t="b">
        <v>0</v>
      </c>
      <c r="Q1202" t="b">
        <v>0</v>
      </c>
      <c r="R1202" s="3"/>
      <c r="S1202" s="10"/>
      <c r="T1202" s="10"/>
      <c r="U1202" s="10"/>
      <c r="V1202" s="10"/>
      <c r="W1202" s="10"/>
      <c r="X1202" s="10"/>
      <c r="Y1202" s="10"/>
      <c r="Z1202" s="10"/>
      <c r="AA1202" s="10"/>
      <c r="AB1202" s="10"/>
      <c r="AC1202" s="10"/>
      <c r="AD1202" s="10"/>
      <c r="AE1202" s="10"/>
    </row>
    <row r="1203" ht="14.4" spans="14:31">
      <c r="N1203" s="10"/>
      <c r="O1203" s="10"/>
      <c r="P1203" t="b">
        <v>0</v>
      </c>
      <c r="Q1203" t="b">
        <v>0</v>
      </c>
      <c r="R1203" s="3"/>
      <c r="S1203" s="10"/>
      <c r="T1203" s="10"/>
      <c r="U1203" s="10"/>
      <c r="V1203" s="10"/>
      <c r="W1203" s="10"/>
      <c r="X1203" s="10"/>
      <c r="Y1203" s="10"/>
      <c r="Z1203" s="10"/>
      <c r="AA1203" s="10"/>
      <c r="AB1203" s="10"/>
      <c r="AC1203" s="10"/>
      <c r="AD1203" s="10"/>
      <c r="AE1203" s="10"/>
    </row>
    <row r="1204" ht="14.4" spans="14:31">
      <c r="N1204" s="10"/>
      <c r="O1204" s="10"/>
      <c r="P1204" t="b">
        <v>0</v>
      </c>
      <c r="Q1204" t="b">
        <v>0</v>
      </c>
      <c r="R1204" s="3"/>
      <c r="S1204" s="10"/>
      <c r="T1204" s="10"/>
      <c r="U1204" s="10"/>
      <c r="V1204" s="10"/>
      <c r="W1204" s="10"/>
      <c r="X1204" s="10"/>
      <c r="Y1204" s="10"/>
      <c r="Z1204" s="10"/>
      <c r="AA1204" s="10"/>
      <c r="AB1204" s="10"/>
      <c r="AC1204" s="10"/>
      <c r="AD1204" s="10"/>
      <c r="AE1204" s="10"/>
    </row>
    <row r="1205" ht="14.4" spans="14:31">
      <c r="N1205" s="10"/>
      <c r="O1205" s="10"/>
      <c r="P1205" t="b">
        <v>0</v>
      </c>
      <c r="Q1205" t="b">
        <v>0</v>
      </c>
      <c r="R1205" s="3"/>
      <c r="S1205" s="10"/>
      <c r="T1205" s="10"/>
      <c r="U1205" s="10"/>
      <c r="V1205" s="10"/>
      <c r="W1205" s="10"/>
      <c r="X1205" s="10"/>
      <c r="Y1205" s="10"/>
      <c r="Z1205" s="10"/>
      <c r="AA1205" s="10"/>
      <c r="AB1205" s="10"/>
      <c r="AC1205" s="10"/>
      <c r="AD1205" s="10"/>
      <c r="AE1205" s="10"/>
    </row>
    <row r="1206" ht="14.4" spans="14:31">
      <c r="N1206" s="10"/>
      <c r="O1206" s="10"/>
      <c r="P1206" t="b">
        <v>0</v>
      </c>
      <c r="Q1206" t="b">
        <v>0</v>
      </c>
      <c r="R1206" s="3"/>
      <c r="S1206" s="10"/>
      <c r="T1206" s="10"/>
      <c r="U1206" s="10"/>
      <c r="V1206" s="10"/>
      <c r="W1206" s="10"/>
      <c r="X1206" s="10"/>
      <c r="Y1206" s="10"/>
      <c r="Z1206" s="10"/>
      <c r="AA1206" s="10"/>
      <c r="AB1206" s="10"/>
      <c r="AC1206" s="10"/>
      <c r="AD1206" s="10"/>
      <c r="AE1206" s="10"/>
    </row>
    <row r="1207" ht="14.4" spans="14:31">
      <c r="N1207" s="10"/>
      <c r="O1207" s="10"/>
      <c r="P1207" t="b">
        <v>0</v>
      </c>
      <c r="Q1207" t="b">
        <v>0</v>
      </c>
      <c r="R1207" s="3"/>
      <c r="S1207" s="10"/>
      <c r="T1207" s="10"/>
      <c r="U1207" s="10"/>
      <c r="V1207" s="10"/>
      <c r="W1207" s="10"/>
      <c r="X1207" s="10"/>
      <c r="Y1207" s="10"/>
      <c r="Z1207" s="10"/>
      <c r="AA1207" s="10"/>
      <c r="AB1207" s="10"/>
      <c r="AC1207" s="10"/>
      <c r="AD1207" s="10"/>
      <c r="AE1207" s="10"/>
    </row>
    <row r="1208" ht="14.4" spans="14:31">
      <c r="N1208" s="10"/>
      <c r="O1208" s="10"/>
      <c r="P1208" t="b">
        <v>0</v>
      </c>
      <c r="Q1208" t="b">
        <v>0</v>
      </c>
      <c r="R1208" s="3"/>
      <c r="S1208" s="10"/>
      <c r="T1208" s="10"/>
      <c r="U1208" s="10"/>
      <c r="V1208" s="10"/>
      <c r="W1208" s="10"/>
      <c r="X1208" s="10"/>
      <c r="Y1208" s="10"/>
      <c r="Z1208" s="10"/>
      <c r="AA1208" s="10"/>
      <c r="AB1208" s="10"/>
      <c r="AC1208" s="10"/>
      <c r="AD1208" s="10"/>
      <c r="AE1208" s="10"/>
    </row>
    <row r="1209" ht="14.4" spans="14:31">
      <c r="N1209" s="10"/>
      <c r="O1209" s="10"/>
      <c r="P1209" t="b">
        <v>0</v>
      </c>
      <c r="Q1209" t="b">
        <v>0</v>
      </c>
      <c r="R1209" s="3"/>
      <c r="S1209" s="10"/>
      <c r="T1209" s="10"/>
      <c r="U1209" s="10"/>
      <c r="V1209" s="10"/>
      <c r="W1209" s="10"/>
      <c r="X1209" s="10"/>
      <c r="Y1209" s="10"/>
      <c r="Z1209" s="10"/>
      <c r="AA1209" s="10"/>
      <c r="AB1209" s="10"/>
      <c r="AC1209" s="10"/>
      <c r="AD1209" s="10"/>
      <c r="AE1209" s="10"/>
    </row>
    <row r="1210" ht="14.4" spans="14:31">
      <c r="N1210" s="10"/>
      <c r="O1210" s="10"/>
      <c r="P1210" t="b">
        <v>0</v>
      </c>
      <c r="Q1210" t="b">
        <v>0</v>
      </c>
      <c r="R1210" s="3"/>
      <c r="S1210" s="10"/>
      <c r="T1210" s="10"/>
      <c r="U1210" s="10"/>
      <c r="V1210" s="10"/>
      <c r="W1210" s="10"/>
      <c r="X1210" s="10"/>
      <c r="Y1210" s="10"/>
      <c r="Z1210" s="10"/>
      <c r="AA1210" s="10"/>
      <c r="AB1210" s="10"/>
      <c r="AC1210" s="10"/>
      <c r="AD1210" s="10"/>
      <c r="AE1210" s="10"/>
    </row>
    <row r="1211" ht="14.4" spans="14:31">
      <c r="N1211" s="10"/>
      <c r="O1211" s="10"/>
      <c r="P1211" t="b">
        <v>0</v>
      </c>
      <c r="Q1211" t="b">
        <v>0</v>
      </c>
      <c r="R1211" s="3"/>
      <c r="S1211" s="10"/>
      <c r="T1211" s="10"/>
      <c r="U1211" s="10"/>
      <c r="V1211" s="10"/>
      <c r="W1211" s="10"/>
      <c r="X1211" s="10"/>
      <c r="Y1211" s="10"/>
      <c r="Z1211" s="10"/>
      <c r="AA1211" s="10"/>
      <c r="AB1211" s="10"/>
      <c r="AC1211" s="10"/>
      <c r="AD1211" s="10"/>
      <c r="AE1211" s="10"/>
    </row>
    <row r="1212" ht="14.4" spans="14:31">
      <c r="N1212" s="10"/>
      <c r="O1212" s="10"/>
      <c r="P1212" t="b">
        <v>0</v>
      </c>
      <c r="Q1212" t="b">
        <v>0</v>
      </c>
      <c r="R1212" s="3"/>
      <c r="S1212" s="10"/>
      <c r="T1212" s="10"/>
      <c r="U1212" s="10"/>
      <c r="V1212" s="10"/>
      <c r="W1212" s="10"/>
      <c r="X1212" s="10"/>
      <c r="Y1212" s="10"/>
      <c r="Z1212" s="10"/>
      <c r="AA1212" s="10"/>
      <c r="AB1212" s="10"/>
      <c r="AC1212" s="10"/>
      <c r="AD1212" s="10"/>
      <c r="AE1212" s="10"/>
    </row>
    <row r="1213" ht="14.4" spans="14:31">
      <c r="N1213" s="10"/>
      <c r="O1213" s="10"/>
      <c r="P1213" t="b">
        <v>0</v>
      </c>
      <c r="Q1213" t="b">
        <v>0</v>
      </c>
      <c r="R1213" s="3"/>
      <c r="S1213" s="10"/>
      <c r="T1213" s="10"/>
      <c r="U1213" s="10"/>
      <c r="V1213" s="10"/>
      <c r="W1213" s="10"/>
      <c r="X1213" s="10"/>
      <c r="Y1213" s="10"/>
      <c r="Z1213" s="10"/>
      <c r="AA1213" s="10"/>
      <c r="AB1213" s="10"/>
      <c r="AC1213" s="10"/>
      <c r="AD1213" s="10"/>
      <c r="AE1213" s="10"/>
    </row>
    <row r="1214" ht="14.4" spans="14:31">
      <c r="N1214" s="10"/>
      <c r="O1214" s="10"/>
      <c r="P1214" t="b">
        <v>0</v>
      </c>
      <c r="Q1214" t="b">
        <v>0</v>
      </c>
      <c r="R1214" s="3"/>
      <c r="S1214" s="10"/>
      <c r="T1214" s="10"/>
      <c r="U1214" s="10"/>
      <c r="V1214" s="10"/>
      <c r="W1214" s="10"/>
      <c r="X1214" s="10"/>
      <c r="Y1214" s="10"/>
      <c r="Z1214" s="10"/>
      <c r="AA1214" s="10"/>
      <c r="AB1214" s="10"/>
      <c r="AC1214" s="10"/>
      <c r="AD1214" s="10"/>
      <c r="AE1214" s="10"/>
    </row>
    <row r="1215" ht="14.4" spans="14:31">
      <c r="N1215" s="10"/>
      <c r="O1215" s="10"/>
      <c r="P1215" t="b">
        <v>0</v>
      </c>
      <c r="Q1215" t="b">
        <v>0</v>
      </c>
      <c r="R1215" s="3"/>
      <c r="S1215" s="10"/>
      <c r="T1215" s="10"/>
      <c r="U1215" s="10"/>
      <c r="V1215" s="10"/>
      <c r="W1215" s="10"/>
      <c r="X1215" s="10"/>
      <c r="Y1215" s="10"/>
      <c r="Z1215" s="10"/>
      <c r="AA1215" s="10"/>
      <c r="AB1215" s="10"/>
      <c r="AC1215" s="10"/>
      <c r="AD1215" s="10"/>
      <c r="AE1215" s="10"/>
    </row>
    <row r="1216" ht="14.4" spans="14:31">
      <c r="N1216" s="10"/>
      <c r="O1216" s="10"/>
      <c r="P1216" t="b">
        <v>0</v>
      </c>
      <c r="Q1216" t="b">
        <v>0</v>
      </c>
      <c r="R1216" s="3"/>
      <c r="S1216" s="10"/>
      <c r="T1216" s="10"/>
      <c r="U1216" s="10"/>
      <c r="V1216" s="10"/>
      <c r="W1216" s="10"/>
      <c r="X1216" s="10"/>
      <c r="Y1216" s="10"/>
      <c r="Z1216" s="10"/>
      <c r="AA1216" s="10"/>
      <c r="AB1216" s="10"/>
      <c r="AC1216" s="10"/>
      <c r="AD1216" s="10"/>
      <c r="AE1216" s="10"/>
    </row>
    <row r="1217" ht="14.4" spans="14:31">
      <c r="N1217" s="10"/>
      <c r="O1217" s="10"/>
      <c r="P1217" t="b">
        <v>0</v>
      </c>
      <c r="Q1217" t="b">
        <v>0</v>
      </c>
      <c r="R1217" s="3"/>
      <c r="S1217" s="10"/>
      <c r="T1217" s="10"/>
      <c r="U1217" s="10"/>
      <c r="V1217" s="10"/>
      <c r="W1217" s="10"/>
      <c r="X1217" s="10"/>
      <c r="Y1217" s="10"/>
      <c r="Z1217" s="10"/>
      <c r="AA1217" s="10"/>
      <c r="AB1217" s="10"/>
      <c r="AC1217" s="10"/>
      <c r="AD1217" s="10"/>
      <c r="AE1217" s="10"/>
    </row>
    <row r="1218" ht="14.4" spans="14:31">
      <c r="N1218" s="10"/>
      <c r="O1218" s="10"/>
      <c r="P1218" t="b">
        <v>0</v>
      </c>
      <c r="Q1218" t="b">
        <v>0</v>
      </c>
      <c r="R1218" s="3"/>
      <c r="S1218" s="10"/>
      <c r="T1218" s="10"/>
      <c r="U1218" s="10"/>
      <c r="V1218" s="10"/>
      <c r="W1218" s="10"/>
      <c r="X1218" s="10"/>
      <c r="Y1218" s="10"/>
      <c r="Z1218" s="10"/>
      <c r="AA1218" s="10"/>
      <c r="AB1218" s="10"/>
      <c r="AC1218" s="10"/>
      <c r="AD1218" s="10"/>
      <c r="AE1218" s="10"/>
    </row>
    <row r="1219" ht="14.4" spans="14:31">
      <c r="N1219" s="10"/>
      <c r="O1219" s="10"/>
      <c r="P1219" t="b">
        <v>0</v>
      </c>
      <c r="Q1219" t="b">
        <v>0</v>
      </c>
      <c r="R1219" s="3"/>
      <c r="S1219" s="10"/>
      <c r="T1219" s="10"/>
      <c r="U1219" s="10"/>
      <c r="V1219" s="10"/>
      <c r="W1219" s="10"/>
      <c r="X1219" s="10"/>
      <c r="Y1219" s="10"/>
      <c r="Z1219" s="10"/>
      <c r="AA1219" s="10"/>
      <c r="AB1219" s="10"/>
      <c r="AC1219" s="10"/>
      <c r="AD1219" s="10"/>
      <c r="AE1219" s="10"/>
    </row>
    <row r="1220" ht="14.4" spans="14:31">
      <c r="N1220" s="10"/>
      <c r="O1220" s="10"/>
      <c r="P1220" t="b">
        <v>0</v>
      </c>
      <c r="Q1220" t="b">
        <v>0</v>
      </c>
      <c r="R1220" s="3"/>
      <c r="S1220" s="10"/>
      <c r="T1220" s="10"/>
      <c r="U1220" s="10"/>
      <c r="V1220" s="10"/>
      <c r="W1220" s="10"/>
      <c r="X1220" s="10"/>
      <c r="Y1220" s="10"/>
      <c r="Z1220" s="10"/>
      <c r="AA1220" s="10"/>
      <c r="AB1220" s="10"/>
      <c r="AC1220" s="10"/>
      <c r="AD1220" s="10"/>
      <c r="AE1220" s="10"/>
    </row>
    <row r="1221" ht="14.4" spans="14:31">
      <c r="N1221" s="10"/>
      <c r="O1221" s="10"/>
      <c r="P1221" t="b">
        <v>0</v>
      </c>
      <c r="Q1221" t="b">
        <v>0</v>
      </c>
      <c r="R1221" s="3"/>
      <c r="S1221" s="10"/>
      <c r="T1221" s="10"/>
      <c r="U1221" s="10"/>
      <c r="V1221" s="10"/>
      <c r="W1221" s="10"/>
      <c r="X1221" s="10"/>
      <c r="Y1221" s="10"/>
      <c r="Z1221" s="10"/>
      <c r="AA1221" s="10"/>
      <c r="AB1221" s="10"/>
      <c r="AC1221" s="10"/>
      <c r="AD1221" s="10"/>
      <c r="AE1221" s="10"/>
    </row>
    <row r="1222" ht="14.4" spans="14:31">
      <c r="N1222" s="10"/>
      <c r="O1222" s="10"/>
      <c r="P1222" t="b">
        <v>0</v>
      </c>
      <c r="Q1222" t="b">
        <v>0</v>
      </c>
      <c r="R1222" s="3"/>
      <c r="S1222" s="10"/>
      <c r="T1222" s="10"/>
      <c r="U1222" s="10"/>
      <c r="V1222" s="10"/>
      <c r="W1222" s="10"/>
      <c r="X1222" s="10"/>
      <c r="Y1222" s="10"/>
      <c r="Z1222" s="10"/>
      <c r="AA1222" s="10"/>
      <c r="AB1222" s="10"/>
      <c r="AC1222" s="10"/>
      <c r="AD1222" s="10"/>
      <c r="AE1222" s="10"/>
    </row>
    <row r="1223" ht="14.4" spans="14:31">
      <c r="N1223" s="10"/>
      <c r="O1223" s="10"/>
      <c r="P1223" t="b">
        <v>0</v>
      </c>
      <c r="Q1223" t="b">
        <v>0</v>
      </c>
      <c r="R1223" s="3"/>
      <c r="S1223" s="10"/>
      <c r="T1223" s="10"/>
      <c r="U1223" s="10"/>
      <c r="V1223" s="10"/>
      <c r="W1223" s="10"/>
      <c r="X1223" s="10"/>
      <c r="Y1223" s="10"/>
      <c r="Z1223" s="10"/>
      <c r="AA1223" s="10"/>
      <c r="AB1223" s="10"/>
      <c r="AC1223" s="10"/>
      <c r="AD1223" s="10"/>
      <c r="AE1223" s="10"/>
    </row>
    <row r="1224" ht="14.4" spans="14:31">
      <c r="N1224" s="10"/>
      <c r="O1224" s="10"/>
      <c r="P1224" t="b">
        <v>0</v>
      </c>
      <c r="Q1224" t="b">
        <v>0</v>
      </c>
      <c r="R1224" s="3"/>
      <c r="S1224" s="10"/>
      <c r="T1224" s="10"/>
      <c r="U1224" s="10"/>
      <c r="V1224" s="10"/>
      <c r="W1224" s="10"/>
      <c r="X1224" s="10"/>
      <c r="Y1224" s="10"/>
      <c r="Z1224" s="10"/>
      <c r="AA1224" s="10"/>
      <c r="AB1224" s="10"/>
      <c r="AC1224" s="10"/>
      <c r="AD1224" s="10"/>
      <c r="AE1224" s="10"/>
    </row>
    <row r="1225" ht="14.4" spans="14:31">
      <c r="N1225" s="10"/>
      <c r="O1225" s="10"/>
      <c r="P1225" t="b">
        <v>0</v>
      </c>
      <c r="Q1225" t="b">
        <v>0</v>
      </c>
      <c r="R1225" s="3"/>
      <c r="S1225" s="10"/>
      <c r="T1225" s="10"/>
      <c r="U1225" s="10"/>
      <c r="V1225" s="10"/>
      <c r="W1225" s="10"/>
      <c r="X1225" s="10"/>
      <c r="Y1225" s="10"/>
      <c r="Z1225" s="10"/>
      <c r="AA1225" s="10"/>
      <c r="AB1225" s="10"/>
      <c r="AC1225" s="10"/>
      <c r="AD1225" s="10"/>
      <c r="AE1225" s="10"/>
    </row>
    <row r="1226" ht="14.4" spans="14:31">
      <c r="N1226" s="10"/>
      <c r="O1226" s="10"/>
      <c r="P1226" t="b">
        <v>0</v>
      </c>
      <c r="Q1226" t="b">
        <v>0</v>
      </c>
      <c r="R1226" s="3"/>
      <c r="S1226" s="10"/>
      <c r="T1226" s="10"/>
      <c r="U1226" s="10"/>
      <c r="V1226" s="10"/>
      <c r="W1226" s="10"/>
      <c r="X1226" s="10"/>
      <c r="Y1226" s="10"/>
      <c r="Z1226" s="10"/>
      <c r="AA1226" s="10"/>
      <c r="AB1226" s="10"/>
      <c r="AC1226" s="10"/>
      <c r="AD1226" s="10"/>
      <c r="AE1226" s="10"/>
    </row>
    <row r="1227" ht="14.4" spans="14:31">
      <c r="N1227" s="10"/>
      <c r="O1227" s="10"/>
      <c r="P1227" t="b">
        <v>0</v>
      </c>
      <c r="Q1227" t="b">
        <v>0</v>
      </c>
      <c r="R1227" s="3"/>
      <c r="S1227" s="10"/>
      <c r="T1227" s="10"/>
      <c r="U1227" s="10"/>
      <c r="V1227" s="10"/>
      <c r="W1227" s="10"/>
      <c r="X1227" s="10"/>
      <c r="Y1227" s="10"/>
      <c r="Z1227" s="10"/>
      <c r="AA1227" s="10"/>
      <c r="AB1227" s="10"/>
      <c r="AC1227" s="10"/>
      <c r="AD1227" s="10"/>
      <c r="AE1227" s="10"/>
    </row>
    <row r="1228" ht="14.4" spans="14:31">
      <c r="N1228" s="10"/>
      <c r="O1228" s="10"/>
      <c r="P1228" t="b">
        <v>0</v>
      </c>
      <c r="Q1228" t="b">
        <v>0</v>
      </c>
      <c r="R1228" s="3"/>
      <c r="S1228" s="10"/>
      <c r="T1228" s="10"/>
      <c r="U1228" s="10"/>
      <c r="V1228" s="10"/>
      <c r="W1228" s="10"/>
      <c r="X1228" s="10"/>
      <c r="Y1228" s="10"/>
      <c r="Z1228" s="10"/>
      <c r="AA1228" s="10"/>
      <c r="AB1228" s="10"/>
      <c r="AC1228" s="10"/>
      <c r="AD1228" s="10"/>
      <c r="AE1228" s="10"/>
    </row>
    <row r="1229" ht="14.4" spans="14:31">
      <c r="N1229" s="10"/>
      <c r="O1229" s="10"/>
      <c r="P1229" t="b">
        <v>0</v>
      </c>
      <c r="Q1229" t="b">
        <v>0</v>
      </c>
      <c r="R1229" s="3"/>
      <c r="S1229" s="10"/>
      <c r="T1229" s="10"/>
      <c r="U1229" s="10"/>
      <c r="V1229" s="10"/>
      <c r="W1229" s="10"/>
      <c r="X1229" s="10"/>
      <c r="Y1229" s="10"/>
      <c r="Z1229" s="10"/>
      <c r="AA1229" s="10"/>
      <c r="AB1229" s="10"/>
      <c r="AC1229" s="10"/>
      <c r="AD1229" s="10"/>
      <c r="AE1229" s="10"/>
    </row>
    <row r="1230" ht="14.4" spans="14:31">
      <c r="N1230" s="10"/>
      <c r="O1230" s="10"/>
      <c r="P1230" t="b">
        <v>0</v>
      </c>
      <c r="Q1230" t="b">
        <v>0</v>
      </c>
      <c r="R1230" s="3"/>
      <c r="S1230" s="10"/>
      <c r="T1230" s="10"/>
      <c r="U1230" s="10"/>
      <c r="V1230" s="10"/>
      <c r="W1230" s="10"/>
      <c r="X1230" s="10"/>
      <c r="Y1230" s="10"/>
      <c r="Z1230" s="10"/>
      <c r="AA1230" s="10"/>
      <c r="AB1230" s="10"/>
      <c r="AC1230" s="10"/>
      <c r="AD1230" s="10"/>
      <c r="AE1230" s="10"/>
    </row>
    <row r="1231" ht="14.4" spans="14:31">
      <c r="N1231" s="10"/>
      <c r="O1231" s="10"/>
      <c r="P1231" t="b">
        <v>0</v>
      </c>
      <c r="Q1231" t="b">
        <v>0</v>
      </c>
      <c r="R1231" s="3"/>
      <c r="S1231" s="10"/>
      <c r="T1231" s="10"/>
      <c r="U1231" s="10"/>
      <c r="V1231" s="10"/>
      <c r="W1231" s="10"/>
      <c r="X1231" s="10"/>
      <c r="Y1231" s="10"/>
      <c r="Z1231" s="10"/>
      <c r="AA1231" s="10"/>
      <c r="AB1231" s="10"/>
      <c r="AC1231" s="10"/>
      <c r="AD1231" s="10"/>
      <c r="AE1231" s="10"/>
    </row>
    <row r="1232" ht="14.4" spans="14:31">
      <c r="N1232" s="10"/>
      <c r="O1232" s="10"/>
      <c r="P1232" t="b">
        <v>0</v>
      </c>
      <c r="Q1232" t="b">
        <v>0</v>
      </c>
      <c r="R1232" s="3"/>
      <c r="S1232" s="10"/>
      <c r="T1232" s="10"/>
      <c r="U1232" s="10"/>
      <c r="V1232" s="10"/>
      <c r="W1232" s="10"/>
      <c r="X1232" s="10"/>
      <c r="Y1232" s="10"/>
      <c r="Z1232" s="10"/>
      <c r="AA1232" s="10"/>
      <c r="AB1232" s="10"/>
      <c r="AC1232" s="10"/>
      <c r="AD1232" s="10"/>
      <c r="AE1232" s="10"/>
    </row>
    <row r="1233" ht="14.4" spans="14:31">
      <c r="N1233" s="10"/>
      <c r="O1233" s="10"/>
      <c r="P1233" t="b">
        <v>0</v>
      </c>
      <c r="Q1233" t="b">
        <v>0</v>
      </c>
      <c r="R1233" s="3"/>
      <c r="S1233" s="10"/>
      <c r="T1233" s="10"/>
      <c r="U1233" s="10"/>
      <c r="V1233" s="10"/>
      <c r="W1233" s="10"/>
      <c r="X1233" s="10"/>
      <c r="Y1233" s="10"/>
      <c r="Z1233" s="10"/>
      <c r="AA1233" s="10"/>
      <c r="AB1233" s="10"/>
      <c r="AC1233" s="10"/>
      <c r="AD1233" s="10"/>
      <c r="AE1233" s="10"/>
    </row>
    <row r="1234" ht="14.4" spans="14:31">
      <c r="N1234" s="10"/>
      <c r="O1234" s="10"/>
      <c r="P1234" t="b">
        <v>0</v>
      </c>
      <c r="Q1234" t="b">
        <v>0</v>
      </c>
      <c r="R1234" s="3"/>
      <c r="S1234" s="10"/>
      <c r="T1234" s="10"/>
      <c r="U1234" s="10"/>
      <c r="V1234" s="10"/>
      <c r="W1234" s="10"/>
      <c r="X1234" s="10"/>
      <c r="Y1234" s="10"/>
      <c r="Z1234" s="10"/>
      <c r="AA1234" s="10"/>
      <c r="AB1234" s="10"/>
      <c r="AC1234" s="10"/>
      <c r="AD1234" s="10"/>
      <c r="AE1234" s="10"/>
    </row>
    <row r="1235" ht="14.4" spans="14:31">
      <c r="N1235" s="10"/>
      <c r="O1235" s="10"/>
      <c r="P1235" t="b">
        <v>0</v>
      </c>
      <c r="Q1235" t="b">
        <v>0</v>
      </c>
      <c r="R1235" s="3"/>
      <c r="S1235" s="10"/>
      <c r="T1235" s="10"/>
      <c r="U1235" s="10"/>
      <c r="V1235" s="10"/>
      <c r="W1235" s="10"/>
      <c r="X1235" s="10"/>
      <c r="Y1235" s="10"/>
      <c r="Z1235" s="10"/>
      <c r="AA1235" s="10"/>
      <c r="AB1235" s="10"/>
      <c r="AC1235" s="10"/>
      <c r="AD1235" s="10"/>
      <c r="AE1235" s="10"/>
    </row>
    <row r="1236" ht="14.4" spans="14:31">
      <c r="N1236" s="10"/>
      <c r="O1236" s="10"/>
      <c r="P1236" t="b">
        <v>0</v>
      </c>
      <c r="Q1236" t="b">
        <v>0</v>
      </c>
      <c r="R1236" s="3"/>
      <c r="S1236" s="10"/>
      <c r="T1236" s="10"/>
      <c r="U1236" s="10"/>
      <c r="V1236" s="10"/>
      <c r="W1236" s="10"/>
      <c r="X1236" s="10"/>
      <c r="Y1236" s="10"/>
      <c r="Z1236" s="10"/>
      <c r="AA1236" s="10"/>
      <c r="AB1236" s="10"/>
      <c r="AC1236" s="10"/>
      <c r="AD1236" s="10"/>
      <c r="AE1236" s="10"/>
    </row>
    <row r="1237" ht="14.4" spans="14:31">
      <c r="N1237" s="10"/>
      <c r="O1237" s="10"/>
      <c r="P1237" t="b">
        <v>0</v>
      </c>
      <c r="Q1237" t="b">
        <v>0</v>
      </c>
      <c r="R1237" s="3"/>
      <c r="S1237" s="10"/>
      <c r="T1237" s="10"/>
      <c r="U1237" s="10"/>
      <c r="V1237" s="10"/>
      <c r="W1237" s="10"/>
      <c r="X1237" s="10"/>
      <c r="Y1237" s="10"/>
      <c r="Z1237" s="10"/>
      <c r="AA1237" s="10"/>
      <c r="AB1237" s="10"/>
      <c r="AC1237" s="10"/>
      <c r="AD1237" s="10"/>
      <c r="AE1237" s="10"/>
    </row>
    <row r="1238" ht="14.4" spans="14:31">
      <c r="N1238" s="10"/>
      <c r="O1238" s="10"/>
      <c r="P1238" t="b">
        <v>0</v>
      </c>
      <c r="Q1238" t="b">
        <v>0</v>
      </c>
      <c r="R1238" s="3"/>
      <c r="S1238" s="10"/>
      <c r="T1238" s="10"/>
      <c r="U1238" s="10"/>
      <c r="V1238" s="10"/>
      <c r="W1238" s="10"/>
      <c r="X1238" s="10"/>
      <c r="Y1238" s="10"/>
      <c r="Z1238" s="10"/>
      <c r="AA1238" s="10"/>
      <c r="AB1238" s="10"/>
      <c r="AC1238" s="10"/>
      <c r="AD1238" s="10"/>
      <c r="AE1238" s="10"/>
    </row>
    <row r="1239" ht="14.4" spans="14:31">
      <c r="N1239" s="10"/>
      <c r="O1239" s="10"/>
      <c r="P1239" t="b">
        <v>0</v>
      </c>
      <c r="Q1239" t="b">
        <v>0</v>
      </c>
      <c r="R1239" s="3"/>
      <c r="S1239" s="10"/>
      <c r="T1239" s="10"/>
      <c r="U1239" s="10"/>
      <c r="V1239" s="10"/>
      <c r="W1239" s="10"/>
      <c r="X1239" s="10"/>
      <c r="Y1239" s="10"/>
      <c r="Z1239" s="10"/>
      <c r="AA1239" s="10"/>
      <c r="AB1239" s="10"/>
      <c r="AC1239" s="10"/>
      <c r="AD1239" s="10"/>
      <c r="AE1239" s="10"/>
    </row>
    <row r="1240" ht="14.4" spans="14:31">
      <c r="N1240" s="10"/>
      <c r="O1240" s="10"/>
      <c r="P1240" t="b">
        <v>0</v>
      </c>
      <c r="Q1240" t="b">
        <v>0</v>
      </c>
      <c r="R1240" s="3"/>
      <c r="S1240" s="10"/>
      <c r="T1240" s="10"/>
      <c r="U1240" s="10"/>
      <c r="V1240" s="10"/>
      <c r="W1240" s="10"/>
      <c r="X1240" s="10"/>
      <c r="Y1240" s="10"/>
      <c r="Z1240" s="10"/>
      <c r="AA1240" s="10"/>
      <c r="AB1240" s="10"/>
      <c r="AC1240" s="10"/>
      <c r="AD1240" s="10"/>
      <c r="AE1240" s="10"/>
    </row>
    <row r="1241" ht="14.4" spans="14:31">
      <c r="N1241" s="10"/>
      <c r="O1241" s="10"/>
      <c r="P1241" t="b">
        <v>0</v>
      </c>
      <c r="Q1241" t="b">
        <v>0</v>
      </c>
      <c r="R1241" s="3"/>
      <c r="S1241" s="10"/>
      <c r="T1241" s="10"/>
      <c r="U1241" s="10"/>
      <c r="V1241" s="10"/>
      <c r="W1241" s="10"/>
      <c r="X1241" s="10"/>
      <c r="Y1241" s="10"/>
      <c r="Z1241" s="10"/>
      <c r="AA1241" s="10"/>
      <c r="AB1241" s="10"/>
      <c r="AC1241" s="10"/>
      <c r="AD1241" s="10"/>
      <c r="AE1241" s="10"/>
    </row>
    <row r="1242" ht="14.4" spans="14:31">
      <c r="N1242" s="10"/>
      <c r="O1242" s="10"/>
      <c r="P1242" t="b">
        <v>0</v>
      </c>
      <c r="Q1242" t="b">
        <v>0</v>
      </c>
      <c r="R1242" s="3"/>
      <c r="S1242" s="10"/>
      <c r="T1242" s="10"/>
      <c r="U1242" s="10"/>
      <c r="V1242" s="10"/>
      <c r="W1242" s="10"/>
      <c r="X1242" s="10"/>
      <c r="Y1242" s="10"/>
      <c r="Z1242" s="10"/>
      <c r="AA1242" s="10"/>
      <c r="AB1242" s="10"/>
      <c r="AC1242" s="10"/>
      <c r="AD1242" s="10"/>
      <c r="AE1242" s="10"/>
    </row>
    <row r="1243" ht="14.4" spans="14:31">
      <c r="N1243" s="10"/>
      <c r="O1243" s="10"/>
      <c r="P1243" t="b">
        <v>0</v>
      </c>
      <c r="Q1243" t="b">
        <v>0</v>
      </c>
      <c r="R1243" s="3"/>
      <c r="S1243" s="10"/>
      <c r="T1243" s="10"/>
      <c r="U1243" s="10"/>
      <c r="V1243" s="10"/>
      <c r="W1243" s="10"/>
      <c r="X1243" s="10"/>
      <c r="Y1243" s="10"/>
      <c r="Z1243" s="10"/>
      <c r="AA1243" s="10"/>
      <c r="AB1243" s="10"/>
      <c r="AC1243" s="10"/>
      <c r="AD1243" s="10"/>
      <c r="AE1243" s="10"/>
    </row>
    <row r="1244" ht="14.4" spans="14:31">
      <c r="N1244" s="10"/>
      <c r="O1244" s="10"/>
      <c r="P1244" t="b">
        <v>0</v>
      </c>
      <c r="Q1244" t="b">
        <v>0</v>
      </c>
      <c r="R1244" s="3"/>
      <c r="S1244" s="10"/>
      <c r="T1244" s="10"/>
      <c r="U1244" s="10"/>
      <c r="V1244" s="10"/>
      <c r="W1244" s="10"/>
      <c r="X1244" s="10"/>
      <c r="Y1244" s="10"/>
      <c r="Z1244" s="10"/>
      <c r="AA1244" s="10"/>
      <c r="AB1244" s="10"/>
      <c r="AC1244" s="10"/>
      <c r="AD1244" s="10"/>
      <c r="AE1244" s="10"/>
    </row>
    <row r="1245" ht="14.4" spans="14:31">
      <c r="N1245" s="10"/>
      <c r="O1245" s="10"/>
      <c r="P1245" t="b">
        <v>0</v>
      </c>
      <c r="Q1245" t="b">
        <v>0</v>
      </c>
      <c r="R1245" s="3"/>
      <c r="S1245" s="10"/>
      <c r="T1245" s="10"/>
      <c r="U1245" s="10"/>
      <c r="V1245" s="10"/>
      <c r="W1245" s="10"/>
      <c r="X1245" s="10"/>
      <c r="Y1245" s="10"/>
      <c r="Z1245" s="10"/>
      <c r="AA1245" s="10"/>
      <c r="AB1245" s="10"/>
      <c r="AC1245" s="10"/>
      <c r="AD1245" s="10"/>
      <c r="AE1245" s="10"/>
    </row>
    <row r="1246" ht="14.4" spans="14:31">
      <c r="N1246" s="10"/>
      <c r="O1246" s="10"/>
      <c r="P1246" t="b">
        <v>0</v>
      </c>
      <c r="Q1246" t="b">
        <v>0</v>
      </c>
      <c r="R1246" s="3"/>
      <c r="S1246" s="10"/>
      <c r="T1246" s="10"/>
      <c r="U1246" s="10"/>
      <c r="V1246" s="10"/>
      <c r="W1246" s="10"/>
      <c r="X1246" s="10"/>
      <c r="Y1246" s="10"/>
      <c r="Z1246" s="10"/>
      <c r="AA1246" s="10"/>
      <c r="AB1246" s="10"/>
      <c r="AC1246" s="10"/>
      <c r="AD1246" s="10"/>
      <c r="AE1246" s="10"/>
    </row>
    <row r="1247" ht="14.4" spans="14:31">
      <c r="N1247" s="10"/>
      <c r="O1247" s="10"/>
      <c r="P1247" t="b">
        <v>0</v>
      </c>
      <c r="Q1247" t="b">
        <v>0</v>
      </c>
      <c r="R1247" s="3"/>
      <c r="S1247" s="10"/>
      <c r="T1247" s="10"/>
      <c r="U1247" s="10"/>
      <c r="V1247" s="10"/>
      <c r="W1247" s="10"/>
      <c r="X1247" s="10"/>
      <c r="Y1247" s="10"/>
      <c r="Z1247" s="10"/>
      <c r="AA1247" s="10"/>
      <c r="AB1247" s="10"/>
      <c r="AC1247" s="10"/>
      <c r="AD1247" s="10"/>
      <c r="AE1247" s="10"/>
    </row>
    <row r="1248" ht="14.4" spans="14:31">
      <c r="N1248" s="10"/>
      <c r="O1248" s="10"/>
      <c r="P1248" t="b">
        <v>0</v>
      </c>
      <c r="Q1248" t="b">
        <v>0</v>
      </c>
      <c r="R1248" s="3"/>
      <c r="S1248" s="10"/>
      <c r="T1248" s="10"/>
      <c r="U1248" s="10"/>
      <c r="V1248" s="10"/>
      <c r="W1248" s="10"/>
      <c r="X1248" s="10"/>
      <c r="Y1248" s="10"/>
      <c r="Z1248" s="10"/>
      <c r="AA1248" s="10"/>
      <c r="AB1248" s="10"/>
      <c r="AC1248" s="10"/>
      <c r="AD1248" s="10"/>
      <c r="AE1248" s="10"/>
    </row>
    <row r="1249" ht="14.4" spans="14:31">
      <c r="N1249" s="10"/>
      <c r="O1249" s="10"/>
      <c r="P1249" t="b">
        <v>0</v>
      </c>
      <c r="Q1249" t="b">
        <v>0</v>
      </c>
      <c r="R1249" s="3"/>
      <c r="S1249" s="10"/>
      <c r="T1249" s="10"/>
      <c r="U1249" s="10"/>
      <c r="V1249" s="10"/>
      <c r="W1249" s="10"/>
      <c r="X1249" s="10"/>
      <c r="Y1249" s="10"/>
      <c r="Z1249" s="10"/>
      <c r="AA1249" s="10"/>
      <c r="AB1249" s="10"/>
      <c r="AC1249" s="10"/>
      <c r="AD1249" s="10"/>
      <c r="AE1249" s="10"/>
    </row>
    <row r="1250" ht="14.4" spans="14:31">
      <c r="N1250" s="10"/>
      <c r="O1250" s="10"/>
      <c r="P1250" t="b">
        <v>0</v>
      </c>
      <c r="Q1250" t="b">
        <v>0</v>
      </c>
      <c r="R1250" s="3"/>
      <c r="S1250" s="10"/>
      <c r="T1250" s="10"/>
      <c r="U1250" s="10"/>
      <c r="V1250" s="10"/>
      <c r="W1250" s="10"/>
      <c r="X1250" s="10"/>
      <c r="Y1250" s="10"/>
      <c r="Z1250" s="10"/>
      <c r="AA1250" s="10"/>
      <c r="AB1250" s="10"/>
      <c r="AC1250" s="10"/>
      <c r="AD1250" s="10"/>
      <c r="AE1250" s="10"/>
    </row>
    <row r="1251" ht="14.4" spans="14:31">
      <c r="N1251" s="10"/>
      <c r="O1251" s="10"/>
      <c r="P1251" t="b">
        <v>0</v>
      </c>
      <c r="Q1251" t="b">
        <v>0</v>
      </c>
      <c r="R1251" s="3"/>
      <c r="S1251" s="10"/>
      <c r="T1251" s="10"/>
      <c r="U1251" s="10"/>
      <c r="V1251" s="10"/>
      <c r="W1251" s="10"/>
      <c r="X1251" s="10"/>
      <c r="Y1251" s="10"/>
      <c r="Z1251" s="10"/>
      <c r="AA1251" s="10"/>
      <c r="AB1251" s="10"/>
      <c r="AC1251" s="10"/>
      <c r="AD1251" s="10"/>
      <c r="AE1251" s="10"/>
    </row>
    <row r="1252" ht="14.4" spans="14:31">
      <c r="N1252" s="10"/>
      <c r="O1252" s="10"/>
      <c r="P1252" t="b">
        <v>0</v>
      </c>
      <c r="Q1252" t="b">
        <v>0</v>
      </c>
      <c r="R1252" s="3"/>
      <c r="S1252" s="10"/>
      <c r="T1252" s="10"/>
      <c r="U1252" s="10"/>
      <c r="V1252" s="10"/>
      <c r="W1252" s="10"/>
      <c r="X1252" s="10"/>
      <c r="Y1252" s="10"/>
      <c r="Z1252" s="10"/>
      <c r="AA1252" s="10"/>
      <c r="AB1252" s="10"/>
      <c r="AC1252" s="10"/>
      <c r="AD1252" s="10"/>
      <c r="AE1252" s="10"/>
    </row>
    <row r="1253" ht="14.4" spans="14:31">
      <c r="N1253" s="10"/>
      <c r="O1253" s="10"/>
      <c r="P1253" t="b">
        <v>0</v>
      </c>
      <c r="Q1253" t="b">
        <v>0</v>
      </c>
      <c r="R1253" s="3"/>
      <c r="S1253" s="10"/>
      <c r="T1253" s="10"/>
      <c r="U1253" s="10"/>
      <c r="V1253" s="10"/>
      <c r="W1253" s="10"/>
      <c r="X1253" s="10"/>
      <c r="Y1253" s="10"/>
      <c r="Z1253" s="10"/>
      <c r="AA1253" s="10"/>
      <c r="AB1253" s="10"/>
      <c r="AC1253" s="10"/>
      <c r="AD1253" s="10"/>
      <c r="AE1253" s="10"/>
    </row>
    <row r="1254" ht="14.4" spans="14:31">
      <c r="N1254" s="10"/>
      <c r="O1254" s="10"/>
      <c r="P1254" t="b">
        <v>0</v>
      </c>
      <c r="Q1254" t="b">
        <v>0</v>
      </c>
      <c r="R1254" s="3"/>
      <c r="S1254" s="10"/>
      <c r="T1254" s="10"/>
      <c r="U1254" s="10"/>
      <c r="V1254" s="10"/>
      <c r="W1254" s="10"/>
      <c r="X1254" s="10"/>
      <c r="Y1254" s="10"/>
      <c r="Z1254" s="10"/>
      <c r="AA1254" s="10"/>
      <c r="AB1254" s="10"/>
      <c r="AC1254" s="10"/>
      <c r="AD1254" s="10"/>
      <c r="AE1254" s="10"/>
    </row>
    <row r="1255" ht="14.4" spans="14:31">
      <c r="N1255" s="10"/>
      <c r="O1255" s="10"/>
      <c r="P1255" t="b">
        <v>0</v>
      </c>
      <c r="Q1255" t="b">
        <v>0</v>
      </c>
      <c r="R1255" s="3"/>
      <c r="S1255" s="10"/>
      <c r="T1255" s="10"/>
      <c r="U1255" s="10"/>
      <c r="V1255" s="10"/>
      <c r="W1255" s="10"/>
      <c r="X1255" s="10"/>
      <c r="Y1255" s="10"/>
      <c r="Z1255" s="10"/>
      <c r="AA1255" s="10"/>
      <c r="AB1255" s="10"/>
      <c r="AC1255" s="10"/>
      <c r="AD1255" s="10"/>
      <c r="AE1255" s="10"/>
    </row>
    <row r="1256" ht="14.4" spans="14:31">
      <c r="N1256" s="10"/>
      <c r="O1256" s="10"/>
      <c r="P1256" t="b">
        <v>0</v>
      </c>
      <c r="Q1256" t="b">
        <v>0</v>
      </c>
      <c r="R1256" s="3"/>
      <c r="S1256" s="10"/>
      <c r="T1256" s="10"/>
      <c r="U1256" s="10"/>
      <c r="V1256" s="10"/>
      <c r="W1256" s="10"/>
      <c r="X1256" s="10"/>
      <c r="Y1256" s="10"/>
      <c r="Z1256" s="10"/>
      <c r="AA1256" s="10"/>
      <c r="AB1256" s="10"/>
      <c r="AC1256" s="10"/>
      <c r="AD1256" s="10"/>
      <c r="AE1256" s="10"/>
    </row>
    <row r="1257" ht="14.4" spans="14:31">
      <c r="N1257" s="10"/>
      <c r="O1257" s="10"/>
      <c r="P1257" t="b">
        <v>0</v>
      </c>
      <c r="Q1257" t="b">
        <v>0</v>
      </c>
      <c r="R1257" s="3"/>
      <c r="S1257" s="10"/>
      <c r="T1257" s="10"/>
      <c r="U1257" s="10"/>
      <c r="V1257" s="10"/>
      <c r="W1257" s="10"/>
      <c r="X1257" s="10"/>
      <c r="Y1257" s="10"/>
      <c r="Z1257" s="10"/>
      <c r="AA1257" s="10"/>
      <c r="AB1257" s="10"/>
      <c r="AC1257" s="10"/>
      <c r="AD1257" s="10"/>
      <c r="AE1257" s="10"/>
    </row>
    <row r="1258" ht="14.4" spans="14:31">
      <c r="N1258" s="10"/>
      <c r="O1258" s="10"/>
      <c r="P1258" t="b">
        <v>0</v>
      </c>
      <c r="Q1258" t="b">
        <v>0</v>
      </c>
      <c r="R1258" s="3"/>
      <c r="S1258" s="10"/>
      <c r="T1258" s="10"/>
      <c r="U1258" s="10"/>
      <c r="V1258" s="10"/>
      <c r="W1258" s="10"/>
      <c r="X1258" s="10"/>
      <c r="Y1258" s="10"/>
      <c r="Z1258" s="10"/>
      <c r="AA1258" s="10"/>
      <c r="AB1258" s="10"/>
      <c r="AC1258" s="10"/>
      <c r="AD1258" s="10"/>
      <c r="AE1258" s="10"/>
    </row>
    <row r="1259" ht="14.4" spans="14:31">
      <c r="N1259" s="10"/>
      <c r="O1259" s="10"/>
      <c r="P1259" t="b">
        <v>0</v>
      </c>
      <c r="Q1259" t="b">
        <v>0</v>
      </c>
      <c r="R1259" s="3"/>
      <c r="S1259" s="10"/>
      <c r="T1259" s="10"/>
      <c r="U1259" s="10"/>
      <c r="V1259" s="10"/>
      <c r="W1259" s="10"/>
      <c r="X1259" s="10"/>
      <c r="Y1259" s="10"/>
      <c r="Z1259" s="10"/>
      <c r="AA1259" s="10"/>
      <c r="AB1259" s="10"/>
      <c r="AC1259" s="10"/>
      <c r="AD1259" s="10"/>
      <c r="AE1259" s="10"/>
    </row>
    <row r="1260" ht="14.4" spans="14:31">
      <c r="N1260" s="10"/>
      <c r="O1260" s="10"/>
      <c r="P1260" t="b">
        <v>0</v>
      </c>
      <c r="Q1260" t="b">
        <v>0</v>
      </c>
      <c r="R1260" s="3"/>
      <c r="S1260" s="10"/>
      <c r="T1260" s="10"/>
      <c r="U1260" s="10"/>
      <c r="V1260" s="10"/>
      <c r="W1260" s="10"/>
      <c r="X1260" s="10"/>
      <c r="Y1260" s="10"/>
      <c r="Z1260" s="10"/>
      <c r="AA1260" s="10"/>
      <c r="AB1260" s="10"/>
      <c r="AC1260" s="10"/>
      <c r="AD1260" s="10"/>
      <c r="AE1260" s="10"/>
    </row>
    <row r="1261" ht="14.4" spans="14:31">
      <c r="N1261" s="10"/>
      <c r="O1261" s="10"/>
      <c r="P1261" t="b">
        <v>0</v>
      </c>
      <c r="Q1261" t="b">
        <v>0</v>
      </c>
      <c r="R1261" s="3"/>
      <c r="S1261" s="10"/>
      <c r="T1261" s="10"/>
      <c r="U1261" s="10"/>
      <c r="V1261" s="10"/>
      <c r="W1261" s="10"/>
      <c r="X1261" s="10"/>
      <c r="Y1261" s="10"/>
      <c r="Z1261" s="10"/>
      <c r="AA1261" s="10"/>
      <c r="AB1261" s="10"/>
      <c r="AC1261" s="10"/>
      <c r="AD1261" s="10"/>
      <c r="AE1261" s="10"/>
    </row>
    <row r="1262" ht="14.4" spans="14:31">
      <c r="N1262" s="10"/>
      <c r="O1262" s="10"/>
      <c r="P1262" t="b">
        <v>0</v>
      </c>
      <c r="Q1262" t="b">
        <v>0</v>
      </c>
      <c r="R1262" s="3"/>
      <c r="S1262" s="10"/>
      <c r="T1262" s="10"/>
      <c r="U1262" s="10"/>
      <c r="V1262" s="10"/>
      <c r="W1262" s="10"/>
      <c r="X1262" s="10"/>
      <c r="Y1262" s="10"/>
      <c r="Z1262" s="10"/>
      <c r="AA1262" s="10"/>
      <c r="AB1262" s="10"/>
      <c r="AC1262" s="10"/>
      <c r="AD1262" s="10"/>
      <c r="AE1262" s="10"/>
    </row>
    <row r="1263" ht="14.4" spans="14:31">
      <c r="N1263" s="10"/>
      <c r="O1263" s="10"/>
      <c r="P1263" t="b">
        <v>0</v>
      </c>
      <c r="Q1263" t="b">
        <v>0</v>
      </c>
      <c r="R1263" s="3"/>
      <c r="S1263" s="10"/>
      <c r="T1263" s="10"/>
      <c r="U1263" s="10"/>
      <c r="V1263" s="10"/>
      <c r="W1263" s="10"/>
      <c r="X1263" s="10"/>
      <c r="Y1263" s="10"/>
      <c r="Z1263" s="10"/>
      <c r="AA1263" s="10"/>
      <c r="AB1263" s="10"/>
      <c r="AC1263" s="10"/>
      <c r="AD1263" s="10"/>
      <c r="AE1263" s="10"/>
    </row>
    <row r="1264" ht="14.4" spans="14:31">
      <c r="N1264" s="10"/>
      <c r="O1264" s="10"/>
      <c r="P1264" t="b">
        <v>0</v>
      </c>
      <c r="Q1264" t="b">
        <v>0</v>
      </c>
      <c r="R1264" s="3"/>
      <c r="S1264" s="10"/>
      <c r="T1264" s="10"/>
      <c r="U1264" s="10"/>
      <c r="V1264" s="10"/>
      <c r="W1264" s="10"/>
      <c r="X1264" s="10"/>
      <c r="Y1264" s="10"/>
      <c r="Z1264" s="10"/>
      <c r="AA1264" s="10"/>
      <c r="AB1264" s="10"/>
      <c r="AC1264" s="10"/>
      <c r="AD1264" s="10"/>
      <c r="AE1264" s="10"/>
    </row>
    <row r="1265" ht="14.4" spans="14:31">
      <c r="N1265" s="10"/>
      <c r="O1265" s="10"/>
      <c r="P1265" t="b">
        <v>0</v>
      </c>
      <c r="Q1265" t="b">
        <v>0</v>
      </c>
      <c r="R1265" s="3"/>
      <c r="S1265" s="10"/>
      <c r="T1265" s="10"/>
      <c r="U1265" s="10"/>
      <c r="V1265" s="10"/>
      <c r="W1265" s="10"/>
      <c r="X1265" s="10"/>
      <c r="Y1265" s="10"/>
      <c r="Z1265" s="10"/>
      <c r="AA1265" s="10"/>
      <c r="AB1265" s="10"/>
      <c r="AC1265" s="10"/>
      <c r="AD1265" s="10"/>
      <c r="AE1265" s="10"/>
    </row>
    <row r="1266" ht="14.4" spans="14:31">
      <c r="N1266" s="10"/>
      <c r="O1266" s="10"/>
      <c r="P1266" t="b">
        <v>0</v>
      </c>
      <c r="Q1266" t="b">
        <v>0</v>
      </c>
      <c r="R1266" s="3"/>
      <c r="S1266" s="10"/>
      <c r="T1266" s="10"/>
      <c r="U1266" s="10"/>
      <c r="V1266" s="10"/>
      <c r="W1266" s="10"/>
      <c r="X1266" s="10"/>
      <c r="Y1266" s="10"/>
      <c r="Z1266" s="10"/>
      <c r="AA1266" s="10"/>
      <c r="AB1266" s="10"/>
      <c r="AC1266" s="10"/>
      <c r="AD1266" s="10"/>
      <c r="AE1266" s="10"/>
    </row>
    <row r="1267" ht="14.4" spans="14:31">
      <c r="N1267" s="10"/>
      <c r="O1267" s="10"/>
      <c r="P1267" t="b">
        <v>0</v>
      </c>
      <c r="Q1267" t="b">
        <v>0</v>
      </c>
      <c r="R1267" s="3"/>
      <c r="S1267" s="10"/>
      <c r="T1267" s="10"/>
      <c r="U1267" s="10"/>
      <c r="V1267" s="10"/>
      <c r="W1267" s="10"/>
      <c r="X1267" s="10"/>
      <c r="Y1267" s="10"/>
      <c r="Z1267" s="10"/>
      <c r="AA1267" s="10"/>
      <c r="AB1267" s="10"/>
      <c r="AC1267" s="10"/>
      <c r="AD1267" s="10"/>
      <c r="AE1267" s="10"/>
    </row>
    <row r="1268" ht="14.4" spans="14:31">
      <c r="N1268" s="10"/>
      <c r="O1268" s="10"/>
      <c r="P1268" t="b">
        <v>0</v>
      </c>
      <c r="Q1268" t="b">
        <v>0</v>
      </c>
      <c r="R1268" s="3"/>
      <c r="S1268" s="10"/>
      <c r="T1268" s="10"/>
      <c r="U1268" s="10"/>
      <c r="V1268" s="10"/>
      <c r="W1268" s="10"/>
      <c r="X1268" s="10"/>
      <c r="Y1268" s="10"/>
      <c r="Z1268" s="10"/>
      <c r="AA1268" s="10"/>
      <c r="AB1268" s="10"/>
      <c r="AC1268" s="10"/>
      <c r="AD1268" s="10"/>
      <c r="AE1268" s="10"/>
    </row>
    <row r="1269" ht="14.4" spans="14:31">
      <c r="N1269" s="10"/>
      <c r="O1269" s="10"/>
      <c r="P1269" t="b">
        <v>0</v>
      </c>
      <c r="Q1269" t="b">
        <v>0</v>
      </c>
      <c r="R1269" s="3"/>
      <c r="S1269" s="10"/>
      <c r="T1269" s="10"/>
      <c r="U1269" s="10"/>
      <c r="V1269" s="10"/>
      <c r="W1269" s="10"/>
      <c r="X1269" s="10"/>
      <c r="Y1269" s="10"/>
      <c r="Z1269" s="10"/>
      <c r="AA1269" s="10"/>
      <c r="AB1269" s="10"/>
      <c r="AC1269" s="10"/>
      <c r="AD1269" s="10"/>
      <c r="AE1269" s="10"/>
    </row>
    <row r="1270" ht="14.4" spans="14:31">
      <c r="N1270" s="10"/>
      <c r="O1270" s="10"/>
      <c r="P1270" t="b">
        <v>0</v>
      </c>
      <c r="Q1270" t="b">
        <v>0</v>
      </c>
      <c r="R1270" s="3"/>
      <c r="S1270" s="10"/>
      <c r="T1270" s="10"/>
      <c r="U1270" s="10"/>
      <c r="V1270" s="10"/>
      <c r="W1270" s="10"/>
      <c r="X1270" s="10"/>
      <c r="Y1270" s="10"/>
      <c r="Z1270" s="10"/>
      <c r="AA1270" s="10"/>
      <c r="AB1270" s="10"/>
      <c r="AC1270" s="10"/>
      <c r="AD1270" s="10"/>
      <c r="AE1270" s="10"/>
    </row>
    <row r="1271" ht="14.4" spans="14:31">
      <c r="N1271" s="10"/>
      <c r="O1271" s="10"/>
      <c r="P1271" t="b">
        <v>0</v>
      </c>
      <c r="Q1271" t="b">
        <v>0</v>
      </c>
      <c r="R1271" s="3"/>
      <c r="S1271" s="10"/>
      <c r="T1271" s="10"/>
      <c r="U1271" s="10"/>
      <c r="V1271" s="10"/>
      <c r="W1271" s="10"/>
      <c r="X1271" s="10"/>
      <c r="Y1271" s="10"/>
      <c r="Z1271" s="10"/>
      <c r="AA1271" s="10"/>
      <c r="AB1271" s="10"/>
      <c r="AC1271" s="10"/>
      <c r="AD1271" s="10"/>
      <c r="AE1271" s="10"/>
    </row>
    <row r="1272" ht="14.4" spans="14:31">
      <c r="N1272" s="10"/>
      <c r="O1272" s="10"/>
      <c r="P1272" t="b">
        <v>0</v>
      </c>
      <c r="Q1272" t="b">
        <v>0</v>
      </c>
      <c r="R1272" s="3"/>
      <c r="S1272" s="10"/>
      <c r="T1272" s="10"/>
      <c r="U1272" s="10"/>
      <c r="V1272" s="10"/>
      <c r="W1272" s="10"/>
      <c r="X1272" s="10"/>
      <c r="Y1272" s="10"/>
      <c r="Z1272" s="10"/>
      <c r="AA1272" s="10"/>
      <c r="AB1272" s="10"/>
      <c r="AC1272" s="10"/>
      <c r="AD1272" s="10"/>
      <c r="AE1272" s="10"/>
    </row>
    <row r="1273" ht="14.4" spans="14:31">
      <c r="N1273" s="10"/>
      <c r="O1273" s="10"/>
      <c r="P1273" t="b">
        <v>0</v>
      </c>
      <c r="Q1273" t="b">
        <v>0</v>
      </c>
      <c r="R1273" s="3"/>
      <c r="S1273" s="10"/>
      <c r="T1273" s="10"/>
      <c r="U1273" s="10"/>
      <c r="V1273" s="10"/>
      <c r="W1273" s="10"/>
      <c r="X1273" s="10"/>
      <c r="Y1273" s="10"/>
      <c r="Z1273" s="10"/>
      <c r="AA1273" s="10"/>
      <c r="AB1273" s="10"/>
      <c r="AC1273" s="10"/>
      <c r="AD1273" s="10"/>
      <c r="AE1273" s="10"/>
    </row>
    <row r="1274" ht="14.4" spans="14:31">
      <c r="N1274" s="10"/>
      <c r="O1274" s="10"/>
      <c r="P1274" t="b">
        <v>0</v>
      </c>
      <c r="Q1274" t="b">
        <v>0</v>
      </c>
      <c r="R1274" s="3"/>
      <c r="S1274" s="10"/>
      <c r="T1274" s="10"/>
      <c r="U1274" s="10"/>
      <c r="V1274" s="10"/>
      <c r="W1274" s="10"/>
      <c r="X1274" s="10"/>
      <c r="Y1274" s="10"/>
      <c r="Z1274" s="10"/>
      <c r="AA1274" s="10"/>
      <c r="AB1274" s="10"/>
      <c r="AC1274" s="10"/>
      <c r="AD1274" s="10"/>
      <c r="AE1274" s="10"/>
    </row>
    <row r="1275" ht="14.4" spans="14:31">
      <c r="N1275" s="10"/>
      <c r="O1275" s="10"/>
      <c r="P1275" t="b">
        <v>0</v>
      </c>
      <c r="Q1275" t="b">
        <v>0</v>
      </c>
      <c r="R1275" s="3"/>
      <c r="S1275" s="10"/>
      <c r="T1275" s="10"/>
      <c r="U1275" s="10"/>
      <c r="V1275" s="10"/>
      <c r="W1275" s="10"/>
      <c r="X1275" s="10"/>
      <c r="Y1275" s="10"/>
      <c r="Z1275" s="10"/>
      <c r="AA1275" s="10"/>
      <c r="AB1275" s="10"/>
      <c r="AC1275" s="10"/>
      <c r="AD1275" s="10"/>
      <c r="AE1275" s="10"/>
    </row>
    <row r="1276" ht="14.4" spans="14:31">
      <c r="N1276" s="10"/>
      <c r="O1276" s="10"/>
      <c r="P1276" t="b">
        <v>0</v>
      </c>
      <c r="Q1276" t="b">
        <v>0</v>
      </c>
      <c r="R1276" s="3"/>
      <c r="S1276" s="10"/>
      <c r="T1276" s="10"/>
      <c r="U1276" s="10"/>
      <c r="V1276" s="10"/>
      <c r="W1276" s="10"/>
      <c r="X1276" s="10"/>
      <c r="Y1276" s="10"/>
      <c r="Z1276" s="10"/>
      <c r="AA1276" s="10"/>
      <c r="AB1276" s="10"/>
      <c r="AC1276" s="10"/>
      <c r="AD1276" s="10"/>
      <c r="AE1276" s="10"/>
    </row>
    <row r="1277" ht="14.4" spans="14:31">
      <c r="N1277" s="10"/>
      <c r="O1277" s="10"/>
      <c r="P1277" t="b">
        <v>0</v>
      </c>
      <c r="Q1277" t="b">
        <v>0</v>
      </c>
      <c r="R1277" s="3"/>
      <c r="S1277" s="10"/>
      <c r="T1277" s="10"/>
      <c r="U1277" s="10"/>
      <c r="V1277" s="10"/>
      <c r="W1277" s="10"/>
      <c r="X1277" s="10"/>
      <c r="Y1277" s="10"/>
      <c r="Z1277" s="10"/>
      <c r="AA1277" s="10"/>
      <c r="AB1277" s="10"/>
      <c r="AC1277" s="10"/>
      <c r="AD1277" s="10"/>
      <c r="AE1277" s="10"/>
    </row>
    <row r="1278" ht="14.4" spans="14:31">
      <c r="N1278" s="10"/>
      <c r="O1278" s="10"/>
      <c r="P1278" t="b">
        <v>0</v>
      </c>
      <c r="Q1278" t="b">
        <v>0</v>
      </c>
      <c r="R1278" s="3"/>
      <c r="S1278" s="10"/>
      <c r="T1278" s="10"/>
      <c r="U1278" s="10"/>
      <c r="V1278" s="10"/>
      <c r="W1278" s="10"/>
      <c r="X1278" s="10"/>
      <c r="Y1278" s="10"/>
      <c r="Z1278" s="10"/>
      <c r="AA1278" s="10"/>
      <c r="AB1278" s="10"/>
      <c r="AC1278" s="10"/>
      <c r="AD1278" s="10"/>
      <c r="AE1278" s="10"/>
    </row>
    <row r="1279" ht="14.4" spans="14:31">
      <c r="N1279" s="10"/>
      <c r="O1279" s="10"/>
      <c r="P1279" t="b">
        <v>0</v>
      </c>
      <c r="Q1279" t="b">
        <v>0</v>
      </c>
      <c r="R1279" s="3"/>
      <c r="S1279" s="10"/>
      <c r="T1279" s="10"/>
      <c r="U1279" s="10"/>
      <c r="V1279" s="10"/>
      <c r="W1279" s="10"/>
      <c r="X1279" s="10"/>
      <c r="Y1279" s="10"/>
      <c r="Z1279" s="10"/>
      <c r="AA1279" s="10"/>
      <c r="AB1279" s="10"/>
      <c r="AC1279" s="10"/>
      <c r="AD1279" s="10"/>
      <c r="AE1279" s="10"/>
    </row>
    <row r="1280" ht="14.4" spans="14:31">
      <c r="N1280" s="10"/>
      <c r="O1280" s="10"/>
      <c r="P1280" t="b">
        <v>0</v>
      </c>
      <c r="Q1280" t="b">
        <v>0</v>
      </c>
      <c r="R1280" s="3"/>
      <c r="S1280" s="10"/>
      <c r="T1280" s="10"/>
      <c r="U1280" s="10"/>
      <c r="V1280" s="10"/>
      <c r="W1280" s="10"/>
      <c r="X1280" s="10"/>
      <c r="Y1280" s="10"/>
      <c r="Z1280" s="10"/>
      <c r="AA1280" s="10"/>
      <c r="AB1280" s="10"/>
      <c r="AC1280" s="10"/>
      <c r="AD1280" s="10"/>
      <c r="AE1280" s="10"/>
    </row>
    <row r="1281" ht="14.4" spans="14:31">
      <c r="N1281" s="10"/>
      <c r="O1281" s="10"/>
      <c r="P1281" t="b">
        <v>0</v>
      </c>
      <c r="Q1281" t="b">
        <v>0</v>
      </c>
      <c r="R1281" s="3"/>
      <c r="S1281" s="10"/>
      <c r="T1281" s="10"/>
      <c r="U1281" s="10"/>
      <c r="V1281" s="10"/>
      <c r="W1281" s="10"/>
      <c r="X1281" s="10"/>
      <c r="Y1281" s="10"/>
      <c r="Z1281" s="10"/>
      <c r="AA1281" s="10"/>
      <c r="AB1281" s="10"/>
      <c r="AC1281" s="10"/>
      <c r="AD1281" s="10"/>
      <c r="AE1281" s="10"/>
    </row>
    <row r="1282" ht="14.4" spans="14:31">
      <c r="N1282" s="10"/>
      <c r="O1282" s="10"/>
      <c r="P1282" t="b">
        <v>0</v>
      </c>
      <c r="Q1282" t="b">
        <v>0</v>
      </c>
      <c r="R1282" s="3"/>
      <c r="S1282" s="10"/>
      <c r="T1282" s="10"/>
      <c r="U1282" s="10"/>
      <c r="V1282" s="10"/>
      <c r="W1282" s="10"/>
      <c r="X1282" s="10"/>
      <c r="Y1282" s="10"/>
      <c r="Z1282" s="10"/>
      <c r="AA1282" s="10"/>
      <c r="AB1282" s="10"/>
      <c r="AC1282" s="10"/>
      <c r="AD1282" s="10"/>
      <c r="AE1282" s="10"/>
    </row>
    <row r="1283" ht="14.4" spans="14:31">
      <c r="N1283" s="10"/>
      <c r="O1283" s="10"/>
      <c r="P1283" t="b">
        <v>0</v>
      </c>
      <c r="Q1283" t="b">
        <v>0</v>
      </c>
      <c r="R1283" s="3"/>
      <c r="S1283" s="10"/>
      <c r="T1283" s="10"/>
      <c r="U1283" s="10"/>
      <c r="V1283" s="10"/>
      <c r="W1283" s="10"/>
      <c r="X1283" s="10"/>
      <c r="Y1283" s="10"/>
      <c r="Z1283" s="10"/>
      <c r="AA1283" s="10"/>
      <c r="AB1283" s="10"/>
      <c r="AC1283" s="10"/>
      <c r="AD1283" s="10"/>
      <c r="AE1283" s="10"/>
    </row>
    <row r="1284" ht="14.4" spans="14:31">
      <c r="N1284" s="10"/>
      <c r="O1284" s="10"/>
      <c r="P1284" t="b">
        <v>0</v>
      </c>
      <c r="Q1284" t="b">
        <v>0</v>
      </c>
      <c r="R1284" s="3"/>
      <c r="S1284" s="10"/>
      <c r="T1284" s="10"/>
      <c r="U1284" s="10"/>
      <c r="V1284" s="10"/>
      <c r="W1284" s="10"/>
      <c r="X1284" s="10"/>
      <c r="Y1284" s="10"/>
      <c r="Z1284" s="10"/>
      <c r="AA1284" s="10"/>
      <c r="AB1284" s="10"/>
      <c r="AC1284" s="10"/>
      <c r="AD1284" s="10"/>
      <c r="AE1284" s="10"/>
    </row>
    <row r="1285" ht="14.4" spans="14:31">
      <c r="N1285" s="10"/>
      <c r="O1285" s="10"/>
      <c r="P1285" t="b">
        <v>0</v>
      </c>
      <c r="Q1285" t="b">
        <v>0</v>
      </c>
      <c r="R1285" s="3"/>
      <c r="S1285" s="10"/>
      <c r="T1285" s="10"/>
      <c r="U1285" s="10"/>
      <c r="V1285" s="10"/>
      <c r="W1285" s="10"/>
      <c r="X1285" s="10"/>
      <c r="Y1285" s="10"/>
      <c r="Z1285" s="10"/>
      <c r="AA1285" s="10"/>
      <c r="AB1285" s="10"/>
      <c r="AC1285" s="10"/>
      <c r="AD1285" s="10"/>
      <c r="AE1285" s="10"/>
    </row>
    <row r="1286" ht="14.4" spans="14:31">
      <c r="N1286" s="10"/>
      <c r="O1286" s="10"/>
      <c r="P1286" t="b">
        <v>0</v>
      </c>
      <c r="Q1286" t="b">
        <v>0</v>
      </c>
      <c r="R1286" s="3"/>
      <c r="S1286" s="10"/>
      <c r="T1286" s="10"/>
      <c r="U1286" s="10"/>
      <c r="V1286" s="10"/>
      <c r="W1286" s="10"/>
      <c r="X1286" s="10"/>
      <c r="Y1286" s="10"/>
      <c r="Z1286" s="10"/>
      <c r="AA1286" s="10"/>
      <c r="AB1286" s="10"/>
      <c r="AC1286" s="10"/>
      <c r="AD1286" s="10"/>
      <c r="AE1286" s="10"/>
    </row>
    <row r="1287" ht="14.4" spans="14:31">
      <c r="N1287" s="10"/>
      <c r="O1287" s="10"/>
      <c r="P1287" t="b">
        <v>0</v>
      </c>
      <c r="Q1287" t="b">
        <v>0</v>
      </c>
      <c r="R1287" s="3"/>
      <c r="S1287" s="10"/>
      <c r="T1287" s="10"/>
      <c r="U1287" s="10"/>
      <c r="V1287" s="10"/>
      <c r="W1287" s="10"/>
      <c r="X1287" s="10"/>
      <c r="Y1287" s="10"/>
      <c r="Z1287" s="10"/>
      <c r="AA1287" s="10"/>
      <c r="AB1287" s="10"/>
      <c r="AC1287" s="10"/>
      <c r="AD1287" s="10"/>
      <c r="AE1287" s="10"/>
    </row>
    <row r="1288" ht="14.4" spans="14:31">
      <c r="N1288" s="10"/>
      <c r="O1288" s="10"/>
      <c r="P1288" t="b">
        <v>0</v>
      </c>
      <c r="Q1288" t="b">
        <v>0</v>
      </c>
      <c r="R1288" s="3"/>
      <c r="S1288" s="10"/>
      <c r="T1288" s="10"/>
      <c r="U1288" s="10"/>
      <c r="V1288" s="10"/>
      <c r="W1288" s="10"/>
      <c r="X1288" s="10"/>
      <c r="Y1288" s="10"/>
      <c r="Z1288" s="10"/>
      <c r="AA1288" s="10"/>
      <c r="AB1288" s="10"/>
      <c r="AC1288" s="10"/>
      <c r="AD1288" s="10"/>
      <c r="AE1288" s="10"/>
    </row>
    <row r="1289" ht="14.4" spans="14:31">
      <c r="N1289" s="10"/>
      <c r="O1289" s="10"/>
      <c r="P1289" t="b">
        <v>0</v>
      </c>
      <c r="Q1289" t="b">
        <v>0</v>
      </c>
      <c r="R1289" s="3"/>
      <c r="S1289" s="10"/>
      <c r="T1289" s="10"/>
      <c r="U1289" s="10"/>
      <c r="V1289" s="10"/>
      <c r="W1289" s="10"/>
      <c r="X1289" s="10"/>
      <c r="Y1289" s="10"/>
      <c r="Z1289" s="10"/>
      <c r="AA1289" s="10"/>
      <c r="AB1289" s="10"/>
      <c r="AC1289" s="10"/>
      <c r="AD1289" s="10"/>
      <c r="AE1289" s="10"/>
    </row>
    <row r="1290" ht="14.4" spans="14:31">
      <c r="N1290" s="10"/>
      <c r="O1290" s="10"/>
      <c r="P1290" t="b">
        <v>0</v>
      </c>
      <c r="Q1290" t="b">
        <v>0</v>
      </c>
      <c r="R1290" s="3"/>
      <c r="S1290" s="10"/>
      <c r="T1290" s="10"/>
      <c r="U1290" s="10"/>
      <c r="V1290" s="10"/>
      <c r="W1290" s="10"/>
      <c r="X1290" s="10"/>
      <c r="Y1290" s="10"/>
      <c r="Z1290" s="10"/>
      <c r="AA1290" s="10"/>
      <c r="AB1290" s="10"/>
      <c r="AC1290" s="10"/>
      <c r="AD1290" s="10"/>
      <c r="AE1290" s="10"/>
    </row>
    <row r="1291" ht="14.4" spans="14:31">
      <c r="N1291" s="10"/>
      <c r="O1291" s="10"/>
      <c r="P1291" t="b">
        <v>0</v>
      </c>
      <c r="Q1291" t="b">
        <v>0</v>
      </c>
      <c r="R1291" s="3"/>
      <c r="S1291" s="10"/>
      <c r="T1291" s="10"/>
      <c r="U1291" s="10"/>
      <c r="V1291" s="10"/>
      <c r="W1291" s="10"/>
      <c r="X1291" s="10"/>
      <c r="Y1291" s="10"/>
      <c r="Z1291" s="10"/>
      <c r="AA1291" s="10"/>
      <c r="AB1291" s="10"/>
      <c r="AC1291" s="10"/>
      <c r="AD1291" s="10"/>
      <c r="AE1291" s="10"/>
    </row>
    <row r="1292" ht="14.4" spans="14:31">
      <c r="N1292" s="10"/>
      <c r="O1292" s="10"/>
      <c r="P1292" t="b">
        <v>0</v>
      </c>
      <c r="Q1292" t="b">
        <v>0</v>
      </c>
      <c r="R1292" s="3"/>
      <c r="S1292" s="10"/>
      <c r="T1292" s="10"/>
      <c r="U1292" s="10"/>
      <c r="V1292" s="10"/>
      <c r="W1292" s="10"/>
      <c r="X1292" s="10"/>
      <c r="Y1292" s="10"/>
      <c r="Z1292" s="10"/>
      <c r="AA1292" s="10"/>
      <c r="AB1292" s="10"/>
      <c r="AC1292" s="10"/>
      <c r="AD1292" s="10"/>
      <c r="AE1292" s="10"/>
    </row>
    <row r="1293" ht="14.4" spans="14:31">
      <c r="N1293" s="10"/>
      <c r="O1293" s="10"/>
      <c r="P1293" t="b">
        <v>0</v>
      </c>
      <c r="Q1293" t="b">
        <v>0</v>
      </c>
      <c r="R1293" s="3"/>
      <c r="S1293" s="10"/>
      <c r="T1293" s="10"/>
      <c r="U1293" s="10"/>
      <c r="V1293" s="10"/>
      <c r="W1293" s="10"/>
      <c r="X1293" s="10"/>
      <c r="Y1293" s="10"/>
      <c r="Z1293" s="10"/>
      <c r="AA1293" s="10"/>
      <c r="AB1293" s="10"/>
      <c r="AC1293" s="10"/>
      <c r="AD1293" s="10"/>
      <c r="AE1293" s="10"/>
    </row>
    <row r="1294" ht="14.4" spans="14:31">
      <c r="N1294" s="10"/>
      <c r="O1294" s="10"/>
      <c r="P1294" t="b">
        <v>0</v>
      </c>
      <c r="Q1294" t="b">
        <v>0</v>
      </c>
      <c r="R1294" s="3"/>
      <c r="S1294" s="10"/>
      <c r="T1294" s="10"/>
      <c r="U1294" s="10"/>
      <c r="V1294" s="10"/>
      <c r="W1294" s="10"/>
      <c r="X1294" s="10"/>
      <c r="Y1294" s="10"/>
      <c r="Z1294" s="10"/>
      <c r="AA1294" s="10"/>
      <c r="AB1294" s="10"/>
      <c r="AC1294" s="10"/>
      <c r="AD1294" s="10"/>
      <c r="AE1294" s="10"/>
    </row>
    <row r="1295" ht="14.4" spans="14:31">
      <c r="N1295" s="10"/>
      <c r="O1295" s="10"/>
      <c r="P1295" t="b">
        <v>0</v>
      </c>
      <c r="Q1295" t="b">
        <v>0</v>
      </c>
      <c r="R1295" s="3"/>
      <c r="S1295" s="10"/>
      <c r="T1295" s="10"/>
      <c r="U1295" s="10"/>
      <c r="V1295" s="10"/>
      <c r="W1295" s="10"/>
      <c r="X1295" s="10"/>
      <c r="Y1295" s="10"/>
      <c r="Z1295" s="10"/>
      <c r="AA1295" s="10"/>
      <c r="AB1295" s="10"/>
      <c r="AC1295" s="10"/>
      <c r="AD1295" s="10"/>
      <c r="AE1295" s="10"/>
    </row>
    <row r="1296" ht="14.4" spans="14:31">
      <c r="N1296" s="10"/>
      <c r="O1296" s="10"/>
      <c r="P1296" t="b">
        <v>0</v>
      </c>
      <c r="Q1296" t="b">
        <v>0</v>
      </c>
      <c r="R1296" s="3"/>
      <c r="S1296" s="10"/>
      <c r="T1296" s="10"/>
      <c r="U1296" s="10"/>
      <c r="V1296" s="10"/>
      <c r="W1296" s="10"/>
      <c r="X1296" s="10"/>
      <c r="Y1296" s="10"/>
      <c r="Z1296" s="10"/>
      <c r="AA1296" s="10"/>
      <c r="AB1296" s="10"/>
      <c r="AC1296" s="10"/>
      <c r="AD1296" s="10"/>
      <c r="AE1296" s="10"/>
    </row>
    <row r="1297" ht="14.4" spans="14:31">
      <c r="N1297" s="10"/>
      <c r="O1297" s="10"/>
      <c r="P1297" t="b">
        <v>0</v>
      </c>
      <c r="Q1297" t="b">
        <v>0</v>
      </c>
      <c r="R1297" s="3"/>
      <c r="S1297" s="10"/>
      <c r="T1297" s="10"/>
      <c r="U1297" s="10"/>
      <c r="V1297" s="10"/>
      <c r="W1297" s="10"/>
      <c r="X1297" s="10"/>
      <c r="Y1297" s="10"/>
      <c r="Z1297" s="10"/>
      <c r="AA1297" s="10"/>
      <c r="AB1297" s="10"/>
      <c r="AC1297" s="10"/>
      <c r="AD1297" s="10"/>
      <c r="AE1297" s="10"/>
    </row>
    <row r="1298" ht="14.4" spans="14:31">
      <c r="N1298" s="10"/>
      <c r="O1298" s="10"/>
      <c r="P1298" t="b">
        <v>0</v>
      </c>
      <c r="Q1298" t="b">
        <v>0</v>
      </c>
      <c r="R1298" s="3"/>
      <c r="S1298" s="10"/>
      <c r="T1298" s="10"/>
      <c r="U1298" s="10"/>
      <c r="V1298" s="10"/>
      <c r="W1298" s="10"/>
      <c r="X1298" s="10"/>
      <c r="Y1298" s="10"/>
      <c r="Z1298" s="10"/>
      <c r="AA1298" s="10"/>
      <c r="AB1298" s="10"/>
      <c r="AC1298" s="10"/>
      <c r="AD1298" s="10"/>
      <c r="AE1298" s="10"/>
    </row>
    <row r="1299" ht="14.4" spans="14:31">
      <c r="N1299" s="10"/>
      <c r="O1299" s="10"/>
      <c r="P1299" t="b">
        <v>0</v>
      </c>
      <c r="Q1299" t="b">
        <v>0</v>
      </c>
      <c r="R1299" s="3"/>
      <c r="S1299" s="10"/>
      <c r="T1299" s="10"/>
      <c r="U1299" s="10"/>
      <c r="V1299" s="10"/>
      <c r="W1299" s="10"/>
      <c r="X1299" s="10"/>
      <c r="Y1299" s="10"/>
      <c r="Z1299" s="10"/>
      <c r="AA1299" s="10"/>
      <c r="AB1299" s="10"/>
      <c r="AC1299" s="10"/>
      <c r="AD1299" s="10"/>
      <c r="AE1299" s="10"/>
    </row>
    <row r="1300" ht="14.4" spans="14:31">
      <c r="N1300" s="10"/>
      <c r="O1300" s="10"/>
      <c r="P1300" t="b">
        <v>0</v>
      </c>
      <c r="Q1300" t="b">
        <v>0</v>
      </c>
      <c r="R1300" s="3"/>
      <c r="S1300" s="10"/>
      <c r="T1300" s="10"/>
      <c r="U1300" s="10"/>
      <c r="V1300" s="10"/>
      <c r="W1300" s="10"/>
      <c r="X1300" s="10"/>
      <c r="Y1300" s="10"/>
      <c r="Z1300" s="10"/>
      <c r="AA1300" s="10"/>
      <c r="AB1300" s="10"/>
      <c r="AC1300" s="10"/>
      <c r="AD1300" s="10"/>
      <c r="AE1300" s="10"/>
    </row>
    <row r="1301" ht="14.4" spans="14:31">
      <c r="N1301" s="10"/>
      <c r="O1301" s="10"/>
      <c r="P1301" t="b">
        <v>0</v>
      </c>
      <c r="Q1301" t="b">
        <v>0</v>
      </c>
      <c r="R1301" s="3"/>
      <c r="S1301" s="10"/>
      <c r="T1301" s="10"/>
      <c r="U1301" s="10"/>
      <c r="V1301" s="10"/>
      <c r="W1301" s="10"/>
      <c r="X1301" s="10"/>
      <c r="Y1301" s="10"/>
      <c r="Z1301" s="10"/>
      <c r="AA1301" s="10"/>
      <c r="AB1301" s="10"/>
      <c r="AC1301" s="10"/>
      <c r="AD1301" s="10"/>
      <c r="AE1301" s="10"/>
    </row>
    <row r="1302" ht="14.4" spans="14:31">
      <c r="N1302" s="10"/>
      <c r="O1302" s="10"/>
      <c r="P1302" t="b">
        <v>0</v>
      </c>
      <c r="Q1302" t="b">
        <v>0</v>
      </c>
      <c r="R1302" s="3"/>
      <c r="S1302" s="10"/>
      <c r="T1302" s="10"/>
      <c r="U1302" s="10"/>
      <c r="V1302" s="10"/>
      <c r="W1302" s="10"/>
      <c r="X1302" s="10"/>
      <c r="Y1302" s="10"/>
      <c r="Z1302" s="10"/>
      <c r="AA1302" s="10"/>
      <c r="AB1302" s="10"/>
      <c r="AC1302" s="10"/>
      <c r="AD1302" s="10"/>
      <c r="AE1302" s="10"/>
    </row>
    <row r="1303" ht="14.4" spans="14:31">
      <c r="N1303" s="10"/>
      <c r="O1303" s="10"/>
      <c r="P1303" t="b">
        <v>0</v>
      </c>
      <c r="Q1303" t="b">
        <v>0</v>
      </c>
      <c r="R1303" s="3"/>
      <c r="S1303" s="10"/>
      <c r="T1303" s="10"/>
      <c r="U1303" s="10"/>
      <c r="V1303" s="10"/>
      <c r="W1303" s="10"/>
      <c r="X1303" s="10"/>
      <c r="Y1303" s="10"/>
      <c r="Z1303" s="10"/>
      <c r="AA1303" s="10"/>
      <c r="AB1303" s="10"/>
      <c r="AC1303" s="10"/>
      <c r="AD1303" s="10"/>
      <c r="AE1303" s="10"/>
    </row>
    <row r="1304" ht="14.4" spans="14:31">
      <c r="N1304" s="10"/>
      <c r="O1304" s="10"/>
      <c r="P1304" t="b">
        <v>0</v>
      </c>
      <c r="Q1304" t="b">
        <v>0</v>
      </c>
      <c r="R1304" s="3"/>
      <c r="S1304" s="10"/>
      <c r="T1304" s="10"/>
      <c r="U1304" s="10"/>
      <c r="V1304" s="10"/>
      <c r="W1304" s="10"/>
      <c r="X1304" s="10"/>
      <c r="Y1304" s="10"/>
      <c r="Z1304" s="10"/>
      <c r="AA1304" s="10"/>
      <c r="AB1304" s="10"/>
      <c r="AC1304" s="10"/>
      <c r="AD1304" s="10"/>
      <c r="AE1304" s="10"/>
    </row>
    <row r="1305" ht="14.4" spans="14:31">
      <c r="N1305" s="10"/>
      <c r="O1305" s="10"/>
      <c r="P1305" t="b">
        <v>0</v>
      </c>
      <c r="Q1305" t="b">
        <v>0</v>
      </c>
      <c r="R1305" s="3"/>
      <c r="S1305" s="10"/>
      <c r="T1305" s="10"/>
      <c r="U1305" s="10"/>
      <c r="V1305" s="10"/>
      <c r="W1305" s="10"/>
      <c r="X1305" s="10"/>
      <c r="Y1305" s="10"/>
      <c r="Z1305" s="10"/>
      <c r="AA1305" s="10"/>
      <c r="AB1305" s="10"/>
      <c r="AC1305" s="10"/>
      <c r="AD1305" s="10"/>
      <c r="AE1305" s="10"/>
    </row>
    <row r="1306" ht="14.4" spans="14:31">
      <c r="N1306" s="10"/>
      <c r="O1306" s="10"/>
      <c r="P1306" t="b">
        <v>0</v>
      </c>
      <c r="Q1306" t="b">
        <v>0</v>
      </c>
      <c r="R1306" s="3"/>
      <c r="S1306" s="10"/>
      <c r="T1306" s="10"/>
      <c r="U1306" s="10"/>
      <c r="V1306" s="10"/>
      <c r="W1306" s="10"/>
      <c r="X1306" s="10"/>
      <c r="Y1306" s="10"/>
      <c r="Z1306" s="10"/>
      <c r="AA1306" s="10"/>
      <c r="AB1306" s="10"/>
      <c r="AC1306" s="10"/>
      <c r="AD1306" s="10"/>
      <c r="AE1306" s="10"/>
    </row>
    <row r="1307" ht="14.4" spans="14:31">
      <c r="N1307" s="10"/>
      <c r="O1307" s="10"/>
      <c r="P1307" t="b">
        <v>0</v>
      </c>
      <c r="Q1307" t="b">
        <v>0</v>
      </c>
      <c r="R1307" s="3"/>
      <c r="S1307" s="10"/>
      <c r="T1307" s="10"/>
      <c r="U1307" s="10"/>
      <c r="V1307" s="10"/>
      <c r="W1307" s="10"/>
      <c r="X1307" s="10"/>
      <c r="Y1307" s="10"/>
      <c r="Z1307" s="10"/>
      <c r="AA1307" s="10"/>
      <c r="AB1307" s="10"/>
      <c r="AC1307" s="10"/>
      <c r="AD1307" s="10"/>
      <c r="AE1307" s="10"/>
    </row>
    <row r="1308" ht="14.4" spans="14:31">
      <c r="N1308" s="10"/>
      <c r="O1308" s="10"/>
      <c r="P1308" t="b">
        <v>0</v>
      </c>
      <c r="Q1308" t="b">
        <v>0</v>
      </c>
      <c r="R1308" s="3"/>
      <c r="S1308" s="10"/>
      <c r="T1308" s="10"/>
      <c r="U1308" s="10"/>
      <c r="V1308" s="10"/>
      <c r="W1308" s="10"/>
      <c r="X1308" s="10"/>
      <c r="Y1308" s="10"/>
      <c r="Z1308" s="10"/>
      <c r="AA1308" s="10"/>
      <c r="AB1308" s="10"/>
      <c r="AC1308" s="10"/>
      <c r="AD1308" s="10"/>
      <c r="AE1308" s="10"/>
    </row>
    <row r="1309" ht="14.4" spans="14:31">
      <c r="N1309" s="10"/>
      <c r="O1309" s="10"/>
      <c r="P1309" t="b">
        <v>0</v>
      </c>
      <c r="Q1309" t="b">
        <v>0</v>
      </c>
      <c r="R1309" s="3"/>
      <c r="S1309" s="10"/>
      <c r="T1309" s="10"/>
      <c r="U1309" s="10"/>
      <c r="V1309" s="10"/>
      <c r="W1309" s="10"/>
      <c r="X1309" s="10"/>
      <c r="Y1309" s="10"/>
      <c r="Z1309" s="10"/>
      <c r="AA1309" s="10"/>
      <c r="AB1309" s="10"/>
      <c r="AC1309" s="10"/>
      <c r="AD1309" s="10"/>
      <c r="AE1309" s="10"/>
    </row>
    <row r="1310" ht="14.4" spans="14:31">
      <c r="N1310" s="10"/>
      <c r="O1310" s="10"/>
      <c r="P1310" t="b">
        <v>0</v>
      </c>
      <c r="Q1310" t="b">
        <v>0</v>
      </c>
      <c r="R1310" s="3"/>
      <c r="S1310" s="10"/>
      <c r="T1310" s="10"/>
      <c r="U1310" s="10"/>
      <c r="V1310" s="10"/>
      <c r="W1310" s="10"/>
      <c r="X1310" s="10"/>
      <c r="Y1310" s="10"/>
      <c r="Z1310" s="10"/>
      <c r="AA1310" s="10"/>
      <c r="AB1310" s="10"/>
      <c r="AC1310" s="10"/>
      <c r="AD1310" s="10"/>
      <c r="AE1310" s="10"/>
    </row>
    <row r="1311" ht="14.4" spans="14:31">
      <c r="N1311" s="10"/>
      <c r="O1311" s="10"/>
      <c r="P1311" t="b">
        <v>0</v>
      </c>
      <c r="Q1311" t="b">
        <v>0</v>
      </c>
      <c r="R1311" s="3"/>
      <c r="S1311" s="10"/>
      <c r="T1311" s="10"/>
      <c r="U1311" s="10"/>
      <c r="V1311" s="10"/>
      <c r="W1311" s="10"/>
      <c r="X1311" s="10"/>
      <c r="Y1311" s="10"/>
      <c r="Z1311" s="10"/>
      <c r="AA1311" s="10"/>
      <c r="AB1311" s="10"/>
      <c r="AC1311" s="10"/>
      <c r="AD1311" s="10"/>
      <c r="AE1311" s="10"/>
    </row>
    <row r="1312" ht="14.4" spans="14:31">
      <c r="N1312" s="10"/>
      <c r="O1312" s="10"/>
      <c r="P1312" t="b">
        <v>0</v>
      </c>
      <c r="Q1312" t="b">
        <v>0</v>
      </c>
      <c r="R1312" s="3"/>
      <c r="S1312" s="10"/>
      <c r="T1312" s="10"/>
      <c r="U1312" s="10"/>
      <c r="V1312" s="10"/>
      <c r="W1312" s="10"/>
      <c r="X1312" s="10"/>
      <c r="Y1312" s="10"/>
      <c r="Z1312" s="10"/>
      <c r="AA1312" s="10"/>
      <c r="AB1312" s="10"/>
      <c r="AC1312" s="10"/>
      <c r="AD1312" s="10"/>
      <c r="AE1312" s="10"/>
    </row>
    <row r="1313" ht="14.4" spans="14:31">
      <c r="N1313" s="10"/>
      <c r="O1313" s="10"/>
      <c r="P1313" t="b">
        <v>0</v>
      </c>
      <c r="Q1313" t="b">
        <v>0</v>
      </c>
      <c r="R1313" s="3"/>
      <c r="S1313" s="10"/>
      <c r="T1313" s="10"/>
      <c r="U1313" s="10"/>
      <c r="V1313" s="10"/>
      <c r="W1313" s="10"/>
      <c r="X1313" s="10"/>
      <c r="Y1313" s="10"/>
      <c r="Z1313" s="10"/>
      <c r="AA1313" s="10"/>
      <c r="AB1313" s="10"/>
      <c r="AC1313" s="10"/>
      <c r="AD1313" s="10"/>
      <c r="AE1313" s="10"/>
    </row>
    <row r="1314" ht="14.4" spans="14:31">
      <c r="N1314" s="10"/>
      <c r="O1314" s="10"/>
      <c r="P1314" t="b">
        <v>0</v>
      </c>
      <c r="Q1314" t="b">
        <v>0</v>
      </c>
      <c r="R1314" s="3"/>
      <c r="S1314" s="10"/>
      <c r="T1314" s="10"/>
      <c r="U1314" s="10"/>
      <c r="V1314" s="10"/>
      <c r="W1314" s="10"/>
      <c r="X1314" s="10"/>
      <c r="Y1314" s="10"/>
      <c r="Z1314" s="10"/>
      <c r="AA1314" s="10"/>
      <c r="AB1314" s="10"/>
      <c r="AC1314" s="10"/>
      <c r="AD1314" s="10"/>
      <c r="AE1314" s="10"/>
    </row>
    <row r="1315" ht="14.4" spans="14:31">
      <c r="N1315" s="10"/>
      <c r="O1315" s="10"/>
      <c r="P1315" t="b">
        <v>0</v>
      </c>
      <c r="Q1315" t="b">
        <v>0</v>
      </c>
      <c r="R1315" s="3"/>
      <c r="S1315" s="10"/>
      <c r="T1315" s="10"/>
      <c r="U1315" s="10"/>
      <c r="V1315" s="10"/>
      <c r="W1315" s="10"/>
      <c r="X1315" s="10"/>
      <c r="Y1315" s="10"/>
      <c r="Z1315" s="10"/>
      <c r="AA1315" s="10"/>
      <c r="AB1315" s="10"/>
      <c r="AC1315" s="10"/>
      <c r="AD1315" s="10"/>
      <c r="AE1315" s="10"/>
    </row>
    <row r="1316" ht="14.4" spans="14:31">
      <c r="N1316" s="10"/>
      <c r="O1316" s="10"/>
      <c r="P1316" t="b">
        <v>0</v>
      </c>
      <c r="Q1316" t="b">
        <v>0</v>
      </c>
      <c r="R1316" s="3"/>
      <c r="S1316" s="10"/>
      <c r="T1316" s="10"/>
      <c r="U1316" s="10"/>
      <c r="V1316" s="10"/>
      <c r="W1316" s="10"/>
      <c r="X1316" s="10"/>
      <c r="Y1316" s="10"/>
      <c r="Z1316" s="10"/>
      <c r="AA1316" s="10"/>
      <c r="AB1316" s="10"/>
      <c r="AC1316" s="10"/>
      <c r="AD1316" s="10"/>
      <c r="AE1316" s="10"/>
    </row>
    <row r="1317" ht="14.4" spans="14:31">
      <c r="N1317" s="10"/>
      <c r="O1317" s="10"/>
      <c r="P1317" t="b">
        <v>0</v>
      </c>
      <c r="Q1317" t="b">
        <v>0</v>
      </c>
      <c r="R1317" s="3"/>
      <c r="S1317" s="10"/>
      <c r="T1317" s="10"/>
      <c r="U1317" s="10"/>
      <c r="V1317" s="10"/>
      <c r="W1317" s="10"/>
      <c r="X1317" s="10"/>
      <c r="Y1317" s="10"/>
      <c r="Z1317" s="10"/>
      <c r="AA1317" s="10"/>
      <c r="AB1317" s="10"/>
      <c r="AC1317" s="10"/>
      <c r="AD1317" s="10"/>
      <c r="AE1317" s="10"/>
    </row>
    <row r="1318" ht="14.4" spans="14:31">
      <c r="N1318" s="10"/>
      <c r="O1318" s="10"/>
      <c r="P1318" t="b">
        <v>0</v>
      </c>
      <c r="Q1318" t="b">
        <v>0</v>
      </c>
      <c r="R1318" s="3"/>
      <c r="S1318" s="10"/>
      <c r="T1318" s="10"/>
      <c r="U1318" s="10"/>
      <c r="V1318" s="10"/>
      <c r="W1318" s="10"/>
      <c r="X1318" s="10"/>
      <c r="Y1318" s="10"/>
      <c r="Z1318" s="10"/>
      <c r="AA1318" s="10"/>
      <c r="AB1318" s="10"/>
      <c r="AC1318" s="10"/>
      <c r="AD1318" s="10"/>
      <c r="AE1318" s="10"/>
    </row>
    <row r="1319" ht="14.4" spans="14:31">
      <c r="N1319" s="10"/>
      <c r="O1319" s="10"/>
      <c r="P1319" t="b">
        <v>0</v>
      </c>
      <c r="Q1319" t="b">
        <v>0</v>
      </c>
      <c r="R1319" s="3"/>
      <c r="S1319" s="10"/>
      <c r="T1319" s="10"/>
      <c r="U1319" s="10"/>
      <c r="V1319" s="10"/>
      <c r="W1319" s="10"/>
      <c r="X1319" s="10"/>
      <c r="Y1319" s="10"/>
      <c r="Z1319" s="10"/>
      <c r="AA1319" s="10"/>
      <c r="AB1319" s="10"/>
      <c r="AC1319" s="10"/>
      <c r="AD1319" s="10"/>
      <c r="AE1319" s="10"/>
    </row>
    <row r="1320" ht="14.4" spans="14:31">
      <c r="N1320" s="10"/>
      <c r="O1320" s="10"/>
      <c r="P1320" t="b">
        <v>0</v>
      </c>
      <c r="Q1320" t="b">
        <v>0</v>
      </c>
      <c r="R1320" s="3"/>
      <c r="S1320" s="10"/>
      <c r="T1320" s="10"/>
      <c r="U1320" s="10"/>
      <c r="V1320" s="10"/>
      <c r="W1320" s="10"/>
      <c r="X1320" s="10"/>
      <c r="Y1320" s="10"/>
      <c r="Z1320" s="10"/>
      <c r="AA1320" s="10"/>
      <c r="AB1320" s="10"/>
      <c r="AC1320" s="10"/>
      <c r="AD1320" s="10"/>
      <c r="AE1320" s="10"/>
    </row>
    <row r="1321" ht="14.4" spans="14:31">
      <c r="N1321" s="10"/>
      <c r="O1321" s="10"/>
      <c r="P1321" t="b">
        <v>0</v>
      </c>
      <c r="Q1321" t="b">
        <v>0</v>
      </c>
      <c r="R1321" s="3"/>
      <c r="S1321" s="10"/>
      <c r="T1321" s="10"/>
      <c r="U1321" s="10"/>
      <c r="V1321" s="10"/>
      <c r="W1321" s="10"/>
      <c r="X1321" s="10"/>
      <c r="Y1321" s="10"/>
      <c r="Z1321" s="10"/>
      <c r="AA1321" s="10"/>
      <c r="AB1321" s="10"/>
      <c r="AC1321" s="10"/>
      <c r="AD1321" s="10"/>
      <c r="AE1321" s="10"/>
    </row>
    <row r="1322" ht="14.4" spans="14:31">
      <c r="N1322" s="10"/>
      <c r="O1322" s="10"/>
      <c r="P1322" t="b">
        <v>0</v>
      </c>
      <c r="Q1322" t="b">
        <v>0</v>
      </c>
      <c r="R1322" s="3"/>
      <c r="S1322" s="10"/>
      <c r="T1322" s="10"/>
      <c r="U1322" s="10"/>
      <c r="V1322" s="10"/>
      <c r="W1322" s="10"/>
      <c r="X1322" s="10"/>
      <c r="Y1322" s="10"/>
      <c r="Z1322" s="10"/>
      <c r="AA1322" s="10"/>
      <c r="AB1322" s="10"/>
      <c r="AC1322" s="10"/>
      <c r="AD1322" s="10"/>
      <c r="AE1322" s="10"/>
    </row>
    <row r="1323" ht="14.4" spans="14:31">
      <c r="N1323" s="10"/>
      <c r="O1323" s="10"/>
      <c r="P1323" t="b">
        <v>0</v>
      </c>
      <c r="Q1323" t="b">
        <v>0</v>
      </c>
      <c r="R1323" s="3"/>
      <c r="S1323" s="10"/>
      <c r="T1323" s="10"/>
      <c r="U1323" s="10"/>
      <c r="V1323" s="10"/>
      <c r="W1323" s="10"/>
      <c r="X1323" s="10"/>
      <c r="Y1323" s="10"/>
      <c r="Z1323" s="10"/>
      <c r="AA1323" s="10"/>
      <c r="AB1323" s="10"/>
      <c r="AC1323" s="10"/>
      <c r="AD1323" s="10"/>
      <c r="AE1323" s="10"/>
    </row>
    <row r="1324" ht="14.4" spans="14:31">
      <c r="N1324" s="10"/>
      <c r="O1324" s="10"/>
      <c r="P1324" t="b">
        <v>0</v>
      </c>
      <c r="Q1324" t="b">
        <v>0</v>
      </c>
      <c r="R1324" s="3"/>
      <c r="S1324" s="10"/>
      <c r="T1324" s="10"/>
      <c r="U1324" s="10"/>
      <c r="V1324" s="10"/>
      <c r="W1324" s="10"/>
      <c r="X1324" s="10"/>
      <c r="Y1324" s="10"/>
      <c r="Z1324" s="10"/>
      <c r="AA1324" s="10"/>
      <c r="AB1324" s="10"/>
      <c r="AC1324" s="10"/>
      <c r="AD1324" s="10"/>
      <c r="AE1324" s="10"/>
    </row>
    <row r="1325" ht="14.4" spans="14:31">
      <c r="N1325" s="10"/>
      <c r="O1325" s="10"/>
      <c r="P1325" t="b">
        <v>0</v>
      </c>
      <c r="Q1325" t="b">
        <v>0</v>
      </c>
      <c r="R1325" s="3"/>
      <c r="S1325" s="10"/>
      <c r="T1325" s="10"/>
      <c r="U1325" s="10"/>
      <c r="V1325" s="10"/>
      <c r="W1325" s="10"/>
      <c r="X1325" s="10"/>
      <c r="Y1325" s="10"/>
      <c r="Z1325" s="10"/>
      <c r="AA1325" s="10"/>
      <c r="AB1325" s="10"/>
      <c r="AC1325" s="10"/>
      <c r="AD1325" s="10"/>
      <c r="AE1325" s="10"/>
    </row>
    <row r="1326" ht="14.4" spans="14:31">
      <c r="N1326" s="10"/>
      <c r="O1326" s="10"/>
      <c r="P1326" t="b">
        <v>0</v>
      </c>
      <c r="Q1326" t="b">
        <v>0</v>
      </c>
      <c r="R1326" s="3"/>
      <c r="S1326" s="10"/>
      <c r="T1326" s="10"/>
      <c r="U1326" s="10"/>
      <c r="V1326" s="10"/>
      <c r="W1326" s="10"/>
      <c r="X1326" s="10"/>
      <c r="Y1326" s="10"/>
      <c r="Z1326" s="10"/>
      <c r="AA1326" s="10"/>
      <c r="AB1326" s="10"/>
      <c r="AC1326" s="10"/>
      <c r="AD1326" s="10"/>
      <c r="AE1326" s="10"/>
    </row>
    <row r="1327" ht="14.4" spans="14:31">
      <c r="N1327" s="10"/>
      <c r="O1327" s="10"/>
      <c r="P1327" t="b">
        <v>0</v>
      </c>
      <c r="Q1327" t="b">
        <v>0</v>
      </c>
      <c r="R1327" s="3"/>
      <c r="S1327" s="10"/>
      <c r="T1327" s="10"/>
      <c r="U1327" s="10"/>
      <c r="V1327" s="10"/>
      <c r="W1327" s="10"/>
      <c r="X1327" s="10"/>
      <c r="Y1327" s="10"/>
      <c r="Z1327" s="10"/>
      <c r="AA1327" s="10"/>
      <c r="AB1327" s="10"/>
      <c r="AC1327" s="10"/>
      <c r="AD1327" s="10"/>
      <c r="AE1327" s="10"/>
    </row>
    <row r="1328" ht="14.4" spans="14:31">
      <c r="N1328" s="10"/>
      <c r="O1328" s="10"/>
      <c r="P1328" t="b">
        <v>0</v>
      </c>
      <c r="Q1328" t="b">
        <v>0</v>
      </c>
      <c r="R1328" s="3"/>
      <c r="S1328" s="10"/>
      <c r="T1328" s="10"/>
      <c r="U1328" s="10"/>
      <c r="V1328" s="10"/>
      <c r="W1328" s="10"/>
      <c r="X1328" s="10"/>
      <c r="Y1328" s="10"/>
      <c r="Z1328" s="10"/>
      <c r="AA1328" s="10"/>
      <c r="AB1328" s="10"/>
      <c r="AC1328" s="10"/>
      <c r="AD1328" s="10"/>
      <c r="AE1328" s="10"/>
    </row>
    <row r="1329" ht="14.4" spans="14:31">
      <c r="N1329" s="10"/>
      <c r="O1329" s="10"/>
      <c r="P1329" t="b">
        <v>0</v>
      </c>
      <c r="Q1329" t="b">
        <v>0</v>
      </c>
      <c r="R1329" s="3"/>
      <c r="S1329" s="10"/>
      <c r="T1329" s="10"/>
      <c r="U1329" s="10"/>
      <c r="V1329" s="10"/>
      <c r="W1329" s="10"/>
      <c r="X1329" s="10"/>
      <c r="Y1329" s="10"/>
      <c r="Z1329" s="10"/>
      <c r="AA1329" s="10"/>
      <c r="AB1329" s="10"/>
      <c r="AC1329" s="10"/>
      <c r="AD1329" s="10"/>
      <c r="AE1329" s="10"/>
    </row>
    <row r="1330" ht="14.4" spans="14:31">
      <c r="N1330" s="10"/>
      <c r="O1330" s="10"/>
      <c r="P1330" t="b">
        <v>0</v>
      </c>
      <c r="Q1330" t="b">
        <v>0</v>
      </c>
      <c r="R1330" s="3"/>
      <c r="S1330" s="10"/>
      <c r="T1330" s="10"/>
      <c r="U1330" s="10"/>
      <c r="V1330" s="10"/>
      <c r="W1330" s="10"/>
      <c r="X1330" s="10"/>
      <c r="Y1330" s="10"/>
      <c r="Z1330" s="10"/>
      <c r="AA1330" s="10"/>
      <c r="AB1330" s="10"/>
      <c r="AC1330" s="10"/>
      <c r="AD1330" s="10"/>
      <c r="AE1330" s="10"/>
    </row>
    <row r="1331" ht="14.4" spans="14:31">
      <c r="N1331" s="10"/>
      <c r="O1331" s="10"/>
      <c r="P1331" t="b">
        <v>0</v>
      </c>
      <c r="Q1331" t="b">
        <v>0</v>
      </c>
      <c r="R1331" s="3"/>
      <c r="S1331" s="10"/>
      <c r="T1331" s="10"/>
      <c r="U1331" s="10"/>
      <c r="V1331" s="10"/>
      <c r="W1331" s="10"/>
      <c r="X1331" s="10"/>
      <c r="Y1331" s="10"/>
      <c r="Z1331" s="10"/>
      <c r="AA1331" s="10"/>
      <c r="AB1331" s="10"/>
      <c r="AC1331" s="10"/>
      <c r="AD1331" s="10"/>
      <c r="AE1331" s="10"/>
    </row>
    <row r="1332" ht="14.4" spans="14:31">
      <c r="N1332" s="10"/>
      <c r="O1332" s="10"/>
      <c r="P1332" t="b">
        <v>0</v>
      </c>
      <c r="Q1332" t="b">
        <v>0</v>
      </c>
      <c r="R1332" s="3"/>
      <c r="S1332" s="10"/>
      <c r="T1332" s="10"/>
      <c r="U1332" s="10"/>
      <c r="V1332" s="10"/>
      <c r="W1332" s="10"/>
      <c r="X1332" s="10"/>
      <c r="Y1332" s="10"/>
      <c r="Z1332" s="10"/>
      <c r="AA1332" s="10"/>
      <c r="AB1332" s="10"/>
      <c r="AC1332" s="10"/>
      <c r="AD1332" s="10"/>
      <c r="AE1332" s="10"/>
    </row>
    <row r="1333" ht="14.4" spans="14:31">
      <c r="N1333" s="10"/>
      <c r="O1333" s="10"/>
      <c r="P1333" t="b">
        <v>0</v>
      </c>
      <c r="Q1333" t="b">
        <v>0</v>
      </c>
      <c r="R1333" s="3"/>
      <c r="S1333" s="10"/>
      <c r="T1333" s="10"/>
      <c r="U1333" s="10"/>
      <c r="V1333" s="10"/>
      <c r="W1333" s="10"/>
      <c r="X1333" s="10"/>
      <c r="Y1333" s="10"/>
      <c r="Z1333" s="10"/>
      <c r="AA1333" s="10"/>
      <c r="AB1333" s="10"/>
      <c r="AC1333" s="10"/>
      <c r="AD1333" s="10"/>
      <c r="AE1333" s="10"/>
    </row>
    <row r="1334" ht="14.4" spans="14:31">
      <c r="N1334" s="10"/>
      <c r="O1334" s="10"/>
      <c r="P1334" t="b">
        <v>0</v>
      </c>
      <c r="Q1334" t="b">
        <v>0</v>
      </c>
      <c r="R1334" s="3"/>
      <c r="S1334" s="10"/>
      <c r="T1334" s="10"/>
      <c r="U1334" s="10"/>
      <c r="V1334" s="10"/>
      <c r="W1334" s="10"/>
      <c r="X1334" s="10"/>
      <c r="Y1334" s="10"/>
      <c r="Z1334" s="10"/>
      <c r="AA1334" s="10"/>
      <c r="AB1334" s="10"/>
      <c r="AC1334" s="10"/>
      <c r="AD1334" s="10"/>
      <c r="AE1334" s="10"/>
    </row>
    <row r="1335" ht="14.4" spans="14:31">
      <c r="N1335" s="10"/>
      <c r="O1335" s="10"/>
      <c r="P1335" t="b">
        <v>0</v>
      </c>
      <c r="Q1335" t="b">
        <v>0</v>
      </c>
      <c r="R1335" s="3"/>
      <c r="S1335" s="10"/>
      <c r="T1335" s="10"/>
      <c r="U1335" s="10"/>
      <c r="V1335" s="10"/>
      <c r="W1335" s="10"/>
      <c r="X1335" s="10"/>
      <c r="Y1335" s="10"/>
      <c r="Z1335" s="10"/>
      <c r="AA1335" s="10"/>
      <c r="AB1335" s="10"/>
      <c r="AC1335" s="10"/>
      <c r="AD1335" s="10"/>
      <c r="AE1335" s="10"/>
    </row>
    <row r="1336" ht="14.4" spans="14:31">
      <c r="N1336" s="10"/>
      <c r="O1336" s="10"/>
      <c r="P1336" t="b">
        <v>0</v>
      </c>
      <c r="Q1336" t="b">
        <v>0</v>
      </c>
      <c r="R1336" s="3"/>
      <c r="S1336" s="10"/>
      <c r="T1336" s="10"/>
      <c r="U1336" s="10"/>
      <c r="V1336" s="10"/>
      <c r="W1336" s="10"/>
      <c r="X1336" s="10"/>
      <c r="Y1336" s="10"/>
      <c r="Z1336" s="10"/>
      <c r="AA1336" s="10"/>
      <c r="AB1336" s="10"/>
      <c r="AC1336" s="10"/>
      <c r="AD1336" s="10"/>
      <c r="AE1336" s="10"/>
    </row>
    <row r="1337" ht="14.4" spans="14:31">
      <c r="N1337" s="10"/>
      <c r="O1337" s="10"/>
      <c r="P1337" t="b">
        <v>0</v>
      </c>
      <c r="Q1337" t="b">
        <v>0</v>
      </c>
      <c r="R1337" s="3"/>
      <c r="S1337" s="10"/>
      <c r="T1337" s="10"/>
      <c r="U1337" s="10"/>
      <c r="V1337" s="10"/>
      <c r="W1337" s="10"/>
      <c r="X1337" s="10"/>
      <c r="Y1337" s="10"/>
      <c r="Z1337" s="10"/>
      <c r="AA1337" s="10"/>
      <c r="AB1337" s="10"/>
      <c r="AC1337" s="10"/>
      <c r="AD1337" s="10"/>
      <c r="AE1337" s="10"/>
    </row>
    <row r="1338" ht="14.4" spans="14:31">
      <c r="N1338" s="10"/>
      <c r="O1338" s="10"/>
      <c r="P1338" t="b">
        <v>0</v>
      </c>
      <c r="Q1338" t="b">
        <v>0</v>
      </c>
      <c r="R1338" s="3"/>
      <c r="S1338" s="10"/>
      <c r="T1338" s="10"/>
      <c r="U1338" s="10"/>
      <c r="V1338" s="10"/>
      <c r="W1338" s="10"/>
      <c r="X1338" s="10"/>
      <c r="Y1338" s="10"/>
      <c r="Z1338" s="10"/>
      <c r="AA1338" s="10"/>
      <c r="AB1338" s="10"/>
      <c r="AC1338" s="10"/>
      <c r="AD1338" s="10"/>
      <c r="AE1338" s="10"/>
    </row>
    <row r="1339" ht="14.4" spans="14:31">
      <c r="N1339" s="10"/>
      <c r="O1339" s="10"/>
      <c r="P1339" t="b">
        <v>0</v>
      </c>
      <c r="Q1339" t="b">
        <v>0</v>
      </c>
      <c r="R1339" s="3"/>
      <c r="S1339" s="10"/>
      <c r="T1339" s="10"/>
      <c r="U1339" s="10"/>
      <c r="V1339" s="10"/>
      <c r="W1339" s="10"/>
      <c r="X1339" s="10"/>
      <c r="Y1339" s="10"/>
      <c r="Z1339" s="10"/>
      <c r="AA1339" s="10"/>
      <c r="AB1339" s="10"/>
      <c r="AC1339" s="10"/>
      <c r="AD1339" s="10"/>
      <c r="AE1339" s="10"/>
    </row>
    <row r="1340" ht="14.4" spans="14:31">
      <c r="N1340" s="10"/>
      <c r="O1340" s="10"/>
      <c r="P1340" t="b">
        <v>0</v>
      </c>
      <c r="Q1340" t="b">
        <v>0</v>
      </c>
      <c r="R1340" s="3"/>
      <c r="S1340" s="10"/>
      <c r="T1340" s="10"/>
      <c r="U1340" s="10"/>
      <c r="V1340" s="10"/>
      <c r="W1340" s="10"/>
      <c r="X1340" s="10"/>
      <c r="Y1340" s="10"/>
      <c r="Z1340" s="10"/>
      <c r="AA1340" s="10"/>
      <c r="AB1340" s="10"/>
      <c r="AC1340" s="10"/>
      <c r="AD1340" s="10"/>
      <c r="AE1340" s="10"/>
    </row>
    <row r="1341" ht="14.4" spans="14:31">
      <c r="N1341" s="10"/>
      <c r="O1341" s="10"/>
      <c r="P1341" t="b">
        <v>0</v>
      </c>
      <c r="Q1341" t="b">
        <v>0</v>
      </c>
      <c r="R1341" s="3"/>
      <c r="S1341" s="10"/>
      <c r="T1341" s="10"/>
      <c r="U1341" s="10"/>
      <c r="V1341" s="10"/>
      <c r="W1341" s="10"/>
      <c r="X1341" s="10"/>
      <c r="Y1341" s="10"/>
      <c r="Z1341" s="10"/>
      <c r="AA1341" s="10"/>
      <c r="AB1341" s="10"/>
      <c r="AC1341" s="10"/>
      <c r="AD1341" s="10"/>
      <c r="AE1341" s="10"/>
    </row>
    <row r="1342" ht="14.4" spans="14:31">
      <c r="N1342" s="10"/>
      <c r="O1342" s="10"/>
      <c r="P1342" t="b">
        <v>0</v>
      </c>
      <c r="Q1342" t="b">
        <v>0</v>
      </c>
      <c r="R1342" s="3"/>
      <c r="S1342" s="10"/>
      <c r="T1342" s="10"/>
      <c r="U1342" s="10"/>
      <c r="V1342" s="10"/>
      <c r="W1342" s="10"/>
      <c r="X1342" s="10"/>
      <c r="Y1342" s="10"/>
      <c r="Z1342" s="10"/>
      <c r="AA1342" s="10"/>
      <c r="AB1342" s="10"/>
      <c r="AC1342" s="10"/>
      <c r="AD1342" s="10"/>
      <c r="AE1342" s="10"/>
    </row>
    <row r="1343" ht="14.4" spans="14:31">
      <c r="N1343" s="10"/>
      <c r="O1343" s="10"/>
      <c r="P1343" t="b">
        <v>0</v>
      </c>
      <c r="Q1343" t="b">
        <v>0</v>
      </c>
      <c r="R1343" s="3"/>
      <c r="S1343" s="10"/>
      <c r="T1343" s="10"/>
      <c r="U1343" s="10"/>
      <c r="V1343" s="10"/>
      <c r="W1343" s="10"/>
      <c r="X1343" s="10"/>
      <c r="Y1343" s="10"/>
      <c r="Z1343" s="10"/>
      <c r="AA1343" s="10"/>
      <c r="AB1343" s="10"/>
      <c r="AC1343" s="10"/>
      <c r="AD1343" s="10"/>
      <c r="AE1343" s="10"/>
    </row>
    <row r="1344" ht="14.4" spans="14:31">
      <c r="N1344" s="10"/>
      <c r="O1344" s="10"/>
      <c r="P1344" t="b">
        <v>0</v>
      </c>
      <c r="Q1344" t="b">
        <v>0</v>
      </c>
      <c r="R1344" s="3"/>
      <c r="S1344" s="10"/>
      <c r="T1344" s="10"/>
      <c r="U1344" s="10"/>
      <c r="V1344" s="10"/>
      <c r="W1344" s="10"/>
      <c r="X1344" s="10"/>
      <c r="Y1344" s="10"/>
      <c r="Z1344" s="10"/>
      <c r="AA1344" s="10"/>
      <c r="AB1344" s="10"/>
      <c r="AC1344" s="10"/>
      <c r="AD1344" s="10"/>
      <c r="AE1344" s="10"/>
    </row>
    <row r="1345" ht="14.4" spans="14:31">
      <c r="N1345" s="10"/>
      <c r="O1345" s="10"/>
      <c r="P1345" t="b">
        <v>0</v>
      </c>
      <c r="Q1345" t="b">
        <v>0</v>
      </c>
      <c r="R1345" s="3"/>
      <c r="S1345" s="10"/>
      <c r="T1345" s="10"/>
      <c r="U1345" s="10"/>
      <c r="V1345" s="10"/>
      <c r="W1345" s="10"/>
      <c r="X1345" s="10"/>
      <c r="Y1345" s="10"/>
      <c r="Z1345" s="10"/>
      <c r="AA1345" s="10"/>
      <c r="AB1345" s="10"/>
      <c r="AC1345" s="10"/>
      <c r="AD1345" s="10"/>
      <c r="AE1345" s="10"/>
    </row>
    <row r="1346" ht="14.4" spans="14:31">
      <c r="N1346" s="10"/>
      <c r="O1346" s="10"/>
      <c r="P1346" t="b">
        <v>0</v>
      </c>
      <c r="Q1346" t="b">
        <v>0</v>
      </c>
      <c r="R1346" s="3"/>
      <c r="S1346" s="10"/>
      <c r="T1346" s="10"/>
      <c r="U1346" s="10"/>
      <c r="V1346" s="10"/>
      <c r="W1346" s="10"/>
      <c r="X1346" s="10"/>
      <c r="Y1346" s="10"/>
      <c r="Z1346" s="10"/>
      <c r="AA1346" s="10"/>
      <c r="AB1346" s="10"/>
      <c r="AC1346" s="10"/>
      <c r="AD1346" s="10"/>
      <c r="AE1346" s="10"/>
    </row>
    <row r="1347" ht="14.4" spans="14:31">
      <c r="N1347" s="10"/>
      <c r="O1347" s="10"/>
      <c r="P1347" t="b">
        <v>0</v>
      </c>
      <c r="Q1347" t="b">
        <v>0</v>
      </c>
      <c r="R1347" s="3"/>
      <c r="S1347" s="10"/>
      <c r="T1347" s="10"/>
      <c r="U1347" s="10"/>
      <c r="V1347" s="10"/>
      <c r="W1347" s="10"/>
      <c r="X1347" s="10"/>
      <c r="Y1347" s="10"/>
      <c r="Z1347" s="10"/>
      <c r="AA1347" s="10"/>
      <c r="AB1347" s="10"/>
      <c r="AC1347" s="10"/>
      <c r="AD1347" s="10"/>
      <c r="AE1347" s="10"/>
    </row>
    <row r="1348" ht="14.4" spans="14:31">
      <c r="N1348" s="10"/>
      <c r="O1348" s="10"/>
      <c r="P1348" t="b">
        <v>0</v>
      </c>
      <c r="Q1348" t="b">
        <v>0</v>
      </c>
      <c r="R1348" s="3"/>
      <c r="S1348" s="10"/>
      <c r="T1348" s="10"/>
      <c r="U1348" s="10"/>
      <c r="V1348" s="10"/>
      <c r="W1348" s="10"/>
      <c r="X1348" s="10"/>
      <c r="Y1348" s="10"/>
      <c r="Z1348" s="10"/>
      <c r="AA1348" s="10"/>
      <c r="AB1348" s="10"/>
      <c r="AC1348" s="10"/>
      <c r="AD1348" s="10"/>
      <c r="AE1348" s="10"/>
    </row>
    <row r="1349" ht="14.4" spans="14:31">
      <c r="N1349" s="10"/>
      <c r="O1349" s="10"/>
      <c r="P1349" t="b">
        <v>0</v>
      </c>
      <c r="Q1349" t="b">
        <v>0</v>
      </c>
      <c r="R1349" s="3"/>
      <c r="S1349" s="10"/>
      <c r="T1349" s="10"/>
      <c r="U1349" s="10"/>
      <c r="V1349" s="10"/>
      <c r="W1349" s="10"/>
      <c r="X1349" s="10"/>
      <c r="Y1349" s="10"/>
      <c r="Z1349" s="10"/>
      <c r="AA1349" s="10"/>
      <c r="AB1349" s="10"/>
      <c r="AC1349" s="10"/>
      <c r="AD1349" s="10"/>
      <c r="AE1349" s="10"/>
    </row>
    <row r="1350" ht="14.4" spans="14:31">
      <c r="N1350" s="10"/>
      <c r="O1350" s="10"/>
      <c r="P1350" t="b">
        <v>0</v>
      </c>
      <c r="Q1350" t="b">
        <v>0</v>
      </c>
      <c r="R1350" s="3"/>
      <c r="S1350" s="10"/>
      <c r="T1350" s="10"/>
      <c r="U1350" s="10"/>
      <c r="V1350" s="10"/>
      <c r="W1350" s="10"/>
      <c r="X1350" s="10"/>
      <c r="Y1350" s="10"/>
      <c r="Z1350" s="10"/>
      <c r="AA1350" s="10"/>
      <c r="AB1350" s="10"/>
      <c r="AC1350" s="10"/>
      <c r="AD1350" s="10"/>
      <c r="AE1350" s="10"/>
    </row>
    <row r="1351" ht="14.4" spans="14:31">
      <c r="N1351" s="10"/>
      <c r="O1351" s="10"/>
      <c r="P1351" t="b">
        <v>0</v>
      </c>
      <c r="Q1351" t="b">
        <v>0</v>
      </c>
      <c r="R1351" s="3"/>
      <c r="S1351" s="10"/>
      <c r="T1351" s="10"/>
      <c r="U1351" s="10"/>
      <c r="V1351" s="10"/>
      <c r="W1351" s="10"/>
      <c r="X1351" s="10"/>
      <c r="Y1351" s="10"/>
      <c r="Z1351" s="10"/>
      <c r="AA1351" s="10"/>
      <c r="AB1351" s="10"/>
      <c r="AC1351" s="10"/>
      <c r="AD1351" s="10"/>
      <c r="AE1351" s="10"/>
    </row>
    <row r="1352" ht="14.4" spans="14:31">
      <c r="N1352" s="10"/>
      <c r="O1352" s="10"/>
      <c r="P1352" t="b">
        <v>0</v>
      </c>
      <c r="Q1352" t="b">
        <v>0</v>
      </c>
      <c r="R1352" s="3"/>
      <c r="S1352" s="10"/>
      <c r="T1352" s="10"/>
      <c r="U1352" s="10"/>
      <c r="V1352" s="10"/>
      <c r="W1352" s="10"/>
      <c r="X1352" s="10"/>
      <c r="Y1352" s="10"/>
      <c r="Z1352" s="10"/>
      <c r="AA1352" s="10"/>
      <c r="AB1352" s="10"/>
      <c r="AC1352" s="10"/>
      <c r="AD1352" s="10"/>
      <c r="AE1352" s="10"/>
    </row>
    <row r="1353" ht="14.4" spans="14:31">
      <c r="N1353" s="10"/>
      <c r="O1353" s="10"/>
      <c r="P1353" t="b">
        <v>0</v>
      </c>
      <c r="Q1353" t="b">
        <v>0</v>
      </c>
      <c r="R1353" s="3"/>
      <c r="S1353" s="10"/>
      <c r="T1353" s="10"/>
      <c r="U1353" s="10"/>
      <c r="V1353" s="10"/>
      <c r="W1353" s="10"/>
      <c r="X1353" s="10"/>
      <c r="Y1353" s="10"/>
      <c r="Z1353" s="10"/>
      <c r="AA1353" s="10"/>
      <c r="AB1353" s="10"/>
      <c r="AC1353" s="10"/>
      <c r="AD1353" s="10"/>
      <c r="AE1353" s="10"/>
    </row>
    <row r="1354" ht="14.4" spans="14:31">
      <c r="N1354" s="10"/>
      <c r="O1354" s="10"/>
      <c r="P1354" t="b">
        <v>0</v>
      </c>
      <c r="Q1354" t="b">
        <v>0</v>
      </c>
      <c r="R1354" s="3"/>
      <c r="S1354" s="10"/>
      <c r="T1354" s="10"/>
      <c r="U1354" s="10"/>
      <c r="V1354" s="10"/>
      <c r="W1354" s="10"/>
      <c r="X1354" s="10"/>
      <c r="Y1354" s="10"/>
      <c r="Z1354" s="10"/>
      <c r="AA1354" s="10"/>
      <c r="AB1354" s="10"/>
      <c r="AC1354" s="10"/>
      <c r="AD1354" s="10"/>
      <c r="AE1354" s="10"/>
    </row>
    <row r="1355" ht="14.4" spans="14:31">
      <c r="N1355" s="10"/>
      <c r="O1355" s="10"/>
      <c r="P1355" t="b">
        <v>0</v>
      </c>
      <c r="Q1355" t="b">
        <v>0</v>
      </c>
      <c r="R1355" s="3"/>
      <c r="S1355" s="10"/>
      <c r="T1355" s="10"/>
      <c r="U1355" s="10"/>
      <c r="V1355" s="10"/>
      <c r="W1355" s="10"/>
      <c r="X1355" s="10"/>
      <c r="Y1355" s="10"/>
      <c r="Z1355" s="10"/>
      <c r="AA1355" s="10"/>
      <c r="AB1355" s="10"/>
      <c r="AC1355" s="10"/>
      <c r="AD1355" s="10"/>
      <c r="AE1355" s="10"/>
    </row>
    <row r="1356" ht="14.4" spans="14:31">
      <c r="N1356" s="10"/>
      <c r="O1356" s="10"/>
      <c r="P1356" t="b">
        <v>0</v>
      </c>
      <c r="Q1356" t="b">
        <v>0</v>
      </c>
      <c r="R1356" s="3"/>
      <c r="S1356" s="10"/>
      <c r="T1356" s="10"/>
      <c r="U1356" s="10"/>
      <c r="V1356" s="10"/>
      <c r="W1356" s="10"/>
      <c r="X1356" s="10"/>
      <c r="Y1356" s="10"/>
      <c r="Z1356" s="10"/>
      <c r="AA1356" s="10"/>
      <c r="AB1356" s="10"/>
      <c r="AC1356" s="10"/>
      <c r="AD1356" s="10"/>
      <c r="AE1356" s="10"/>
    </row>
    <row r="1357" ht="14.4" spans="14:31">
      <c r="N1357" s="10"/>
      <c r="O1357" s="10"/>
      <c r="P1357" t="b">
        <v>0</v>
      </c>
      <c r="Q1357" t="b">
        <v>0</v>
      </c>
      <c r="R1357" s="3"/>
      <c r="S1357" s="10"/>
      <c r="T1357" s="10"/>
      <c r="U1357" s="10"/>
      <c r="V1357" s="10"/>
      <c r="W1357" s="10"/>
      <c r="X1357" s="10"/>
      <c r="Y1357" s="10"/>
      <c r="Z1357" s="10"/>
      <c r="AA1357" s="10"/>
      <c r="AB1357" s="10"/>
      <c r="AC1357" s="10"/>
      <c r="AD1357" s="10"/>
      <c r="AE1357" s="10"/>
    </row>
    <row r="1358" ht="14.4" spans="14:31">
      <c r="N1358" s="10"/>
      <c r="O1358" s="10"/>
      <c r="P1358" t="b">
        <v>0</v>
      </c>
      <c r="Q1358" t="b">
        <v>0</v>
      </c>
      <c r="R1358" s="3"/>
      <c r="S1358" s="10"/>
      <c r="T1358" s="10"/>
      <c r="U1358" s="10"/>
      <c r="V1358" s="10"/>
      <c r="W1358" s="10"/>
      <c r="X1358" s="10"/>
      <c r="Y1358" s="10"/>
      <c r="Z1358" s="10"/>
      <c r="AA1358" s="10"/>
      <c r="AB1358" s="10"/>
      <c r="AC1358" s="10"/>
      <c r="AD1358" s="10"/>
      <c r="AE1358" s="10"/>
    </row>
    <row r="1359" ht="14.4" spans="14:31">
      <c r="N1359" s="10"/>
      <c r="O1359" s="10"/>
      <c r="P1359" t="b">
        <v>0</v>
      </c>
      <c r="Q1359" t="b">
        <v>0</v>
      </c>
      <c r="R1359" s="3"/>
      <c r="S1359" s="10"/>
      <c r="T1359" s="10"/>
      <c r="U1359" s="10"/>
      <c r="V1359" s="10"/>
      <c r="W1359" s="10"/>
      <c r="X1359" s="10"/>
      <c r="Y1359" s="10"/>
      <c r="Z1359" s="10"/>
      <c r="AA1359" s="10"/>
      <c r="AB1359" s="10"/>
      <c r="AC1359" s="10"/>
      <c r="AD1359" s="10"/>
      <c r="AE1359" s="10"/>
    </row>
    <row r="1360" ht="14.4" spans="14:31">
      <c r="N1360" s="10"/>
      <c r="O1360" s="10"/>
      <c r="P1360" t="b">
        <v>0</v>
      </c>
      <c r="Q1360" t="b">
        <v>0</v>
      </c>
      <c r="R1360" s="3"/>
      <c r="S1360" s="10"/>
      <c r="T1360" s="10"/>
      <c r="U1360" s="10"/>
      <c r="V1360" s="10"/>
      <c r="W1360" s="10"/>
      <c r="X1360" s="10"/>
      <c r="Y1360" s="10"/>
      <c r="Z1360" s="10"/>
      <c r="AA1360" s="10"/>
      <c r="AB1360" s="10"/>
      <c r="AC1360" s="10"/>
      <c r="AD1360" s="10"/>
      <c r="AE1360" s="10"/>
    </row>
    <row r="1361" ht="14.4" spans="14:31">
      <c r="N1361" s="10"/>
      <c r="O1361" s="10"/>
      <c r="P1361" t="b">
        <v>0</v>
      </c>
      <c r="Q1361" t="b">
        <v>0</v>
      </c>
      <c r="R1361" s="3"/>
      <c r="S1361" s="10"/>
      <c r="T1361" s="10"/>
      <c r="U1361" s="10"/>
      <c r="V1361" s="10"/>
      <c r="W1361" s="10"/>
      <c r="X1361" s="10"/>
      <c r="Y1361" s="10"/>
      <c r="Z1361" s="10"/>
      <c r="AA1361" s="10"/>
      <c r="AB1361" s="10"/>
      <c r="AC1361" s="10"/>
      <c r="AD1361" s="10"/>
      <c r="AE1361" s="10"/>
    </row>
    <row r="1362" ht="14.4" spans="14:31">
      <c r="N1362" s="10"/>
      <c r="O1362" s="10"/>
      <c r="P1362" t="b">
        <v>0</v>
      </c>
      <c r="Q1362" t="b">
        <v>0</v>
      </c>
      <c r="R1362" s="3"/>
      <c r="S1362" s="10"/>
      <c r="T1362" s="10"/>
      <c r="U1362" s="10"/>
      <c r="V1362" s="10"/>
      <c r="W1362" s="10"/>
      <c r="X1362" s="10"/>
      <c r="Y1362" s="10"/>
      <c r="Z1362" s="10"/>
      <c r="AA1362" s="10"/>
      <c r="AB1362" s="10"/>
      <c r="AC1362" s="10"/>
      <c r="AD1362" s="10"/>
      <c r="AE1362" s="10"/>
    </row>
    <row r="1363" ht="14.4" spans="14:31">
      <c r="N1363" s="10"/>
      <c r="O1363" s="10"/>
      <c r="P1363" t="b">
        <v>0</v>
      </c>
      <c r="Q1363" t="b">
        <v>0</v>
      </c>
      <c r="R1363" s="3"/>
      <c r="S1363" s="10"/>
      <c r="T1363" s="10"/>
      <c r="U1363" s="10"/>
      <c r="V1363" s="10"/>
      <c r="W1363" s="10"/>
      <c r="X1363" s="10"/>
      <c r="Y1363" s="10"/>
      <c r="Z1363" s="10"/>
      <c r="AA1363" s="10"/>
      <c r="AB1363" s="10"/>
      <c r="AC1363" s="10"/>
      <c r="AD1363" s="10"/>
      <c r="AE1363" s="10"/>
    </row>
    <row r="1364" ht="14.4" spans="14:31">
      <c r="N1364" s="10"/>
      <c r="O1364" s="10"/>
      <c r="P1364" t="b">
        <v>0</v>
      </c>
      <c r="Q1364" t="b">
        <v>0</v>
      </c>
      <c r="R1364" s="3"/>
      <c r="S1364" s="10"/>
      <c r="T1364" s="10"/>
      <c r="U1364" s="10"/>
      <c r="V1364" s="10"/>
      <c r="W1364" s="10"/>
      <c r="X1364" s="10"/>
      <c r="Y1364" s="10"/>
      <c r="Z1364" s="10"/>
      <c r="AA1364" s="10"/>
      <c r="AB1364" s="10"/>
      <c r="AC1364" s="10"/>
      <c r="AD1364" s="10"/>
      <c r="AE1364" s="10"/>
    </row>
    <row r="1365" ht="14.4" spans="14:31">
      <c r="N1365" s="10"/>
      <c r="O1365" s="10"/>
      <c r="P1365" t="b">
        <v>0</v>
      </c>
      <c r="Q1365" t="b">
        <v>0</v>
      </c>
      <c r="R1365" s="3"/>
      <c r="S1365" s="10"/>
      <c r="T1365" s="10"/>
      <c r="U1365" s="10"/>
      <c r="V1365" s="10"/>
      <c r="W1365" s="10"/>
      <c r="X1365" s="10"/>
      <c r="Y1365" s="10"/>
      <c r="Z1365" s="10"/>
      <c r="AA1365" s="10"/>
      <c r="AB1365" s="10"/>
      <c r="AC1365" s="10"/>
      <c r="AD1365" s="10"/>
      <c r="AE1365" s="10"/>
    </row>
    <row r="1366" ht="14.4" spans="14:31">
      <c r="N1366" s="10"/>
      <c r="O1366" s="10"/>
      <c r="P1366" t="b">
        <v>0</v>
      </c>
      <c r="Q1366" t="b">
        <v>0</v>
      </c>
      <c r="R1366" s="3"/>
      <c r="S1366" s="10"/>
      <c r="T1366" s="10"/>
      <c r="U1366" s="10"/>
      <c r="V1366" s="10"/>
      <c r="W1366" s="10"/>
      <c r="X1366" s="10"/>
      <c r="Y1366" s="10"/>
      <c r="Z1366" s="10"/>
      <c r="AA1366" s="10"/>
      <c r="AB1366" s="10"/>
      <c r="AC1366" s="10"/>
      <c r="AD1366" s="10"/>
      <c r="AE1366" s="10"/>
    </row>
    <row r="1367" ht="14.4" spans="14:31">
      <c r="N1367" s="10"/>
      <c r="O1367" s="10"/>
      <c r="P1367" t="b">
        <v>0</v>
      </c>
      <c r="Q1367" t="b">
        <v>0</v>
      </c>
      <c r="R1367" s="3"/>
      <c r="S1367" s="10"/>
      <c r="T1367" s="10"/>
      <c r="U1367" s="10"/>
      <c r="V1367" s="10"/>
      <c r="W1367" s="10"/>
      <c r="X1367" s="10"/>
      <c r="Y1367" s="10"/>
      <c r="Z1367" s="10"/>
      <c r="AA1367" s="10"/>
      <c r="AB1367" s="10"/>
      <c r="AC1367" s="10"/>
      <c r="AD1367" s="10"/>
      <c r="AE1367" s="10"/>
    </row>
    <row r="1368" ht="14.4" spans="14:31">
      <c r="N1368" s="10"/>
      <c r="O1368" s="10"/>
      <c r="P1368" t="b">
        <v>0</v>
      </c>
      <c r="Q1368" t="b">
        <v>0</v>
      </c>
      <c r="R1368" s="3"/>
      <c r="S1368" s="10"/>
      <c r="T1368" s="10"/>
      <c r="U1368" s="10"/>
      <c r="V1368" s="10"/>
      <c r="W1368" s="10"/>
      <c r="X1368" s="10"/>
      <c r="Y1368" s="10"/>
      <c r="Z1368" s="10"/>
      <c r="AA1368" s="10"/>
      <c r="AB1368" s="10"/>
      <c r="AC1368" s="10"/>
      <c r="AD1368" s="10"/>
      <c r="AE1368" s="10"/>
    </row>
    <row r="1369" ht="14.4" spans="14:31">
      <c r="N1369" s="10"/>
      <c r="O1369" s="10"/>
      <c r="P1369" t="b">
        <v>0</v>
      </c>
      <c r="Q1369" t="b">
        <v>0</v>
      </c>
      <c r="R1369" s="3"/>
      <c r="S1369" s="10"/>
      <c r="T1369" s="10"/>
      <c r="U1369" s="10"/>
      <c r="V1369" s="10"/>
      <c r="W1369" s="10"/>
      <c r="X1369" s="10"/>
      <c r="Y1369" s="10"/>
      <c r="Z1369" s="10"/>
      <c r="AA1369" s="10"/>
      <c r="AB1369" s="10"/>
      <c r="AC1369" s="10"/>
      <c r="AD1369" s="10"/>
      <c r="AE1369" s="10"/>
    </row>
    <row r="1370" ht="14.4" spans="14:31">
      <c r="N1370" s="10"/>
      <c r="O1370" s="10"/>
      <c r="P1370" t="b">
        <v>0</v>
      </c>
      <c r="Q1370" t="b">
        <v>0</v>
      </c>
      <c r="R1370" s="3"/>
      <c r="S1370" s="10"/>
      <c r="T1370" s="10"/>
      <c r="U1370" s="10"/>
      <c r="V1370" s="10"/>
      <c r="W1370" s="10"/>
      <c r="X1370" s="10"/>
      <c r="Y1370" s="10"/>
      <c r="Z1370" s="10"/>
      <c r="AA1370" s="10"/>
      <c r="AB1370" s="10"/>
      <c r="AC1370" s="10"/>
      <c r="AD1370" s="10"/>
      <c r="AE1370" s="10"/>
    </row>
    <row r="1371" ht="14.4" spans="14:31">
      <c r="N1371" s="10"/>
      <c r="O1371" s="10"/>
      <c r="P1371" t="b">
        <v>0</v>
      </c>
      <c r="Q1371" t="b">
        <v>0</v>
      </c>
      <c r="R1371" s="3"/>
      <c r="S1371" s="10"/>
      <c r="T1371" s="10"/>
      <c r="U1371" s="10"/>
      <c r="V1371" s="10"/>
      <c r="W1371" s="10"/>
      <c r="X1371" s="10"/>
      <c r="Y1371" s="10"/>
      <c r="Z1371" s="10"/>
      <c r="AA1371" s="10"/>
      <c r="AB1371" s="10"/>
      <c r="AC1371" s="10"/>
      <c r="AD1371" s="10"/>
      <c r="AE1371" s="10"/>
    </row>
    <row r="1372" ht="14.4" spans="14:31">
      <c r="N1372" s="10"/>
      <c r="O1372" s="10"/>
      <c r="P1372" t="b">
        <v>0</v>
      </c>
      <c r="Q1372" t="b">
        <v>0</v>
      </c>
      <c r="R1372" s="3"/>
      <c r="S1372" s="10"/>
      <c r="T1372" s="10"/>
      <c r="U1372" s="10"/>
      <c r="V1372" s="10"/>
      <c r="W1372" s="10"/>
      <c r="X1372" s="10"/>
      <c r="Y1372" s="10"/>
      <c r="Z1372" s="10"/>
      <c r="AA1372" s="10"/>
      <c r="AB1372" s="10"/>
      <c r="AC1372" s="10"/>
      <c r="AD1372" s="10"/>
      <c r="AE1372" s="10"/>
    </row>
    <row r="1373" ht="14.4" spans="14:31">
      <c r="N1373" s="10"/>
      <c r="O1373" s="10"/>
      <c r="P1373" t="b">
        <v>0</v>
      </c>
      <c r="Q1373" t="b">
        <v>0</v>
      </c>
      <c r="R1373" s="3"/>
      <c r="S1373" s="10"/>
      <c r="T1373" s="10"/>
      <c r="U1373" s="10"/>
      <c r="V1373" s="10"/>
      <c r="W1373" s="10"/>
      <c r="X1373" s="10"/>
      <c r="Y1373" s="10"/>
      <c r="Z1373" s="10"/>
      <c r="AA1373" s="10"/>
      <c r="AB1373" s="10"/>
      <c r="AC1373" s="10"/>
      <c r="AD1373" s="10"/>
      <c r="AE1373" s="10"/>
    </row>
    <row r="1374" ht="14.4" spans="14:31">
      <c r="N1374" s="10"/>
      <c r="O1374" s="10"/>
      <c r="P1374" t="b">
        <v>0</v>
      </c>
      <c r="Q1374" t="b">
        <v>0</v>
      </c>
      <c r="R1374" s="3"/>
      <c r="S1374" s="10"/>
      <c r="T1374" s="10"/>
      <c r="U1374" s="10"/>
      <c r="V1374" s="10"/>
      <c r="W1374" s="10"/>
      <c r="X1374" s="10"/>
      <c r="Y1374" s="10"/>
      <c r="Z1374" s="10"/>
      <c r="AA1374" s="10"/>
      <c r="AB1374" s="10"/>
      <c r="AC1374" s="10"/>
      <c r="AD1374" s="10"/>
      <c r="AE1374" s="10"/>
    </row>
    <row r="1375" ht="14.4" spans="14:31">
      <c r="N1375" s="10"/>
      <c r="O1375" s="10"/>
      <c r="P1375" t="b">
        <v>0</v>
      </c>
      <c r="Q1375" t="b">
        <v>0</v>
      </c>
      <c r="R1375" s="3"/>
      <c r="S1375" s="10"/>
      <c r="T1375" s="10"/>
      <c r="U1375" s="10"/>
      <c r="V1375" s="10"/>
      <c r="W1375" s="10"/>
      <c r="X1375" s="10"/>
      <c r="Y1375" s="10"/>
      <c r="Z1375" s="10"/>
      <c r="AA1375" s="10"/>
      <c r="AB1375" s="10"/>
      <c r="AC1375" s="10"/>
      <c r="AD1375" s="10"/>
      <c r="AE1375" s="10"/>
    </row>
    <row r="1376" ht="14.4" spans="14:31">
      <c r="N1376" s="10"/>
      <c r="O1376" s="10"/>
      <c r="P1376" t="b">
        <v>0</v>
      </c>
      <c r="Q1376" t="b">
        <v>0</v>
      </c>
      <c r="R1376" s="3"/>
      <c r="S1376" s="10"/>
      <c r="T1376" s="10"/>
      <c r="U1376" s="10"/>
      <c r="V1376" s="10"/>
      <c r="W1376" s="10"/>
      <c r="X1376" s="10"/>
      <c r="Y1376" s="10"/>
      <c r="Z1376" s="10"/>
      <c r="AA1376" s="10"/>
      <c r="AB1376" s="10"/>
      <c r="AC1376" s="10"/>
      <c r="AD1376" s="10"/>
      <c r="AE1376" s="10"/>
    </row>
    <row r="1377" ht="14.4" spans="14:31">
      <c r="N1377" s="10"/>
      <c r="O1377" s="10"/>
      <c r="P1377" t="b">
        <v>0</v>
      </c>
      <c r="Q1377" t="b">
        <v>0</v>
      </c>
      <c r="R1377" s="3"/>
      <c r="S1377" s="10"/>
      <c r="T1377" s="10"/>
      <c r="U1377" s="10"/>
      <c r="V1377" s="10"/>
      <c r="W1377" s="10"/>
      <c r="X1377" s="10"/>
      <c r="Y1377" s="10"/>
      <c r="Z1377" s="10"/>
      <c r="AA1377" s="10"/>
      <c r="AB1377" s="10"/>
      <c r="AC1377" s="10"/>
      <c r="AD1377" s="10"/>
      <c r="AE1377" s="10"/>
    </row>
    <row r="1378" ht="14.4" spans="14:31">
      <c r="N1378" s="10"/>
      <c r="O1378" s="10"/>
      <c r="P1378" t="b">
        <v>0</v>
      </c>
      <c r="Q1378" t="b">
        <v>0</v>
      </c>
      <c r="R1378" s="3"/>
      <c r="S1378" s="10"/>
      <c r="T1378" s="10"/>
      <c r="U1378" s="10"/>
      <c r="V1378" s="10"/>
      <c r="W1378" s="10"/>
      <c r="X1378" s="10"/>
      <c r="Y1378" s="10"/>
      <c r="Z1378" s="10"/>
      <c r="AA1378" s="10"/>
      <c r="AB1378" s="10"/>
      <c r="AC1378" s="10"/>
      <c r="AD1378" s="10"/>
      <c r="AE1378" s="10"/>
    </row>
    <row r="1379" ht="14.4" spans="14:31">
      <c r="N1379" s="10"/>
      <c r="O1379" s="10"/>
      <c r="P1379" t="b">
        <v>0</v>
      </c>
      <c r="Q1379" t="b">
        <v>0</v>
      </c>
      <c r="R1379" s="3"/>
      <c r="S1379" s="10"/>
      <c r="T1379" s="10"/>
      <c r="U1379" s="10"/>
      <c r="V1379" s="10"/>
      <c r="W1379" s="10"/>
      <c r="X1379" s="10"/>
      <c r="Y1379" s="10"/>
      <c r="Z1379" s="10"/>
      <c r="AA1379" s="10"/>
      <c r="AB1379" s="10"/>
      <c r="AC1379" s="10"/>
      <c r="AD1379" s="10"/>
      <c r="AE1379" s="10"/>
    </row>
    <row r="1380" ht="14.4" spans="14:31">
      <c r="N1380" s="10"/>
      <c r="O1380" s="10"/>
      <c r="P1380" t="b">
        <v>0</v>
      </c>
      <c r="Q1380" t="b">
        <v>0</v>
      </c>
      <c r="R1380" s="3"/>
      <c r="S1380" s="10"/>
      <c r="T1380" s="10"/>
      <c r="U1380" s="10"/>
      <c r="V1380" s="10"/>
      <c r="W1380" s="10"/>
      <c r="X1380" s="10"/>
      <c r="Y1380" s="10"/>
      <c r="Z1380" s="10"/>
      <c r="AA1380" s="10"/>
      <c r="AB1380" s="10"/>
      <c r="AC1380" s="10"/>
      <c r="AD1380" s="10"/>
      <c r="AE1380" s="10"/>
    </row>
    <row r="1381" ht="14.4" spans="14:31">
      <c r="N1381" s="10"/>
      <c r="O1381" s="10"/>
      <c r="P1381" t="b">
        <v>0</v>
      </c>
      <c r="Q1381" t="b">
        <v>0</v>
      </c>
      <c r="R1381" s="3"/>
      <c r="S1381" s="10"/>
      <c r="T1381" s="10"/>
      <c r="U1381" s="10"/>
      <c r="V1381" s="10"/>
      <c r="W1381" s="10"/>
      <c r="X1381" s="10"/>
      <c r="Y1381" s="10"/>
      <c r="Z1381" s="10"/>
      <c r="AA1381" s="10"/>
      <c r="AB1381" s="10"/>
      <c r="AC1381" s="10"/>
      <c r="AD1381" s="10"/>
      <c r="AE1381" s="10"/>
    </row>
    <row r="1382" ht="14.4" spans="14:31">
      <c r="N1382" s="10"/>
      <c r="O1382" s="10"/>
      <c r="P1382" t="b">
        <v>0</v>
      </c>
      <c r="Q1382" t="b">
        <v>0</v>
      </c>
      <c r="R1382" s="3"/>
      <c r="S1382" s="10"/>
      <c r="T1382" s="10"/>
      <c r="U1382" s="10"/>
      <c r="V1382" s="10"/>
      <c r="W1382" s="10"/>
      <c r="X1382" s="10"/>
      <c r="Y1382" s="10"/>
      <c r="Z1382" s="10"/>
      <c r="AA1382" s="10"/>
      <c r="AB1382" s="10"/>
      <c r="AC1382" s="10"/>
      <c r="AD1382" s="10"/>
      <c r="AE1382" s="10"/>
    </row>
    <row r="1383" ht="14.4" spans="14:31">
      <c r="N1383" s="10"/>
      <c r="O1383" s="10"/>
      <c r="P1383" t="b">
        <v>0</v>
      </c>
      <c r="Q1383" t="b">
        <v>0</v>
      </c>
      <c r="R1383" s="3"/>
      <c r="S1383" s="10"/>
      <c r="T1383" s="10"/>
      <c r="U1383" s="10"/>
      <c r="V1383" s="10"/>
      <c r="W1383" s="10"/>
      <c r="X1383" s="10"/>
      <c r="Y1383" s="10"/>
      <c r="Z1383" s="10"/>
      <c r="AA1383" s="10"/>
      <c r="AB1383" s="10"/>
      <c r="AC1383" s="10"/>
      <c r="AD1383" s="10"/>
      <c r="AE1383" s="10"/>
    </row>
    <row r="1384" ht="14.4" spans="14:31">
      <c r="N1384" s="10"/>
      <c r="O1384" s="10"/>
      <c r="P1384" t="b">
        <v>0</v>
      </c>
      <c r="Q1384" t="b">
        <v>0</v>
      </c>
      <c r="R1384" s="3"/>
      <c r="S1384" s="10"/>
      <c r="T1384" s="10"/>
      <c r="U1384" s="10"/>
      <c r="V1384" s="10"/>
      <c r="W1384" s="10"/>
      <c r="X1384" s="10"/>
      <c r="Y1384" s="10"/>
      <c r="Z1384" s="10"/>
      <c r="AA1384" s="10"/>
      <c r="AB1384" s="10"/>
      <c r="AC1384" s="10"/>
      <c r="AD1384" s="10"/>
      <c r="AE1384" s="10"/>
    </row>
    <row r="1385" ht="14.4" spans="14:31">
      <c r="N1385" s="10"/>
      <c r="O1385" s="10"/>
      <c r="P1385" t="b">
        <v>0</v>
      </c>
      <c r="Q1385" t="b">
        <v>0</v>
      </c>
      <c r="R1385" s="3"/>
      <c r="S1385" s="10"/>
      <c r="T1385" s="10"/>
      <c r="U1385" s="10"/>
      <c r="V1385" s="10"/>
      <c r="W1385" s="10"/>
      <c r="X1385" s="10"/>
      <c r="Y1385" s="10"/>
      <c r="Z1385" s="10"/>
      <c r="AA1385" s="10"/>
      <c r="AB1385" s="10"/>
      <c r="AC1385" s="10"/>
      <c r="AD1385" s="10"/>
      <c r="AE1385" s="10"/>
    </row>
    <row r="1386" ht="14.4" spans="14:31">
      <c r="N1386" s="10"/>
      <c r="O1386" s="10"/>
      <c r="P1386" t="b">
        <v>0</v>
      </c>
      <c r="Q1386" t="b">
        <v>0</v>
      </c>
      <c r="R1386" s="3"/>
      <c r="S1386" s="10"/>
      <c r="T1386" s="10"/>
      <c r="U1386" s="10"/>
      <c r="V1386" s="10"/>
      <c r="W1386" s="10"/>
      <c r="X1386" s="10"/>
      <c r="Y1386" s="10"/>
      <c r="Z1386" s="10"/>
      <c r="AA1386" s="10"/>
      <c r="AB1386" s="10"/>
      <c r="AC1386" s="10"/>
      <c r="AD1386" s="10"/>
      <c r="AE1386" s="10"/>
    </row>
    <row r="1387" ht="14.4" spans="14:31">
      <c r="N1387" s="10"/>
      <c r="O1387" s="10"/>
      <c r="P1387" t="b">
        <v>0</v>
      </c>
      <c r="Q1387" t="b">
        <v>0</v>
      </c>
      <c r="R1387" s="3"/>
      <c r="S1387" s="10"/>
      <c r="T1387" s="10"/>
      <c r="U1387" s="10"/>
      <c r="V1387" s="10"/>
      <c r="W1387" s="10"/>
      <c r="X1387" s="10"/>
      <c r="Y1387" s="10"/>
      <c r="Z1387" s="10"/>
      <c r="AA1387" s="10"/>
      <c r="AB1387" s="10"/>
      <c r="AC1387" s="10"/>
      <c r="AD1387" s="10"/>
      <c r="AE1387" s="10"/>
    </row>
    <row r="1388" ht="14.4" spans="14:31">
      <c r="N1388" s="10"/>
      <c r="O1388" s="10"/>
      <c r="P1388" t="b">
        <v>0</v>
      </c>
      <c r="Q1388" t="b">
        <v>0</v>
      </c>
      <c r="R1388" s="3"/>
      <c r="S1388" s="10"/>
      <c r="T1388" s="10"/>
      <c r="U1388" s="10"/>
      <c r="V1388" s="10"/>
      <c r="W1388" s="10"/>
      <c r="X1388" s="10"/>
      <c r="Y1388" s="10"/>
      <c r="Z1388" s="10"/>
      <c r="AA1388" s="10"/>
      <c r="AB1388" s="10"/>
      <c r="AC1388" s="10"/>
      <c r="AD1388" s="10"/>
      <c r="AE1388" s="10"/>
    </row>
    <row r="1389" ht="14.4" spans="14:31">
      <c r="N1389" s="10"/>
      <c r="O1389" s="10"/>
      <c r="P1389" t="b">
        <v>0</v>
      </c>
      <c r="Q1389" t="b">
        <v>0</v>
      </c>
      <c r="R1389" s="3"/>
      <c r="S1389" s="10"/>
      <c r="T1389" s="10"/>
      <c r="U1389" s="10"/>
      <c r="V1389" s="10"/>
      <c r="W1389" s="10"/>
      <c r="X1389" s="10"/>
      <c r="Y1389" s="10"/>
      <c r="Z1389" s="10"/>
      <c r="AA1389" s="10"/>
      <c r="AB1389" s="10"/>
      <c r="AC1389" s="10"/>
      <c r="AD1389" s="10"/>
      <c r="AE1389" s="10"/>
    </row>
    <row r="1390" ht="14.4" spans="14:31">
      <c r="N1390" s="10"/>
      <c r="O1390" s="10"/>
      <c r="P1390" t="b">
        <v>0</v>
      </c>
      <c r="Q1390" t="b">
        <v>0</v>
      </c>
      <c r="R1390" s="3"/>
      <c r="S1390" s="10"/>
      <c r="T1390" s="10"/>
      <c r="U1390" s="10"/>
      <c r="V1390" s="10"/>
      <c r="W1390" s="10"/>
      <c r="X1390" s="10"/>
      <c r="Y1390" s="10"/>
      <c r="Z1390" s="10"/>
      <c r="AA1390" s="10"/>
      <c r="AB1390" s="10"/>
      <c r="AC1390" s="10"/>
      <c r="AD1390" s="10"/>
      <c r="AE1390" s="10"/>
    </row>
    <row r="1391" ht="14.4" spans="14:31">
      <c r="N1391" s="10"/>
      <c r="O1391" s="10"/>
      <c r="P1391" t="b">
        <v>0</v>
      </c>
      <c r="Q1391" t="b">
        <v>0</v>
      </c>
      <c r="R1391" s="3"/>
      <c r="S1391" s="10"/>
      <c r="T1391" s="10"/>
      <c r="U1391" s="10"/>
      <c r="V1391" s="10"/>
      <c r="W1391" s="10"/>
      <c r="X1391" s="10"/>
      <c r="Y1391" s="10"/>
      <c r="Z1391" s="10"/>
      <c r="AA1391" s="10"/>
      <c r="AB1391" s="10"/>
      <c r="AC1391" s="10"/>
      <c r="AD1391" s="10"/>
      <c r="AE1391" s="10"/>
    </row>
    <row r="1392" ht="14.4" spans="14:31">
      <c r="N1392" s="10"/>
      <c r="O1392" s="10"/>
      <c r="P1392" t="b">
        <v>0</v>
      </c>
      <c r="Q1392" t="b">
        <v>0</v>
      </c>
      <c r="R1392" s="3"/>
      <c r="S1392" s="10"/>
      <c r="T1392" s="10"/>
      <c r="U1392" s="10"/>
      <c r="V1392" s="10"/>
      <c r="W1392" s="10"/>
      <c r="X1392" s="10"/>
      <c r="Y1392" s="10"/>
      <c r="Z1392" s="10"/>
      <c r="AA1392" s="10"/>
      <c r="AB1392" s="10"/>
      <c r="AC1392" s="10"/>
      <c r="AD1392" s="10"/>
      <c r="AE1392" s="10"/>
    </row>
    <row r="1393" ht="14.4" spans="14:31">
      <c r="N1393" s="10"/>
      <c r="O1393" s="10"/>
      <c r="P1393" t="b">
        <v>0</v>
      </c>
      <c r="Q1393" t="b">
        <v>0</v>
      </c>
      <c r="R1393" s="3"/>
      <c r="S1393" s="10"/>
      <c r="T1393" s="10"/>
      <c r="U1393" s="10"/>
      <c r="V1393" s="10"/>
      <c r="W1393" s="10"/>
      <c r="X1393" s="10"/>
      <c r="Y1393" s="10"/>
      <c r="Z1393" s="10"/>
      <c r="AA1393" s="10"/>
      <c r="AB1393" s="10"/>
      <c r="AC1393" s="10"/>
      <c r="AD1393" s="10"/>
      <c r="AE1393" s="10"/>
    </row>
    <row r="1394" ht="14.4" spans="14:31">
      <c r="N1394" s="10"/>
      <c r="O1394" s="10"/>
      <c r="P1394" t="b">
        <v>0</v>
      </c>
      <c r="Q1394" t="b">
        <v>0</v>
      </c>
      <c r="R1394" s="3"/>
      <c r="S1394" s="10"/>
      <c r="T1394" s="10"/>
      <c r="U1394" s="10"/>
      <c r="V1394" s="10"/>
      <c r="W1394" s="10"/>
      <c r="X1394" s="10"/>
      <c r="Y1394" s="10"/>
      <c r="Z1394" s="10"/>
      <c r="AA1394" s="10"/>
      <c r="AB1394" s="10"/>
      <c r="AC1394" s="10"/>
      <c r="AD1394" s="10"/>
      <c r="AE1394" s="10"/>
    </row>
    <row r="1395" ht="14.4" spans="14:31">
      <c r="N1395" s="10"/>
      <c r="O1395" s="10"/>
      <c r="P1395" t="b">
        <v>0</v>
      </c>
      <c r="Q1395" t="b">
        <v>0</v>
      </c>
      <c r="R1395" s="3"/>
      <c r="S1395" s="10"/>
      <c r="T1395" s="10"/>
      <c r="U1395" s="10"/>
      <c r="V1395" s="10"/>
      <c r="W1395" s="10"/>
      <c r="X1395" s="10"/>
      <c r="Y1395" s="10"/>
      <c r="Z1395" s="10"/>
      <c r="AA1395" s="10"/>
      <c r="AB1395" s="10"/>
      <c r="AC1395" s="10"/>
      <c r="AD1395" s="10"/>
      <c r="AE1395" s="10"/>
    </row>
    <row r="1396" ht="14.4" spans="14:31">
      <c r="N1396" s="10"/>
      <c r="O1396" s="10"/>
      <c r="P1396" t="b">
        <v>0</v>
      </c>
      <c r="Q1396" t="b">
        <v>0</v>
      </c>
      <c r="R1396" s="3"/>
      <c r="S1396" s="10"/>
      <c r="T1396" s="10"/>
      <c r="U1396" s="10"/>
      <c r="V1396" s="10"/>
      <c r="W1396" s="10"/>
      <c r="X1396" s="10"/>
      <c r="Y1396" s="10"/>
      <c r="Z1396" s="10"/>
      <c r="AA1396" s="10"/>
      <c r="AB1396" s="10"/>
      <c r="AC1396" s="10"/>
      <c r="AD1396" s="10"/>
      <c r="AE1396" s="10"/>
    </row>
    <row r="1397" ht="14.4" spans="14:31">
      <c r="N1397" s="10"/>
      <c r="O1397" s="10"/>
      <c r="P1397" t="b">
        <v>0</v>
      </c>
      <c r="Q1397" t="b">
        <v>0</v>
      </c>
      <c r="R1397" s="3"/>
      <c r="S1397" s="10"/>
      <c r="T1397" s="10"/>
      <c r="U1397" s="10"/>
      <c r="V1397" s="10"/>
      <c r="W1397" s="10"/>
      <c r="X1397" s="10"/>
      <c r="Y1397" s="10"/>
      <c r="Z1397" s="10"/>
      <c r="AA1397" s="10"/>
      <c r="AB1397" s="10"/>
      <c r="AC1397" s="10"/>
      <c r="AD1397" s="10"/>
      <c r="AE1397" s="10"/>
    </row>
    <row r="1398" ht="14.4" spans="14:31">
      <c r="N1398" s="10"/>
      <c r="O1398" s="10"/>
      <c r="P1398" t="b">
        <v>0</v>
      </c>
      <c r="Q1398" t="b">
        <v>0</v>
      </c>
      <c r="R1398" s="3"/>
      <c r="S1398" s="10"/>
      <c r="T1398" s="10"/>
      <c r="U1398" s="10"/>
      <c r="V1398" s="10"/>
      <c r="W1398" s="10"/>
      <c r="X1398" s="10"/>
      <c r="Y1398" s="10"/>
      <c r="Z1398" s="10"/>
      <c r="AA1398" s="10"/>
      <c r="AB1398" s="10"/>
      <c r="AC1398" s="10"/>
      <c r="AD1398" s="10"/>
      <c r="AE1398" s="10"/>
    </row>
    <row r="1399" ht="14.4" spans="14:31">
      <c r="N1399" s="10"/>
      <c r="O1399" s="10"/>
      <c r="P1399" t="b">
        <v>0</v>
      </c>
      <c r="Q1399" t="b">
        <v>0</v>
      </c>
      <c r="R1399" s="3"/>
      <c r="S1399" s="10"/>
      <c r="T1399" s="10"/>
      <c r="U1399" s="10"/>
      <c r="V1399" s="10"/>
      <c r="W1399" s="10"/>
      <c r="X1399" s="10"/>
      <c r="Y1399" s="10"/>
      <c r="Z1399" s="10"/>
      <c r="AA1399" s="10"/>
      <c r="AB1399" s="10"/>
      <c r="AC1399" s="10"/>
      <c r="AD1399" s="10"/>
      <c r="AE1399" s="10"/>
    </row>
    <row r="1400" ht="14.4" spans="14:31">
      <c r="N1400" s="10"/>
      <c r="O1400" s="10"/>
      <c r="P1400" t="b">
        <v>0</v>
      </c>
      <c r="Q1400" t="b">
        <v>0</v>
      </c>
      <c r="R1400" s="3"/>
      <c r="S1400" s="10"/>
      <c r="T1400" s="10"/>
      <c r="U1400" s="10"/>
      <c r="V1400" s="10"/>
      <c r="W1400" s="10"/>
      <c r="X1400" s="10"/>
      <c r="Y1400" s="10"/>
      <c r="Z1400" s="10"/>
      <c r="AA1400" s="10"/>
      <c r="AB1400" s="10"/>
      <c r="AC1400" s="10"/>
      <c r="AD1400" s="10"/>
      <c r="AE1400" s="10"/>
    </row>
    <row r="1401" ht="14.4" spans="14:31">
      <c r="N1401" s="10"/>
      <c r="O1401" s="10"/>
      <c r="P1401" t="b">
        <v>0</v>
      </c>
      <c r="Q1401" t="b">
        <v>0</v>
      </c>
      <c r="R1401" s="3"/>
      <c r="S1401" s="10"/>
      <c r="T1401" s="10"/>
      <c r="U1401" s="10"/>
      <c r="V1401" s="10"/>
      <c r="W1401" s="10"/>
      <c r="X1401" s="10"/>
      <c r="Y1401" s="10"/>
      <c r="Z1401" s="10"/>
      <c r="AA1401" s="10"/>
      <c r="AB1401" s="10"/>
      <c r="AC1401" s="10"/>
      <c r="AD1401" s="10"/>
      <c r="AE1401" s="10"/>
    </row>
    <row r="1402" ht="14.4" spans="14:31">
      <c r="N1402" s="10"/>
      <c r="O1402" s="10"/>
      <c r="P1402" t="b">
        <v>0</v>
      </c>
      <c r="Q1402" t="b">
        <v>0</v>
      </c>
      <c r="R1402" s="3"/>
      <c r="S1402" s="10"/>
      <c r="T1402" s="10"/>
      <c r="U1402" s="10"/>
      <c r="V1402" s="10"/>
      <c r="W1402" s="10"/>
      <c r="X1402" s="10"/>
      <c r="Y1402" s="10"/>
      <c r="Z1402" s="10"/>
      <c r="AA1402" s="10"/>
      <c r="AB1402" s="10"/>
      <c r="AC1402" s="10"/>
      <c r="AD1402" s="10"/>
      <c r="AE1402" s="10"/>
    </row>
    <row r="1403" ht="14.4" spans="14:31">
      <c r="N1403" s="10"/>
      <c r="O1403" s="10"/>
      <c r="P1403" t="b">
        <v>0</v>
      </c>
      <c r="Q1403" t="b">
        <v>0</v>
      </c>
      <c r="R1403" s="3"/>
      <c r="S1403" s="10"/>
      <c r="T1403" s="10"/>
      <c r="U1403" s="10"/>
      <c r="V1403" s="10"/>
      <c r="W1403" s="10"/>
      <c r="X1403" s="10"/>
      <c r="Y1403" s="10"/>
      <c r="Z1403" s="10"/>
      <c r="AA1403" s="10"/>
      <c r="AB1403" s="10"/>
      <c r="AC1403" s="10"/>
      <c r="AD1403" s="10"/>
      <c r="AE1403" s="10"/>
    </row>
    <row r="1404" ht="14.4" spans="14:31">
      <c r="N1404" s="10"/>
      <c r="O1404" s="10"/>
      <c r="P1404" t="b">
        <v>0</v>
      </c>
      <c r="Q1404" t="b">
        <v>0</v>
      </c>
      <c r="R1404" s="3"/>
      <c r="S1404" s="10"/>
      <c r="T1404" s="10"/>
      <c r="U1404" s="10"/>
      <c r="V1404" s="10"/>
      <c r="W1404" s="10"/>
      <c r="X1404" s="10"/>
      <c r="Y1404" s="10"/>
      <c r="Z1404" s="10"/>
      <c r="AA1404" s="10"/>
      <c r="AB1404" s="10"/>
      <c r="AC1404" s="10"/>
      <c r="AD1404" s="10"/>
      <c r="AE1404" s="10"/>
    </row>
    <row r="1405" ht="14.4" spans="14:31">
      <c r="N1405" s="10"/>
      <c r="O1405" s="10"/>
      <c r="P1405" t="b">
        <v>0</v>
      </c>
      <c r="Q1405" t="b">
        <v>0</v>
      </c>
      <c r="R1405" s="3"/>
      <c r="S1405" s="10"/>
      <c r="T1405" s="10"/>
      <c r="U1405" s="10"/>
      <c r="V1405" s="10"/>
      <c r="W1405" s="10"/>
      <c r="X1405" s="10"/>
      <c r="Y1405" s="10"/>
      <c r="Z1405" s="10"/>
      <c r="AA1405" s="10"/>
      <c r="AB1405" s="10"/>
      <c r="AC1405" s="10"/>
      <c r="AD1405" s="10"/>
      <c r="AE1405" s="10"/>
    </row>
    <row r="1406" ht="14.4" spans="14:31">
      <c r="N1406" s="10"/>
      <c r="O1406" s="10"/>
      <c r="P1406" t="b">
        <v>0</v>
      </c>
      <c r="Q1406" t="b">
        <v>0</v>
      </c>
      <c r="R1406" s="3"/>
      <c r="S1406" s="10"/>
      <c r="T1406" s="10"/>
      <c r="U1406" s="10"/>
      <c r="V1406" s="10"/>
      <c r="W1406" s="10"/>
      <c r="X1406" s="10"/>
      <c r="Y1406" s="10"/>
      <c r="Z1406" s="10"/>
      <c r="AA1406" s="10"/>
      <c r="AB1406" s="10"/>
      <c r="AC1406" s="10"/>
      <c r="AD1406" s="10"/>
      <c r="AE1406" s="10"/>
    </row>
    <row r="1407" ht="14.4" spans="14:31">
      <c r="N1407" s="10"/>
      <c r="O1407" s="10"/>
      <c r="P1407" t="b">
        <v>0</v>
      </c>
      <c r="Q1407" t="b">
        <v>0</v>
      </c>
      <c r="R1407" s="3"/>
      <c r="S1407" s="10"/>
      <c r="T1407" s="10"/>
      <c r="U1407" s="10"/>
      <c r="V1407" s="10"/>
      <c r="W1407" s="10"/>
      <c r="X1407" s="10"/>
      <c r="Y1407" s="10"/>
      <c r="Z1407" s="10"/>
      <c r="AA1407" s="10"/>
      <c r="AB1407" s="10"/>
      <c r="AC1407" s="10"/>
      <c r="AD1407" s="10"/>
      <c r="AE1407" s="10"/>
    </row>
    <row r="1408" ht="14.4" spans="14:31">
      <c r="N1408" s="10"/>
      <c r="O1408" s="10"/>
      <c r="P1408" t="b">
        <v>0</v>
      </c>
      <c r="Q1408" t="b">
        <v>0</v>
      </c>
      <c r="R1408" s="3"/>
      <c r="S1408" s="10"/>
      <c r="T1408" s="10"/>
      <c r="U1408" s="10"/>
      <c r="V1408" s="10"/>
      <c r="W1408" s="10"/>
      <c r="X1408" s="10"/>
      <c r="Y1408" s="10"/>
      <c r="Z1408" s="10"/>
      <c r="AA1408" s="10"/>
      <c r="AB1408" s="10"/>
      <c r="AC1408" s="10"/>
      <c r="AD1408" s="10"/>
      <c r="AE1408" s="10"/>
    </row>
    <row r="1409" ht="14.4" spans="14:31">
      <c r="N1409" s="10"/>
      <c r="O1409" s="10"/>
      <c r="P1409" t="b">
        <v>0</v>
      </c>
      <c r="Q1409" t="b">
        <v>0</v>
      </c>
      <c r="R1409" s="3"/>
      <c r="S1409" s="10"/>
      <c r="T1409" s="10"/>
      <c r="U1409" s="10"/>
      <c r="V1409" s="10"/>
      <c r="W1409" s="10"/>
      <c r="X1409" s="10"/>
      <c r="Y1409" s="10"/>
      <c r="Z1409" s="10"/>
      <c r="AA1409" s="10"/>
      <c r="AB1409" s="10"/>
      <c r="AC1409" s="10"/>
      <c r="AD1409" s="10"/>
      <c r="AE1409" s="10"/>
    </row>
    <row r="1410" ht="14.4" spans="14:31">
      <c r="N1410" s="10"/>
      <c r="O1410" s="10"/>
      <c r="P1410" t="b">
        <v>0</v>
      </c>
      <c r="Q1410" t="b">
        <v>0</v>
      </c>
      <c r="R1410" s="3"/>
      <c r="S1410" s="10"/>
      <c r="T1410" s="10"/>
      <c r="U1410" s="10"/>
      <c r="V1410" s="10"/>
      <c r="W1410" s="10"/>
      <c r="X1410" s="10"/>
      <c r="Y1410" s="10"/>
      <c r="Z1410" s="10"/>
      <c r="AA1410" s="10"/>
      <c r="AB1410" s="10"/>
      <c r="AC1410" s="10"/>
      <c r="AD1410" s="10"/>
      <c r="AE1410" s="10"/>
    </row>
    <row r="1411" ht="14.4" spans="14:31">
      <c r="N1411" s="10"/>
      <c r="O1411" s="10"/>
      <c r="P1411" t="b">
        <v>0</v>
      </c>
      <c r="Q1411" t="b">
        <v>0</v>
      </c>
      <c r="R1411" s="3"/>
      <c r="S1411" s="10"/>
      <c r="T1411" s="10"/>
      <c r="U1411" s="10"/>
      <c r="V1411" s="10"/>
      <c r="W1411" s="10"/>
      <c r="X1411" s="10"/>
      <c r="Y1411" s="10"/>
      <c r="Z1411" s="10"/>
      <c r="AA1411" s="10"/>
      <c r="AB1411" s="10"/>
      <c r="AC1411" s="10"/>
      <c r="AD1411" s="10"/>
      <c r="AE1411" s="10"/>
    </row>
    <row r="1412" ht="14.4" spans="14:31">
      <c r="N1412" s="10"/>
      <c r="O1412" s="10"/>
      <c r="P1412" t="b">
        <v>0</v>
      </c>
      <c r="Q1412" t="b">
        <v>0</v>
      </c>
      <c r="R1412" s="3"/>
      <c r="S1412" s="10"/>
      <c r="T1412" s="10"/>
      <c r="U1412" s="10"/>
      <c r="V1412" s="10"/>
      <c r="W1412" s="10"/>
      <c r="X1412" s="10"/>
      <c r="Y1412" s="10"/>
      <c r="Z1412" s="10"/>
      <c r="AA1412" s="10"/>
      <c r="AB1412" s="10"/>
      <c r="AC1412" s="10"/>
      <c r="AD1412" s="10"/>
      <c r="AE1412" s="10"/>
    </row>
    <row r="1413" ht="14.4" spans="14:31">
      <c r="N1413" s="10"/>
      <c r="O1413" s="10"/>
      <c r="P1413" t="b">
        <v>0</v>
      </c>
      <c r="Q1413" t="b">
        <v>0</v>
      </c>
      <c r="R1413" s="3"/>
      <c r="S1413" s="10"/>
      <c r="T1413" s="10"/>
      <c r="U1413" s="10"/>
      <c r="V1413" s="10"/>
      <c r="W1413" s="10"/>
      <c r="X1413" s="10"/>
      <c r="Y1413" s="10"/>
      <c r="Z1413" s="10"/>
      <c r="AA1413" s="10"/>
      <c r="AB1413" s="10"/>
      <c r="AC1413" s="10"/>
      <c r="AD1413" s="10"/>
      <c r="AE1413" s="10"/>
    </row>
    <row r="1414" ht="14.4" spans="14:31">
      <c r="N1414" s="10"/>
      <c r="O1414" s="10"/>
      <c r="P1414" t="b">
        <v>0</v>
      </c>
      <c r="Q1414" t="b">
        <v>0</v>
      </c>
      <c r="R1414" s="3"/>
      <c r="S1414" s="10"/>
      <c r="T1414" s="10"/>
      <c r="U1414" s="10"/>
      <c r="V1414" s="10"/>
      <c r="W1414" s="10"/>
      <c r="X1414" s="10"/>
      <c r="Y1414" s="10"/>
      <c r="Z1414" s="10"/>
      <c r="AA1414" s="10"/>
      <c r="AB1414" s="10"/>
      <c r="AC1414" s="10"/>
      <c r="AD1414" s="10"/>
      <c r="AE1414" s="10"/>
    </row>
    <row r="1415" ht="14.4" spans="14:31">
      <c r="N1415" s="10"/>
      <c r="O1415" s="10"/>
      <c r="P1415" t="b">
        <v>0</v>
      </c>
      <c r="Q1415" t="b">
        <v>0</v>
      </c>
      <c r="R1415" s="3"/>
      <c r="S1415" s="10"/>
      <c r="T1415" s="10"/>
      <c r="U1415" s="10"/>
      <c r="V1415" s="10"/>
      <c r="W1415" s="10"/>
      <c r="X1415" s="10"/>
      <c r="Y1415" s="10"/>
      <c r="Z1415" s="10"/>
      <c r="AA1415" s="10"/>
      <c r="AB1415" s="10"/>
      <c r="AC1415" s="10"/>
      <c r="AD1415" s="10"/>
      <c r="AE1415" s="10"/>
    </row>
    <row r="1416" ht="14.4" spans="14:31">
      <c r="N1416" s="10"/>
      <c r="O1416" s="10"/>
      <c r="P1416" t="b">
        <v>0</v>
      </c>
      <c r="Q1416" t="b">
        <v>0</v>
      </c>
      <c r="R1416" s="3"/>
      <c r="S1416" s="10"/>
      <c r="T1416" s="10"/>
      <c r="U1416" s="10"/>
      <c r="V1416" s="10"/>
      <c r="W1416" s="10"/>
      <c r="X1416" s="10"/>
      <c r="Y1416" s="10"/>
      <c r="Z1416" s="10"/>
      <c r="AA1416" s="10"/>
      <c r="AB1416" s="10"/>
      <c r="AC1416" s="10"/>
      <c r="AD1416" s="10"/>
      <c r="AE1416" s="10"/>
    </row>
    <row r="1417" ht="14.4" spans="14:31">
      <c r="N1417" s="10"/>
      <c r="O1417" s="10"/>
      <c r="P1417" t="b">
        <v>0</v>
      </c>
      <c r="Q1417" t="b">
        <v>0</v>
      </c>
      <c r="R1417" s="3"/>
      <c r="S1417" s="10"/>
      <c r="T1417" s="10"/>
      <c r="U1417" s="10"/>
      <c r="V1417" s="10"/>
      <c r="W1417" s="10"/>
      <c r="X1417" s="10"/>
      <c r="Y1417" s="10"/>
      <c r="Z1417" s="10"/>
      <c r="AA1417" s="10"/>
      <c r="AB1417" s="10"/>
      <c r="AC1417" s="10"/>
      <c r="AD1417" s="10"/>
      <c r="AE1417" s="10"/>
    </row>
    <row r="1418" ht="14.4" spans="14:31">
      <c r="N1418" s="10"/>
      <c r="O1418" s="10"/>
      <c r="P1418" t="b">
        <v>0</v>
      </c>
      <c r="Q1418" t="b">
        <v>0</v>
      </c>
      <c r="R1418" s="3"/>
      <c r="S1418" s="10"/>
      <c r="T1418" s="10"/>
      <c r="U1418" s="10"/>
      <c r="V1418" s="10"/>
      <c r="W1418" s="10"/>
      <c r="X1418" s="10"/>
      <c r="Y1418" s="10"/>
      <c r="Z1418" s="10"/>
      <c r="AA1418" s="10"/>
      <c r="AB1418" s="10"/>
      <c r="AC1418" s="10"/>
      <c r="AD1418" s="10"/>
      <c r="AE1418" s="10"/>
    </row>
    <row r="1419" ht="14.4" spans="14:31">
      <c r="N1419" s="10"/>
      <c r="O1419" s="10"/>
      <c r="P1419" t="b">
        <v>0</v>
      </c>
      <c r="Q1419" t="b">
        <v>0</v>
      </c>
      <c r="R1419" s="3"/>
      <c r="S1419" s="10"/>
      <c r="T1419" s="10"/>
      <c r="U1419" s="10"/>
      <c r="V1419" s="10"/>
      <c r="W1419" s="10"/>
      <c r="X1419" s="10"/>
      <c r="Y1419" s="10"/>
      <c r="Z1419" s="10"/>
      <c r="AA1419" s="10"/>
      <c r="AB1419" s="10"/>
      <c r="AC1419" s="10"/>
      <c r="AD1419" s="10"/>
      <c r="AE1419" s="10"/>
    </row>
    <row r="1420" ht="14.4" spans="14:31">
      <c r="N1420" s="10"/>
      <c r="O1420" s="10"/>
      <c r="P1420" t="b">
        <v>0</v>
      </c>
      <c r="Q1420" t="b">
        <v>0</v>
      </c>
      <c r="R1420" s="3"/>
      <c r="S1420" s="10"/>
      <c r="T1420" s="10"/>
      <c r="U1420" s="10"/>
      <c r="V1420" s="10"/>
      <c r="W1420" s="10"/>
      <c r="X1420" s="10"/>
      <c r="Y1420" s="10"/>
      <c r="Z1420" s="10"/>
      <c r="AA1420" s="10"/>
      <c r="AB1420" s="10"/>
      <c r="AC1420" s="10"/>
      <c r="AD1420" s="10"/>
      <c r="AE1420" s="10"/>
    </row>
    <row r="1421" ht="14.4" spans="14:31">
      <c r="N1421" s="10"/>
      <c r="O1421" s="10"/>
      <c r="P1421" t="b">
        <v>0</v>
      </c>
      <c r="Q1421" t="b">
        <v>0</v>
      </c>
      <c r="R1421" s="3"/>
      <c r="S1421" s="10"/>
      <c r="T1421" s="10"/>
      <c r="U1421" s="10"/>
      <c r="V1421" s="10"/>
      <c r="W1421" s="10"/>
      <c r="X1421" s="10"/>
      <c r="Y1421" s="10"/>
      <c r="Z1421" s="10"/>
      <c r="AA1421" s="10"/>
      <c r="AB1421" s="10"/>
      <c r="AC1421" s="10"/>
      <c r="AD1421" s="10"/>
      <c r="AE1421" s="10"/>
    </row>
    <row r="1422" ht="14.4" spans="14:31">
      <c r="N1422" s="10"/>
      <c r="O1422" s="10"/>
      <c r="P1422" t="b">
        <v>0</v>
      </c>
      <c r="Q1422" t="b">
        <v>0</v>
      </c>
      <c r="R1422" s="3"/>
      <c r="S1422" s="10"/>
      <c r="T1422" s="10"/>
      <c r="U1422" s="10"/>
      <c r="V1422" s="10"/>
      <c r="W1422" s="10"/>
      <c r="X1422" s="10"/>
      <c r="Y1422" s="10"/>
      <c r="Z1422" s="10"/>
      <c r="AA1422" s="10"/>
      <c r="AB1422" s="10"/>
      <c r="AC1422" s="10"/>
      <c r="AD1422" s="10"/>
      <c r="AE1422" s="10"/>
    </row>
    <row r="1423" ht="14.4" spans="14:31">
      <c r="N1423" s="10"/>
      <c r="O1423" s="10"/>
      <c r="P1423" t="b">
        <v>0</v>
      </c>
      <c r="Q1423" t="b">
        <v>0</v>
      </c>
      <c r="R1423" s="3"/>
      <c r="S1423" s="10"/>
      <c r="T1423" s="10"/>
      <c r="U1423" s="10"/>
      <c r="V1423" s="10"/>
      <c r="W1423" s="10"/>
      <c r="X1423" s="10"/>
      <c r="Y1423" s="10"/>
      <c r="Z1423" s="10"/>
      <c r="AA1423" s="10"/>
      <c r="AB1423" s="10"/>
      <c r="AC1423" s="10"/>
      <c r="AD1423" s="10"/>
      <c r="AE1423" s="10"/>
    </row>
    <row r="1424" ht="14.4" spans="14:31">
      <c r="N1424" s="10"/>
      <c r="O1424" s="10"/>
      <c r="P1424" t="b">
        <v>0</v>
      </c>
      <c r="Q1424" t="b">
        <v>0</v>
      </c>
      <c r="R1424" s="3"/>
      <c r="S1424" s="10"/>
      <c r="T1424" s="10"/>
      <c r="U1424" s="10"/>
      <c r="V1424" s="10"/>
      <c r="W1424" s="10"/>
      <c r="X1424" s="10"/>
      <c r="Y1424" s="10"/>
      <c r="Z1424" s="10"/>
      <c r="AA1424" s="10"/>
      <c r="AB1424" s="10"/>
      <c r="AC1424" s="10"/>
      <c r="AD1424" s="10"/>
      <c r="AE1424" s="10"/>
    </row>
    <row r="1425" ht="14.4" spans="14:31">
      <c r="N1425" s="10"/>
      <c r="O1425" s="10"/>
      <c r="P1425" t="b">
        <v>0</v>
      </c>
      <c r="Q1425" t="b">
        <v>0</v>
      </c>
      <c r="R1425" s="3"/>
      <c r="S1425" s="10"/>
      <c r="T1425" s="10"/>
      <c r="U1425" s="10"/>
      <c r="V1425" s="10"/>
      <c r="W1425" s="10"/>
      <c r="X1425" s="10"/>
      <c r="Y1425" s="10"/>
      <c r="Z1425" s="10"/>
      <c r="AA1425" s="10"/>
      <c r="AB1425" s="10"/>
      <c r="AC1425" s="10"/>
      <c r="AD1425" s="10"/>
      <c r="AE1425" s="10"/>
    </row>
    <row r="1426" ht="14.4" spans="14:31">
      <c r="N1426" s="10"/>
      <c r="O1426" s="10"/>
      <c r="P1426" t="b">
        <v>0</v>
      </c>
      <c r="Q1426" t="b">
        <v>0</v>
      </c>
      <c r="R1426" s="3"/>
      <c r="S1426" s="10"/>
      <c r="T1426" s="10"/>
      <c r="U1426" s="10"/>
      <c r="V1426" s="10"/>
      <c r="W1426" s="10"/>
      <c r="X1426" s="10"/>
      <c r="Y1426" s="10"/>
      <c r="Z1426" s="10"/>
      <c r="AA1426" s="10"/>
      <c r="AB1426" s="10"/>
      <c r="AC1426" s="10"/>
      <c r="AD1426" s="10"/>
      <c r="AE1426" s="10"/>
    </row>
    <row r="1427" ht="14.4" spans="14:31">
      <c r="N1427" s="10"/>
      <c r="O1427" s="10"/>
      <c r="P1427" t="b">
        <v>0</v>
      </c>
      <c r="Q1427" t="b">
        <v>0</v>
      </c>
      <c r="R1427" s="3"/>
      <c r="S1427" s="10"/>
      <c r="T1427" s="10"/>
      <c r="U1427" s="10"/>
      <c r="V1427" s="10"/>
      <c r="W1427" s="10"/>
      <c r="X1427" s="10"/>
      <c r="Y1427" s="10"/>
      <c r="Z1427" s="10"/>
      <c r="AA1427" s="10"/>
      <c r="AB1427" s="10"/>
      <c r="AC1427" s="10"/>
      <c r="AD1427" s="10"/>
      <c r="AE1427" s="10"/>
    </row>
    <row r="1428" ht="14.4" spans="14:31">
      <c r="N1428" s="10"/>
      <c r="O1428" s="10"/>
      <c r="P1428" t="b">
        <v>0</v>
      </c>
      <c r="Q1428" t="b">
        <v>0</v>
      </c>
      <c r="R1428" s="3"/>
      <c r="S1428" s="10"/>
      <c r="T1428" s="10"/>
      <c r="U1428" s="10"/>
      <c r="V1428" s="10"/>
      <c r="W1428" s="10"/>
      <c r="X1428" s="10"/>
      <c r="Y1428" s="10"/>
      <c r="Z1428" s="10"/>
      <c r="AA1428" s="10"/>
      <c r="AB1428" s="10"/>
      <c r="AC1428" s="10"/>
      <c r="AD1428" s="10"/>
      <c r="AE1428" s="10"/>
    </row>
    <row r="1429" ht="14.4" spans="14:31">
      <c r="N1429" s="10"/>
      <c r="O1429" s="10"/>
      <c r="P1429" t="b">
        <v>0</v>
      </c>
      <c r="Q1429" t="b">
        <v>0</v>
      </c>
      <c r="R1429" s="3"/>
      <c r="S1429" s="10"/>
      <c r="T1429" s="10"/>
      <c r="U1429" s="10"/>
      <c r="V1429" s="10"/>
      <c r="W1429" s="10"/>
      <c r="X1429" s="10"/>
      <c r="Y1429" s="10"/>
      <c r="Z1429" s="10"/>
      <c r="AA1429" s="10"/>
      <c r="AB1429" s="10"/>
      <c r="AC1429" s="10"/>
      <c r="AD1429" s="10"/>
      <c r="AE1429" s="10"/>
    </row>
    <row r="1430" ht="14.4" spans="14:31">
      <c r="N1430" s="10"/>
      <c r="O1430" s="10"/>
      <c r="P1430" t="b">
        <v>0</v>
      </c>
      <c r="Q1430" t="b">
        <v>0</v>
      </c>
      <c r="R1430" s="3"/>
      <c r="S1430" s="10"/>
      <c r="T1430" s="10"/>
      <c r="U1430" s="10"/>
      <c r="V1430" s="10"/>
      <c r="W1430" s="10"/>
      <c r="X1430" s="10"/>
      <c r="Y1430" s="10"/>
      <c r="Z1430" s="10"/>
      <c r="AA1430" s="10"/>
      <c r="AB1430" s="10"/>
      <c r="AC1430" s="10"/>
      <c r="AD1430" s="10"/>
      <c r="AE1430" s="10"/>
    </row>
    <row r="1431" ht="14.4" spans="14:31">
      <c r="N1431" s="10"/>
      <c r="O1431" s="10"/>
      <c r="P1431" t="b">
        <v>0</v>
      </c>
      <c r="Q1431" t="b">
        <v>0</v>
      </c>
      <c r="R1431" s="3"/>
      <c r="S1431" s="10"/>
      <c r="T1431" s="10"/>
      <c r="U1431" s="10"/>
      <c r="V1431" s="10"/>
      <c r="W1431" s="10"/>
      <c r="X1431" s="10"/>
      <c r="Y1431" s="10"/>
      <c r="Z1431" s="10"/>
      <c r="AA1431" s="10"/>
      <c r="AB1431" s="10"/>
      <c r="AC1431" s="10"/>
      <c r="AD1431" s="10"/>
      <c r="AE1431" s="10"/>
    </row>
    <row r="1432" ht="14.4" spans="14:31">
      <c r="N1432" s="10"/>
      <c r="O1432" s="10"/>
      <c r="P1432" t="b">
        <v>0</v>
      </c>
      <c r="Q1432" t="b">
        <v>0</v>
      </c>
      <c r="R1432" s="3"/>
      <c r="S1432" s="10"/>
      <c r="T1432" s="10"/>
      <c r="U1432" s="10"/>
      <c r="V1432" s="10"/>
      <c r="W1432" s="10"/>
      <c r="X1432" s="10"/>
      <c r="Y1432" s="10"/>
      <c r="Z1432" s="10"/>
      <c r="AA1432" s="10"/>
      <c r="AB1432" s="10"/>
      <c r="AC1432" s="10"/>
      <c r="AD1432" s="10"/>
      <c r="AE1432" s="10"/>
    </row>
    <row r="1433" ht="14.4" spans="14:31">
      <c r="N1433" s="10"/>
      <c r="O1433" s="10"/>
      <c r="P1433" t="b">
        <v>0</v>
      </c>
      <c r="Q1433" t="b">
        <v>0</v>
      </c>
      <c r="R1433" s="3"/>
      <c r="S1433" s="10"/>
      <c r="T1433" s="10"/>
      <c r="U1433" s="10"/>
      <c r="V1433" s="10"/>
      <c r="W1433" s="10"/>
      <c r="X1433" s="10"/>
      <c r="Y1433" s="10"/>
      <c r="Z1433" s="10"/>
      <c r="AA1433" s="10"/>
      <c r="AB1433" s="10"/>
      <c r="AC1433" s="10"/>
      <c r="AD1433" s="10"/>
      <c r="AE1433" s="10"/>
    </row>
    <row r="1434" ht="14.4" spans="14:31">
      <c r="N1434" s="10"/>
      <c r="O1434" s="10"/>
      <c r="P1434" t="b">
        <v>0</v>
      </c>
      <c r="Q1434" t="b">
        <v>0</v>
      </c>
      <c r="R1434" s="3"/>
      <c r="S1434" s="10"/>
      <c r="T1434" s="10"/>
      <c r="U1434" s="10"/>
      <c r="V1434" s="10"/>
      <c r="W1434" s="10"/>
      <c r="X1434" s="10"/>
      <c r="Y1434" s="10"/>
      <c r="Z1434" s="10"/>
      <c r="AA1434" s="10"/>
      <c r="AB1434" s="10"/>
      <c r="AC1434" s="10"/>
      <c r="AD1434" s="10"/>
      <c r="AE1434" s="10"/>
    </row>
    <row r="1435" ht="14.4" spans="14:31">
      <c r="N1435" s="10"/>
      <c r="O1435" s="10"/>
      <c r="P1435" t="b">
        <v>0</v>
      </c>
      <c r="Q1435" t="b">
        <v>0</v>
      </c>
      <c r="R1435" s="3"/>
      <c r="S1435" s="10"/>
      <c r="T1435" s="10"/>
      <c r="U1435" s="10"/>
      <c r="V1435" s="10"/>
      <c r="W1435" s="10"/>
      <c r="X1435" s="10"/>
      <c r="Y1435" s="10"/>
      <c r="Z1435" s="10"/>
      <c r="AA1435" s="10"/>
      <c r="AB1435" s="10"/>
      <c r="AC1435" s="10"/>
      <c r="AD1435" s="10"/>
      <c r="AE1435" s="10"/>
    </row>
    <row r="1436" ht="14.4" spans="14:31">
      <c r="N1436" s="10"/>
      <c r="O1436" s="10"/>
      <c r="P1436" t="b">
        <v>0</v>
      </c>
      <c r="Q1436" t="b">
        <v>0</v>
      </c>
      <c r="R1436" s="3"/>
      <c r="S1436" s="10"/>
      <c r="T1436" s="10"/>
      <c r="U1436" s="10"/>
      <c r="V1436" s="10"/>
      <c r="W1436" s="10"/>
      <c r="X1436" s="10"/>
      <c r="Y1436" s="10"/>
      <c r="Z1436" s="10"/>
      <c r="AA1436" s="10"/>
      <c r="AB1436" s="10"/>
      <c r="AC1436" s="10"/>
      <c r="AD1436" s="10"/>
      <c r="AE1436" s="10"/>
    </row>
    <row r="1437" ht="14.4" spans="14:31">
      <c r="N1437" s="10"/>
      <c r="O1437" s="10"/>
      <c r="P1437" t="b">
        <v>0</v>
      </c>
      <c r="Q1437" t="b">
        <v>0</v>
      </c>
      <c r="R1437" s="3"/>
      <c r="S1437" s="10"/>
      <c r="T1437" s="10"/>
      <c r="U1437" s="10"/>
      <c r="V1437" s="10"/>
      <c r="W1437" s="10"/>
      <c r="X1437" s="10"/>
      <c r="Y1437" s="10"/>
      <c r="Z1437" s="10"/>
      <c r="AA1437" s="10"/>
      <c r="AB1437" s="10"/>
      <c r="AC1437" s="10"/>
      <c r="AD1437" s="10"/>
      <c r="AE1437" s="10"/>
    </row>
    <row r="1438" ht="14.4" spans="14:31">
      <c r="N1438" s="10"/>
      <c r="O1438" s="10"/>
      <c r="P1438" t="b">
        <v>0</v>
      </c>
      <c r="Q1438" t="b">
        <v>0</v>
      </c>
      <c r="R1438" s="3"/>
      <c r="S1438" s="10"/>
      <c r="T1438" s="10"/>
      <c r="U1438" s="10"/>
      <c r="V1438" s="10"/>
      <c r="W1438" s="10"/>
      <c r="X1438" s="10"/>
      <c r="Y1438" s="10"/>
      <c r="Z1438" s="10"/>
      <c r="AA1438" s="10"/>
      <c r="AB1438" s="10"/>
      <c r="AC1438" s="10"/>
      <c r="AD1438" s="10"/>
      <c r="AE1438" s="10"/>
    </row>
    <row r="1439" ht="14.4" spans="14:31">
      <c r="N1439" s="10"/>
      <c r="O1439" s="10"/>
      <c r="P1439" t="b">
        <v>0</v>
      </c>
      <c r="Q1439" t="b">
        <v>0</v>
      </c>
      <c r="R1439" s="3"/>
      <c r="S1439" s="10"/>
      <c r="T1439" s="10"/>
      <c r="U1439" s="10"/>
      <c r="V1439" s="10"/>
      <c r="W1439" s="10"/>
      <c r="X1439" s="10"/>
      <c r="Y1439" s="10"/>
      <c r="Z1439" s="10"/>
      <c r="AA1439" s="10"/>
      <c r="AB1439" s="10"/>
      <c r="AC1439" s="10"/>
      <c r="AD1439" s="10"/>
      <c r="AE1439" s="10"/>
    </row>
    <row r="1440" ht="14.4" spans="14:31">
      <c r="N1440" s="10"/>
      <c r="O1440" s="10"/>
      <c r="P1440" t="b">
        <v>0</v>
      </c>
      <c r="Q1440" t="b">
        <v>0</v>
      </c>
      <c r="R1440" s="3"/>
      <c r="S1440" s="10"/>
      <c r="T1440" s="10"/>
      <c r="U1440" s="10"/>
      <c r="V1440" s="10"/>
      <c r="W1440" s="10"/>
      <c r="X1440" s="10"/>
      <c r="Y1440" s="10"/>
      <c r="Z1440" s="10"/>
      <c r="AA1440" s="10"/>
      <c r="AB1440" s="10"/>
      <c r="AC1440" s="10"/>
      <c r="AD1440" s="10"/>
      <c r="AE1440" s="10"/>
    </row>
    <row r="1441" ht="14.4" spans="14:31">
      <c r="N1441" s="10"/>
      <c r="O1441" s="10"/>
      <c r="P1441" t="b">
        <v>0</v>
      </c>
      <c r="Q1441" t="b">
        <v>0</v>
      </c>
      <c r="R1441" s="3"/>
      <c r="S1441" s="10"/>
      <c r="T1441" s="10"/>
      <c r="U1441" s="10"/>
      <c r="V1441" s="10"/>
      <c r="W1441" s="10"/>
      <c r="X1441" s="10"/>
      <c r="Y1441" s="10"/>
      <c r="Z1441" s="10"/>
      <c r="AA1441" s="10"/>
      <c r="AB1441" s="10"/>
      <c r="AC1441" s="10"/>
      <c r="AD1441" s="10"/>
      <c r="AE1441" s="10"/>
    </row>
    <row r="1442" ht="14.4" spans="14:31">
      <c r="N1442" s="10"/>
      <c r="O1442" s="10"/>
      <c r="P1442" t="b">
        <v>0</v>
      </c>
      <c r="Q1442" t="b">
        <v>0</v>
      </c>
      <c r="R1442" s="3"/>
      <c r="S1442" s="10"/>
      <c r="T1442" s="10"/>
      <c r="U1442" s="10"/>
      <c r="V1442" s="10"/>
      <c r="W1442" s="10"/>
      <c r="X1442" s="10"/>
      <c r="Y1442" s="10"/>
      <c r="Z1442" s="10"/>
      <c r="AA1442" s="10"/>
      <c r="AB1442" s="10"/>
      <c r="AC1442" s="10"/>
      <c r="AD1442" s="10"/>
      <c r="AE1442" s="10"/>
    </row>
    <row r="1443" ht="14.4" spans="14:31">
      <c r="N1443" s="10"/>
      <c r="O1443" s="10"/>
      <c r="P1443" t="b">
        <v>0</v>
      </c>
      <c r="Q1443" t="b">
        <v>0</v>
      </c>
      <c r="R1443" s="3"/>
      <c r="S1443" s="10"/>
      <c r="T1443" s="10"/>
      <c r="U1443" s="10"/>
      <c r="V1443" s="10"/>
      <c r="W1443" s="10"/>
      <c r="X1443" s="10"/>
      <c r="Y1443" s="10"/>
      <c r="Z1443" s="10"/>
      <c r="AA1443" s="10"/>
      <c r="AB1443" s="10"/>
      <c r="AC1443" s="10"/>
      <c r="AD1443" s="10"/>
      <c r="AE1443" s="10"/>
    </row>
    <row r="1444" ht="14.4" spans="14:31">
      <c r="N1444" s="10"/>
      <c r="O1444" s="10"/>
      <c r="P1444" t="b">
        <v>0</v>
      </c>
      <c r="Q1444" t="b">
        <v>0</v>
      </c>
      <c r="R1444" s="3"/>
      <c r="S1444" s="10"/>
      <c r="T1444" s="10"/>
      <c r="U1444" s="10"/>
      <c r="V1444" s="10"/>
      <c r="W1444" s="10"/>
      <c r="X1444" s="10"/>
      <c r="Y1444" s="10"/>
      <c r="Z1444" s="10"/>
      <c r="AA1444" s="10"/>
      <c r="AB1444" s="10"/>
      <c r="AC1444" s="10"/>
      <c r="AD1444" s="10"/>
      <c r="AE1444" s="10"/>
    </row>
    <row r="1445" ht="14.4" spans="14:31">
      <c r="N1445" s="10"/>
      <c r="O1445" s="10"/>
      <c r="P1445" t="b">
        <v>0</v>
      </c>
      <c r="Q1445" t="b">
        <v>0</v>
      </c>
      <c r="R1445" s="3"/>
      <c r="S1445" s="10"/>
      <c r="T1445" s="10"/>
      <c r="U1445" s="10"/>
      <c r="V1445" s="10"/>
      <c r="W1445" s="10"/>
      <c r="X1445" s="10"/>
      <c r="Y1445" s="10"/>
      <c r="Z1445" s="10"/>
      <c r="AA1445" s="10"/>
      <c r="AB1445" s="10"/>
      <c r="AC1445" s="10"/>
      <c r="AD1445" s="10"/>
      <c r="AE1445" s="10"/>
    </row>
    <row r="1446" ht="14.4" spans="14:31">
      <c r="N1446" s="10"/>
      <c r="O1446" s="10"/>
      <c r="P1446" t="b">
        <v>0</v>
      </c>
      <c r="Q1446" t="b">
        <v>0</v>
      </c>
      <c r="R1446" s="3"/>
      <c r="S1446" s="10"/>
      <c r="T1446" s="10"/>
      <c r="U1446" s="10"/>
      <c r="V1446" s="10"/>
      <c r="W1446" s="10"/>
      <c r="X1446" s="10"/>
      <c r="Y1446" s="10"/>
      <c r="Z1446" s="10"/>
      <c r="AA1446" s="10"/>
      <c r="AB1446" s="10"/>
      <c r="AC1446" s="10"/>
      <c r="AD1446" s="10"/>
      <c r="AE1446" s="10"/>
    </row>
    <row r="1447" ht="14.4" spans="14:31">
      <c r="N1447" s="10"/>
      <c r="O1447" s="10"/>
      <c r="P1447" t="b">
        <v>0</v>
      </c>
      <c r="Q1447" t="b">
        <v>0</v>
      </c>
      <c r="R1447" s="3"/>
      <c r="S1447" s="10"/>
      <c r="T1447" s="10"/>
      <c r="U1447" s="10"/>
      <c r="V1447" s="10"/>
      <c r="W1447" s="10"/>
      <c r="X1447" s="10"/>
      <c r="Y1447" s="10"/>
      <c r="Z1447" s="10"/>
      <c r="AA1447" s="10"/>
      <c r="AB1447" s="10"/>
      <c r="AC1447" s="10"/>
      <c r="AD1447" s="10"/>
      <c r="AE1447" s="10"/>
    </row>
    <row r="1448" ht="14.4" spans="14:31">
      <c r="N1448" s="10"/>
      <c r="O1448" s="10"/>
      <c r="P1448" t="b">
        <v>0</v>
      </c>
      <c r="Q1448" t="b">
        <v>0</v>
      </c>
      <c r="R1448" s="3"/>
      <c r="S1448" s="10"/>
      <c r="T1448" s="10"/>
      <c r="U1448" s="10"/>
      <c r="V1448" s="10"/>
      <c r="W1448" s="10"/>
      <c r="X1448" s="10"/>
      <c r="Y1448" s="10"/>
      <c r="Z1448" s="10"/>
      <c r="AA1448" s="10"/>
      <c r="AB1448" s="10"/>
      <c r="AC1448" s="10"/>
      <c r="AD1448" s="10"/>
      <c r="AE1448" s="10"/>
    </row>
    <row r="1449" ht="14.4" spans="14:31">
      <c r="N1449" s="10"/>
      <c r="O1449" s="10"/>
      <c r="P1449" t="b">
        <v>0</v>
      </c>
      <c r="Q1449" t="b">
        <v>0</v>
      </c>
      <c r="R1449" s="3"/>
      <c r="S1449" s="10"/>
      <c r="T1449" s="10"/>
      <c r="U1449" s="10"/>
      <c r="V1449" s="10"/>
      <c r="W1449" s="10"/>
      <c r="X1449" s="10"/>
      <c r="Y1449" s="10"/>
      <c r="Z1449" s="10"/>
      <c r="AA1449" s="10"/>
      <c r="AB1449" s="10"/>
      <c r="AC1449" s="10"/>
      <c r="AD1449" s="10"/>
      <c r="AE1449" s="10"/>
    </row>
    <row r="1450" ht="14.4" spans="14:31">
      <c r="N1450" s="10"/>
      <c r="O1450" s="10"/>
      <c r="P1450" t="b">
        <v>0</v>
      </c>
      <c r="Q1450" t="b">
        <v>0</v>
      </c>
      <c r="R1450" s="3"/>
      <c r="S1450" s="10"/>
      <c r="T1450" s="10"/>
      <c r="U1450" s="10"/>
      <c r="V1450" s="10"/>
      <c r="W1450" s="10"/>
      <c r="X1450" s="10"/>
      <c r="Y1450" s="10"/>
      <c r="Z1450" s="10"/>
      <c r="AA1450" s="10"/>
      <c r="AB1450" s="10"/>
      <c r="AC1450" s="10"/>
      <c r="AD1450" s="10"/>
      <c r="AE1450" s="10"/>
    </row>
    <row r="1451" ht="14.4" spans="14:31">
      <c r="N1451" s="10"/>
      <c r="O1451" s="10"/>
      <c r="P1451" t="b">
        <v>0</v>
      </c>
      <c r="Q1451" t="b">
        <v>0</v>
      </c>
      <c r="R1451" s="3"/>
      <c r="S1451" s="10"/>
      <c r="T1451" s="10"/>
      <c r="U1451" s="10"/>
      <c r="V1451" s="10"/>
      <c r="W1451" s="10"/>
      <c r="X1451" s="10"/>
      <c r="Y1451" s="10"/>
      <c r="Z1451" s="10"/>
      <c r="AA1451" s="10"/>
      <c r="AB1451" s="10"/>
      <c r="AC1451" s="10"/>
      <c r="AD1451" s="10"/>
      <c r="AE1451" s="10"/>
    </row>
    <row r="1452" ht="14.4" spans="14:31">
      <c r="N1452" s="10"/>
      <c r="O1452" s="10"/>
      <c r="P1452" t="b">
        <v>0</v>
      </c>
      <c r="Q1452" t="b">
        <v>0</v>
      </c>
      <c r="R1452" s="3"/>
      <c r="S1452" s="10"/>
      <c r="T1452" s="10"/>
      <c r="U1452" s="10"/>
      <c r="V1452" s="10"/>
      <c r="W1452" s="10"/>
      <c r="X1452" s="10"/>
      <c r="Y1452" s="10"/>
      <c r="Z1452" s="10"/>
      <c r="AA1452" s="10"/>
      <c r="AB1452" s="10"/>
      <c r="AC1452" s="10"/>
      <c r="AD1452" s="10"/>
      <c r="AE1452" s="10"/>
    </row>
    <row r="1453" ht="14.4" spans="14:31">
      <c r="N1453" s="10"/>
      <c r="O1453" s="10"/>
      <c r="P1453" t="b">
        <v>0</v>
      </c>
      <c r="Q1453" t="b">
        <v>0</v>
      </c>
      <c r="R1453" s="3"/>
      <c r="S1453" s="10"/>
      <c r="T1453" s="10"/>
      <c r="U1453" s="10"/>
      <c r="V1453" s="10"/>
      <c r="W1453" s="10"/>
      <c r="X1453" s="10"/>
      <c r="Y1453" s="10"/>
      <c r="Z1453" s="10"/>
      <c r="AA1453" s="10"/>
      <c r="AB1453" s="10"/>
      <c r="AC1453" s="10"/>
      <c r="AD1453" s="10"/>
      <c r="AE1453" s="10"/>
    </row>
    <row r="1454" ht="14.4" spans="14:31">
      <c r="N1454" s="10"/>
      <c r="O1454" s="10"/>
      <c r="P1454" t="b">
        <v>0</v>
      </c>
      <c r="Q1454" t="b">
        <v>0</v>
      </c>
      <c r="R1454" s="3"/>
      <c r="S1454" s="10"/>
      <c r="T1454" s="10"/>
      <c r="U1454" s="10"/>
      <c r="V1454" s="10"/>
      <c r="W1454" s="10"/>
      <c r="X1454" s="10"/>
      <c r="Y1454" s="10"/>
      <c r="Z1454" s="10"/>
      <c r="AA1454" s="10"/>
      <c r="AB1454" s="10"/>
      <c r="AC1454" s="10"/>
      <c r="AD1454" s="10"/>
      <c r="AE1454" s="10"/>
    </row>
    <row r="1455" ht="14.4" spans="14:31">
      <c r="N1455" s="10"/>
      <c r="O1455" s="10"/>
      <c r="P1455" t="b">
        <v>0</v>
      </c>
      <c r="Q1455" t="b">
        <v>0</v>
      </c>
      <c r="R1455" s="3"/>
      <c r="S1455" s="10"/>
      <c r="T1455" s="10"/>
      <c r="U1455" s="10"/>
      <c r="V1455" s="10"/>
      <c r="W1455" s="10"/>
      <c r="X1455" s="10"/>
      <c r="Y1455" s="10"/>
      <c r="Z1455" s="10"/>
      <c r="AA1455" s="10"/>
      <c r="AB1455" s="10"/>
      <c r="AC1455" s="10"/>
      <c r="AD1455" s="10"/>
      <c r="AE1455" s="10"/>
    </row>
    <row r="1456" ht="14.4" spans="14:31">
      <c r="N1456" s="10"/>
      <c r="O1456" s="10"/>
      <c r="P1456" t="b">
        <v>0</v>
      </c>
      <c r="Q1456" t="b">
        <v>0</v>
      </c>
      <c r="R1456" s="3"/>
      <c r="S1456" s="10"/>
      <c r="T1456" s="10"/>
      <c r="U1456" s="10"/>
      <c r="V1456" s="10"/>
      <c r="W1456" s="10"/>
      <c r="X1456" s="10"/>
      <c r="Y1456" s="10"/>
      <c r="Z1456" s="10"/>
      <c r="AA1456" s="10"/>
      <c r="AB1456" s="10"/>
      <c r="AC1456" s="10"/>
      <c r="AD1456" s="10"/>
      <c r="AE1456" s="10"/>
    </row>
    <row r="1457" ht="14.4" spans="14:31">
      <c r="N1457" s="10"/>
      <c r="O1457" s="10"/>
      <c r="P1457" t="b">
        <v>0</v>
      </c>
      <c r="Q1457" t="b">
        <v>0</v>
      </c>
      <c r="R1457" s="3"/>
      <c r="S1457" s="10"/>
      <c r="T1457" s="10"/>
      <c r="U1457" s="10"/>
      <c r="V1457" s="10"/>
      <c r="W1457" s="10"/>
      <c r="X1457" s="10"/>
      <c r="Y1457" s="10"/>
      <c r="Z1457" s="10"/>
      <c r="AA1457" s="10"/>
      <c r="AB1457" s="10"/>
      <c r="AC1457" s="10"/>
      <c r="AD1457" s="10"/>
      <c r="AE1457" s="10"/>
    </row>
    <row r="1458" ht="14.4" spans="14:31">
      <c r="N1458" s="10"/>
      <c r="O1458" s="10"/>
      <c r="P1458" t="b">
        <v>0</v>
      </c>
      <c r="Q1458" t="b">
        <v>0</v>
      </c>
      <c r="R1458" s="3"/>
      <c r="S1458" s="10"/>
      <c r="T1458" s="10"/>
      <c r="U1458" s="10"/>
      <c r="V1458" s="10"/>
      <c r="W1458" s="10"/>
      <c r="X1458" s="10"/>
      <c r="Y1458" s="10"/>
      <c r="Z1458" s="10"/>
      <c r="AA1458" s="10"/>
      <c r="AB1458" s="10"/>
      <c r="AC1458" s="10"/>
      <c r="AD1458" s="10"/>
      <c r="AE1458" s="10"/>
    </row>
    <row r="1459" ht="14.4" spans="14:31">
      <c r="N1459" s="10"/>
      <c r="O1459" s="10"/>
      <c r="P1459" t="b">
        <v>0</v>
      </c>
      <c r="Q1459" t="b">
        <v>0</v>
      </c>
      <c r="R1459" s="3"/>
      <c r="S1459" s="10"/>
      <c r="T1459" s="10"/>
      <c r="U1459" s="10"/>
      <c r="V1459" s="10"/>
      <c r="W1459" s="10"/>
      <c r="X1459" s="10"/>
      <c r="Y1459" s="10"/>
      <c r="Z1459" s="10"/>
      <c r="AA1459" s="10"/>
      <c r="AB1459" s="10"/>
      <c r="AC1459" s="10"/>
      <c r="AD1459" s="10"/>
      <c r="AE1459" s="10"/>
    </row>
    <row r="1460" ht="14.4" spans="14:31">
      <c r="N1460" s="10"/>
      <c r="O1460" s="10"/>
      <c r="P1460" t="b">
        <v>0</v>
      </c>
      <c r="Q1460" t="b">
        <v>0</v>
      </c>
      <c r="R1460" s="3"/>
      <c r="S1460" s="10"/>
      <c r="T1460" s="10"/>
      <c r="U1460" s="10"/>
      <c r="V1460" s="10"/>
      <c r="W1460" s="10"/>
      <c r="X1460" s="10"/>
      <c r="Y1460" s="10"/>
      <c r="Z1460" s="10"/>
      <c r="AA1460" s="10"/>
      <c r="AB1460" s="10"/>
      <c r="AC1460" s="10"/>
      <c r="AD1460" s="10"/>
      <c r="AE1460" s="10"/>
    </row>
    <row r="1461" ht="14.4" spans="14:31">
      <c r="N1461" s="10"/>
      <c r="O1461" s="10"/>
      <c r="P1461" t="b">
        <v>0</v>
      </c>
      <c r="Q1461" t="b">
        <v>0</v>
      </c>
      <c r="R1461" s="3"/>
      <c r="S1461" s="10"/>
      <c r="T1461" s="10"/>
      <c r="U1461" s="10"/>
      <c r="V1461" s="10"/>
      <c r="W1461" s="10"/>
      <c r="X1461" s="10"/>
      <c r="Y1461" s="10"/>
      <c r="Z1461" s="10"/>
      <c r="AA1461" s="10"/>
      <c r="AB1461" s="10"/>
      <c r="AC1461" s="10"/>
      <c r="AD1461" s="10"/>
      <c r="AE1461" s="10"/>
    </row>
    <row r="1462" ht="14.4" spans="14:31">
      <c r="N1462" s="10"/>
      <c r="O1462" s="10"/>
      <c r="P1462" t="b">
        <v>0</v>
      </c>
      <c r="Q1462" t="b">
        <v>0</v>
      </c>
      <c r="R1462" s="3"/>
      <c r="S1462" s="10"/>
      <c r="T1462" s="10"/>
      <c r="U1462" s="10"/>
      <c r="V1462" s="10"/>
      <c r="W1462" s="10"/>
      <c r="X1462" s="10"/>
      <c r="Y1462" s="10"/>
      <c r="Z1462" s="10"/>
      <c r="AA1462" s="10"/>
      <c r="AB1462" s="10"/>
      <c r="AC1462" s="10"/>
      <c r="AD1462" s="10"/>
      <c r="AE1462" s="10"/>
    </row>
    <row r="1463" ht="14.4" spans="14:31">
      <c r="N1463" s="10"/>
      <c r="O1463" s="10"/>
      <c r="P1463" t="b">
        <v>0</v>
      </c>
      <c r="Q1463" t="b">
        <v>0</v>
      </c>
      <c r="R1463" s="3"/>
      <c r="S1463" s="10"/>
      <c r="T1463" s="10"/>
      <c r="U1463" s="10"/>
      <c r="V1463" s="10"/>
      <c r="W1463" s="10"/>
      <c r="X1463" s="10"/>
      <c r="Y1463" s="10"/>
      <c r="Z1463" s="10"/>
      <c r="AA1463" s="10"/>
      <c r="AB1463" s="10"/>
      <c r="AC1463" s="10"/>
      <c r="AD1463" s="10"/>
      <c r="AE1463" s="10"/>
    </row>
    <row r="1464" ht="14.4" spans="14:31">
      <c r="N1464" s="10"/>
      <c r="O1464" s="10"/>
      <c r="P1464" t="b">
        <v>0</v>
      </c>
      <c r="Q1464" t="b">
        <v>0</v>
      </c>
      <c r="R1464" s="3"/>
      <c r="S1464" s="10"/>
      <c r="T1464" s="10"/>
      <c r="U1464" s="10"/>
      <c r="V1464" s="10"/>
      <c r="W1464" s="10"/>
      <c r="X1464" s="10"/>
      <c r="Y1464" s="10"/>
      <c r="Z1464" s="10"/>
      <c r="AA1464" s="10"/>
      <c r="AB1464" s="10"/>
      <c r="AC1464" s="10"/>
      <c r="AD1464" s="10"/>
      <c r="AE1464" s="10"/>
    </row>
    <row r="1465" ht="14.4" spans="14:31">
      <c r="N1465" s="10"/>
      <c r="O1465" s="10"/>
      <c r="P1465" t="b">
        <v>0</v>
      </c>
      <c r="Q1465" t="b">
        <v>0</v>
      </c>
      <c r="R1465" s="3"/>
      <c r="S1465" s="10"/>
      <c r="T1465" s="10"/>
      <c r="U1465" s="10"/>
      <c r="V1465" s="10"/>
      <c r="W1465" s="10"/>
      <c r="X1465" s="10"/>
      <c r="Y1465" s="10"/>
      <c r="Z1465" s="10"/>
      <c r="AA1465" s="10"/>
      <c r="AB1465" s="10"/>
      <c r="AC1465" s="10"/>
      <c r="AD1465" s="10"/>
      <c r="AE1465" s="10"/>
    </row>
    <row r="1466" ht="14.4" spans="14:31">
      <c r="N1466" s="10"/>
      <c r="O1466" s="10"/>
      <c r="P1466" t="b">
        <v>0</v>
      </c>
      <c r="Q1466" t="b">
        <v>0</v>
      </c>
      <c r="R1466" s="3"/>
      <c r="S1466" s="10"/>
      <c r="T1466" s="10"/>
      <c r="U1466" s="10"/>
      <c r="V1466" s="10"/>
      <c r="W1466" s="10"/>
      <c r="X1466" s="10"/>
      <c r="Y1466" s="10"/>
      <c r="Z1466" s="10"/>
      <c r="AA1466" s="10"/>
      <c r="AB1466" s="10"/>
      <c r="AC1466" s="10"/>
      <c r="AD1466" s="10"/>
      <c r="AE1466" s="10"/>
    </row>
    <row r="1467" ht="14.4" spans="14:31">
      <c r="N1467" s="10"/>
      <c r="O1467" s="10"/>
      <c r="P1467" t="b">
        <v>0</v>
      </c>
      <c r="Q1467" t="b">
        <v>0</v>
      </c>
      <c r="R1467" s="3"/>
      <c r="S1467" s="10"/>
      <c r="T1467" s="10"/>
      <c r="U1467" s="10"/>
      <c r="V1467" s="10"/>
      <c r="W1467" s="10"/>
      <c r="X1467" s="10"/>
      <c r="Y1467" s="10"/>
      <c r="Z1467" s="10"/>
      <c r="AA1467" s="10"/>
      <c r="AB1467" s="10"/>
      <c r="AC1467" s="10"/>
      <c r="AD1467" s="10"/>
      <c r="AE1467" s="10"/>
    </row>
    <row r="1468" ht="14.4" spans="14:31">
      <c r="N1468" s="10"/>
      <c r="O1468" s="10"/>
      <c r="P1468" t="b">
        <v>0</v>
      </c>
      <c r="Q1468" t="b">
        <v>0</v>
      </c>
      <c r="R1468" s="3"/>
      <c r="S1468" s="10"/>
      <c r="T1468" s="10"/>
      <c r="U1468" s="10"/>
      <c r="V1468" s="10"/>
      <c r="W1468" s="10"/>
      <c r="X1468" s="10"/>
      <c r="Y1468" s="10"/>
      <c r="Z1468" s="10"/>
      <c r="AA1468" s="10"/>
      <c r="AB1468" s="10"/>
      <c r="AC1468" s="10"/>
      <c r="AD1468" s="10"/>
      <c r="AE1468" s="10"/>
    </row>
    <row r="1469" ht="14.4" spans="14:31">
      <c r="N1469" s="10"/>
      <c r="O1469" s="10"/>
      <c r="P1469" t="b">
        <v>0</v>
      </c>
      <c r="Q1469" t="b">
        <v>0</v>
      </c>
      <c r="R1469" s="3"/>
      <c r="S1469" s="10"/>
      <c r="T1469" s="10"/>
      <c r="U1469" s="10"/>
      <c r="V1469" s="10"/>
      <c r="W1469" s="10"/>
      <c r="X1469" s="10"/>
      <c r="Y1469" s="10"/>
      <c r="Z1469" s="10"/>
      <c r="AA1469" s="10"/>
      <c r="AB1469" s="10"/>
      <c r="AC1469" s="10"/>
      <c r="AD1469" s="10"/>
      <c r="AE1469" s="10"/>
    </row>
    <row r="1470" ht="14.4" spans="14:31">
      <c r="N1470" s="10"/>
      <c r="O1470" s="10"/>
      <c r="P1470" t="b">
        <v>0</v>
      </c>
      <c r="Q1470" t="b">
        <v>0</v>
      </c>
      <c r="R1470" s="3"/>
      <c r="S1470" s="10"/>
      <c r="T1470" s="10"/>
      <c r="U1470" s="10"/>
      <c r="V1470" s="10"/>
      <c r="W1470" s="10"/>
      <c r="X1470" s="10"/>
      <c r="Y1470" s="10"/>
      <c r="Z1470" s="10"/>
      <c r="AA1470" s="10"/>
      <c r="AB1470" s="10"/>
      <c r="AC1470" s="10"/>
      <c r="AD1470" s="10"/>
      <c r="AE1470" s="10"/>
    </row>
    <row r="1471" ht="14.4" spans="14:31">
      <c r="N1471" s="10"/>
      <c r="O1471" s="10"/>
      <c r="P1471" t="b">
        <v>0</v>
      </c>
      <c r="Q1471" t="b">
        <v>0</v>
      </c>
      <c r="R1471" s="3"/>
      <c r="S1471" s="10"/>
      <c r="T1471" s="10"/>
      <c r="U1471" s="10"/>
      <c r="V1471" s="10"/>
      <c r="W1471" s="10"/>
      <c r="X1471" s="10"/>
      <c r="Y1471" s="10"/>
      <c r="Z1471" s="10"/>
      <c r="AA1471" s="10"/>
      <c r="AB1471" s="10"/>
      <c r="AC1471" s="10"/>
      <c r="AD1471" s="10"/>
      <c r="AE1471" s="10"/>
    </row>
    <row r="1472" ht="14.4" spans="14:31">
      <c r="N1472" s="10"/>
      <c r="O1472" s="10"/>
      <c r="P1472" t="b">
        <v>0</v>
      </c>
      <c r="Q1472" t="b">
        <v>0</v>
      </c>
      <c r="R1472" s="3"/>
      <c r="S1472" s="10"/>
      <c r="T1472" s="10"/>
      <c r="U1472" s="10"/>
      <c r="V1472" s="10"/>
      <c r="W1472" s="10"/>
      <c r="X1472" s="10"/>
      <c r="Y1472" s="10"/>
      <c r="Z1472" s="10"/>
      <c r="AA1472" s="10"/>
      <c r="AB1472" s="10"/>
      <c r="AC1472" s="10"/>
      <c r="AD1472" s="10"/>
      <c r="AE1472" s="10"/>
    </row>
    <row r="1473" ht="14.4" spans="14:31">
      <c r="N1473" s="10"/>
      <c r="O1473" s="10"/>
      <c r="P1473" t="b">
        <v>0</v>
      </c>
      <c r="Q1473" t="b">
        <v>0</v>
      </c>
      <c r="R1473" s="3"/>
      <c r="S1473" s="10"/>
      <c r="T1473" s="10"/>
      <c r="U1473" s="10"/>
      <c r="V1473" s="10"/>
      <c r="W1473" s="10"/>
      <c r="X1473" s="10"/>
      <c r="Y1473" s="10"/>
      <c r="Z1473" s="10"/>
      <c r="AA1473" s="10"/>
      <c r="AB1473" s="10"/>
      <c r="AC1473" s="10"/>
      <c r="AD1473" s="10"/>
      <c r="AE1473" s="10"/>
    </row>
    <row r="1474" ht="14.4" spans="14:31">
      <c r="N1474" s="10"/>
      <c r="O1474" s="10"/>
      <c r="P1474" t="b">
        <v>0</v>
      </c>
      <c r="Q1474" t="b">
        <v>0</v>
      </c>
      <c r="R1474" s="3"/>
      <c r="S1474" s="10"/>
      <c r="T1474" s="10"/>
      <c r="U1474" s="10"/>
      <c r="V1474" s="10"/>
      <c r="W1474" s="10"/>
      <c r="X1474" s="10"/>
      <c r="Y1474" s="10"/>
      <c r="Z1474" s="10"/>
      <c r="AA1474" s="10"/>
      <c r="AB1474" s="10"/>
      <c r="AC1474" s="10"/>
      <c r="AD1474" s="10"/>
      <c r="AE1474" s="10"/>
    </row>
    <row r="1475" ht="14.4" spans="14:31">
      <c r="N1475" s="10"/>
      <c r="O1475" s="10"/>
      <c r="P1475" t="b">
        <v>0</v>
      </c>
      <c r="Q1475" t="b">
        <v>0</v>
      </c>
      <c r="R1475" s="3"/>
      <c r="S1475" s="10"/>
      <c r="T1475" s="10"/>
      <c r="U1475" s="10"/>
      <c r="V1475" s="10"/>
      <c r="W1475" s="10"/>
      <c r="X1475" s="10"/>
      <c r="Y1475" s="10"/>
      <c r="Z1475" s="10"/>
      <c r="AA1475" s="10"/>
      <c r="AB1475" s="10"/>
      <c r="AC1475" s="10"/>
      <c r="AD1475" s="10"/>
      <c r="AE1475" s="10"/>
    </row>
    <row r="1476" ht="14.4" spans="14:31">
      <c r="N1476" s="10"/>
      <c r="O1476" s="10"/>
      <c r="P1476" t="b">
        <v>0</v>
      </c>
      <c r="Q1476" t="b">
        <v>0</v>
      </c>
      <c r="R1476" s="3"/>
      <c r="S1476" s="10"/>
      <c r="T1476" s="10"/>
      <c r="U1476" s="10"/>
      <c r="V1476" s="10"/>
      <c r="W1476" s="10"/>
      <c r="X1476" s="10"/>
      <c r="Y1476" s="10"/>
      <c r="Z1476" s="10"/>
      <c r="AA1476" s="10"/>
      <c r="AB1476" s="10"/>
      <c r="AC1476" s="10"/>
      <c r="AD1476" s="10"/>
      <c r="AE1476" s="10"/>
    </row>
    <row r="1477" ht="14.4" spans="14:31">
      <c r="N1477" s="10"/>
      <c r="O1477" s="10"/>
      <c r="P1477" t="b">
        <v>0</v>
      </c>
      <c r="Q1477" t="b">
        <v>0</v>
      </c>
      <c r="R1477" s="3"/>
      <c r="S1477" s="10"/>
      <c r="T1477" s="10"/>
      <c r="U1477" s="10"/>
      <c r="V1477" s="10"/>
      <c r="W1477" s="10"/>
      <c r="X1477" s="10"/>
      <c r="Y1477" s="10"/>
      <c r="Z1477" s="10"/>
      <c r="AA1477" s="10"/>
      <c r="AB1477" s="10"/>
      <c r="AC1477" s="10"/>
      <c r="AD1477" s="10"/>
      <c r="AE1477" s="10"/>
    </row>
    <row r="1478" ht="14.4" spans="14:31">
      <c r="N1478" s="10"/>
      <c r="O1478" s="10"/>
      <c r="P1478" t="b">
        <v>0</v>
      </c>
      <c r="Q1478" t="b">
        <v>0</v>
      </c>
      <c r="R1478" s="3"/>
      <c r="S1478" s="10"/>
      <c r="T1478" s="10"/>
      <c r="U1478" s="10"/>
      <c r="V1478" s="10"/>
      <c r="W1478" s="10"/>
      <c r="X1478" s="10"/>
      <c r="Y1478" s="10"/>
      <c r="Z1478" s="10"/>
      <c r="AA1478" s="10"/>
      <c r="AB1478" s="10"/>
      <c r="AC1478" s="10"/>
      <c r="AD1478" s="10"/>
      <c r="AE1478" s="10"/>
    </row>
    <row r="1479" ht="14.4" spans="14:31">
      <c r="N1479" s="10"/>
      <c r="O1479" s="10"/>
      <c r="P1479" t="b">
        <v>0</v>
      </c>
      <c r="Q1479" t="b">
        <v>0</v>
      </c>
      <c r="R1479" s="3"/>
      <c r="S1479" s="10"/>
      <c r="T1479" s="10"/>
      <c r="U1479" s="10"/>
      <c r="V1479" s="10"/>
      <c r="W1479" s="10"/>
      <c r="X1479" s="10"/>
      <c r="Y1479" s="10"/>
      <c r="Z1479" s="10"/>
      <c r="AA1479" s="10"/>
      <c r="AB1479" s="10"/>
      <c r="AC1479" s="10"/>
      <c r="AD1479" s="10"/>
      <c r="AE1479" s="10"/>
    </row>
    <row r="1480" ht="14.4" spans="14:31">
      <c r="N1480" s="10"/>
      <c r="O1480" s="10"/>
      <c r="P1480" t="b">
        <v>0</v>
      </c>
      <c r="Q1480" t="b">
        <v>0</v>
      </c>
      <c r="R1480" s="3"/>
      <c r="S1480" s="10"/>
      <c r="T1480" s="10"/>
      <c r="U1480" s="10"/>
      <c r="V1480" s="10"/>
      <c r="W1480" s="10"/>
      <c r="X1480" s="10"/>
      <c r="Y1480" s="10"/>
      <c r="Z1480" s="10"/>
      <c r="AA1480" s="10"/>
      <c r="AB1480" s="10"/>
      <c r="AC1480" s="10"/>
      <c r="AD1480" s="10"/>
      <c r="AE1480" s="10"/>
    </row>
    <row r="1481" ht="14.4" spans="14:31">
      <c r="N1481" s="10"/>
      <c r="O1481" s="10"/>
      <c r="P1481" t="b">
        <v>0</v>
      </c>
      <c r="Q1481" t="b">
        <v>0</v>
      </c>
      <c r="R1481" s="3"/>
      <c r="S1481" s="10"/>
      <c r="T1481" s="10"/>
      <c r="U1481" s="10"/>
      <c r="V1481" s="10"/>
      <c r="W1481" s="10"/>
      <c r="X1481" s="10"/>
      <c r="Y1481" s="10"/>
      <c r="Z1481" s="10"/>
      <c r="AA1481" s="10"/>
      <c r="AB1481" s="10"/>
      <c r="AC1481" s="10"/>
      <c r="AD1481" s="10"/>
      <c r="AE1481" s="10"/>
    </row>
    <row r="1482" ht="14.4" spans="14:31">
      <c r="N1482" s="10"/>
      <c r="O1482" s="10"/>
      <c r="P1482" t="b">
        <v>0</v>
      </c>
      <c r="Q1482" t="b">
        <v>0</v>
      </c>
      <c r="R1482" s="3"/>
      <c r="S1482" s="10"/>
      <c r="T1482" s="10"/>
      <c r="U1482" s="10"/>
      <c r="V1482" s="10"/>
      <c r="W1482" s="10"/>
      <c r="X1482" s="10"/>
      <c r="Y1482" s="10"/>
      <c r="Z1482" s="10"/>
      <c r="AA1482" s="10"/>
      <c r="AB1482" s="10"/>
      <c r="AC1482" s="10"/>
      <c r="AD1482" s="10"/>
      <c r="AE1482" s="10"/>
    </row>
    <row r="1483" ht="14.4" spans="14:31">
      <c r="N1483" s="10"/>
      <c r="O1483" s="10"/>
      <c r="P1483" t="b">
        <v>0</v>
      </c>
      <c r="Q1483" t="b">
        <v>0</v>
      </c>
      <c r="R1483" s="3"/>
      <c r="S1483" s="10"/>
      <c r="T1483" s="10"/>
      <c r="U1483" s="10"/>
      <c r="V1483" s="10"/>
      <c r="W1483" s="10"/>
      <c r="X1483" s="10"/>
      <c r="Y1483" s="10"/>
      <c r="Z1483" s="10"/>
      <c r="AA1483" s="10"/>
      <c r="AB1483" s="10"/>
      <c r="AC1483" s="10"/>
      <c r="AD1483" s="10"/>
      <c r="AE1483" s="10"/>
    </row>
    <row r="1484" ht="14.4" spans="14:31">
      <c r="N1484" s="10"/>
      <c r="O1484" s="10"/>
      <c r="P1484" t="b">
        <v>0</v>
      </c>
      <c r="Q1484" t="b">
        <v>0</v>
      </c>
      <c r="R1484" s="3"/>
      <c r="S1484" s="10"/>
      <c r="T1484" s="10"/>
      <c r="U1484" s="10"/>
      <c r="V1484" s="10"/>
      <c r="W1484" s="10"/>
      <c r="X1484" s="10"/>
      <c r="Y1484" s="10"/>
      <c r="Z1484" s="10"/>
      <c r="AA1484" s="10"/>
      <c r="AB1484" s="10"/>
      <c r="AC1484" s="10"/>
      <c r="AD1484" s="10"/>
      <c r="AE1484" s="10"/>
    </row>
    <row r="1485" ht="14.4" spans="14:31">
      <c r="N1485" s="10"/>
      <c r="O1485" s="10"/>
      <c r="P1485" t="b">
        <v>0</v>
      </c>
      <c r="Q1485" t="b">
        <v>0</v>
      </c>
      <c r="R1485" s="3"/>
      <c r="S1485" s="10"/>
      <c r="T1485" s="10"/>
      <c r="U1485" s="10"/>
      <c r="V1485" s="10"/>
      <c r="W1485" s="10"/>
      <c r="X1485" s="10"/>
      <c r="Y1485" s="10"/>
      <c r="Z1485" s="10"/>
      <c r="AA1485" s="10"/>
      <c r="AB1485" s="10"/>
      <c r="AC1485" s="10"/>
      <c r="AD1485" s="10"/>
      <c r="AE1485" s="10"/>
    </row>
    <row r="1486" ht="14.4" spans="14:31">
      <c r="N1486" s="10"/>
      <c r="O1486" s="10"/>
      <c r="P1486" t="b">
        <v>0</v>
      </c>
      <c r="Q1486" t="b">
        <v>0</v>
      </c>
      <c r="R1486" s="3"/>
      <c r="S1486" s="10"/>
      <c r="T1486" s="10"/>
      <c r="U1486" s="10"/>
      <c r="V1486" s="10"/>
      <c r="W1486" s="10"/>
      <c r="X1486" s="10"/>
      <c r="Y1486" s="10"/>
      <c r="Z1486" s="10"/>
      <c r="AA1486" s="10"/>
      <c r="AB1486" s="10"/>
      <c r="AC1486" s="10"/>
      <c r="AD1486" s="10"/>
      <c r="AE1486" s="10"/>
    </row>
    <row r="1487" ht="14.4" spans="14:31">
      <c r="N1487" s="10"/>
      <c r="O1487" s="10"/>
      <c r="P1487" t="b">
        <v>0</v>
      </c>
      <c r="Q1487" t="b">
        <v>0</v>
      </c>
      <c r="R1487" s="3"/>
      <c r="S1487" s="10"/>
      <c r="T1487" s="10"/>
      <c r="U1487" s="10"/>
      <c r="V1487" s="10"/>
      <c r="W1487" s="10"/>
      <c r="X1487" s="10"/>
      <c r="Y1487" s="10"/>
      <c r="Z1487" s="10"/>
      <c r="AA1487" s="10"/>
      <c r="AB1487" s="10"/>
      <c r="AC1487" s="10"/>
      <c r="AD1487" s="10"/>
      <c r="AE1487" s="10"/>
    </row>
    <row r="1488" ht="14.4" spans="14:31">
      <c r="N1488" s="10"/>
      <c r="O1488" s="10"/>
      <c r="P1488" t="b">
        <v>0</v>
      </c>
      <c r="Q1488" t="b">
        <v>0</v>
      </c>
      <c r="R1488" s="3"/>
      <c r="S1488" s="10"/>
      <c r="T1488" s="10"/>
      <c r="U1488" s="10"/>
      <c r="V1488" s="10"/>
      <c r="W1488" s="10"/>
      <c r="X1488" s="10"/>
      <c r="Y1488" s="10"/>
      <c r="Z1488" s="10"/>
      <c r="AA1488" s="10"/>
      <c r="AB1488" s="10"/>
      <c r="AC1488" s="10"/>
      <c r="AD1488" s="10"/>
      <c r="AE1488" s="10"/>
    </row>
    <row r="1489" ht="14.4" spans="14:31">
      <c r="N1489" s="10"/>
      <c r="O1489" s="10"/>
      <c r="P1489" t="b">
        <v>0</v>
      </c>
      <c r="Q1489" t="b">
        <v>0</v>
      </c>
      <c r="R1489" s="3"/>
      <c r="S1489" s="10"/>
      <c r="T1489" s="10"/>
      <c r="U1489" s="10"/>
      <c r="V1489" s="10"/>
      <c r="W1489" s="10"/>
      <c r="X1489" s="10"/>
      <c r="Y1489" s="10"/>
      <c r="Z1489" s="10"/>
      <c r="AA1489" s="10"/>
      <c r="AB1489" s="10"/>
      <c r="AC1489" s="10"/>
      <c r="AD1489" s="10"/>
      <c r="AE1489" s="10"/>
    </row>
    <row r="1490" ht="14.4" spans="14:31">
      <c r="N1490" s="10"/>
      <c r="O1490" s="10"/>
      <c r="P1490" t="b">
        <v>0</v>
      </c>
      <c r="Q1490" t="b">
        <v>0</v>
      </c>
      <c r="R1490" s="3"/>
      <c r="S1490" s="10"/>
      <c r="T1490" s="10"/>
      <c r="U1490" s="10"/>
      <c r="V1490" s="10"/>
      <c r="W1490" s="10"/>
      <c r="X1490" s="10"/>
      <c r="Y1490" s="10"/>
      <c r="Z1490" s="10"/>
      <c r="AA1490" s="10"/>
      <c r="AB1490" s="10"/>
      <c r="AC1490" s="10"/>
      <c r="AD1490" s="10"/>
      <c r="AE1490" s="10"/>
    </row>
    <row r="1491" ht="14.4" spans="14:31">
      <c r="N1491" s="10"/>
      <c r="O1491" s="10"/>
      <c r="P1491" t="b">
        <v>0</v>
      </c>
      <c r="Q1491" t="b">
        <v>0</v>
      </c>
      <c r="R1491" s="3"/>
      <c r="S1491" s="10"/>
      <c r="T1491" s="10"/>
      <c r="U1491" s="10"/>
      <c r="V1491" s="10"/>
      <c r="W1491" s="10"/>
      <c r="X1491" s="10"/>
      <c r="Y1491" s="10"/>
      <c r="Z1491" s="10"/>
      <c r="AA1491" s="10"/>
      <c r="AB1491" s="10"/>
      <c r="AC1491" s="10"/>
      <c r="AD1491" s="10"/>
      <c r="AE1491" s="10"/>
    </row>
    <row r="1492" ht="14.4" spans="14:31">
      <c r="N1492" s="10"/>
      <c r="O1492" s="10"/>
      <c r="P1492" t="b">
        <v>0</v>
      </c>
      <c r="Q1492" t="b">
        <v>0</v>
      </c>
      <c r="R1492" s="3"/>
      <c r="S1492" s="10"/>
      <c r="T1492" s="10"/>
      <c r="U1492" s="10"/>
      <c r="V1492" s="10"/>
      <c r="W1492" s="10"/>
      <c r="X1492" s="10"/>
      <c r="Y1492" s="10"/>
      <c r="Z1492" s="10"/>
      <c r="AA1492" s="10"/>
      <c r="AB1492" s="10"/>
      <c r="AC1492" s="10"/>
      <c r="AD1492" s="10"/>
      <c r="AE1492" s="10"/>
    </row>
    <row r="1493" ht="14.4" spans="14:31">
      <c r="N1493" s="10"/>
      <c r="O1493" s="10"/>
      <c r="P1493" t="b">
        <v>0</v>
      </c>
      <c r="Q1493" t="b">
        <v>0</v>
      </c>
      <c r="R1493" s="3"/>
      <c r="S1493" s="10"/>
      <c r="T1493" s="10"/>
      <c r="U1493" s="10"/>
      <c r="V1493" s="10"/>
      <c r="W1493" s="10"/>
      <c r="X1493" s="10"/>
      <c r="Y1493" s="10"/>
      <c r="Z1493" s="10"/>
      <c r="AA1493" s="10"/>
      <c r="AB1493" s="10"/>
      <c r="AC1493" s="10"/>
      <c r="AD1493" s="10"/>
      <c r="AE1493" s="10"/>
    </row>
    <row r="1494" ht="14.4" spans="14:31">
      <c r="N1494" s="10"/>
      <c r="O1494" s="10"/>
      <c r="P1494" t="b">
        <v>0</v>
      </c>
      <c r="Q1494" t="b">
        <v>0</v>
      </c>
      <c r="R1494" s="3"/>
      <c r="S1494" s="10"/>
      <c r="T1494" s="10"/>
      <c r="U1494" s="10"/>
      <c r="V1494" s="10"/>
      <c r="W1494" s="10"/>
      <c r="X1494" s="10"/>
      <c r="Y1494" s="10"/>
      <c r="Z1494" s="10"/>
      <c r="AA1494" s="10"/>
      <c r="AB1494" s="10"/>
      <c r="AC1494" s="10"/>
      <c r="AD1494" s="10"/>
      <c r="AE1494" s="10"/>
    </row>
    <row r="1495" ht="14.4" spans="14:31">
      <c r="N1495" s="10"/>
      <c r="O1495" s="10"/>
      <c r="P1495" t="b">
        <v>0</v>
      </c>
      <c r="Q1495" t="b">
        <v>0</v>
      </c>
      <c r="R1495" s="3"/>
      <c r="S1495" s="10"/>
      <c r="T1495" s="10"/>
      <c r="U1495" s="10"/>
      <c r="V1495" s="10"/>
      <c r="W1495" s="10"/>
      <c r="X1495" s="10"/>
      <c r="Y1495" s="10"/>
      <c r="Z1495" s="10"/>
      <c r="AA1495" s="10"/>
      <c r="AB1495" s="10"/>
      <c r="AC1495" s="10"/>
      <c r="AD1495" s="10"/>
      <c r="AE1495" s="10"/>
    </row>
    <row r="1496" ht="14.4" spans="14:31">
      <c r="N1496" s="10"/>
      <c r="O1496" s="10"/>
      <c r="P1496" t="b">
        <v>0</v>
      </c>
      <c r="Q1496" t="b">
        <v>0</v>
      </c>
      <c r="R1496" s="3"/>
      <c r="S1496" s="10"/>
      <c r="T1496" s="10"/>
      <c r="U1496" s="10"/>
      <c r="V1496" s="10"/>
      <c r="W1496" s="10"/>
      <c r="X1496" s="10"/>
      <c r="Y1496" s="10"/>
      <c r="Z1496" s="10"/>
      <c r="AA1496" s="10"/>
      <c r="AB1496" s="10"/>
      <c r="AC1496" s="10"/>
      <c r="AD1496" s="10"/>
      <c r="AE1496" s="10"/>
    </row>
    <row r="1497" ht="14.4" spans="14:31">
      <c r="N1497" s="10"/>
      <c r="O1497" s="10"/>
      <c r="P1497" t="b">
        <v>0</v>
      </c>
      <c r="Q1497" t="b">
        <v>0</v>
      </c>
      <c r="R1497" s="3"/>
      <c r="S1497" s="10"/>
      <c r="T1497" s="10"/>
      <c r="U1497" s="10"/>
      <c r="V1497" s="10"/>
      <c r="W1497" s="10"/>
      <c r="X1497" s="10"/>
      <c r="Y1497" s="10"/>
      <c r="Z1497" s="10"/>
      <c r="AA1497" s="10"/>
      <c r="AB1497" s="10"/>
      <c r="AC1497" s="10"/>
      <c r="AD1497" s="10"/>
      <c r="AE1497" s="10"/>
    </row>
    <row r="1498" ht="14.4" spans="14:31">
      <c r="N1498" s="10"/>
      <c r="O1498" s="10"/>
      <c r="P1498" t="b">
        <v>0</v>
      </c>
      <c r="Q1498" t="b">
        <v>0</v>
      </c>
      <c r="R1498" s="3"/>
      <c r="S1498" s="10"/>
      <c r="T1498" s="10"/>
      <c r="U1498" s="10"/>
      <c r="V1498" s="10"/>
      <c r="W1498" s="10"/>
      <c r="X1498" s="10"/>
      <c r="Y1498" s="10"/>
      <c r="Z1498" s="10"/>
      <c r="AA1498" s="10"/>
      <c r="AB1498" s="10"/>
      <c r="AC1498" s="10"/>
      <c r="AD1498" s="10"/>
      <c r="AE1498" s="10"/>
    </row>
    <row r="1499" ht="14.4" spans="14:31">
      <c r="N1499" s="10"/>
      <c r="O1499" s="10"/>
      <c r="P1499" t="b">
        <v>0</v>
      </c>
      <c r="Q1499" t="b">
        <v>0</v>
      </c>
      <c r="R1499" s="3"/>
      <c r="S1499" s="10"/>
      <c r="T1499" s="10"/>
      <c r="U1499" s="10"/>
      <c r="V1499" s="10"/>
      <c r="W1499" s="10"/>
      <c r="X1499" s="10"/>
      <c r="Y1499" s="10"/>
      <c r="Z1499" s="10"/>
      <c r="AA1499" s="10"/>
      <c r="AB1499" s="10"/>
      <c r="AC1499" s="10"/>
      <c r="AD1499" s="10"/>
      <c r="AE1499" s="10"/>
    </row>
    <row r="1500" ht="14.4" spans="14:31">
      <c r="N1500" s="10"/>
      <c r="O1500" s="10"/>
      <c r="P1500" t="b">
        <v>0</v>
      </c>
      <c r="Q1500" t="b">
        <v>0</v>
      </c>
      <c r="R1500" s="3"/>
      <c r="S1500" s="10"/>
      <c r="T1500" s="10"/>
      <c r="U1500" s="10"/>
      <c r="V1500" s="10"/>
      <c r="W1500" s="10"/>
      <c r="X1500" s="10"/>
      <c r="Y1500" s="10"/>
      <c r="Z1500" s="10"/>
      <c r="AA1500" s="10"/>
      <c r="AB1500" s="10"/>
      <c r="AC1500" s="10"/>
      <c r="AD1500" s="10"/>
      <c r="AE1500" s="10"/>
    </row>
    <row r="1501" ht="14.4" spans="14:31">
      <c r="N1501" s="10"/>
      <c r="O1501" s="10"/>
      <c r="P1501" t="b">
        <v>0</v>
      </c>
      <c r="Q1501" t="b">
        <v>0</v>
      </c>
      <c r="R1501" s="3"/>
      <c r="S1501" s="10"/>
      <c r="T1501" s="10"/>
      <c r="U1501" s="10"/>
      <c r="V1501" s="10"/>
      <c r="W1501" s="10"/>
      <c r="X1501" s="10"/>
      <c r="Y1501" s="10"/>
      <c r="Z1501" s="10"/>
      <c r="AA1501" s="10"/>
      <c r="AB1501" s="10"/>
      <c r="AC1501" s="10"/>
      <c r="AD1501" s="10"/>
      <c r="AE1501" s="10"/>
    </row>
    <row r="1502" ht="14.4" spans="14:31">
      <c r="N1502" s="10"/>
      <c r="O1502" s="10"/>
      <c r="P1502" t="b">
        <v>0</v>
      </c>
      <c r="Q1502" t="b">
        <v>0</v>
      </c>
      <c r="R1502" s="3"/>
      <c r="S1502" s="10"/>
      <c r="T1502" s="10"/>
      <c r="U1502" s="10"/>
      <c r="V1502" s="10"/>
      <c r="W1502" s="10"/>
      <c r="X1502" s="10"/>
      <c r="Y1502" s="10"/>
      <c r="Z1502" s="10"/>
      <c r="AA1502" s="10"/>
      <c r="AB1502" s="10"/>
      <c r="AC1502" s="10"/>
      <c r="AD1502" s="10"/>
      <c r="AE1502" s="10"/>
    </row>
    <row r="1503" ht="14.4" spans="14:31">
      <c r="N1503" s="10"/>
      <c r="O1503" s="10"/>
      <c r="P1503" t="b">
        <v>0</v>
      </c>
      <c r="Q1503" t="b">
        <v>0</v>
      </c>
      <c r="R1503" s="3"/>
      <c r="S1503" s="10"/>
      <c r="T1503" s="10"/>
      <c r="U1503" s="10"/>
      <c r="V1503" s="10"/>
      <c r="W1503" s="10"/>
      <c r="X1503" s="10"/>
      <c r="Y1503" s="10"/>
      <c r="Z1503" s="10"/>
      <c r="AA1503" s="10"/>
      <c r="AB1503" s="10"/>
      <c r="AC1503" s="10"/>
      <c r="AD1503" s="10"/>
      <c r="AE1503" s="10"/>
    </row>
    <row r="1504" ht="14.4" spans="14:31">
      <c r="N1504" s="10"/>
      <c r="O1504" s="10"/>
      <c r="P1504" t="b">
        <v>0</v>
      </c>
      <c r="Q1504" t="b">
        <v>0</v>
      </c>
      <c r="R1504" s="3"/>
      <c r="S1504" s="10"/>
      <c r="T1504" s="10"/>
      <c r="U1504" s="10"/>
      <c r="V1504" s="10"/>
      <c r="W1504" s="10"/>
      <c r="X1504" s="10"/>
      <c r="Y1504" s="10"/>
      <c r="Z1504" s="10"/>
      <c r="AA1504" s="10"/>
      <c r="AB1504" s="10"/>
      <c r="AC1504" s="10"/>
      <c r="AD1504" s="10"/>
      <c r="AE1504" s="10"/>
    </row>
    <row r="1505" ht="14.4" spans="14:31">
      <c r="N1505" s="10"/>
      <c r="O1505" s="10"/>
      <c r="P1505" t="b">
        <v>0</v>
      </c>
      <c r="Q1505" t="b">
        <v>0</v>
      </c>
      <c r="R1505" s="3"/>
      <c r="S1505" s="10"/>
      <c r="T1505" s="10"/>
      <c r="U1505" s="10"/>
      <c r="V1505" s="10"/>
      <c r="W1505" s="10"/>
      <c r="X1505" s="10"/>
      <c r="Y1505" s="10"/>
      <c r="Z1505" s="10"/>
      <c r="AA1505" s="10"/>
      <c r="AB1505" s="10"/>
      <c r="AC1505" s="10"/>
      <c r="AD1505" s="10"/>
      <c r="AE1505" s="10"/>
    </row>
    <row r="1506" ht="14.4" spans="14:31">
      <c r="N1506" s="10"/>
      <c r="O1506" s="10"/>
      <c r="P1506" t="b">
        <v>0</v>
      </c>
      <c r="Q1506" t="b">
        <v>0</v>
      </c>
      <c r="R1506" s="3"/>
      <c r="S1506" s="10"/>
      <c r="T1506" s="10"/>
      <c r="U1506" s="10"/>
      <c r="V1506" s="10"/>
      <c r="W1506" s="10"/>
      <c r="X1506" s="10"/>
      <c r="Y1506" s="10"/>
      <c r="Z1506" s="10"/>
      <c r="AA1506" s="10"/>
      <c r="AB1506" s="10"/>
      <c r="AC1506" s="10"/>
      <c r="AD1506" s="10"/>
      <c r="AE1506" s="10"/>
    </row>
    <row r="1507" ht="14.4" spans="14:31">
      <c r="N1507" s="10"/>
      <c r="O1507" s="10"/>
      <c r="P1507" t="b">
        <v>0</v>
      </c>
      <c r="Q1507" t="b">
        <v>0</v>
      </c>
      <c r="R1507" s="3"/>
      <c r="S1507" s="10"/>
      <c r="T1507" s="10"/>
      <c r="U1507" s="10"/>
      <c r="V1507" s="10"/>
      <c r="W1507" s="10"/>
      <c r="X1507" s="10"/>
      <c r="Y1507" s="10"/>
      <c r="Z1507" s="10"/>
      <c r="AA1507" s="10"/>
      <c r="AB1507" s="10"/>
      <c r="AC1507" s="10"/>
      <c r="AD1507" s="10"/>
      <c r="AE1507" s="10"/>
    </row>
    <row r="1508" ht="14.4" spans="14:31">
      <c r="N1508" s="10"/>
      <c r="O1508" s="10"/>
      <c r="P1508" t="b">
        <v>0</v>
      </c>
      <c r="Q1508" t="b">
        <v>0</v>
      </c>
      <c r="R1508" s="3"/>
      <c r="S1508" s="10"/>
      <c r="T1508" s="10"/>
      <c r="U1508" s="10"/>
      <c r="V1508" s="10"/>
      <c r="W1508" s="10"/>
      <c r="X1508" s="10"/>
      <c r="Y1508" s="10"/>
      <c r="Z1508" s="10"/>
      <c r="AA1508" s="10"/>
      <c r="AB1508" s="10"/>
      <c r="AC1508" s="10"/>
      <c r="AD1508" s="10"/>
      <c r="AE1508" s="10"/>
    </row>
    <row r="1509" ht="14.4" spans="14:31">
      <c r="N1509" s="10"/>
      <c r="O1509" s="10"/>
      <c r="P1509" t="b">
        <v>0</v>
      </c>
      <c r="Q1509" t="b">
        <v>0</v>
      </c>
      <c r="R1509" s="3"/>
      <c r="S1509" s="10"/>
      <c r="T1509" s="10"/>
      <c r="U1509" s="10"/>
      <c r="V1509" s="10"/>
      <c r="W1509" s="10"/>
      <c r="X1509" s="10"/>
      <c r="Y1509" s="10"/>
      <c r="Z1509" s="10"/>
      <c r="AA1509" s="10"/>
      <c r="AB1509" s="10"/>
      <c r="AC1509" s="10"/>
      <c r="AD1509" s="10"/>
      <c r="AE1509" s="10"/>
    </row>
    <row r="1510" ht="14.4" spans="14:31">
      <c r="N1510" s="10"/>
      <c r="O1510" s="10"/>
      <c r="P1510" t="b">
        <v>0</v>
      </c>
      <c r="Q1510" t="b">
        <v>0</v>
      </c>
      <c r="R1510" s="3"/>
      <c r="S1510" s="10"/>
      <c r="T1510" s="10"/>
      <c r="U1510" s="10"/>
      <c r="V1510" s="10"/>
      <c r="W1510" s="10"/>
      <c r="X1510" s="10"/>
      <c r="Y1510" s="10"/>
      <c r="Z1510" s="10"/>
      <c r="AA1510" s="10"/>
      <c r="AB1510" s="10"/>
      <c r="AC1510" s="10"/>
      <c r="AD1510" s="10"/>
      <c r="AE1510" s="10"/>
    </row>
    <row r="1511" ht="14.4" spans="14:31">
      <c r="N1511" s="10"/>
      <c r="O1511" s="10"/>
      <c r="P1511" t="b">
        <v>0</v>
      </c>
      <c r="Q1511" t="b">
        <v>0</v>
      </c>
      <c r="R1511" s="3"/>
      <c r="S1511" s="10"/>
      <c r="T1511" s="10"/>
      <c r="U1511" s="10"/>
      <c r="V1511" s="10"/>
      <c r="W1511" s="10"/>
      <c r="X1511" s="10"/>
      <c r="Y1511" s="10"/>
      <c r="Z1511" s="10"/>
      <c r="AA1511" s="10"/>
      <c r="AB1511" s="10"/>
      <c r="AC1511" s="10"/>
      <c r="AD1511" s="10"/>
      <c r="AE1511" s="10"/>
    </row>
    <row r="1512" ht="14.4" spans="14:31">
      <c r="N1512" s="10"/>
      <c r="O1512" s="10"/>
      <c r="P1512" t="b">
        <v>0</v>
      </c>
      <c r="Q1512" t="b">
        <v>0</v>
      </c>
      <c r="R1512" s="3"/>
      <c r="S1512" s="10"/>
      <c r="T1512" s="10"/>
      <c r="U1512" s="10"/>
      <c r="V1512" s="10"/>
      <c r="W1512" s="10"/>
      <c r="X1512" s="10"/>
      <c r="Y1512" s="10"/>
      <c r="Z1512" s="10"/>
      <c r="AA1512" s="10"/>
      <c r="AB1512" s="10"/>
      <c r="AC1512" s="10"/>
      <c r="AD1512" s="10"/>
      <c r="AE1512" s="10"/>
    </row>
    <row r="1513" ht="14.4" spans="14:31">
      <c r="N1513" s="10"/>
      <c r="O1513" s="10"/>
      <c r="P1513" t="b">
        <v>0</v>
      </c>
      <c r="Q1513" t="b">
        <v>0</v>
      </c>
      <c r="R1513" s="3"/>
      <c r="S1513" s="10"/>
      <c r="T1513" s="10"/>
      <c r="U1513" s="10"/>
      <c r="V1513" s="10"/>
      <c r="W1513" s="10"/>
      <c r="X1513" s="10"/>
      <c r="Y1513" s="10"/>
      <c r="Z1513" s="10"/>
      <c r="AA1513" s="10"/>
      <c r="AB1513" s="10"/>
      <c r="AC1513" s="10"/>
      <c r="AD1513" s="10"/>
      <c r="AE1513" s="10"/>
    </row>
    <row r="1514" ht="14.4" spans="14:31">
      <c r="N1514" s="10"/>
      <c r="O1514" s="10"/>
      <c r="P1514" t="b">
        <v>0</v>
      </c>
      <c r="Q1514" t="b">
        <v>0</v>
      </c>
      <c r="R1514" s="3"/>
      <c r="S1514" s="10"/>
      <c r="T1514" s="10"/>
      <c r="U1514" s="10"/>
      <c r="V1514" s="10"/>
      <c r="W1514" s="10"/>
      <c r="X1514" s="10"/>
      <c r="Y1514" s="10"/>
      <c r="Z1514" s="10"/>
      <c r="AA1514" s="10"/>
      <c r="AB1514" s="10"/>
      <c r="AC1514" s="10"/>
      <c r="AD1514" s="10"/>
      <c r="AE1514" s="10"/>
    </row>
    <row r="1515" ht="14.4" spans="14:31">
      <c r="N1515" s="10"/>
      <c r="O1515" s="10"/>
      <c r="P1515" t="b">
        <v>0</v>
      </c>
      <c r="Q1515" t="b">
        <v>0</v>
      </c>
      <c r="R1515" s="3"/>
      <c r="S1515" s="10"/>
      <c r="T1515" s="10"/>
      <c r="U1515" s="10"/>
      <c r="V1515" s="10"/>
      <c r="W1515" s="10"/>
      <c r="X1515" s="10"/>
      <c r="Y1515" s="10"/>
      <c r="Z1515" s="10"/>
      <c r="AA1515" s="10"/>
      <c r="AB1515" s="10"/>
      <c r="AC1515" s="10"/>
      <c r="AD1515" s="10"/>
      <c r="AE1515" s="10"/>
    </row>
    <row r="1516" ht="14.4" spans="14:31">
      <c r="N1516" s="10"/>
      <c r="O1516" s="10"/>
      <c r="P1516" t="b">
        <v>0</v>
      </c>
      <c r="Q1516" t="b">
        <v>0</v>
      </c>
      <c r="R1516" s="3"/>
      <c r="S1516" s="10"/>
      <c r="T1516" s="10"/>
      <c r="U1516" s="10"/>
      <c r="V1516" s="10"/>
      <c r="W1516" s="10"/>
      <c r="X1516" s="10"/>
      <c r="Y1516" s="10"/>
      <c r="Z1516" s="10"/>
      <c r="AA1516" s="10"/>
      <c r="AB1516" s="10"/>
      <c r="AC1516" s="10"/>
      <c r="AD1516" s="10"/>
      <c r="AE1516" s="10"/>
    </row>
    <row r="1517" ht="14.4" spans="14:31">
      <c r="N1517" s="10"/>
      <c r="O1517" s="10"/>
      <c r="P1517" t="b">
        <v>0</v>
      </c>
      <c r="Q1517" t="b">
        <v>0</v>
      </c>
      <c r="R1517" s="3"/>
      <c r="S1517" s="10"/>
      <c r="T1517" s="10"/>
      <c r="U1517" s="10"/>
      <c r="V1517" s="10"/>
      <c r="W1517" s="10"/>
      <c r="X1517" s="10"/>
      <c r="Y1517" s="10"/>
      <c r="Z1517" s="10"/>
      <c r="AA1517" s="10"/>
      <c r="AB1517" s="10"/>
      <c r="AC1517" s="10"/>
      <c r="AD1517" s="10"/>
      <c r="AE1517" s="10"/>
    </row>
    <row r="1518" ht="14.4" spans="14:31">
      <c r="N1518" s="10"/>
      <c r="O1518" s="10"/>
      <c r="P1518" t="b">
        <v>0</v>
      </c>
      <c r="Q1518" t="b">
        <v>0</v>
      </c>
      <c r="R1518" s="3"/>
      <c r="S1518" s="10"/>
      <c r="T1518" s="10"/>
      <c r="U1518" s="10"/>
      <c r="V1518" s="10"/>
      <c r="W1518" s="10"/>
      <c r="X1518" s="10"/>
      <c r="Y1518" s="10"/>
      <c r="Z1518" s="10"/>
      <c r="AA1518" s="10"/>
      <c r="AB1518" s="10"/>
      <c r="AC1518" s="10"/>
      <c r="AD1518" s="10"/>
      <c r="AE1518" s="10"/>
    </row>
    <row r="1519" ht="14.4" spans="14:31">
      <c r="N1519" s="10"/>
      <c r="O1519" s="10"/>
      <c r="P1519" t="b">
        <v>0</v>
      </c>
      <c r="Q1519" t="b">
        <v>0</v>
      </c>
      <c r="R1519" s="3"/>
      <c r="S1519" s="10"/>
      <c r="T1519" s="10"/>
      <c r="U1519" s="10"/>
      <c r="V1519" s="10"/>
      <c r="W1519" s="10"/>
      <c r="X1519" s="10"/>
      <c r="Y1519" s="10"/>
      <c r="Z1519" s="10"/>
      <c r="AA1519" s="10"/>
      <c r="AB1519" s="10"/>
      <c r="AC1519" s="10"/>
      <c r="AD1519" s="10"/>
      <c r="AE1519" s="10"/>
    </row>
    <row r="1520" ht="14.4" spans="14:31">
      <c r="N1520" s="10"/>
      <c r="O1520" s="10"/>
      <c r="P1520" t="b">
        <v>0</v>
      </c>
      <c r="Q1520" t="b">
        <v>0</v>
      </c>
      <c r="R1520" s="3"/>
      <c r="S1520" s="10"/>
      <c r="T1520" s="10"/>
      <c r="U1520" s="10"/>
      <c r="V1520" s="10"/>
      <c r="W1520" s="10"/>
      <c r="X1520" s="10"/>
      <c r="Y1520" s="10"/>
      <c r="Z1520" s="10"/>
      <c r="AA1520" s="10"/>
      <c r="AB1520" s="10"/>
      <c r="AC1520" s="10"/>
      <c r="AD1520" s="10"/>
      <c r="AE1520" s="10"/>
    </row>
    <row r="1521" ht="14.4" spans="14:31">
      <c r="N1521" s="10"/>
      <c r="O1521" s="10"/>
      <c r="P1521" t="b">
        <v>0</v>
      </c>
      <c r="Q1521" t="b">
        <v>0</v>
      </c>
      <c r="R1521" s="3"/>
      <c r="S1521" s="10"/>
      <c r="T1521" s="10"/>
      <c r="U1521" s="10"/>
      <c r="V1521" s="10"/>
      <c r="W1521" s="10"/>
      <c r="X1521" s="10"/>
      <c r="Y1521" s="10"/>
      <c r="Z1521" s="10"/>
      <c r="AA1521" s="10"/>
      <c r="AB1521" s="10"/>
      <c r="AC1521" s="10"/>
      <c r="AD1521" s="10"/>
      <c r="AE1521" s="10"/>
    </row>
    <row r="1522" ht="14.4" spans="14:31">
      <c r="N1522" s="10"/>
      <c r="O1522" s="10"/>
      <c r="P1522" t="b">
        <v>0</v>
      </c>
      <c r="Q1522" t="b">
        <v>0</v>
      </c>
      <c r="R1522" s="3"/>
      <c r="S1522" s="10"/>
      <c r="T1522" s="10"/>
      <c r="U1522" s="10"/>
      <c r="V1522" s="10"/>
      <c r="W1522" s="10"/>
      <c r="X1522" s="10"/>
      <c r="Y1522" s="10"/>
      <c r="Z1522" s="10"/>
      <c r="AA1522" s="10"/>
      <c r="AB1522" s="10"/>
      <c r="AC1522" s="10"/>
      <c r="AD1522" s="10"/>
      <c r="AE1522" s="10"/>
    </row>
    <row r="1523" ht="14.4" spans="14:31">
      <c r="N1523" s="10"/>
      <c r="O1523" s="10"/>
      <c r="P1523" t="b">
        <v>0</v>
      </c>
      <c r="Q1523" t="b">
        <v>0</v>
      </c>
      <c r="R1523" s="3"/>
      <c r="S1523" s="10"/>
      <c r="T1523" s="10"/>
      <c r="U1523" s="10"/>
      <c r="V1523" s="10"/>
      <c r="W1523" s="10"/>
      <c r="X1523" s="10"/>
      <c r="Y1523" s="10"/>
      <c r="Z1523" s="10"/>
      <c r="AA1523" s="10"/>
      <c r="AB1523" s="10"/>
      <c r="AC1523" s="10"/>
      <c r="AD1523" s="10"/>
      <c r="AE1523" s="10"/>
    </row>
    <row r="1524" ht="14.4" spans="14:31">
      <c r="N1524" s="10"/>
      <c r="O1524" s="10"/>
      <c r="P1524" t="b">
        <v>0</v>
      </c>
      <c r="Q1524" t="b">
        <v>0</v>
      </c>
      <c r="R1524" s="3"/>
      <c r="S1524" s="10"/>
      <c r="T1524" s="10"/>
      <c r="U1524" s="10"/>
      <c r="V1524" s="10"/>
      <c r="W1524" s="10"/>
      <c r="X1524" s="10"/>
      <c r="Y1524" s="10"/>
      <c r="Z1524" s="10"/>
      <c r="AA1524" s="10"/>
      <c r="AB1524" s="10"/>
      <c r="AC1524" s="10"/>
      <c r="AD1524" s="10"/>
      <c r="AE1524" s="10"/>
    </row>
    <row r="1525" ht="14.4" spans="14:31">
      <c r="N1525" s="10"/>
      <c r="O1525" s="10"/>
      <c r="P1525" t="b">
        <v>0</v>
      </c>
      <c r="Q1525" t="b">
        <v>0</v>
      </c>
      <c r="R1525" s="3"/>
      <c r="S1525" s="10"/>
      <c r="T1525" s="10"/>
      <c r="U1525" s="10"/>
      <c r="V1525" s="10"/>
      <c r="W1525" s="10"/>
      <c r="X1525" s="10"/>
      <c r="Y1525" s="10"/>
      <c r="Z1525" s="10"/>
      <c r="AA1525" s="10"/>
      <c r="AB1525" s="10"/>
      <c r="AC1525" s="10"/>
      <c r="AD1525" s="10"/>
      <c r="AE1525" s="10"/>
    </row>
    <row r="1526" ht="14.4" spans="14:31">
      <c r="N1526" s="10"/>
      <c r="O1526" s="10"/>
      <c r="P1526" t="b">
        <v>0</v>
      </c>
      <c r="Q1526" t="b">
        <v>0</v>
      </c>
      <c r="R1526" s="3"/>
      <c r="S1526" s="10"/>
      <c r="T1526" s="10"/>
      <c r="U1526" s="10"/>
      <c r="V1526" s="10"/>
      <c r="W1526" s="10"/>
      <c r="X1526" s="10"/>
      <c r="Y1526" s="10"/>
      <c r="Z1526" s="10"/>
      <c r="AA1526" s="10"/>
      <c r="AB1526" s="10"/>
      <c r="AC1526" s="10"/>
      <c r="AD1526" s="10"/>
      <c r="AE1526" s="10"/>
    </row>
    <row r="1527" ht="14.4" spans="14:31">
      <c r="N1527" s="10"/>
      <c r="O1527" s="10"/>
      <c r="P1527" t="b">
        <v>0</v>
      </c>
      <c r="Q1527" t="b">
        <v>0</v>
      </c>
      <c r="R1527" s="3"/>
      <c r="S1527" s="10"/>
      <c r="T1527" s="10"/>
      <c r="U1527" s="10"/>
      <c r="V1527" s="10"/>
      <c r="W1527" s="10"/>
      <c r="X1527" s="10"/>
      <c r="Y1527" s="10"/>
      <c r="Z1527" s="10"/>
      <c r="AA1527" s="10"/>
      <c r="AB1527" s="10"/>
      <c r="AC1527" s="10"/>
      <c r="AD1527" s="10"/>
      <c r="AE1527" s="10"/>
    </row>
    <row r="1528" ht="14.4" spans="14:31">
      <c r="N1528" s="10"/>
      <c r="O1528" s="10"/>
      <c r="P1528" t="b">
        <v>0</v>
      </c>
      <c r="Q1528" t="b">
        <v>0</v>
      </c>
      <c r="R1528" s="3"/>
      <c r="S1528" s="10"/>
      <c r="T1528" s="10"/>
      <c r="U1528" s="10"/>
      <c r="V1528" s="10"/>
      <c r="W1528" s="10"/>
      <c r="X1528" s="10"/>
      <c r="Y1528" s="10"/>
      <c r="Z1528" s="10"/>
      <c r="AA1528" s="10"/>
      <c r="AB1528" s="10"/>
      <c r="AC1528" s="10"/>
      <c r="AD1528" s="10"/>
      <c r="AE1528" s="10"/>
    </row>
    <row r="1529" ht="14.4" spans="14:31">
      <c r="N1529" s="10"/>
      <c r="O1529" s="10"/>
      <c r="P1529" t="b">
        <v>0</v>
      </c>
      <c r="Q1529" t="b">
        <v>0</v>
      </c>
      <c r="R1529" s="3"/>
      <c r="S1529" s="10"/>
      <c r="T1529" s="10"/>
      <c r="U1529" s="10"/>
      <c r="V1529" s="10"/>
      <c r="W1529" s="10"/>
      <c r="X1529" s="10"/>
      <c r="Y1529" s="10"/>
      <c r="Z1529" s="10"/>
      <c r="AA1529" s="10"/>
      <c r="AB1529" s="10"/>
      <c r="AC1529" s="10"/>
      <c r="AD1529" s="10"/>
      <c r="AE1529" s="10"/>
    </row>
    <row r="1530" ht="14.4" spans="14:31">
      <c r="N1530" s="10"/>
      <c r="O1530" s="10"/>
      <c r="P1530" t="b">
        <v>0</v>
      </c>
      <c r="Q1530" t="b">
        <v>0</v>
      </c>
      <c r="R1530" s="3"/>
      <c r="S1530" s="10"/>
      <c r="T1530" s="10"/>
      <c r="U1530" s="10"/>
      <c r="V1530" s="10"/>
      <c r="W1530" s="10"/>
      <c r="X1530" s="10"/>
      <c r="Y1530" s="10"/>
      <c r="Z1530" s="10"/>
      <c r="AA1530" s="10"/>
      <c r="AB1530" s="10"/>
      <c r="AC1530" s="10"/>
      <c r="AD1530" s="10"/>
      <c r="AE1530" s="10"/>
    </row>
    <row r="1531" ht="14.4" spans="14:31">
      <c r="N1531" s="10"/>
      <c r="O1531" s="10"/>
      <c r="P1531" t="b">
        <v>0</v>
      </c>
      <c r="Q1531" t="b">
        <v>0</v>
      </c>
      <c r="R1531" s="3"/>
      <c r="S1531" s="10"/>
      <c r="T1531" s="10"/>
      <c r="U1531" s="10"/>
      <c r="V1531" s="10"/>
      <c r="W1531" s="10"/>
      <c r="X1531" s="10"/>
      <c r="Y1531" s="10"/>
      <c r="Z1531" s="10"/>
      <c r="AA1531" s="10"/>
      <c r="AB1531" s="10"/>
      <c r="AC1531" s="10"/>
      <c r="AD1531" s="10"/>
      <c r="AE1531" s="10"/>
    </row>
    <row r="1532" ht="14.4" spans="14:31">
      <c r="N1532" s="10"/>
      <c r="O1532" s="10"/>
      <c r="P1532" t="b">
        <v>0</v>
      </c>
      <c r="Q1532" t="b">
        <v>0</v>
      </c>
      <c r="R1532" s="3"/>
      <c r="S1532" s="10"/>
      <c r="T1532" s="10"/>
      <c r="U1532" s="10"/>
      <c r="V1532" s="10"/>
      <c r="W1532" s="10"/>
      <c r="X1532" s="10"/>
      <c r="Y1532" s="10"/>
      <c r="Z1532" s="10"/>
      <c r="AA1532" s="10"/>
      <c r="AB1532" s="10"/>
      <c r="AC1532" s="10"/>
      <c r="AD1532" s="10"/>
      <c r="AE1532" s="10"/>
    </row>
    <row r="1533" ht="14.4" spans="14:31">
      <c r="N1533" s="10"/>
      <c r="O1533" s="10"/>
      <c r="P1533" t="b">
        <v>0</v>
      </c>
      <c r="Q1533" t="b">
        <v>0</v>
      </c>
      <c r="R1533" s="3"/>
      <c r="S1533" s="10"/>
      <c r="T1533" s="10"/>
      <c r="U1533" s="10"/>
      <c r="V1533" s="10"/>
      <c r="W1533" s="10"/>
      <c r="X1533" s="10"/>
      <c r="Y1533" s="10"/>
      <c r="Z1533" s="10"/>
      <c r="AA1533" s="10"/>
      <c r="AB1533" s="10"/>
      <c r="AC1533" s="10"/>
      <c r="AD1533" s="10"/>
      <c r="AE1533" s="10"/>
    </row>
    <row r="1534" ht="14.4" spans="14:31">
      <c r="N1534" s="10"/>
      <c r="O1534" s="10"/>
      <c r="P1534" t="b">
        <v>0</v>
      </c>
      <c r="Q1534" t="b">
        <v>0</v>
      </c>
      <c r="R1534" s="3"/>
      <c r="S1534" s="10"/>
      <c r="T1534" s="10"/>
      <c r="U1534" s="10"/>
      <c r="V1534" s="10"/>
      <c r="W1534" s="10"/>
      <c r="X1534" s="10"/>
      <c r="Y1534" s="10"/>
      <c r="Z1534" s="10"/>
      <c r="AA1534" s="10"/>
      <c r="AB1534" s="10"/>
      <c r="AC1534" s="10"/>
      <c r="AD1534" s="10"/>
      <c r="AE1534" s="10"/>
    </row>
    <row r="1535" ht="14.4" spans="14:31">
      <c r="N1535" s="10"/>
      <c r="O1535" s="10"/>
      <c r="P1535" t="b">
        <v>0</v>
      </c>
      <c r="Q1535" t="b">
        <v>0</v>
      </c>
      <c r="R1535" s="3"/>
      <c r="S1535" s="10"/>
      <c r="T1535" s="10"/>
      <c r="U1535" s="10"/>
      <c r="V1535" s="10"/>
      <c r="W1535" s="10"/>
      <c r="X1535" s="10"/>
      <c r="Y1535" s="10"/>
      <c r="Z1535" s="10"/>
      <c r="AA1535" s="10"/>
      <c r="AB1535" s="10"/>
      <c r="AC1535" s="10"/>
      <c r="AD1535" s="10"/>
      <c r="AE1535" s="10"/>
    </row>
    <row r="1536" ht="14.4" spans="14:31">
      <c r="N1536" s="10"/>
      <c r="O1536" s="10"/>
      <c r="P1536" t="b">
        <v>0</v>
      </c>
      <c r="Q1536" t="b">
        <v>0</v>
      </c>
      <c r="R1536" s="3"/>
      <c r="S1536" s="10"/>
      <c r="T1536" s="10"/>
      <c r="U1536" s="10"/>
      <c r="V1536" s="10"/>
      <c r="W1536" s="10"/>
      <c r="X1536" s="10"/>
      <c r="Y1536" s="10"/>
      <c r="Z1536" s="10"/>
      <c r="AA1536" s="10"/>
      <c r="AB1536" s="10"/>
      <c r="AC1536" s="10"/>
      <c r="AD1536" s="10"/>
      <c r="AE1536" s="10"/>
    </row>
    <row r="1537" ht="14.4" spans="14:31">
      <c r="N1537" s="10"/>
      <c r="O1537" s="10"/>
      <c r="P1537" t="b">
        <v>0</v>
      </c>
      <c r="Q1537" t="b">
        <v>0</v>
      </c>
      <c r="R1537" s="3"/>
      <c r="S1537" s="10"/>
      <c r="T1537" s="10"/>
      <c r="U1537" s="10"/>
      <c r="V1537" s="10"/>
      <c r="W1537" s="10"/>
      <c r="X1537" s="10"/>
      <c r="Y1537" s="10"/>
      <c r="Z1537" s="10"/>
      <c r="AA1537" s="10"/>
      <c r="AB1537" s="10"/>
      <c r="AC1537" s="10"/>
      <c r="AD1537" s="10"/>
      <c r="AE1537" s="10"/>
    </row>
    <row r="1538" ht="14.4" spans="14:31">
      <c r="N1538" s="10"/>
      <c r="O1538" s="10"/>
      <c r="P1538" t="b">
        <v>0</v>
      </c>
      <c r="Q1538" t="b">
        <v>0</v>
      </c>
      <c r="R1538" s="3"/>
      <c r="S1538" s="10"/>
      <c r="T1538" s="10"/>
      <c r="U1538" s="10"/>
      <c r="V1538" s="10"/>
      <c r="W1538" s="10"/>
      <c r="X1538" s="10"/>
      <c r="Y1538" s="10"/>
      <c r="Z1538" s="10"/>
      <c r="AA1538" s="10"/>
      <c r="AB1538" s="10"/>
      <c r="AC1538" s="10"/>
      <c r="AD1538" s="10"/>
      <c r="AE1538" s="10"/>
    </row>
    <row r="1539" ht="14.4" spans="14:31">
      <c r="N1539" s="10"/>
      <c r="O1539" s="10"/>
      <c r="P1539" t="b">
        <v>0</v>
      </c>
      <c r="Q1539" t="b">
        <v>0</v>
      </c>
      <c r="R1539" s="3"/>
      <c r="S1539" s="10"/>
      <c r="T1539" s="10"/>
      <c r="U1539" s="10"/>
      <c r="V1539" s="10"/>
      <c r="W1539" s="10"/>
      <c r="X1539" s="10"/>
      <c r="Y1539" s="10"/>
      <c r="Z1539" s="10"/>
      <c r="AA1539" s="10"/>
      <c r="AB1539" s="10"/>
      <c r="AC1539" s="10"/>
      <c r="AD1539" s="10"/>
      <c r="AE1539" s="10"/>
    </row>
    <row r="1540" ht="14.4" spans="14:31">
      <c r="N1540" s="10"/>
      <c r="O1540" s="10"/>
      <c r="P1540" t="b">
        <v>0</v>
      </c>
      <c r="Q1540" t="b">
        <v>0</v>
      </c>
      <c r="R1540" s="3"/>
      <c r="S1540" s="10"/>
      <c r="T1540" s="10"/>
      <c r="U1540" s="10"/>
      <c r="V1540" s="10"/>
      <c r="W1540" s="10"/>
      <c r="X1540" s="10"/>
      <c r="Y1540" s="10"/>
      <c r="Z1540" s="10"/>
      <c r="AA1540" s="10"/>
      <c r="AB1540" s="10"/>
      <c r="AC1540" s="10"/>
      <c r="AD1540" s="10"/>
      <c r="AE1540" s="10"/>
    </row>
    <row r="1541" ht="14.4" spans="14:31">
      <c r="N1541" s="10"/>
      <c r="O1541" s="10"/>
      <c r="P1541" t="b">
        <v>0</v>
      </c>
      <c r="Q1541" t="b">
        <v>0</v>
      </c>
      <c r="R1541" s="3"/>
      <c r="S1541" s="10"/>
      <c r="T1541" s="10"/>
      <c r="U1541" s="10"/>
      <c r="V1541" s="10"/>
      <c r="W1541" s="10"/>
      <c r="X1541" s="10"/>
      <c r="Y1541" s="10"/>
      <c r="Z1541" s="10"/>
      <c r="AA1541" s="10"/>
      <c r="AB1541" s="10"/>
      <c r="AC1541" s="10"/>
      <c r="AD1541" s="10"/>
      <c r="AE1541" s="10"/>
    </row>
    <row r="1542" ht="14.4" spans="14:31">
      <c r="N1542" s="10"/>
      <c r="O1542" s="10"/>
      <c r="P1542" t="b">
        <v>0</v>
      </c>
      <c r="Q1542" t="b">
        <v>0</v>
      </c>
      <c r="R1542" s="3"/>
      <c r="S1542" s="10"/>
      <c r="T1542" s="10"/>
      <c r="U1542" s="10"/>
      <c r="V1542" s="10"/>
      <c r="W1542" s="10"/>
      <c r="X1542" s="10"/>
      <c r="Y1542" s="10"/>
      <c r="Z1542" s="10"/>
      <c r="AA1542" s="10"/>
      <c r="AB1542" s="10"/>
      <c r="AC1542" s="10"/>
      <c r="AD1542" s="10"/>
      <c r="AE1542" s="10"/>
    </row>
    <row r="1543" ht="14.4" spans="14:31">
      <c r="N1543" s="10"/>
      <c r="O1543" s="10"/>
      <c r="P1543" t="b">
        <v>0</v>
      </c>
      <c r="Q1543" t="b">
        <v>0</v>
      </c>
      <c r="R1543" s="3"/>
      <c r="S1543" s="10"/>
      <c r="T1543" s="10"/>
      <c r="U1543" s="10"/>
      <c r="V1543" s="10"/>
      <c r="W1543" s="10"/>
      <c r="X1543" s="10"/>
      <c r="Y1543" s="10"/>
      <c r="Z1543" s="10"/>
      <c r="AA1543" s="10"/>
      <c r="AB1543" s="10"/>
      <c r="AC1543" s="10"/>
      <c r="AD1543" s="10"/>
      <c r="AE1543" s="10"/>
    </row>
    <row r="1544" ht="14.4" spans="14:31">
      <c r="N1544" s="10"/>
      <c r="O1544" s="10"/>
      <c r="P1544" t="b">
        <v>0</v>
      </c>
      <c r="Q1544" t="b">
        <v>0</v>
      </c>
      <c r="R1544" s="3"/>
      <c r="S1544" s="10"/>
      <c r="T1544" s="10"/>
      <c r="U1544" s="10"/>
      <c r="V1544" s="10"/>
      <c r="W1544" s="10"/>
      <c r="X1544" s="10"/>
      <c r="Y1544" s="10"/>
      <c r="Z1544" s="10"/>
      <c r="AA1544" s="10"/>
      <c r="AB1544" s="10"/>
      <c r="AC1544" s="10"/>
      <c r="AD1544" s="10"/>
      <c r="AE1544" s="10"/>
    </row>
    <row r="1545" ht="14.4" spans="14:31">
      <c r="N1545" s="10"/>
      <c r="O1545" s="10"/>
      <c r="P1545" t="b">
        <v>0</v>
      </c>
      <c r="Q1545" t="b">
        <v>0</v>
      </c>
      <c r="R1545" s="3"/>
      <c r="S1545" s="10"/>
      <c r="T1545" s="10"/>
      <c r="U1545" s="10"/>
      <c r="V1545" s="10"/>
      <c r="W1545" s="10"/>
      <c r="X1545" s="10"/>
      <c r="Y1545" s="10"/>
      <c r="Z1545" s="10"/>
      <c r="AA1545" s="10"/>
      <c r="AB1545" s="10"/>
      <c r="AC1545" s="10"/>
      <c r="AD1545" s="10"/>
      <c r="AE1545" s="10"/>
    </row>
    <row r="1546" ht="14.4" spans="14:31">
      <c r="N1546" s="10"/>
      <c r="O1546" s="10"/>
      <c r="P1546" t="b">
        <v>0</v>
      </c>
      <c r="Q1546" t="b">
        <v>0</v>
      </c>
      <c r="R1546" s="3"/>
      <c r="S1546" s="10"/>
      <c r="T1546" s="10"/>
      <c r="U1546" s="10"/>
      <c r="V1546" s="10"/>
      <c r="W1546" s="10"/>
      <c r="X1546" s="10"/>
      <c r="Y1546" s="10"/>
      <c r="Z1546" s="10"/>
      <c r="AA1546" s="10"/>
      <c r="AB1546" s="10"/>
      <c r="AC1546" s="10"/>
      <c r="AD1546" s="10"/>
      <c r="AE1546" s="10"/>
    </row>
    <row r="1547" ht="14.4" spans="14:31">
      <c r="N1547" s="10"/>
      <c r="O1547" s="10"/>
      <c r="P1547" t="b">
        <v>0</v>
      </c>
      <c r="Q1547" t="b">
        <v>0</v>
      </c>
      <c r="R1547" s="3"/>
      <c r="S1547" s="10"/>
      <c r="T1547" s="10"/>
      <c r="U1547" s="10"/>
      <c r="V1547" s="10"/>
      <c r="W1547" s="10"/>
      <c r="X1547" s="10"/>
      <c r="Y1547" s="10"/>
      <c r="Z1547" s="10"/>
      <c r="AA1547" s="10"/>
      <c r="AB1547" s="10"/>
      <c r="AC1547" s="10"/>
      <c r="AD1547" s="10"/>
      <c r="AE1547" s="10"/>
    </row>
    <row r="1548" ht="14.4" spans="14:31">
      <c r="N1548" s="10"/>
      <c r="O1548" s="10"/>
      <c r="P1548" t="b">
        <v>0</v>
      </c>
      <c r="Q1548" t="b">
        <v>0</v>
      </c>
      <c r="R1548" s="3"/>
      <c r="S1548" s="10"/>
      <c r="T1548" s="10"/>
      <c r="U1548" s="10"/>
      <c r="V1548" s="10"/>
      <c r="W1548" s="10"/>
      <c r="X1548" s="10"/>
      <c r="Y1548" s="10"/>
      <c r="Z1548" s="10"/>
      <c r="AA1548" s="10"/>
      <c r="AB1548" s="10"/>
      <c r="AC1548" s="10"/>
      <c r="AD1548" s="10"/>
      <c r="AE1548" s="10"/>
    </row>
    <row r="1549" ht="14.4" spans="14:31">
      <c r="N1549" s="10"/>
      <c r="O1549" s="10"/>
      <c r="P1549" t="b">
        <v>0</v>
      </c>
      <c r="Q1549" t="b">
        <v>0</v>
      </c>
      <c r="R1549" s="3"/>
      <c r="S1549" s="10"/>
      <c r="T1549" s="10"/>
      <c r="U1549" s="10"/>
      <c r="V1549" s="10"/>
      <c r="W1549" s="10"/>
      <c r="X1549" s="10"/>
      <c r="Y1549" s="10"/>
      <c r="Z1549" s="10"/>
      <c r="AA1549" s="10"/>
      <c r="AB1549" s="10"/>
      <c r="AC1549" s="10"/>
      <c r="AD1549" s="10"/>
      <c r="AE1549" s="10"/>
    </row>
    <row r="1550" ht="14.4" spans="14:31">
      <c r="N1550" s="10"/>
      <c r="O1550" s="10"/>
      <c r="P1550" t="b">
        <v>0</v>
      </c>
      <c r="Q1550" t="b">
        <v>0</v>
      </c>
      <c r="R1550" s="3"/>
      <c r="S1550" s="10"/>
      <c r="T1550" s="10"/>
      <c r="U1550" s="10"/>
      <c r="V1550" s="10"/>
      <c r="W1550" s="10"/>
      <c r="X1550" s="10"/>
      <c r="Y1550" s="10"/>
      <c r="Z1550" s="10"/>
      <c r="AA1550" s="10"/>
      <c r="AB1550" s="10"/>
      <c r="AC1550" s="10"/>
      <c r="AD1550" s="10"/>
      <c r="AE1550" s="10"/>
    </row>
    <row r="1551" ht="14.4" spans="14:31">
      <c r="N1551" s="10"/>
      <c r="O1551" s="10"/>
      <c r="P1551" t="b">
        <v>0</v>
      </c>
      <c r="Q1551" t="b">
        <v>0</v>
      </c>
      <c r="R1551" s="3"/>
      <c r="S1551" s="10"/>
      <c r="T1551" s="10"/>
      <c r="U1551" s="10"/>
      <c r="V1551" s="10"/>
      <c r="W1551" s="10"/>
      <c r="X1551" s="10"/>
      <c r="Y1551" s="10"/>
      <c r="Z1551" s="10"/>
      <c r="AA1551" s="10"/>
      <c r="AB1551" s="10"/>
      <c r="AC1551" s="10"/>
      <c r="AD1551" s="10"/>
      <c r="AE1551" s="10"/>
    </row>
    <row r="1552" ht="14.4" spans="14:31">
      <c r="N1552" s="10"/>
      <c r="O1552" s="10"/>
      <c r="P1552" t="b">
        <v>0</v>
      </c>
      <c r="Q1552" t="b">
        <v>0</v>
      </c>
      <c r="R1552" s="3"/>
      <c r="S1552" s="10"/>
      <c r="T1552" s="10"/>
      <c r="U1552" s="10"/>
      <c r="V1552" s="10"/>
      <c r="W1552" s="10"/>
      <c r="X1552" s="10"/>
      <c r="Y1552" s="10"/>
      <c r="Z1552" s="10"/>
      <c r="AA1552" s="10"/>
      <c r="AB1552" s="10"/>
      <c r="AC1552" s="10"/>
      <c r="AD1552" s="10"/>
      <c r="AE1552" s="10"/>
    </row>
    <row r="1553" ht="14.4" spans="14:31">
      <c r="N1553" s="10"/>
      <c r="O1553" s="10"/>
      <c r="P1553" t="b">
        <v>0</v>
      </c>
      <c r="Q1553" t="b">
        <v>0</v>
      </c>
      <c r="R1553" s="3"/>
      <c r="S1553" s="10"/>
      <c r="T1553" s="10"/>
      <c r="U1553" s="10"/>
      <c r="V1553" s="10"/>
      <c r="W1553" s="10"/>
      <c r="X1553" s="10"/>
      <c r="Y1553" s="10"/>
      <c r="Z1553" s="10"/>
      <c r="AA1553" s="10"/>
      <c r="AB1553" s="10"/>
      <c r="AC1553" s="10"/>
      <c r="AD1553" s="10"/>
      <c r="AE1553" s="10"/>
    </row>
    <row r="1554" ht="14.4" spans="14:31">
      <c r="N1554" s="10"/>
      <c r="O1554" s="10"/>
      <c r="P1554" t="b">
        <v>0</v>
      </c>
      <c r="Q1554" t="b">
        <v>0</v>
      </c>
      <c r="R1554" s="3"/>
      <c r="S1554" s="10"/>
      <c r="T1554" s="10"/>
      <c r="U1554" s="10"/>
      <c r="V1554" s="10"/>
      <c r="W1554" s="10"/>
      <c r="X1554" s="10"/>
      <c r="Y1554" s="10"/>
      <c r="Z1554" s="10"/>
      <c r="AA1554" s="10"/>
      <c r="AB1554" s="10"/>
      <c r="AC1554" s="10"/>
      <c r="AD1554" s="10"/>
      <c r="AE1554" s="10"/>
    </row>
    <row r="1555" ht="14.4" spans="14:31">
      <c r="N1555" s="10"/>
      <c r="O1555" s="10"/>
      <c r="P1555" t="b">
        <v>0</v>
      </c>
      <c r="Q1555" t="b">
        <v>0</v>
      </c>
      <c r="R1555" s="3"/>
      <c r="S1555" s="10"/>
      <c r="T1555" s="10"/>
      <c r="U1555" s="10"/>
      <c r="V1555" s="10"/>
      <c r="W1555" s="10"/>
      <c r="X1555" s="10"/>
      <c r="Y1555" s="10"/>
      <c r="Z1555" s="10"/>
      <c r="AA1555" s="10"/>
      <c r="AB1555" s="10"/>
      <c r="AC1555" s="10"/>
      <c r="AD1555" s="10"/>
      <c r="AE1555" s="10"/>
    </row>
    <row r="1556" ht="14.4" spans="14:31">
      <c r="N1556" s="10"/>
      <c r="O1556" s="10"/>
      <c r="P1556" t="b">
        <v>0</v>
      </c>
      <c r="Q1556" t="b">
        <v>0</v>
      </c>
      <c r="R1556" s="3"/>
      <c r="S1556" s="10"/>
      <c r="T1556" s="10"/>
      <c r="U1556" s="10"/>
      <c r="V1556" s="10"/>
      <c r="W1556" s="10"/>
      <c r="X1556" s="10"/>
      <c r="Y1556" s="10"/>
      <c r="Z1556" s="10"/>
      <c r="AA1556" s="10"/>
      <c r="AB1556" s="10"/>
      <c r="AC1556" s="10"/>
      <c r="AD1556" s="10"/>
      <c r="AE1556" s="10"/>
    </row>
    <row r="1557" ht="14.4" spans="14:31">
      <c r="N1557" s="10"/>
      <c r="O1557" s="10"/>
      <c r="P1557" t="b">
        <v>0</v>
      </c>
      <c r="Q1557" t="b">
        <v>0</v>
      </c>
      <c r="R1557" s="3"/>
      <c r="S1557" s="10"/>
      <c r="T1557" s="10"/>
      <c r="U1557" s="10"/>
      <c r="V1557" s="10"/>
      <c r="W1557" s="10"/>
      <c r="X1557" s="10"/>
      <c r="Y1557" s="10"/>
      <c r="Z1557" s="10"/>
      <c r="AA1557" s="10"/>
      <c r="AB1557" s="10"/>
      <c r="AC1557" s="10"/>
      <c r="AD1557" s="10"/>
      <c r="AE1557" s="10"/>
    </row>
    <row r="1558" ht="14.4" spans="14:31">
      <c r="N1558" s="10"/>
      <c r="O1558" s="10"/>
      <c r="P1558" t="b">
        <v>0</v>
      </c>
      <c r="Q1558" t="b">
        <v>0</v>
      </c>
      <c r="R1558" s="3"/>
      <c r="S1558" s="10"/>
      <c r="T1558" s="10"/>
      <c r="U1558" s="10"/>
      <c r="V1558" s="10"/>
      <c r="W1558" s="10"/>
      <c r="X1558" s="10"/>
      <c r="Y1558" s="10"/>
      <c r="Z1558" s="10"/>
      <c r="AA1558" s="10"/>
      <c r="AB1558" s="10"/>
      <c r="AC1558" s="10"/>
      <c r="AD1558" s="10"/>
      <c r="AE1558" s="10"/>
    </row>
    <row r="1559" ht="14.4" spans="14:31">
      <c r="N1559" s="10"/>
      <c r="O1559" s="10"/>
      <c r="P1559" t="b">
        <v>0</v>
      </c>
      <c r="Q1559" t="b">
        <v>0</v>
      </c>
      <c r="R1559" s="3"/>
      <c r="S1559" s="10"/>
      <c r="T1559" s="10"/>
      <c r="U1559" s="10"/>
      <c r="V1559" s="10"/>
      <c r="W1559" s="10"/>
      <c r="X1559" s="10"/>
      <c r="Y1559" s="10"/>
      <c r="Z1559" s="10"/>
      <c r="AA1559" s="10"/>
      <c r="AB1559" s="10"/>
      <c r="AC1559" s="10"/>
      <c r="AD1559" s="10"/>
      <c r="AE1559" s="10"/>
    </row>
    <row r="1560" ht="14.4" spans="14:31">
      <c r="N1560" s="10"/>
      <c r="O1560" s="10"/>
      <c r="P1560" t="b">
        <v>0</v>
      </c>
      <c r="Q1560" t="b">
        <v>0</v>
      </c>
      <c r="R1560" s="3"/>
      <c r="S1560" s="10"/>
      <c r="T1560" s="10"/>
      <c r="U1560" s="10"/>
      <c r="V1560" s="10"/>
      <c r="W1560" s="10"/>
      <c r="X1560" s="10"/>
      <c r="Y1560" s="10"/>
      <c r="Z1560" s="10"/>
      <c r="AA1560" s="10"/>
      <c r="AB1560" s="10"/>
      <c r="AC1560" s="10"/>
      <c r="AD1560" s="10"/>
      <c r="AE1560" s="10"/>
    </row>
    <row r="1561" ht="14.4" spans="14:31">
      <c r="N1561" s="10"/>
      <c r="O1561" s="10"/>
      <c r="P1561" t="b">
        <v>0</v>
      </c>
      <c r="Q1561" t="b">
        <v>0</v>
      </c>
      <c r="R1561" s="3"/>
      <c r="S1561" s="10"/>
      <c r="T1561" s="10"/>
      <c r="U1561" s="10"/>
      <c r="V1561" s="10"/>
      <c r="W1561" s="10"/>
      <c r="X1561" s="10"/>
      <c r="Y1561" s="10"/>
      <c r="Z1561" s="10"/>
      <c r="AA1561" s="10"/>
      <c r="AB1561" s="10"/>
      <c r="AC1561" s="10"/>
      <c r="AD1561" s="10"/>
      <c r="AE1561" s="10"/>
    </row>
    <row r="1562" ht="14.4" spans="14:31">
      <c r="N1562" s="10"/>
      <c r="O1562" s="10"/>
      <c r="P1562" t="b">
        <v>0</v>
      </c>
      <c r="Q1562" t="b">
        <v>0</v>
      </c>
      <c r="R1562" s="3"/>
      <c r="S1562" s="10"/>
      <c r="T1562" s="10"/>
      <c r="U1562" s="10"/>
      <c r="V1562" s="10"/>
      <c r="W1562" s="10"/>
      <c r="X1562" s="10"/>
      <c r="Y1562" s="10"/>
      <c r="Z1562" s="10"/>
      <c r="AA1562" s="10"/>
      <c r="AB1562" s="10"/>
      <c r="AC1562" s="10"/>
      <c r="AD1562" s="10"/>
      <c r="AE1562" s="10"/>
    </row>
    <row r="1563" ht="14.4" spans="14:31">
      <c r="N1563" s="10"/>
      <c r="O1563" s="10"/>
      <c r="P1563" t="b">
        <v>0</v>
      </c>
      <c r="Q1563" t="b">
        <v>0</v>
      </c>
      <c r="R1563" s="3"/>
      <c r="S1563" s="10"/>
      <c r="T1563" s="10"/>
      <c r="U1563" s="10"/>
      <c r="V1563" s="10"/>
      <c r="W1563" s="10"/>
      <c r="X1563" s="10"/>
      <c r="Y1563" s="10"/>
      <c r="Z1563" s="10"/>
      <c r="AA1563" s="10"/>
      <c r="AB1563" s="10"/>
      <c r="AC1563" s="10"/>
      <c r="AD1563" s="10"/>
      <c r="AE1563" s="10"/>
    </row>
    <row r="1564" ht="14.4" spans="14:31">
      <c r="N1564" s="10"/>
      <c r="O1564" s="10"/>
      <c r="P1564" t="b">
        <v>0</v>
      </c>
      <c r="Q1564" t="b">
        <v>0</v>
      </c>
      <c r="R1564" s="3"/>
      <c r="S1564" s="10"/>
      <c r="T1564" s="10"/>
      <c r="U1564" s="10"/>
      <c r="V1564" s="10"/>
      <c r="W1564" s="10"/>
      <c r="X1564" s="10"/>
      <c r="Y1564" s="10"/>
      <c r="Z1564" s="10"/>
      <c r="AA1564" s="10"/>
      <c r="AB1564" s="10"/>
      <c r="AC1564" s="10"/>
      <c r="AD1564" s="10"/>
      <c r="AE1564" s="10"/>
    </row>
    <row r="1565" ht="14.4" spans="14:31">
      <c r="N1565" s="10"/>
      <c r="O1565" s="10"/>
      <c r="P1565" t="b">
        <v>0</v>
      </c>
      <c r="Q1565" t="b">
        <v>0</v>
      </c>
      <c r="R1565" s="3"/>
      <c r="S1565" s="10"/>
      <c r="T1565" s="10"/>
      <c r="U1565" s="10"/>
      <c r="V1565" s="10"/>
      <c r="W1565" s="10"/>
      <c r="X1565" s="10"/>
      <c r="Y1565" s="10"/>
      <c r="Z1565" s="10"/>
      <c r="AA1565" s="10"/>
      <c r="AB1565" s="10"/>
      <c r="AC1565" s="10"/>
      <c r="AD1565" s="10"/>
      <c r="AE1565" s="10"/>
    </row>
    <row r="1566" ht="14.4" spans="14:31">
      <c r="N1566" s="10"/>
      <c r="O1566" s="10"/>
      <c r="P1566" t="b">
        <v>0</v>
      </c>
      <c r="Q1566" t="b">
        <v>0</v>
      </c>
      <c r="R1566" s="3"/>
      <c r="S1566" s="10"/>
      <c r="T1566" s="10"/>
      <c r="U1566" s="10"/>
      <c r="V1566" s="10"/>
      <c r="W1566" s="10"/>
      <c r="X1566" s="10"/>
      <c r="Y1566" s="10"/>
      <c r="Z1566" s="10"/>
      <c r="AA1566" s="10"/>
      <c r="AB1566" s="10"/>
      <c r="AC1566" s="10"/>
      <c r="AD1566" s="10"/>
      <c r="AE1566" s="10"/>
    </row>
    <row r="1567" ht="14.4" spans="14:31">
      <c r="N1567" s="10"/>
      <c r="O1567" s="10"/>
      <c r="P1567" t="b">
        <v>0</v>
      </c>
      <c r="Q1567" t="b">
        <v>0</v>
      </c>
      <c r="R1567" s="3"/>
      <c r="S1567" s="10"/>
      <c r="T1567" s="10"/>
      <c r="U1567" s="10"/>
      <c r="V1567" s="10"/>
      <c r="W1567" s="10"/>
      <c r="X1567" s="10"/>
      <c r="Y1567" s="10"/>
      <c r="Z1567" s="10"/>
      <c r="AA1567" s="10"/>
      <c r="AB1567" s="10"/>
      <c r="AC1567" s="10"/>
      <c r="AD1567" s="10"/>
      <c r="AE1567" s="10"/>
    </row>
    <row r="1568" ht="14.4" spans="14:31">
      <c r="N1568" s="10"/>
      <c r="O1568" s="10"/>
      <c r="P1568" t="b">
        <v>0</v>
      </c>
      <c r="Q1568" t="b">
        <v>0</v>
      </c>
      <c r="R1568" s="3"/>
      <c r="S1568" s="10"/>
      <c r="T1568" s="10"/>
      <c r="U1568" s="10"/>
      <c r="V1568" s="10"/>
      <c r="W1568" s="10"/>
      <c r="X1568" s="10"/>
      <c r="Y1568" s="10"/>
      <c r="Z1568" s="10"/>
      <c r="AA1568" s="10"/>
      <c r="AB1568" s="10"/>
      <c r="AC1568" s="10"/>
      <c r="AD1568" s="10"/>
      <c r="AE1568" s="10"/>
    </row>
    <row r="1569" ht="14.4" spans="14:31">
      <c r="N1569" s="10"/>
      <c r="O1569" s="10"/>
      <c r="P1569" t="b">
        <v>0</v>
      </c>
      <c r="Q1569" t="b">
        <v>0</v>
      </c>
      <c r="R1569" s="3"/>
      <c r="S1569" s="10"/>
      <c r="T1569" s="10"/>
      <c r="U1569" s="10"/>
      <c r="V1569" s="10"/>
      <c r="W1569" s="10"/>
      <c r="X1569" s="10"/>
      <c r="Y1569" s="10"/>
      <c r="Z1569" s="10"/>
      <c r="AA1569" s="10"/>
      <c r="AB1569" s="10"/>
      <c r="AC1569" s="10"/>
      <c r="AD1569" s="10"/>
      <c r="AE1569" s="10"/>
    </row>
    <row r="1570" ht="14.4" spans="14:31">
      <c r="N1570" s="10"/>
      <c r="O1570" s="10"/>
      <c r="P1570" t="b">
        <v>0</v>
      </c>
      <c r="Q1570" t="b">
        <v>0</v>
      </c>
      <c r="R1570" s="3"/>
      <c r="S1570" s="10"/>
      <c r="T1570" s="10"/>
      <c r="U1570" s="10"/>
      <c r="V1570" s="10"/>
      <c r="W1570" s="10"/>
      <c r="X1570" s="10"/>
      <c r="Y1570" s="10"/>
      <c r="Z1570" s="10"/>
      <c r="AA1570" s="10"/>
      <c r="AB1570" s="10"/>
      <c r="AC1570" s="10"/>
      <c r="AD1570" s="10"/>
      <c r="AE1570" s="10"/>
    </row>
    <row r="1571" ht="14.4" spans="14:31">
      <c r="N1571" s="10"/>
      <c r="O1571" s="10"/>
      <c r="P1571" t="b">
        <v>0</v>
      </c>
      <c r="Q1571" t="b">
        <v>0</v>
      </c>
      <c r="R1571" s="3"/>
      <c r="S1571" s="10"/>
      <c r="T1571" s="10"/>
      <c r="U1571" s="10"/>
      <c r="V1571" s="10"/>
      <c r="W1571" s="10"/>
      <c r="X1571" s="10"/>
      <c r="Y1571" s="10"/>
      <c r="Z1571" s="10"/>
      <c r="AA1571" s="10"/>
      <c r="AB1571" s="10"/>
      <c r="AC1571" s="10"/>
      <c r="AD1571" s="10"/>
      <c r="AE1571" s="10"/>
    </row>
    <row r="1572" ht="14.4" spans="14:31">
      <c r="N1572" s="10"/>
      <c r="O1572" s="10"/>
      <c r="P1572" t="b">
        <v>0</v>
      </c>
      <c r="Q1572" t="b">
        <v>0</v>
      </c>
      <c r="R1572" s="3"/>
      <c r="S1572" s="10"/>
      <c r="T1572" s="10"/>
      <c r="U1572" s="10"/>
      <c r="V1572" s="10"/>
      <c r="W1572" s="10"/>
      <c r="X1572" s="10"/>
      <c r="Y1572" s="10"/>
      <c r="Z1572" s="10"/>
      <c r="AA1572" s="10"/>
      <c r="AB1572" s="10"/>
      <c r="AC1572" s="10"/>
      <c r="AD1572" s="10"/>
      <c r="AE1572" s="10"/>
    </row>
    <row r="1573" ht="14.4" spans="14:31">
      <c r="N1573" s="10"/>
      <c r="O1573" s="10"/>
      <c r="P1573" t="b">
        <v>0</v>
      </c>
      <c r="Q1573" t="b">
        <v>0</v>
      </c>
      <c r="R1573" s="3"/>
      <c r="S1573" s="10"/>
      <c r="T1573" s="10"/>
      <c r="U1573" s="10"/>
      <c r="V1573" s="10"/>
      <c r="W1573" s="10"/>
      <c r="X1573" s="10"/>
      <c r="Y1573" s="10"/>
      <c r="Z1573" s="10"/>
      <c r="AA1573" s="10"/>
      <c r="AB1573" s="10"/>
      <c r="AC1573" s="10"/>
      <c r="AD1573" s="10"/>
      <c r="AE1573" s="10"/>
    </row>
    <row r="1574" ht="14.4" spans="14:31">
      <c r="N1574" s="10"/>
      <c r="O1574" s="10"/>
      <c r="P1574" t="b">
        <v>0</v>
      </c>
      <c r="Q1574" t="b">
        <v>0</v>
      </c>
      <c r="R1574" s="3"/>
      <c r="S1574" s="10"/>
      <c r="T1574" s="10"/>
      <c r="U1574" s="10"/>
      <c r="V1574" s="10"/>
      <c r="W1574" s="10"/>
      <c r="X1574" s="10"/>
      <c r="Y1574" s="10"/>
      <c r="Z1574" s="10"/>
      <c r="AA1574" s="10"/>
      <c r="AB1574" s="10"/>
      <c r="AC1574" s="10"/>
      <c r="AD1574" s="10"/>
      <c r="AE1574" s="10"/>
    </row>
    <row r="1575" ht="14.4" spans="14:31">
      <c r="N1575" s="10"/>
      <c r="O1575" s="10"/>
      <c r="P1575" t="b">
        <v>0</v>
      </c>
      <c r="Q1575" t="b">
        <v>0</v>
      </c>
      <c r="R1575" s="3"/>
      <c r="S1575" s="10"/>
      <c r="T1575" s="10"/>
      <c r="U1575" s="10"/>
      <c r="V1575" s="10"/>
      <c r="W1575" s="10"/>
      <c r="X1575" s="10"/>
      <c r="Y1575" s="10"/>
      <c r="Z1575" s="10"/>
      <c r="AA1575" s="10"/>
      <c r="AB1575" s="10"/>
      <c r="AC1575" s="10"/>
      <c r="AD1575" s="10"/>
      <c r="AE1575" s="10"/>
    </row>
    <row r="1576" ht="14.4" spans="14:31">
      <c r="N1576" s="10"/>
      <c r="O1576" s="10"/>
      <c r="P1576" t="b">
        <v>0</v>
      </c>
      <c r="Q1576" t="b">
        <v>0</v>
      </c>
      <c r="R1576" s="3"/>
      <c r="S1576" s="10"/>
      <c r="T1576" s="10"/>
      <c r="U1576" s="10"/>
      <c r="V1576" s="10"/>
      <c r="W1576" s="10"/>
      <c r="X1576" s="10"/>
      <c r="Y1576" s="10"/>
      <c r="Z1576" s="10"/>
      <c r="AA1576" s="10"/>
      <c r="AB1576" s="10"/>
      <c r="AC1576" s="10"/>
      <c r="AD1576" s="10"/>
      <c r="AE1576" s="10"/>
    </row>
    <row r="1577" ht="14.4" spans="14:31">
      <c r="N1577" s="10"/>
      <c r="O1577" s="10"/>
      <c r="P1577" t="b">
        <v>0</v>
      </c>
      <c r="Q1577" t="b">
        <v>0</v>
      </c>
      <c r="R1577" s="3"/>
      <c r="S1577" s="10"/>
      <c r="T1577" s="10"/>
      <c r="U1577" s="10"/>
      <c r="V1577" s="10"/>
      <c r="W1577" s="10"/>
      <c r="X1577" s="10"/>
      <c r="Y1577" s="10"/>
      <c r="Z1577" s="10"/>
      <c r="AA1577" s="10"/>
      <c r="AB1577" s="10"/>
      <c r="AC1577" s="10"/>
      <c r="AD1577" s="10"/>
      <c r="AE1577" s="10"/>
    </row>
    <row r="1578" ht="14.4" spans="14:31">
      <c r="N1578" s="10"/>
      <c r="O1578" s="10"/>
      <c r="P1578" t="b">
        <v>0</v>
      </c>
      <c r="Q1578" t="b">
        <v>0</v>
      </c>
      <c r="R1578" s="3"/>
      <c r="S1578" s="10"/>
      <c r="T1578" s="10"/>
      <c r="U1578" s="10"/>
      <c r="V1578" s="10"/>
      <c r="W1578" s="10"/>
      <c r="X1578" s="10"/>
      <c r="Y1578" s="10"/>
      <c r="Z1578" s="10"/>
      <c r="AA1578" s="10"/>
      <c r="AB1578" s="10"/>
      <c r="AC1578" s="10"/>
      <c r="AD1578" s="10"/>
      <c r="AE1578" s="10"/>
    </row>
    <row r="1579" ht="14.4" spans="14:31">
      <c r="N1579" s="10"/>
      <c r="O1579" s="10"/>
      <c r="P1579" t="b">
        <v>0</v>
      </c>
      <c r="Q1579" t="b">
        <v>0</v>
      </c>
      <c r="R1579" s="3"/>
      <c r="S1579" s="10"/>
      <c r="T1579" s="10"/>
      <c r="U1579" s="10"/>
      <c r="V1579" s="10"/>
      <c r="W1579" s="10"/>
      <c r="X1579" s="10"/>
      <c r="Y1579" s="10"/>
      <c r="Z1579" s="10"/>
      <c r="AA1579" s="10"/>
      <c r="AB1579" s="10"/>
      <c r="AC1579" s="10"/>
      <c r="AD1579" s="10"/>
      <c r="AE1579" s="10"/>
    </row>
    <row r="1580" ht="14.4" spans="14:31">
      <c r="N1580" s="10"/>
      <c r="O1580" s="10"/>
      <c r="P1580" t="b">
        <v>0</v>
      </c>
      <c r="Q1580" t="b">
        <v>0</v>
      </c>
      <c r="R1580" s="3"/>
      <c r="S1580" s="10"/>
      <c r="T1580" s="10"/>
      <c r="U1580" s="10"/>
      <c r="V1580" s="10"/>
      <c r="W1580" s="10"/>
      <c r="X1580" s="10"/>
      <c r="Y1580" s="10"/>
      <c r="Z1580" s="10"/>
      <c r="AA1580" s="10"/>
      <c r="AB1580" s="10"/>
      <c r="AC1580" s="10"/>
      <c r="AD1580" s="10"/>
      <c r="AE1580" s="10"/>
    </row>
    <row r="1581" ht="14.4" spans="14:31">
      <c r="N1581" s="10"/>
      <c r="O1581" s="10"/>
      <c r="P1581" t="b">
        <v>0</v>
      </c>
      <c r="Q1581" t="b">
        <v>0</v>
      </c>
      <c r="R1581" s="3"/>
      <c r="S1581" s="10"/>
      <c r="T1581" s="10"/>
      <c r="U1581" s="10"/>
      <c r="V1581" s="10"/>
      <c r="W1581" s="10"/>
      <c r="X1581" s="10"/>
      <c r="Y1581" s="10"/>
      <c r="Z1581" s="10"/>
      <c r="AA1581" s="10"/>
      <c r="AB1581" s="10"/>
      <c r="AC1581" s="10"/>
      <c r="AD1581" s="10"/>
      <c r="AE1581" s="10"/>
    </row>
    <row r="1582" ht="14.4" spans="14:31">
      <c r="N1582" s="10"/>
      <c r="O1582" s="10"/>
      <c r="P1582" t="b">
        <v>0</v>
      </c>
      <c r="Q1582" t="b">
        <v>0</v>
      </c>
      <c r="R1582" s="3"/>
      <c r="S1582" s="10"/>
      <c r="T1582" s="10"/>
      <c r="U1582" s="10"/>
      <c r="V1582" s="10"/>
      <c r="W1582" s="10"/>
      <c r="X1582" s="10"/>
      <c r="Y1582" s="10"/>
      <c r="Z1582" s="10"/>
      <c r="AA1582" s="10"/>
      <c r="AB1582" s="10"/>
      <c r="AC1582" s="10"/>
      <c r="AD1582" s="10"/>
      <c r="AE1582" s="10"/>
    </row>
    <row r="1583" ht="14.4" spans="14:31">
      <c r="N1583" s="10"/>
      <c r="O1583" s="10"/>
      <c r="P1583" t="b">
        <v>0</v>
      </c>
      <c r="Q1583" t="b">
        <v>0</v>
      </c>
      <c r="R1583" s="3"/>
      <c r="S1583" s="10"/>
      <c r="T1583" s="10"/>
      <c r="U1583" s="10"/>
      <c r="V1583" s="10"/>
      <c r="W1583" s="10"/>
      <c r="X1583" s="10"/>
      <c r="Y1583" s="10"/>
      <c r="Z1583" s="10"/>
      <c r="AA1583" s="10"/>
      <c r="AB1583" s="10"/>
      <c r="AC1583" s="10"/>
      <c r="AD1583" s="10"/>
      <c r="AE1583" s="10"/>
    </row>
    <row r="1584" ht="14.4" spans="14:31">
      <c r="N1584" s="10"/>
      <c r="O1584" s="10"/>
      <c r="P1584" t="b">
        <v>0</v>
      </c>
      <c r="Q1584" t="b">
        <v>0</v>
      </c>
      <c r="R1584" s="3"/>
      <c r="S1584" s="10"/>
      <c r="T1584" s="10"/>
      <c r="U1584" s="10"/>
      <c r="V1584" s="10"/>
      <c r="W1584" s="10"/>
      <c r="X1584" s="10"/>
      <c r="Y1584" s="10"/>
      <c r="Z1584" s="10"/>
      <c r="AA1584" s="10"/>
      <c r="AB1584" s="10"/>
      <c r="AC1584" s="10"/>
      <c r="AD1584" s="10"/>
      <c r="AE1584" s="10"/>
    </row>
    <row r="1585" ht="14.4" spans="14:31">
      <c r="N1585" s="10"/>
      <c r="O1585" s="10"/>
      <c r="P1585" t="b">
        <v>0</v>
      </c>
      <c r="Q1585" t="b">
        <v>0</v>
      </c>
      <c r="R1585" s="3"/>
      <c r="S1585" s="10"/>
      <c r="T1585" s="10"/>
      <c r="U1585" s="10"/>
      <c r="V1585" s="10"/>
      <c r="W1585" s="10"/>
      <c r="X1585" s="10"/>
      <c r="Y1585" s="10"/>
      <c r="Z1585" s="10"/>
      <c r="AA1585" s="10"/>
      <c r="AB1585" s="10"/>
      <c r="AC1585" s="10"/>
      <c r="AD1585" s="10"/>
      <c r="AE1585" s="10"/>
    </row>
    <row r="1586" ht="14.4" spans="14:31">
      <c r="N1586" s="10"/>
      <c r="O1586" s="10"/>
      <c r="P1586" t="b">
        <v>0</v>
      </c>
      <c r="Q1586" t="b">
        <v>0</v>
      </c>
      <c r="R1586" s="3"/>
      <c r="S1586" s="10"/>
      <c r="T1586" s="10"/>
      <c r="U1586" s="10"/>
      <c r="V1586" s="10"/>
      <c r="W1586" s="10"/>
      <c r="X1586" s="10"/>
      <c r="Y1586" s="10"/>
      <c r="Z1586" s="10"/>
      <c r="AA1586" s="10"/>
      <c r="AB1586" s="10"/>
      <c r="AC1586" s="10"/>
      <c r="AD1586" s="10"/>
      <c r="AE1586" s="10"/>
    </row>
    <row r="1587" ht="14.4" spans="14:31">
      <c r="N1587" s="10"/>
      <c r="O1587" s="10"/>
      <c r="P1587" t="b">
        <v>0</v>
      </c>
      <c r="Q1587" t="b">
        <v>0</v>
      </c>
      <c r="R1587" s="3"/>
      <c r="S1587" s="10"/>
      <c r="T1587" s="10"/>
      <c r="U1587" s="10"/>
      <c r="V1587" s="10"/>
      <c r="W1587" s="10"/>
      <c r="X1587" s="10"/>
      <c r="Y1587" s="10"/>
      <c r="Z1587" s="10"/>
      <c r="AA1587" s="10"/>
      <c r="AB1587" s="10"/>
      <c r="AC1587" s="10"/>
      <c r="AD1587" s="10"/>
      <c r="AE1587" s="10"/>
    </row>
    <row r="1588" ht="14.4" spans="14:31">
      <c r="N1588" s="10"/>
      <c r="O1588" s="10"/>
      <c r="P1588" t="b">
        <v>0</v>
      </c>
      <c r="Q1588" t="b">
        <v>0</v>
      </c>
      <c r="R1588" s="3"/>
      <c r="S1588" s="10"/>
      <c r="T1588" s="10"/>
      <c r="U1588" s="10"/>
      <c r="V1588" s="10"/>
      <c r="W1588" s="10"/>
      <c r="X1588" s="10"/>
      <c r="Y1588" s="10"/>
      <c r="Z1588" s="10"/>
      <c r="AA1588" s="10"/>
      <c r="AB1588" s="10"/>
      <c r="AC1588" s="10"/>
      <c r="AD1588" s="10"/>
      <c r="AE1588" s="10"/>
    </row>
    <row r="1589" ht="14.4" spans="14:31">
      <c r="N1589" s="10"/>
      <c r="O1589" s="10"/>
      <c r="P1589" t="b">
        <v>0</v>
      </c>
      <c r="Q1589" t="b">
        <v>0</v>
      </c>
      <c r="R1589" s="3"/>
      <c r="S1589" s="10"/>
      <c r="T1589" s="10"/>
      <c r="U1589" s="10"/>
      <c r="V1589" s="10"/>
      <c r="W1589" s="10"/>
      <c r="X1589" s="10"/>
      <c r="Y1589" s="10"/>
      <c r="Z1589" s="10"/>
      <c r="AA1589" s="10"/>
      <c r="AB1589" s="10"/>
      <c r="AC1589" s="10"/>
      <c r="AD1589" s="10"/>
      <c r="AE1589" s="10"/>
    </row>
    <row r="1590" ht="14.4" spans="14:31">
      <c r="N1590" s="10"/>
      <c r="O1590" s="10"/>
      <c r="P1590" t="b">
        <v>0</v>
      </c>
      <c r="Q1590" t="b">
        <v>0</v>
      </c>
      <c r="R1590" s="3"/>
      <c r="S1590" s="10"/>
      <c r="T1590" s="10"/>
      <c r="U1590" s="10"/>
      <c r="V1590" s="10"/>
      <c r="W1590" s="10"/>
      <c r="X1590" s="10"/>
      <c r="Y1590" s="10"/>
      <c r="Z1590" s="10"/>
      <c r="AA1590" s="10"/>
      <c r="AB1590" s="10"/>
      <c r="AC1590" s="10"/>
      <c r="AD1590" s="10"/>
      <c r="AE1590" s="10"/>
    </row>
    <row r="1591" ht="14.4" spans="14:31">
      <c r="N1591" s="10"/>
      <c r="O1591" s="10"/>
      <c r="P1591" t="b">
        <v>0</v>
      </c>
      <c r="Q1591" t="b">
        <v>0</v>
      </c>
      <c r="R1591" s="3"/>
      <c r="S1591" s="10"/>
      <c r="T1591" s="10"/>
      <c r="U1591" s="10"/>
      <c r="V1591" s="10"/>
      <c r="W1591" s="10"/>
      <c r="X1591" s="10"/>
      <c r="Y1591" s="10"/>
      <c r="Z1591" s="10"/>
      <c r="AA1591" s="10"/>
      <c r="AB1591" s="10"/>
      <c r="AC1591" s="10"/>
      <c r="AD1591" s="10"/>
      <c r="AE1591" s="10"/>
    </row>
    <row r="1592" ht="14.4" spans="14:31">
      <c r="N1592" s="10"/>
      <c r="O1592" s="10"/>
      <c r="P1592" t="b">
        <v>0</v>
      </c>
      <c r="Q1592" t="b">
        <v>0</v>
      </c>
      <c r="R1592" s="3"/>
      <c r="S1592" s="10"/>
      <c r="T1592" s="10"/>
      <c r="U1592" s="10"/>
      <c r="V1592" s="10"/>
      <c r="W1592" s="10"/>
      <c r="X1592" s="10"/>
      <c r="Y1592" s="10"/>
      <c r="Z1592" s="10"/>
      <c r="AA1592" s="10"/>
      <c r="AB1592" s="10"/>
      <c r="AC1592" s="10"/>
      <c r="AD1592" s="10"/>
      <c r="AE1592" s="10"/>
    </row>
    <row r="1593" ht="14.4" spans="14:31">
      <c r="N1593" s="10"/>
      <c r="O1593" s="10"/>
      <c r="P1593" t="b">
        <v>0</v>
      </c>
      <c r="Q1593" t="b">
        <v>0</v>
      </c>
      <c r="R1593" s="3"/>
      <c r="S1593" s="10"/>
      <c r="T1593" s="10"/>
      <c r="U1593" s="10"/>
      <c r="V1593" s="10"/>
      <c r="W1593" s="10"/>
      <c r="X1593" s="10"/>
      <c r="Y1593" s="10"/>
      <c r="Z1593" s="10"/>
      <c r="AA1593" s="10"/>
      <c r="AB1593" s="10"/>
      <c r="AC1593" s="10"/>
      <c r="AD1593" s="10"/>
      <c r="AE1593" s="10"/>
    </row>
    <row r="1594" ht="14.4" spans="14:31">
      <c r="N1594" s="10"/>
      <c r="O1594" s="10"/>
      <c r="P1594" t="b">
        <v>0</v>
      </c>
      <c r="Q1594" t="b">
        <v>0</v>
      </c>
      <c r="R1594" s="3"/>
      <c r="S1594" s="10"/>
      <c r="T1594" s="10"/>
      <c r="U1594" s="10"/>
      <c r="V1594" s="10"/>
      <c r="W1594" s="10"/>
      <c r="X1594" s="10"/>
      <c r="Y1594" s="10"/>
      <c r="Z1594" s="10"/>
      <c r="AA1594" s="10"/>
      <c r="AB1594" s="10"/>
      <c r="AC1594" s="10"/>
      <c r="AD1594" s="10"/>
      <c r="AE1594" s="10"/>
    </row>
    <row r="1595" ht="14.4" spans="14:31">
      <c r="N1595" s="10"/>
      <c r="O1595" s="10"/>
      <c r="P1595" t="b">
        <v>0</v>
      </c>
      <c r="Q1595" t="b">
        <v>0</v>
      </c>
      <c r="R1595" s="3"/>
      <c r="S1595" s="10"/>
      <c r="T1595" s="10"/>
      <c r="U1595" s="10"/>
      <c r="V1595" s="10"/>
      <c r="W1595" s="10"/>
      <c r="X1595" s="10"/>
      <c r="Y1595" s="10"/>
      <c r="Z1595" s="10"/>
      <c r="AA1595" s="10"/>
      <c r="AB1595" s="10"/>
      <c r="AC1595" s="10"/>
      <c r="AD1595" s="10"/>
      <c r="AE1595" s="10"/>
    </row>
    <row r="1596" ht="14.4" spans="14:31">
      <c r="N1596" s="10"/>
      <c r="O1596" s="10"/>
      <c r="P1596" t="b">
        <v>0</v>
      </c>
      <c r="Q1596" t="b">
        <v>0</v>
      </c>
      <c r="R1596" s="3"/>
      <c r="S1596" s="10"/>
      <c r="T1596" s="10"/>
      <c r="U1596" s="10"/>
      <c r="V1596" s="10"/>
      <c r="W1596" s="10"/>
      <c r="X1596" s="10"/>
      <c r="Y1596" s="10"/>
      <c r="Z1596" s="10"/>
      <c r="AA1596" s="10"/>
      <c r="AB1596" s="10"/>
      <c r="AC1596" s="10"/>
      <c r="AD1596" s="10"/>
      <c r="AE1596" s="10"/>
    </row>
    <row r="1597" ht="14.4" spans="14:31">
      <c r="N1597" s="10"/>
      <c r="O1597" s="10"/>
      <c r="P1597" t="b">
        <v>0</v>
      </c>
      <c r="Q1597" t="b">
        <v>0</v>
      </c>
      <c r="R1597" s="3"/>
      <c r="S1597" s="10"/>
      <c r="T1597" s="10"/>
      <c r="U1597" s="10"/>
      <c r="V1597" s="10"/>
      <c r="W1597" s="10"/>
      <c r="X1597" s="10"/>
      <c r="Y1597" s="10"/>
      <c r="Z1597" s="10"/>
      <c r="AA1597" s="10"/>
      <c r="AB1597" s="10"/>
      <c r="AC1597" s="10"/>
      <c r="AD1597" s="10"/>
      <c r="AE1597" s="10"/>
    </row>
    <row r="1598" ht="14.4" spans="14:31">
      <c r="N1598" s="10"/>
      <c r="O1598" s="10"/>
      <c r="P1598" t="b">
        <v>0</v>
      </c>
      <c r="Q1598" t="b">
        <v>0</v>
      </c>
      <c r="R1598" s="3"/>
      <c r="S1598" s="10"/>
      <c r="T1598" s="10"/>
      <c r="U1598" s="10"/>
      <c r="V1598" s="10"/>
      <c r="W1598" s="10"/>
      <c r="X1598" s="10"/>
      <c r="Y1598" s="10"/>
      <c r="Z1598" s="10"/>
      <c r="AA1598" s="10"/>
      <c r="AB1598" s="10"/>
      <c r="AC1598" s="10"/>
      <c r="AD1598" s="10"/>
      <c r="AE1598" s="10"/>
    </row>
    <row r="1599" ht="14.4" spans="14:31">
      <c r="N1599" s="10"/>
      <c r="O1599" s="10"/>
      <c r="P1599" t="b">
        <v>0</v>
      </c>
      <c r="Q1599" t="b">
        <v>0</v>
      </c>
      <c r="R1599" s="3"/>
      <c r="S1599" s="10"/>
      <c r="T1599" s="10"/>
      <c r="U1599" s="10"/>
      <c r="V1599" s="10"/>
      <c r="W1599" s="10"/>
      <c r="X1599" s="10"/>
      <c r="Y1599" s="10"/>
      <c r="Z1599" s="10"/>
      <c r="AA1599" s="10"/>
      <c r="AB1599" s="10"/>
      <c r="AC1599" s="10"/>
      <c r="AD1599" s="10"/>
      <c r="AE1599" s="10"/>
    </row>
    <row r="1600" ht="14.4" spans="14:31">
      <c r="N1600" s="10"/>
      <c r="O1600" s="10"/>
      <c r="P1600" t="b">
        <v>0</v>
      </c>
      <c r="Q1600" t="b">
        <v>0</v>
      </c>
      <c r="R1600" s="3"/>
      <c r="S1600" s="10"/>
      <c r="T1600" s="10"/>
      <c r="U1600" s="10"/>
      <c r="V1600" s="10"/>
      <c r="W1600" s="10"/>
      <c r="X1600" s="10"/>
      <c r="Y1600" s="10"/>
      <c r="Z1600" s="10"/>
      <c r="AA1600" s="10"/>
      <c r="AB1600" s="10"/>
      <c r="AC1600" s="10"/>
      <c r="AD1600" s="10"/>
      <c r="AE1600" s="10"/>
    </row>
    <row r="1601" ht="14.4" spans="14:31">
      <c r="N1601" s="10"/>
      <c r="O1601" s="10"/>
      <c r="P1601" t="b">
        <v>0</v>
      </c>
      <c r="Q1601" t="b">
        <v>0</v>
      </c>
      <c r="R1601" s="3"/>
      <c r="S1601" s="10"/>
      <c r="T1601" s="10"/>
      <c r="U1601" s="10"/>
      <c r="V1601" s="10"/>
      <c r="W1601" s="10"/>
      <c r="X1601" s="10"/>
      <c r="Y1601" s="10"/>
      <c r="Z1601" s="10"/>
      <c r="AA1601" s="10"/>
      <c r="AB1601" s="10"/>
      <c r="AC1601" s="10"/>
      <c r="AD1601" s="10"/>
      <c r="AE1601" s="10"/>
    </row>
    <row r="1602" ht="14.4" spans="14:31">
      <c r="N1602" s="10"/>
      <c r="O1602" s="10"/>
      <c r="P1602" t="b">
        <v>0</v>
      </c>
      <c r="Q1602" t="b">
        <v>0</v>
      </c>
      <c r="R1602" s="3"/>
      <c r="S1602" s="10"/>
      <c r="T1602" s="10"/>
      <c r="U1602" s="10"/>
      <c r="V1602" s="10"/>
      <c r="W1602" s="10"/>
      <c r="X1602" s="10"/>
      <c r="Y1602" s="10"/>
      <c r="Z1602" s="10"/>
      <c r="AA1602" s="10"/>
      <c r="AB1602" s="10"/>
      <c r="AC1602" s="10"/>
      <c r="AD1602" s="10"/>
      <c r="AE1602" s="10"/>
    </row>
    <row r="1603" ht="14.4" spans="14:31">
      <c r="N1603" s="10"/>
      <c r="O1603" s="10"/>
      <c r="P1603" t="b">
        <v>0</v>
      </c>
      <c r="Q1603" t="b">
        <v>0</v>
      </c>
      <c r="R1603" s="3"/>
      <c r="S1603" s="10"/>
      <c r="T1603" s="10"/>
      <c r="U1603" s="10"/>
      <c r="V1603" s="10"/>
      <c r="W1603" s="10"/>
      <c r="X1603" s="10"/>
      <c r="Y1603" s="10"/>
      <c r="Z1603" s="10"/>
      <c r="AA1603" s="10"/>
      <c r="AB1603" s="10"/>
      <c r="AC1603" s="10"/>
      <c r="AD1603" s="10"/>
      <c r="AE1603" s="10"/>
    </row>
    <row r="1604" ht="14.4" spans="14:31">
      <c r="N1604" s="10"/>
      <c r="O1604" s="10"/>
      <c r="P1604" t="b">
        <v>0</v>
      </c>
      <c r="Q1604" t="b">
        <v>0</v>
      </c>
      <c r="R1604" s="3"/>
      <c r="S1604" s="10"/>
      <c r="T1604" s="10"/>
      <c r="U1604" s="10"/>
      <c r="V1604" s="10"/>
      <c r="W1604" s="10"/>
      <c r="X1604" s="10"/>
      <c r="Y1604" s="10"/>
      <c r="Z1604" s="10"/>
      <c r="AA1604" s="10"/>
      <c r="AB1604" s="10"/>
      <c r="AC1604" s="10"/>
      <c r="AD1604" s="10"/>
      <c r="AE1604" s="10"/>
    </row>
    <row r="1605" ht="14.4" spans="14:31">
      <c r="N1605" s="10"/>
      <c r="O1605" s="10"/>
      <c r="P1605" t="b">
        <v>0</v>
      </c>
      <c r="Q1605" t="b">
        <v>0</v>
      </c>
      <c r="R1605" s="3"/>
      <c r="S1605" s="10"/>
      <c r="T1605" s="10"/>
      <c r="U1605" s="10"/>
      <c r="V1605" s="10"/>
      <c r="W1605" s="10"/>
      <c r="X1605" s="10"/>
      <c r="Y1605" s="10"/>
      <c r="Z1605" s="10"/>
      <c r="AA1605" s="10"/>
      <c r="AB1605" s="10"/>
      <c r="AC1605" s="10"/>
      <c r="AD1605" s="10"/>
      <c r="AE1605" s="10"/>
    </row>
    <row r="1606" ht="14.4" spans="14:31">
      <c r="N1606" s="10"/>
      <c r="O1606" s="10"/>
      <c r="P1606" t="b">
        <v>0</v>
      </c>
      <c r="Q1606" t="b">
        <v>0</v>
      </c>
      <c r="R1606" s="3"/>
      <c r="S1606" s="10"/>
      <c r="T1606" s="10"/>
      <c r="U1606" s="10"/>
      <c r="V1606" s="10"/>
      <c r="W1606" s="10"/>
      <c r="X1606" s="10"/>
      <c r="Y1606" s="10"/>
      <c r="Z1606" s="10"/>
      <c r="AA1606" s="10"/>
      <c r="AB1606" s="10"/>
      <c r="AC1606" s="10"/>
      <c r="AD1606" s="10"/>
      <c r="AE1606" s="10"/>
    </row>
    <row r="1607" ht="14.4" spans="14:31">
      <c r="N1607" s="10"/>
      <c r="O1607" s="10"/>
      <c r="P1607" t="b">
        <v>0</v>
      </c>
      <c r="Q1607" t="b">
        <v>0</v>
      </c>
      <c r="R1607" s="3"/>
      <c r="S1607" s="10"/>
      <c r="T1607" s="10"/>
      <c r="U1607" s="10"/>
      <c r="V1607" s="10"/>
      <c r="W1607" s="10"/>
      <c r="X1607" s="10"/>
      <c r="Y1607" s="10"/>
      <c r="Z1607" s="10"/>
      <c r="AA1607" s="10"/>
      <c r="AB1607" s="10"/>
      <c r="AC1607" s="10"/>
      <c r="AD1607" s="10"/>
      <c r="AE1607" s="10"/>
    </row>
    <row r="1608" ht="14.4" spans="14:31">
      <c r="N1608" s="10"/>
      <c r="O1608" s="10"/>
      <c r="P1608" t="b">
        <v>0</v>
      </c>
      <c r="Q1608" t="b">
        <v>0</v>
      </c>
      <c r="R1608" s="3"/>
      <c r="S1608" s="10"/>
      <c r="T1608" s="10"/>
      <c r="U1608" s="10"/>
      <c r="V1608" s="10"/>
      <c r="W1608" s="10"/>
      <c r="X1608" s="10"/>
      <c r="Y1608" s="10"/>
      <c r="Z1608" s="10"/>
      <c r="AA1608" s="10"/>
      <c r="AB1608" s="10"/>
      <c r="AC1608" s="10"/>
      <c r="AD1608" s="10"/>
      <c r="AE1608" s="10"/>
    </row>
    <row r="1609" ht="14.4" spans="14:31">
      <c r="N1609" s="10"/>
      <c r="O1609" s="10"/>
      <c r="P1609" t="b">
        <v>0</v>
      </c>
      <c r="Q1609" t="b">
        <v>0</v>
      </c>
      <c r="R1609" s="3"/>
      <c r="S1609" s="10"/>
      <c r="T1609" s="10"/>
      <c r="U1609" s="10"/>
      <c r="V1609" s="10"/>
      <c r="W1609" s="10"/>
      <c r="X1609" s="10"/>
      <c r="Y1609" s="10"/>
      <c r="Z1609" s="10"/>
      <c r="AA1609" s="10"/>
      <c r="AB1609" s="10"/>
      <c r="AC1609" s="10"/>
      <c r="AD1609" s="10"/>
      <c r="AE1609" s="10"/>
    </row>
    <row r="1610" ht="14.4" spans="14:31">
      <c r="N1610" s="10"/>
      <c r="O1610" s="10"/>
      <c r="P1610" t="b">
        <v>0</v>
      </c>
      <c r="Q1610" t="b">
        <v>0</v>
      </c>
      <c r="R1610" s="3"/>
      <c r="S1610" s="10"/>
      <c r="T1610" s="10"/>
      <c r="U1610" s="10"/>
      <c r="V1610" s="10"/>
      <c r="W1610" s="10"/>
      <c r="X1610" s="10"/>
      <c r="Y1610" s="10"/>
      <c r="Z1610" s="10"/>
      <c r="AA1610" s="10"/>
      <c r="AB1610" s="10"/>
      <c r="AC1610" s="10"/>
      <c r="AD1610" s="10"/>
      <c r="AE1610" s="10"/>
    </row>
    <row r="1611" ht="14.4" spans="14:31">
      <c r="N1611" s="10"/>
      <c r="O1611" s="10"/>
      <c r="P1611" t="b">
        <v>0</v>
      </c>
      <c r="Q1611" t="b">
        <v>0</v>
      </c>
      <c r="R1611" s="3"/>
      <c r="S1611" s="10"/>
      <c r="T1611" s="10"/>
      <c r="U1611" s="10"/>
      <c r="V1611" s="10"/>
      <c r="W1611" s="10"/>
      <c r="X1611" s="10"/>
      <c r="Y1611" s="10"/>
      <c r="Z1611" s="10"/>
      <c r="AA1611" s="10"/>
      <c r="AB1611" s="10"/>
      <c r="AC1611" s="10"/>
      <c r="AD1611" s="10"/>
      <c r="AE1611" s="10"/>
    </row>
    <row r="1612" ht="14.4" spans="14:31">
      <c r="N1612" s="10"/>
      <c r="O1612" s="10"/>
      <c r="P1612" t="b">
        <v>0</v>
      </c>
      <c r="Q1612" t="b">
        <v>0</v>
      </c>
      <c r="R1612" s="3"/>
      <c r="S1612" s="10"/>
      <c r="T1612" s="10"/>
      <c r="U1612" s="10"/>
      <c r="V1612" s="10"/>
      <c r="W1612" s="10"/>
      <c r="X1612" s="10"/>
      <c r="Y1612" s="10"/>
      <c r="Z1612" s="10"/>
      <c r="AA1612" s="10"/>
      <c r="AB1612" s="10"/>
      <c r="AC1612" s="10"/>
      <c r="AD1612" s="10"/>
      <c r="AE1612" s="10"/>
    </row>
    <row r="1613" ht="14.4" spans="14:31">
      <c r="N1613" s="10"/>
      <c r="O1613" s="10"/>
      <c r="P1613" t="b">
        <v>0</v>
      </c>
      <c r="Q1613" t="b">
        <v>0</v>
      </c>
      <c r="R1613" s="3"/>
      <c r="S1613" s="10"/>
      <c r="T1613" s="10"/>
      <c r="U1613" s="10"/>
      <c r="V1613" s="10"/>
      <c r="W1613" s="10"/>
      <c r="X1613" s="10"/>
      <c r="Y1613" s="10"/>
      <c r="Z1613" s="10"/>
      <c r="AA1613" s="10"/>
      <c r="AB1613" s="10"/>
      <c r="AC1613" s="10"/>
      <c r="AD1613" s="10"/>
      <c r="AE1613" s="10"/>
    </row>
    <row r="1614" ht="14.4" spans="14:31">
      <c r="N1614" s="10"/>
      <c r="O1614" s="10"/>
      <c r="P1614" t="b">
        <v>0</v>
      </c>
      <c r="Q1614" t="b">
        <v>0</v>
      </c>
      <c r="R1614" s="3"/>
      <c r="S1614" s="10"/>
      <c r="T1614" s="10"/>
      <c r="U1614" s="10"/>
      <c r="V1614" s="10"/>
      <c r="W1614" s="10"/>
      <c r="X1614" s="10"/>
      <c r="Y1614" s="10"/>
      <c r="Z1614" s="10"/>
      <c r="AA1614" s="10"/>
      <c r="AB1614" s="10"/>
      <c r="AC1614" s="10"/>
      <c r="AD1614" s="10"/>
      <c r="AE1614" s="10"/>
    </row>
    <row r="1615" ht="14.4" spans="14:31">
      <c r="N1615" s="10"/>
      <c r="O1615" s="10"/>
      <c r="P1615" t="b">
        <v>0</v>
      </c>
      <c r="Q1615" t="b">
        <v>0</v>
      </c>
      <c r="R1615" s="3"/>
      <c r="S1615" s="10"/>
      <c r="T1615" s="10"/>
      <c r="U1615" s="10"/>
      <c r="V1615" s="10"/>
      <c r="W1615" s="10"/>
      <c r="X1615" s="10"/>
      <c r="Y1615" s="10"/>
      <c r="Z1615" s="10"/>
      <c r="AA1615" s="10"/>
      <c r="AB1615" s="10"/>
      <c r="AC1615" s="10"/>
      <c r="AD1615" s="10"/>
      <c r="AE1615" s="10"/>
    </row>
    <row r="1616" ht="14.4" spans="14:31">
      <c r="N1616" s="10"/>
      <c r="O1616" s="10"/>
      <c r="P1616" t="b">
        <v>0</v>
      </c>
      <c r="Q1616" t="b">
        <v>0</v>
      </c>
      <c r="R1616" s="3"/>
      <c r="S1616" s="10"/>
      <c r="T1616" s="10"/>
      <c r="U1616" s="10"/>
      <c r="V1616" s="10"/>
      <c r="W1616" s="10"/>
      <c r="X1616" s="10"/>
      <c r="Y1616" s="10"/>
      <c r="Z1616" s="10"/>
      <c r="AA1616" s="10"/>
      <c r="AB1616" s="10"/>
      <c r="AC1616" s="10"/>
      <c r="AD1616" s="10"/>
      <c r="AE1616" s="10"/>
    </row>
    <row r="1617" ht="14.4" spans="14:31">
      <c r="N1617" s="10"/>
      <c r="O1617" s="10"/>
      <c r="P1617" t="b">
        <v>0</v>
      </c>
      <c r="Q1617" t="b">
        <v>0</v>
      </c>
      <c r="R1617" s="3"/>
      <c r="S1617" s="10"/>
      <c r="T1617" s="10"/>
      <c r="U1617" s="10"/>
      <c r="V1617" s="10"/>
      <c r="W1617" s="10"/>
      <c r="X1617" s="10"/>
      <c r="Y1617" s="10"/>
      <c r="Z1617" s="10"/>
      <c r="AA1617" s="10"/>
      <c r="AB1617" s="10"/>
      <c r="AC1617" s="10"/>
      <c r="AD1617" s="10"/>
      <c r="AE1617" s="10"/>
    </row>
    <row r="1618" ht="14.4" spans="14:31">
      <c r="N1618" s="10"/>
      <c r="O1618" s="10"/>
      <c r="P1618" t="b">
        <v>0</v>
      </c>
      <c r="Q1618" t="b">
        <v>0</v>
      </c>
      <c r="R1618" s="3"/>
      <c r="S1618" s="10"/>
      <c r="T1618" s="10"/>
      <c r="U1618" s="10"/>
      <c r="V1618" s="10"/>
      <c r="W1618" s="10"/>
      <c r="X1618" s="10"/>
      <c r="Y1618" s="10"/>
      <c r="Z1618" s="10"/>
      <c r="AA1618" s="10"/>
      <c r="AB1618" s="10"/>
      <c r="AC1618" s="10"/>
      <c r="AD1618" s="10"/>
      <c r="AE1618" s="10"/>
    </row>
    <row r="1619" customHeight="1" spans="14:18">
      <c r="N1619" s="10"/>
      <c r="O1619" s="10"/>
      <c r="P1619" t="b">
        <v>0</v>
      </c>
      <c r="Q1619" t="b">
        <v>0</v>
      </c>
      <c r="R1619" s="3"/>
    </row>
    <row r="1620" customHeight="1" spans="14:18">
      <c r="N1620" s="10"/>
      <c r="O1620" s="10"/>
      <c r="P1620" t="b">
        <v>0</v>
      </c>
      <c r="Q1620" t="b">
        <v>0</v>
      </c>
      <c r="R1620" s="3"/>
    </row>
    <row r="1621" customHeight="1" spans="14:18">
      <c r="N1621" s="10"/>
      <c r="O1621" s="10"/>
      <c r="P1621" t="b">
        <v>0</v>
      </c>
      <c r="Q1621" t="b">
        <v>0</v>
      </c>
      <c r="R1621" s="3"/>
    </row>
    <row r="1622" customHeight="1" spans="14:18">
      <c r="N1622" s="10"/>
      <c r="O1622" s="10"/>
      <c r="P1622" t="b">
        <v>0</v>
      </c>
      <c r="Q1622" t="b">
        <v>0</v>
      </c>
      <c r="R1622" s="3"/>
    </row>
  </sheetData>
  <dataValidations count="2">
    <dataValidation type="list" allowBlank="1" sqref="B3:B44 B47:B49 B51:B91 B93:B184 B189:B219 B221:B337 B339:B569 B571:B590 B595:B602 B604:B666 B668:B702 B704:B711 B713:B759 B761:B770">
      <formula1>Tables!$A$2:$A$46</formula1>
    </dataValidation>
    <dataValidation type="list" allowBlank="1" sqref="B45:B46 B591:B594">
      <formula1>#REF!</formula1>
    </dataValidation>
  </dataValidation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I1590"/>
  <sheetViews>
    <sheetView zoomScale="90" zoomScaleNormal="90" workbookViewId="0">
      <pane xSplit="2" ySplit="1" topLeftCell="C165" activePane="bottomRight" state="frozen"/>
      <selection/>
      <selection pane="topRight"/>
      <selection pane="bottomLeft"/>
      <selection pane="bottomRight" activeCell="G184" sqref="G184"/>
    </sheetView>
  </sheetViews>
  <sheetFormatPr defaultColWidth="14.4259259259259" defaultRowHeight="15" customHeight="1"/>
  <cols>
    <col min="1" max="1" width="26.712962962963" customWidth="1"/>
    <col min="2" max="2" width="20.287037037037" customWidth="1"/>
    <col min="3" max="3" width="8" customWidth="1"/>
    <col min="4" max="4" width="7" customWidth="1"/>
    <col min="5" max="5" width="9.57407407407407" customWidth="1"/>
    <col min="6" max="6" width="6.42592592592593" customWidth="1"/>
    <col min="7" max="7" width="10.712962962963" customWidth="1"/>
    <col min="8" max="8" width="15.712962962963" customWidth="1"/>
    <col min="9" max="9" width="19.712962962963" customWidth="1"/>
    <col min="10" max="10" width="9.42592592592593" customWidth="1"/>
    <col min="11" max="11" width="10.712962962963" customWidth="1"/>
    <col min="12" max="12" width="9.13888888888889" customWidth="1"/>
    <col min="13" max="13" width="7.71296296296296" customWidth="1"/>
    <col min="14" max="14" width="5.71296296296296" customWidth="1"/>
    <col min="15" max="16" width="7.57407407407407" customWidth="1"/>
    <col min="17" max="17" width="5.42592592592593" customWidth="1"/>
    <col min="18" max="18" width="6.28703703703704" customWidth="1"/>
    <col min="19" max="19" width="5.86111111111111" customWidth="1"/>
    <col min="20" max="20" width="6.13888888888889" customWidth="1"/>
    <col min="21" max="21" width="5.28703703703704" customWidth="1"/>
    <col min="22" max="22" width="7.28703703703704" customWidth="1"/>
    <col min="23" max="23" width="6.86111111111111" customWidth="1"/>
    <col min="24" max="24" width="4.28703703703704" customWidth="1"/>
    <col min="25" max="26" width="5.71296296296296" customWidth="1"/>
    <col min="27" max="27" width="8.13888888888889" customWidth="1"/>
    <col min="28" max="28" width="7.28703703703704" customWidth="1"/>
    <col min="29" max="29" width="7.13888888888889" customWidth="1"/>
    <col min="30" max="30" width="11.712962962963" customWidth="1"/>
    <col min="31" max="32" width="10" customWidth="1"/>
    <col min="33" max="35" width="10.4259259259259" customWidth="1"/>
  </cols>
  <sheetData>
    <row r="1" ht="43.2" spans="1:35">
      <c r="A1" s="13" t="str">
        <f>'Ammo Input'!A1</f>
        <v>Caliber</v>
      </c>
      <c r="B1" s="13" t="str">
        <f>'Ammo Input'!B1</f>
        <v>Ammo Type</v>
      </c>
      <c r="C1" s="13" t="s">
        <v>304</v>
      </c>
      <c r="D1" s="13" t="s">
        <v>305</v>
      </c>
      <c r="E1" s="13" t="s">
        <v>306</v>
      </c>
      <c r="F1" s="13" t="s">
        <v>307</v>
      </c>
      <c r="G1" s="13" t="s">
        <v>308</v>
      </c>
      <c r="H1" s="13" t="s">
        <v>309</v>
      </c>
      <c r="I1" s="13" t="s">
        <v>310</v>
      </c>
      <c r="J1" s="13" t="s">
        <v>311</v>
      </c>
      <c r="K1" s="13" t="s">
        <v>312</v>
      </c>
      <c r="L1" s="13" t="s">
        <v>313</v>
      </c>
      <c r="M1" s="13" t="s">
        <v>314</v>
      </c>
      <c r="N1" s="13" t="s">
        <v>315</v>
      </c>
      <c r="O1" s="13" t="s">
        <v>316</v>
      </c>
      <c r="P1" s="13" t="s">
        <v>317</v>
      </c>
      <c r="Q1" s="13" t="s">
        <v>318</v>
      </c>
      <c r="R1" s="13" t="s">
        <v>319</v>
      </c>
      <c r="S1" s="13" t="s">
        <v>320</v>
      </c>
      <c r="T1" s="13" t="s">
        <v>321</v>
      </c>
      <c r="U1" s="13" t="s">
        <v>322</v>
      </c>
      <c r="V1" s="13" t="s">
        <v>323</v>
      </c>
      <c r="W1" s="13" t="s">
        <v>324</v>
      </c>
      <c r="X1" s="13" t="s">
        <v>325</v>
      </c>
      <c r="Y1" s="13" t="s">
        <v>326</v>
      </c>
      <c r="Z1" s="13" t="s">
        <v>327</v>
      </c>
      <c r="AA1" s="28" t="s">
        <v>328</v>
      </c>
      <c r="AB1" s="13" t="s">
        <v>329</v>
      </c>
      <c r="AC1" s="13" t="s">
        <v>330</v>
      </c>
      <c r="AD1" s="13" t="str">
        <f>'Ammo Input'!J1</f>
        <v>Pellet Count</v>
      </c>
      <c r="AE1" s="13" t="s">
        <v>331</v>
      </c>
      <c r="AF1" s="13" t="s">
        <v>332</v>
      </c>
      <c r="AG1" s="28" t="s">
        <v>333</v>
      </c>
      <c r="AH1" s="28" t="s">
        <v>334</v>
      </c>
      <c r="AI1" s="28" t="s">
        <v>335</v>
      </c>
    </row>
    <row r="2" ht="14.4" spans="1:35">
      <c r="A2" s="14" t="s">
        <v>18</v>
      </c>
      <c r="B2" s="15"/>
      <c r="C2" s="15"/>
      <c r="D2" s="15"/>
      <c r="E2" s="15"/>
      <c r="F2" s="15"/>
      <c r="G2" s="15"/>
      <c r="H2" s="15"/>
      <c r="I2" s="15"/>
      <c r="J2" s="15"/>
      <c r="K2" s="26"/>
      <c r="L2" s="15"/>
      <c r="M2" s="15"/>
      <c r="N2" s="15"/>
      <c r="O2" s="23"/>
      <c r="P2" s="27"/>
      <c r="Q2" s="23"/>
      <c r="R2" s="15"/>
      <c r="S2" s="15"/>
      <c r="T2" s="15"/>
      <c r="U2" s="15"/>
      <c r="V2" s="15"/>
      <c r="W2" s="15"/>
      <c r="X2" s="15"/>
      <c r="Y2" s="15"/>
      <c r="Z2" s="15"/>
      <c r="AA2" s="29"/>
      <c r="AB2" s="29"/>
      <c r="AC2" s="15"/>
      <c r="AD2" s="15"/>
      <c r="AE2" s="15" t="s">
        <v>336</v>
      </c>
      <c r="AF2" s="15"/>
      <c r="AG2" s="27"/>
      <c r="AH2" s="27"/>
      <c r="AI2" s="27"/>
    </row>
    <row r="3" ht="14.4" spans="1:35">
      <c r="A3" s="24" t="str">
        <f>'Ammo Input'!A3</f>
        <v>10x18mm Charged</v>
      </c>
      <c r="B3" t="str">
        <f>'Ammo Input'!B3</f>
        <v>Charge</v>
      </c>
      <c r="C3">
        <f>ROUNDUP(('Ammo Input'!C3*(MAX('Ammo Input'!D3,'Ammo Input'!F3)*0.5)^2*PI())*3/1000000,2)</f>
        <v>0.01</v>
      </c>
      <c r="D3">
        <f>ROUNDUP(('Ammo Input'!E3+'Ammo Input'!H3*IF('Ammo Input'!J3&lt;&gt;"",MAX('Ammo Input'!J3,1),1))/1000,3)</f>
        <v>0.017</v>
      </c>
      <c r="E3">
        <f>MIN(5000,MAX(25,CEILING(Calcs!L3,_xlfn.IFS(Calcs!L3&lt;100,25,Calcs!L3&lt;250,50,Calcs!L3&lt;1000,250,Calcs!L3&gt;=1000,1000))))</f>
        <v>5000</v>
      </c>
      <c r="F3">
        <f>ROUNDUP('Ammo Input'!G3^(3/4),0)</f>
        <v>102</v>
      </c>
      <c r="G3">
        <f>ROUND((0.5*((IF(OR(B3="HEAT",B3="HEDP"),'Ammo Input'!N3,'Ammo Input'!H3)/1000)*(IF(B3="HEAT",9000,IF(B3="HEDP",1500,'Ammo Input'!G3))^2))),0)</f>
        <v>1128</v>
      </c>
      <c r="H3" s="25" t="str">
        <f>CONCATENATE(IF((B3="Foam")+(B3="Smoke"),"-",ROUND(Calcs!D3,0))," ",VLOOKUP(B3,AmmoTypeFactors,5,FALSE))</f>
        <v>15 Bullet</v>
      </c>
      <c r="I3" s="25" t="str">
        <f>IF(Calcs!E3=0,"None",CONCATENATE(ROUND(Calcs!E3,0)," ",VLOOKUP(B3,AmmoTypeFactors,6,FALSE)))</f>
        <v>4 Bomb_Secondary</v>
      </c>
      <c r="J3">
        <f>MROUND(2.42*'Ammo Input'!M3^(1/3)*VLOOKUP(B3,AmmoTypeFactors,3,FALSE),0.5)</f>
        <v>0</v>
      </c>
      <c r="K3" s="25" t="str">
        <f>IF(VLOOKUP(B3,AmmoTypeFactors,12,FALSE),MROUND(J3/3,0.5),"None")</f>
        <v>None</v>
      </c>
      <c r="L3" s="25">
        <f>IF(VLOOKUP(B3,AmmoTypeFactors,8,FALSE),"None",ROUNDUP(IF(Calcs!I3&gt;0,Calcs!I3,Calcs!H3),3))</f>
        <v>22.56</v>
      </c>
      <c r="M3" s="25">
        <f>IF(VLOOKUP(B3,AmmoTypeFactors,8,FALSE),"None",'Ammo Input'!L3)</f>
        <v>13</v>
      </c>
      <c r="N3">
        <f>'Ammo Input'!O3</f>
        <v>500</v>
      </c>
      <c r="O3" t="e">
        <f>ROUND((P3*0.0036+SUMPRODUCT(Q3:AB3,VLOOKUP($Q$1:$AB$1,IngredientStats,2,FALSE)))/N3*IF('Ammo Input'!R3,0.5,1),2)</f>
        <v>#VALUE!</v>
      </c>
      <c r="P3" t="e">
        <f>(SUMPRODUCT(Q3:AB3,VLOOKUP($Q$1:$AB$1,IngredientStats,4,FALSE))*VLOOKUP(B3,AmmoTypeFactors,14,FALSE)*IF('Ammo Input'!R3,1.1,1))</f>
        <v>#VALUE!</v>
      </c>
      <c r="Q3">
        <f>IFERROR(__xludf.DUMMYFUNCTION("((IF(NOT(OR(REGEXMATCH(B3, ""Arrow""), B3 = ""Javelin"", B3 = ""Stick bomb"")), ROUNDUP(('Ammo Input'!E3 / 1000) * N3)) + IF(VLOOKUP(B3, AmmoTypeFactors, 9, FALSE) = ""Steel"", ROUNDUP(('Ammo Input'!H3 -'Ammo Input'!M3) * MAX(IF('Ammo Input'!J3 &gt; 0, 'Ammo"&amp;" Input'!J3, 1), 1) * N3 / 1000))) / 'Ingredient stats'!$C$2) * IF(ISBLANK(VLOOKUP(B3,AmmoTypeFactors,15,False)),1,VLOOKUP(B3,AmmoTypeFactors,15,False))"),8)</f>
        <v>8</v>
      </c>
      <c r="R3">
        <f>IFERROR(__xludf.DUMMYFUNCTION("ROUNDUP((IF(REGEXMATCH(B3, ""Arrow"") + (B3 = ""Javelin""), 'Ammo Input'!E3) + IF(VLOOKUP(B3, AmmoTypeFactors, 9, FALSE) = ""Wood"", 'Ammo Input'!H3) + IF(B3 = ""Stick bomb"", 'Ammo Input'!E3)) * N3 / 'Ingredient stats'!$C$12 / 1000)"),0)</f>
        <v>0</v>
      </c>
      <c r="S3">
        <v>0</v>
      </c>
      <c r="T3">
        <v>0</v>
      </c>
      <c r="U3">
        <f>IF(VLOOKUP(B3,AmmoTypeFactors,9,FALSE)="Plasteel",ROUNDUP(('Ammo Input'!H3*MAX(IF('Ammo Input'!J3&gt;0,'Ammo Input'!J3,1)*N3/1000/'Ingredient stats'!$C$4)),0),0)</f>
        <v>20</v>
      </c>
      <c r="V3">
        <f>IFERROR(__xludf.DUMMYFUNCTION("ROUNDUP(IF(ISBLANK(VLOOKUP(B3,AmmoTypeFactors,16,False)),1,VLOOKUP(B3,AmmoTypeFactors,16,False)) * (IFS(REGEXMATCH(B3, ""EMP""), 'Ammo Input'!M3 * N3 / 'Ingredient stats'!$C$5, REGEXMATCH(B3, ""Charge""), (U3^0.75), true, 0) + (IF(VLOOKUP(B3, AmmoTypeFact"&amp;"ors, 10, false), 2,0) + IF('Ammo Input'!P3, 2,0) + IF('Ammo Input'!Q3,MIN(ROUNDUP(0.2*('Ammo Input'!H3/1000)*'Ammo Input'!O3,0),20),0))))"),10)</f>
        <v>10</v>
      </c>
      <c r="W3">
        <v>0</v>
      </c>
      <c r="X3">
        <v>0</v>
      </c>
      <c r="Y3">
        <v>0</v>
      </c>
      <c r="Z3">
        <v>0</v>
      </c>
      <c r="AA3" s="30">
        <v>0</v>
      </c>
      <c r="AB3" s="30">
        <f>IF(B3="Sling Bullet (Stone)",ROUNDUP(D3*0.02*E3/'Ingredient stats'!$C$8,0),0)</f>
        <v>0</v>
      </c>
      <c r="AC3" t="str">
        <f t="shared" ref="AC3:AC49" si="0">IF(B3="Buck",8.9,IF(B3="Bird",71.4,IF(B3="Beanbag",2,IF(OR(B3="Charge (Scatter)",B3="Charge (IonScatter)"),8.9,"None"))))</f>
        <v>None</v>
      </c>
      <c r="AD3" t="str">
        <f>IF(OR(B3="Buck",B3="Bird",B3="Charge (Scatter)"),'Ammo Input'!J3,"None")</f>
        <v>None</v>
      </c>
      <c r="AE3" t="str">
        <f>_xlfn.IFS(ISTEXT(Calcs!N3),Calcs!N3,Calcs!N3&lt;=40,Calcs!N3,Calcs!N3&gt;41,"40")</f>
        <v>None</v>
      </c>
      <c r="AF3" t="str">
        <f>_xlfn.IFS(ISTEXT(Calcs!O3),Calcs!O3,Calcs!O3&lt;=80,Calcs!O3,Calcs!O3&gt;=81,"80")</f>
        <v>None</v>
      </c>
      <c r="AG3" s="25">
        <f t="shared" ref="AG3:AG49" si="1">IF(IFERROR(FIND("-",$H3),0),0,IF($J3,3,1))</f>
        <v>1</v>
      </c>
      <c r="AH3" s="25">
        <f t="shared" ref="AH3:AH49" si="2">IFERROR(ROUND(200/(CEILING(200/$F3*60,1)+1),2),"-")</f>
        <v>1.68</v>
      </c>
      <c r="AI3" s="25">
        <f t="shared" ref="AI3:AI49" si="3">IF(IFERROR(FIND("-",$H3),0),0,IF($J3,2,1))</f>
        <v>1</v>
      </c>
    </row>
    <row r="4" ht="14.4" spans="1:35">
      <c r="A4" s="24" t="str">
        <f>'Ammo Input'!A4</f>
        <v>10x18mm Charged</v>
      </c>
      <c r="B4" t="str">
        <f>'Ammo Input'!B4</f>
        <v>Charge (Concentrated)</v>
      </c>
      <c r="C4">
        <f>ROUNDUP(('Ammo Input'!C4*(MAX('Ammo Input'!D4,'Ammo Input'!F4)*0.5)^2*PI())*3/1000000,2)</f>
        <v>0.01</v>
      </c>
      <c r="D4">
        <f>ROUNDUP(('Ammo Input'!E4+'Ammo Input'!H4*IF('Ammo Input'!J4&lt;&gt;"",MAX('Ammo Input'!J4,1),1))/1000,3)</f>
        <v>0.017</v>
      </c>
      <c r="E4">
        <f>MIN(5000,MAX(25,CEILING(Calcs!L4,_xlfn.IFS(Calcs!L4&lt;100,25,Calcs!L4&lt;250,50,Calcs!L4&lt;1000,250,Calcs!L4&gt;=1000,1000))))</f>
        <v>5000</v>
      </c>
      <c r="F4">
        <f>ROUNDUP('Ammo Input'!G4^(3/4),0)</f>
        <v>102</v>
      </c>
      <c r="G4">
        <f>ROUND((0.5*((IF(OR(B4="HEAT",B4="HEDP"),'Ammo Input'!N4,'Ammo Input'!H4)/1000)*(IF(B4="HEAT",9000,IF(B4="HEDP",1500,'Ammo Input'!G4))^2))),0)</f>
        <v>1128</v>
      </c>
      <c r="H4" s="25" t="str">
        <f>CONCATENATE(IF((B4="Foam")+(B4="Smoke"),"-",ROUND(Calcs!D4,0))," ",VLOOKUP(B4,AmmoTypeFactors,5,FALSE))</f>
        <v>11 Bullet</v>
      </c>
      <c r="I4" s="25" t="str">
        <f>IF(Calcs!E4=0,"None",CONCATENATE(ROUND(Calcs!E4,0)," ",VLOOKUP(B4,AmmoTypeFactors,6,FALSE)))</f>
        <v>2 Bomb_Secondary</v>
      </c>
      <c r="J4">
        <f>MROUND(2.42*'Ammo Input'!M4^(1/3)*VLOOKUP(B4,AmmoTypeFactors,3,FALSE),0.5)</f>
        <v>0</v>
      </c>
      <c r="K4" s="25" t="str">
        <f>IF(VLOOKUP(B4,AmmoTypeFactors,12,FALSE),MROUND(J4/3,0.5),"None")</f>
        <v>None</v>
      </c>
      <c r="L4" s="25">
        <f>IF(VLOOKUP(B4,AmmoTypeFactors,8,FALSE),"None",ROUNDUP(IF(Calcs!I4&gt;0,Calcs!I4,Calcs!H4),3))</f>
        <v>22.56</v>
      </c>
      <c r="M4" s="25">
        <f>IF(VLOOKUP(B4,AmmoTypeFactors,8,FALSE),"None",'Ammo Input'!L4)</f>
        <v>26</v>
      </c>
      <c r="N4">
        <f>'Ammo Input'!O4</f>
        <v>500</v>
      </c>
      <c r="O4" t="e">
        <f>ROUND((P4*0.0036+SUMPRODUCT(Q4:AB4,VLOOKUP($Q$1:$AB$1,IngredientStats,2,FALSE)))/N4*IF('Ammo Input'!R4,0.5,1),2)</f>
        <v>#VALUE!</v>
      </c>
      <c r="P4" t="e">
        <f>(SUMPRODUCT(Q4:AB4,VLOOKUP($Q$1:$AB$1,IngredientStats,4,FALSE))*VLOOKUP(B4,AmmoTypeFactors,14,FALSE)*IF('Ammo Input'!R4,1.1,1))</f>
        <v>#VALUE!</v>
      </c>
      <c r="Q4">
        <f>IFERROR(__xludf.DUMMYFUNCTION("((IF(NOT(OR(REGEXMATCH(B4, ""Arrow""), B4 = ""Javelin"", B4 = ""Stick bomb"")), ROUNDUP(('Ammo Input'!E4 / 1000) * N4)) + IF(VLOOKUP(B4, AmmoTypeFactors, 9, FALSE) = ""Steel"", ROUNDUP(('Ammo Input'!H4 -'Ammo Input'!M4) * MAX(IF('Ammo Input'!J4 &gt; 0, 'Ammo"&amp;" Input'!J4, 1), 1) * N4 / 1000))) / 'Ingredient stats'!$C$2) * IF(ISBLANK(VLOOKUP(B4,AmmoTypeFactors,15,False)),1,VLOOKUP(B4,AmmoTypeFactors,15,False))"),8)</f>
        <v>8</v>
      </c>
      <c r="R4">
        <f>IFERROR(__xludf.DUMMYFUNCTION("ROUNDUP((IF(REGEXMATCH(B4, ""Arrow"") + (B4 = ""Javelin""), 'Ammo Input'!E4) + IF(VLOOKUP(B4, AmmoTypeFactors, 9, FALSE) = ""Wood"", 'Ammo Input'!H4) + IF(B4 = ""Stick bomb"", 'Ammo Input'!E4)) * N4 / 'Ingredient stats'!$C$12 / 1000)"),0)</f>
        <v>0</v>
      </c>
      <c r="S4">
        <v>0</v>
      </c>
      <c r="T4">
        <v>0</v>
      </c>
      <c r="U4">
        <f>IF(VLOOKUP(B4,AmmoTypeFactors,9,FALSE)="Plasteel",ROUNDUP(('Ammo Input'!H4*MAX(IF('Ammo Input'!J4&gt;0,'Ammo Input'!J4,1)*N4/1000/'Ingredient stats'!$C$4)),0),0)</f>
        <v>20</v>
      </c>
      <c r="V4">
        <f>IFERROR(__xludf.DUMMYFUNCTION("ROUNDUP(IF(ISBLANK(VLOOKUP(B4,AmmoTypeFactors,16,False)),1,VLOOKUP(B4,AmmoTypeFactors,16,False)) * (IFS(REGEXMATCH(B4, ""EMP""), 'Ammo Input'!M4 * N4 / 'Ingredient stats'!$C$5, REGEXMATCH(B4, ""Charge""), (U4^0.75), true, 0) + (IF(VLOOKUP(B4, AmmoTypeFact"&amp;"ors, 10, false), 2,0) + IF('Ammo Input'!P4, 2,0) + IF('Ammo Input'!Q4,MIN(ROUNDUP(0.2*('Ammo Input'!H4/1000)*'Ammo Input'!O4,0),20),0))))"),10)</f>
        <v>10</v>
      </c>
      <c r="W4">
        <v>0</v>
      </c>
      <c r="X4">
        <v>0</v>
      </c>
      <c r="Y4">
        <v>0</v>
      </c>
      <c r="Z4">
        <v>0</v>
      </c>
      <c r="AA4">
        <v>0</v>
      </c>
      <c r="AB4" s="30">
        <f>IF(B4="Sling Bullet (Stone)",ROUNDUP(D4*0.02*E4/'Ingredient stats'!$C$8,0),0)</f>
        <v>0</v>
      </c>
      <c r="AC4" t="str">
        <f t="shared" si="0"/>
        <v>None</v>
      </c>
      <c r="AD4" t="str">
        <f>IF(OR(B4="Buck",B4="Bird",B4="Charge (Scatter)"),'Ammo Input'!J4,"None")</f>
        <v>None</v>
      </c>
      <c r="AE4" t="str">
        <f>_xlfn.IFS(ISTEXT(Calcs!N4),Calcs!N4,Calcs!N4&lt;=40,Calcs!N4,Calcs!N4&gt;41,"40")</f>
        <v>None</v>
      </c>
      <c r="AF4" t="str">
        <f>_xlfn.IFS(ISTEXT(Calcs!O4),Calcs!O4,Calcs!O4&lt;=80,Calcs!O4,Calcs!O4&gt;=81,"80")</f>
        <v>None</v>
      </c>
      <c r="AG4" s="25">
        <f t="shared" si="1"/>
        <v>1</v>
      </c>
      <c r="AH4" s="25">
        <f t="shared" si="2"/>
        <v>1.68</v>
      </c>
      <c r="AI4" s="25">
        <f t="shared" si="3"/>
        <v>1</v>
      </c>
    </row>
    <row r="5" ht="14.4" spans="1:35">
      <c r="A5" s="24" t="str">
        <f>'Ammo Input'!A5</f>
        <v>10x18mm Charged</v>
      </c>
      <c r="B5" t="str">
        <f>'Ammo Input'!B5</f>
        <v>Charge (Ion)</v>
      </c>
      <c r="C5">
        <f>ROUNDUP(('Ammo Input'!C5*(MAX('Ammo Input'!D5,'Ammo Input'!F5)*0.5)^2*PI())*3/1000000,2)</f>
        <v>0.01</v>
      </c>
      <c r="D5">
        <f>ROUNDUP(('Ammo Input'!E5+'Ammo Input'!H5*IF('Ammo Input'!J5&lt;&gt;"",MAX('Ammo Input'!J5,1),1))/1000,3)</f>
        <v>0.017</v>
      </c>
      <c r="E5">
        <f>MIN(5000,MAX(25,CEILING(Calcs!L5,_xlfn.IFS(Calcs!L5&lt;100,25,Calcs!L5&lt;250,50,Calcs!L5&lt;1000,250,Calcs!L5&gt;=1000,1000))))</f>
        <v>5000</v>
      </c>
      <c r="F5">
        <f>ROUNDUP('Ammo Input'!G5^(3/4),0)</f>
        <v>102</v>
      </c>
      <c r="G5">
        <f>ROUND((0.5*((IF(OR(B5="HEAT",B5="HEDP"),'Ammo Input'!N5,'Ammo Input'!H5)/1000)*(IF(B5="HEAT",9000,IF(B5="HEDP",1500,'Ammo Input'!G5))^2))),0)</f>
        <v>1128</v>
      </c>
      <c r="H5" s="25" t="str">
        <f>CONCATENATE(IF((B5="Foam")+(B5="Smoke"),"-",ROUND(Calcs!D5,0))," ",VLOOKUP(B5,AmmoTypeFactors,5,FALSE))</f>
        <v>11 Bullet</v>
      </c>
      <c r="I5" s="25" t="str">
        <f>IF(Calcs!E5=0,"None",CONCATENATE(ROUND(Calcs!E5,0)," ",VLOOKUP(B5,AmmoTypeFactors,6,FALSE)))</f>
        <v>7 EMP</v>
      </c>
      <c r="J5">
        <f>MROUND(2.42*'Ammo Input'!M5^(1/3)*VLOOKUP(B5,AmmoTypeFactors,3,FALSE),0.5)</f>
        <v>0</v>
      </c>
      <c r="K5" s="25" t="str">
        <f>IF(VLOOKUP(B5,AmmoTypeFactors,12,FALSE),MROUND(J5/3,0.5),"None")</f>
        <v>None</v>
      </c>
      <c r="L5" s="25">
        <f>IF(VLOOKUP(B5,AmmoTypeFactors,8,FALSE),"None",ROUNDUP(IF(Calcs!I5&gt;0,Calcs!I5,Calcs!H5),3))</f>
        <v>22.56</v>
      </c>
      <c r="M5" s="25">
        <f>IF(VLOOKUP(B5,AmmoTypeFactors,8,FALSE),"None",'Ammo Input'!L5)</f>
        <v>19.5</v>
      </c>
      <c r="N5">
        <f>'Ammo Input'!O5</f>
        <v>500</v>
      </c>
      <c r="O5" t="e">
        <f>ROUND((P5*0.0036+SUMPRODUCT(Q5:AB5,VLOOKUP($Q$1:$AB$1,IngredientStats,2,FALSE)))/N5*IF('Ammo Input'!R5,0.5,1),2)</f>
        <v>#VALUE!</v>
      </c>
      <c r="P5" t="e">
        <f>(SUMPRODUCT(Q5:AB5,VLOOKUP($Q$1:$AB$1,IngredientStats,4,FALSE))*VLOOKUP(B5,AmmoTypeFactors,14,FALSE)*IF('Ammo Input'!R5,1.1,1))</f>
        <v>#VALUE!</v>
      </c>
      <c r="Q5">
        <f>IFERROR(__xludf.DUMMYFUNCTION("((IF(NOT(OR(REGEXMATCH(B5, ""Arrow""), B5 = ""Javelin"", B5 = ""Stick bomb"")), ROUNDUP(('Ammo Input'!E5 / 1000) * N5)) + IF(VLOOKUP(B5, AmmoTypeFactors, 9, FALSE) = ""Steel"", ROUNDUP(('Ammo Input'!H5 -'Ammo Input'!M5) * MAX(IF('Ammo Input'!J5 &gt; 0, 'Ammo"&amp;" Input'!J5, 1), 1) * N5 / 1000))) / 'Ingredient stats'!$C$2) * IF(ISBLANK(VLOOKUP(B5,AmmoTypeFactors,15,False)),1,VLOOKUP(B5,AmmoTypeFactors,15,False))"),8)</f>
        <v>8</v>
      </c>
      <c r="R5">
        <f>IFERROR(__xludf.DUMMYFUNCTION("ROUNDUP((IF(REGEXMATCH(B5, ""Arrow"") + (B5 = ""Javelin""), 'Ammo Input'!E5) + IF(VLOOKUP(B5, AmmoTypeFactors, 9, FALSE) = ""Wood"", 'Ammo Input'!H5) + IF(B5 = ""Stick bomb"", 'Ammo Input'!E5)) * N5 / 'Ingredient stats'!$C$12 / 1000)"),0)</f>
        <v>0</v>
      </c>
      <c r="S5">
        <v>0</v>
      </c>
      <c r="T5">
        <v>0</v>
      </c>
      <c r="U5">
        <f>IF(VLOOKUP(B5,AmmoTypeFactors,9,FALSE)="Plasteel",ROUNDUP(('Ammo Input'!H5*MAX(IF('Ammo Input'!J5&gt;0,'Ammo Input'!J5,1)*N5/1000/'Ingredient stats'!$C$4)),0),0)</f>
        <v>20</v>
      </c>
      <c r="V5">
        <f>IFERROR(__xludf.DUMMYFUNCTION("ROUNDUP(IF(ISBLANK(VLOOKUP(B5,AmmoTypeFactors,16,False)),1,VLOOKUP(B5,AmmoTypeFactors,16,False)) * (IFS(REGEXMATCH(B5, ""EMP""), 'Ammo Input'!M5 * N5 / 'Ingredient stats'!$C$5, REGEXMATCH(B5, ""Charge""), (U5^0.75), true, 0) + (IF(VLOOKUP(B5, AmmoTypeFact"&amp;"ors, 10, false), 2,0) + IF('Ammo Input'!P5, 2,0) + IF('Ammo Input'!Q5,MIN(ROUNDUP(0.2*('Ammo Input'!H5/1000)*'Ammo Input'!O5,0),20),0))))"),10)</f>
        <v>10</v>
      </c>
      <c r="W5">
        <v>0</v>
      </c>
      <c r="X5">
        <v>0</v>
      </c>
      <c r="Y5">
        <v>0</v>
      </c>
      <c r="Z5">
        <v>0</v>
      </c>
      <c r="AA5">
        <v>0</v>
      </c>
      <c r="AB5" s="30">
        <f>IF(B5="Sling Bullet (Stone)",ROUNDUP(D5*0.02*E5/'Ingredient stats'!$C$8,0),0)</f>
        <v>0</v>
      </c>
      <c r="AC5" t="str">
        <f t="shared" si="0"/>
        <v>None</v>
      </c>
      <c r="AD5" t="str">
        <f>IF(OR(B5="Buck",B5="Bird",B5="Charge (Scatter)"),'Ammo Input'!J5,"None")</f>
        <v>None</v>
      </c>
      <c r="AE5" t="str">
        <f>_xlfn.IFS(ISTEXT(Calcs!N5),Calcs!N5,Calcs!N5&lt;=40,Calcs!N5,Calcs!N5&gt;41,"40")</f>
        <v>None</v>
      </c>
      <c r="AF5" t="str">
        <f>_xlfn.IFS(ISTEXT(Calcs!O5),Calcs!O5,Calcs!O5&lt;=80,Calcs!O5,Calcs!O5&gt;=81,"80")</f>
        <v>None</v>
      </c>
      <c r="AG5" s="25">
        <f t="shared" si="1"/>
        <v>1</v>
      </c>
      <c r="AH5" s="25">
        <f t="shared" si="2"/>
        <v>1.68</v>
      </c>
      <c r="AI5" s="25">
        <f t="shared" si="3"/>
        <v>1</v>
      </c>
    </row>
    <row r="6" ht="14.4" spans="1:35">
      <c r="A6" s="24" t="str">
        <f>'Ammo Input'!A6</f>
        <v>5x35mm Charged</v>
      </c>
      <c r="B6" t="str">
        <f>'Ammo Input'!B6</f>
        <v>Charge (Concentrated)</v>
      </c>
      <c r="C6">
        <f>ROUNDUP(('Ammo Input'!C6*(MAX('Ammo Input'!D6,'Ammo Input'!F6)*0.5)^2*PI())*3/1000000,2)</f>
        <v>0.01</v>
      </c>
      <c r="D6">
        <f>ROUNDUP(('Ammo Input'!E6+'Ammo Input'!H6*IF('Ammo Input'!J6&lt;&gt;"",MAX('Ammo Input'!J6,1),1))/1000,3)</f>
        <v>0.015</v>
      </c>
      <c r="E6">
        <f>MIN(5000,MAX(25,CEILING(Calcs!L6,_xlfn.IFS(Calcs!L6&lt;100,25,Calcs!L6&lt;250,50,Calcs!L6&lt;1000,250,Calcs!L6&gt;=1000,1000))))</f>
        <v>5000</v>
      </c>
      <c r="F6">
        <f>ROUNDUP('Ammo Input'!G6^(3/4),0)</f>
        <v>178</v>
      </c>
      <c r="G6">
        <f>ROUND((0.5*((IF(OR(B6="HEAT",B6="HEDP"),'Ammo Input'!N6,'Ammo Input'!H6)/1000)*(IF(B6="HEAT",9000,IF(B6="HEDP",1500,'Ammo Input'!G6))^2))),0)</f>
        <v>3000</v>
      </c>
      <c r="H6" s="25" t="str">
        <f>CONCATENATE(IF((B6="Foam")+(B6="Smoke"),"-",ROUND(Calcs!D6,0))," ",VLOOKUP(B6,AmmoTypeFactors,5,FALSE))</f>
        <v>14 Bullet</v>
      </c>
      <c r="I6" s="25" t="str">
        <f>IF(Calcs!E6=0,"None",CONCATENATE(ROUND(Calcs!E6,0)," ",VLOOKUP(B6,AmmoTypeFactors,6,FALSE)))</f>
        <v>2 Bomb_Secondary</v>
      </c>
      <c r="J6">
        <f>MROUND(2.42*'Ammo Input'!M6^(1/3)*VLOOKUP(B6,AmmoTypeFactors,3,FALSE),0.5)</f>
        <v>0</v>
      </c>
      <c r="K6" s="25" t="str">
        <f>IF(VLOOKUP(B6,AmmoTypeFactors,12,FALSE),MROUND(J6/3,0.5),"None")</f>
        <v>None</v>
      </c>
      <c r="L6" s="25">
        <f>IF(VLOOKUP(B6,AmmoTypeFactors,8,FALSE),"None",ROUNDUP(IF(Calcs!I6&gt;0,Calcs!I6,Calcs!H6),3))</f>
        <v>60</v>
      </c>
      <c r="M6" s="25">
        <f>IF(VLOOKUP(B6,AmmoTypeFactors,8,FALSE),"None",'Ammo Input'!L6)</f>
        <v>30</v>
      </c>
      <c r="N6">
        <f>'Ammo Input'!O6</f>
        <v>500</v>
      </c>
      <c r="O6" t="e">
        <f>ROUND((P6*0.0036+SUMPRODUCT(Q6:AB6,VLOOKUP($Q$1:$AB$1,IngredientStats,2,FALSE)))/N6*IF('Ammo Input'!R6,0.5,1),2)</f>
        <v>#VALUE!</v>
      </c>
      <c r="P6" t="e">
        <f>(SUMPRODUCT(Q6:AB6,VLOOKUP($Q$1:$AB$1,IngredientStats,4,FALSE))*VLOOKUP(B6,AmmoTypeFactors,14,FALSE)*IF('Ammo Input'!R6,1.1,1))</f>
        <v>#VALUE!</v>
      </c>
      <c r="Q6">
        <f>IFERROR(__xludf.DUMMYFUNCTION("((IF(NOT(OR(REGEXMATCH(B6, ""Arrow""), B6 = ""Javelin"", B6 = ""Stick bomb"")), ROUNDUP(('Ammo Input'!E6 / 1000) * N6)) + IF(VLOOKUP(B6, AmmoTypeFactors, 9, FALSE) = ""Steel"", ROUNDUP(('Ammo Input'!H6 -'Ammo Input'!M6) * MAX(IF('Ammo Input'!J6 &gt; 0, 'Ammo"&amp;" Input'!J6, 1), 1) * N6 / 1000))) / 'Ingredient stats'!$C$2) * IF(ISBLANK(VLOOKUP(B6,AmmoTypeFactors,15,False)),1,VLOOKUP(B6,AmmoTypeFactors,15,False))"),10)</f>
        <v>10</v>
      </c>
      <c r="R6">
        <f>IFERROR(__xludf.DUMMYFUNCTION("ROUNDUP((IF(REGEXMATCH(B6, ""Arrow"") + (B6 = ""Javelin""), 'Ammo Input'!E6) + IF(VLOOKUP(B6, AmmoTypeFactors, 9, FALSE) = ""Wood"", 'Ammo Input'!H6) + IF(B6 = ""Stick bomb"", 'Ammo Input'!E6)) * N6 / 'Ingredient stats'!$C$12 / 1000)"),0)</f>
        <v>0</v>
      </c>
      <c r="S6">
        <v>0</v>
      </c>
      <c r="T6">
        <v>0</v>
      </c>
      <c r="U6">
        <f>IF(VLOOKUP(B6,AmmoTypeFactors,9,FALSE)="Plasteel",ROUNDUP(('Ammo Input'!H6*MAX(IF('Ammo Input'!J6&gt;0,'Ammo Input'!J6,1)*N6/1000/'Ingredient stats'!$C$4)),0),0)</f>
        <v>12</v>
      </c>
      <c r="V6">
        <f>IFERROR(__xludf.DUMMYFUNCTION("ROUNDUP(IF(ISBLANK(VLOOKUP(B6,AmmoTypeFactors,16,False)),1,VLOOKUP(B6,AmmoTypeFactors,16,False)) * (IFS(REGEXMATCH(B6, ""EMP""), 'Ammo Input'!M6 * N6 / 'Ingredient stats'!$C$5, REGEXMATCH(B6, ""Charge""), (U6^0.75), true, 0) + (IF(VLOOKUP(B6, AmmoTypeFact"&amp;"ors, 10, false), 2,0) + IF('Ammo Input'!P6, 2,0) + IF('Ammo Input'!Q6,MIN(ROUNDUP(0.2*('Ammo Input'!H6/1000)*'Ammo Input'!O6,0),20),0))))"),7)</f>
        <v>7</v>
      </c>
      <c r="W6">
        <v>0</v>
      </c>
      <c r="X6">
        <v>0</v>
      </c>
      <c r="Y6">
        <v>0</v>
      </c>
      <c r="Z6">
        <v>0</v>
      </c>
      <c r="AA6">
        <v>0</v>
      </c>
      <c r="AB6" s="30">
        <f>IF(B6="Sling Bullet (Stone)",ROUNDUP(D6*0.02*E6/'Ingredient stats'!$C$8,0),0)</f>
        <v>0</v>
      </c>
      <c r="AC6" t="str">
        <f t="shared" si="0"/>
        <v>None</v>
      </c>
      <c r="AD6" t="str">
        <f>IF(OR(B6="Buck",B6="Bird",B6="Charge (Scatter)"),'Ammo Input'!J6,"None")</f>
        <v>None</v>
      </c>
      <c r="AE6" t="str">
        <f>_xlfn.IFS(ISTEXT(Calcs!N6),Calcs!N6,Calcs!N6&lt;=40,Calcs!N6,Calcs!N6&gt;41,"40")</f>
        <v>None</v>
      </c>
      <c r="AF6" t="str">
        <f>_xlfn.IFS(ISTEXT(Calcs!O6),Calcs!O6,Calcs!O6&lt;=80,Calcs!O6,Calcs!O6&gt;=81,"80")</f>
        <v>None</v>
      </c>
      <c r="AG6" s="25">
        <f t="shared" si="1"/>
        <v>1</v>
      </c>
      <c r="AH6" s="25">
        <f t="shared" si="2"/>
        <v>2.9</v>
      </c>
      <c r="AI6" s="25">
        <f t="shared" si="3"/>
        <v>1</v>
      </c>
    </row>
    <row r="7" ht="14.4" spans="1:35">
      <c r="A7" s="24" t="str">
        <f>'Ammo Input'!A7</f>
        <v>5x50mm caseless (LV)</v>
      </c>
      <c r="B7" t="str">
        <f>'Ammo Input'!B7</f>
        <v>Sabot</v>
      </c>
      <c r="C7">
        <f>ROUNDUP(('Ammo Input'!C7*(MAX('Ammo Input'!D7,'Ammo Input'!F7)*0.5)^2*PI())*3/1000000,2)</f>
        <v>0.02</v>
      </c>
      <c r="D7">
        <f>ROUNDUP(('Ammo Input'!E7+'Ammo Input'!H7*IF('Ammo Input'!J7&lt;&gt;"",MAX('Ammo Input'!J7,1),1))/1000,3)</f>
        <v>0.015</v>
      </c>
      <c r="E7">
        <f>MIN(5000,MAX(25,CEILING(Calcs!L7,_xlfn.IFS(Calcs!L7&lt;100,25,Calcs!L7&lt;250,50,Calcs!L7&lt;1000,250,Calcs!L7&gt;=1000,1000))))</f>
        <v>5000</v>
      </c>
      <c r="F7">
        <f>ROUNDUP('Ammo Input'!G7^(3/4),0)</f>
        <v>165</v>
      </c>
      <c r="G7">
        <f>ROUND((0.5*((IF(OR(B7="HEAT",B7="HEDP"),'Ammo Input'!N7,'Ammo Input'!H7)/1000)*(IF(B7="HEAT",9000,IF(B7="HEDP",1500,'Ammo Input'!G7))^2))),0)</f>
        <v>2025</v>
      </c>
      <c r="H7" s="25" t="str">
        <f>CONCATENATE(IF((B7="Foam")+(B7="Smoke"),"-",ROUND(Calcs!D7,0))," ",VLOOKUP(B7,AmmoTypeFactors,5,FALSE))</f>
        <v>8 Bullet</v>
      </c>
      <c r="I7" s="25" t="str">
        <f>IF(Calcs!E7=0,"None",CONCATENATE(ROUND(Calcs!E7,0)," ",VLOOKUP(B7,AmmoTypeFactors,6,FALSE)))</f>
        <v>None</v>
      </c>
      <c r="J7">
        <f>MROUND(2.42*'Ammo Input'!M7^(1/3)*VLOOKUP(B7,AmmoTypeFactors,3,FALSE),0.5)</f>
        <v>0</v>
      </c>
      <c r="K7" s="25" t="str">
        <f>IF(VLOOKUP(B7,AmmoTypeFactors,12,FALSE),MROUND(J7/3,0.5),"None")</f>
        <v>None</v>
      </c>
      <c r="L7" s="25">
        <f>IF(VLOOKUP(B7,AmmoTypeFactors,8,FALSE),"None",ROUNDUP(IF(Calcs!I7&gt;0,Calcs!I7,Calcs!H7),3))</f>
        <v>40.5</v>
      </c>
      <c r="M7" s="25">
        <f>IF(VLOOKUP(B7,AmmoTypeFactors,8,FALSE),"None",'Ammo Input'!L7)</f>
        <v>21</v>
      </c>
      <c r="N7">
        <f>'Ammo Input'!O7</f>
        <v>500</v>
      </c>
      <c r="O7" t="e">
        <f>ROUND((P7*0.0036+SUMPRODUCT(Q7:AB7,VLOOKUP($Q$1:$AB$1,IngredientStats,2,FALSE)))/N7*IF('Ammo Input'!R7,0.5,1),2)</f>
        <v>#VALUE!</v>
      </c>
      <c r="P7" t="e">
        <f>(SUMPRODUCT(Q7:AB7,VLOOKUP($Q$1:$AB$1,IngredientStats,4,FALSE))*VLOOKUP(B7,AmmoTypeFactors,14,FALSE)*IF('Ammo Input'!R7,1.1,1))</f>
        <v>#VALUE!</v>
      </c>
      <c r="Q7">
        <f>IFERROR(__xludf.DUMMYFUNCTION("((IF(NOT(OR(REGEXMATCH(B7, ""Arrow""), B7 = ""Javelin"", B7 = ""Stick bomb"")), ROUNDUP(('Ammo Input'!E7 / 1000) * N7)) + IF(VLOOKUP(B7, AmmoTypeFactors, 9, FALSE) = ""Steel"", ROUNDUP(('Ammo Input'!H7 -'Ammo Input'!M7) * MAX(IF('Ammo Input'!J7 &gt; 0, 'Ammo"&amp;" Input'!J7, 1), 1) * N7 / 1000))) / 'Ingredient stats'!$C$2) * IF(ISBLANK(VLOOKUP(B7,AmmoTypeFactors,15,False)),1,VLOOKUP(B7,AmmoTypeFactors,15,False))"),10)</f>
        <v>10</v>
      </c>
      <c r="R7">
        <f>IFERROR(__xludf.DUMMYFUNCTION("ROUNDUP((IF(REGEXMATCH(B7, ""Arrow"") + (B7 = ""Javelin""), 'Ammo Input'!E7) + IF(VLOOKUP(B7, AmmoTypeFactors, 9, FALSE) = ""Wood"", 'Ammo Input'!H7) + IF(B7 = ""Stick bomb"", 'Ammo Input'!E7)) * N7 / 'Ingredient stats'!$C$12 / 1000)"),0)</f>
        <v>0</v>
      </c>
      <c r="S7">
        <v>3</v>
      </c>
      <c r="T7">
        <v>3</v>
      </c>
      <c r="U7">
        <f>IF(VLOOKUP(B7,AmmoTypeFactors,9,FALSE)="Plasteel",ROUNDUP(('Ammo Input'!H7*MAX(IF('Ammo Input'!J7&gt;0,'Ammo Input'!J7,1)*N7/1000/'Ingredient stats'!$C$4)),0),0)</f>
        <v>0</v>
      </c>
      <c r="V7">
        <f>IFERROR(__xludf.DUMMYFUNCTION("ROUNDUP(IF(ISBLANK(VLOOKUP(B7,AmmoTypeFactors,16,False)),1,VLOOKUP(B7,AmmoTypeFactors,16,False)) * (IFS(REGEXMATCH(B7, ""EMP""), 'Ammo Input'!M7 * N7 / 'Ingredient stats'!$C$5, REGEXMATCH(B7, ""Charge""), (U7^0.75), true, 0) + (IF(VLOOKUP(B7, AmmoTypeFact"&amp;"ors, 10, false), 2,0) + IF('Ammo Input'!P7, 2,0) + IF('Ammo Input'!Q7,MIN(ROUNDUP(0.2*('Ammo Input'!H7/1000)*'Ammo Input'!O7,0),20),0))))"),0)</f>
        <v>0</v>
      </c>
      <c r="W7">
        <v>0</v>
      </c>
      <c r="X7">
        <v>0</v>
      </c>
      <c r="Y7">
        <v>0</v>
      </c>
      <c r="Z7">
        <v>0</v>
      </c>
      <c r="AA7">
        <v>0</v>
      </c>
      <c r="AB7" s="30">
        <f>IF(B7="Sling Bullet (Stone)",ROUNDUP(D7*0.02*E7/'Ingredient stats'!$C$8,0),0)</f>
        <v>0</v>
      </c>
      <c r="AC7" t="str">
        <f t="shared" si="0"/>
        <v>None</v>
      </c>
      <c r="AD7" t="str">
        <f>IF(OR(B7="Buck",B7="Bird",B7="Charge (Scatter)"),'Ammo Input'!J7,"None")</f>
        <v>None</v>
      </c>
      <c r="AE7" t="str">
        <f>_xlfn.IFS(ISTEXT(Calcs!N7),Calcs!N7,Calcs!N7&lt;=40,Calcs!N7,Calcs!N7&gt;41,"40")</f>
        <v>None</v>
      </c>
      <c r="AF7" t="str">
        <f>_xlfn.IFS(ISTEXT(Calcs!O7),Calcs!O7,Calcs!O7&lt;=80,Calcs!O7,Calcs!O7&gt;=81,"80")</f>
        <v>None</v>
      </c>
      <c r="AG7" s="25">
        <f t="shared" si="1"/>
        <v>1</v>
      </c>
      <c r="AH7" s="25">
        <f t="shared" si="2"/>
        <v>2.7</v>
      </c>
      <c r="AI7" s="25">
        <f t="shared" si="3"/>
        <v>1</v>
      </c>
    </row>
    <row r="8" ht="14.4" spans="1:35">
      <c r="A8" s="24" t="str">
        <f>'Ammo Input'!A8</f>
        <v>5x50mm caseless</v>
      </c>
      <c r="B8" t="str">
        <f>'Ammo Input'!B8</f>
        <v>Sabot</v>
      </c>
      <c r="C8">
        <f>ROUNDUP(('Ammo Input'!C8*(MAX('Ammo Input'!D8,'Ammo Input'!F8)*0.5)^2*PI())*3/1000000,2)</f>
        <v>0.02</v>
      </c>
      <c r="D8">
        <f>ROUNDUP(('Ammo Input'!E8+'Ammo Input'!H8*IF('Ammo Input'!J8&lt;&gt;"",MAX('Ammo Input'!J8,1),1))/1000,3)</f>
        <v>0.015</v>
      </c>
      <c r="E8">
        <f>MIN(5000,MAX(25,CEILING(Calcs!L8,_xlfn.IFS(Calcs!L8&lt;100,25,Calcs!L8&lt;250,50,Calcs!L8&lt;1000,250,Calcs!L8&gt;=1000,1000))))</f>
        <v>5000</v>
      </c>
      <c r="F8">
        <f>ROUNDUP('Ammo Input'!G8^(3/4),0)</f>
        <v>206</v>
      </c>
      <c r="G8">
        <f>ROUND((0.5*((IF(OR(B8="HEAT",B8="HEDP"),'Ammo Input'!N8,'Ammo Input'!H8)/1000)*(IF(B8="HEAT",9000,IF(B8="HEDP",1500,'Ammo Input'!G8))^2))),0)</f>
        <v>3660</v>
      </c>
      <c r="H8" s="25" t="str">
        <f>CONCATENATE(IF((B8="Foam")+(B8="Smoke"),"-",ROUND(Calcs!D8,0))," ",VLOOKUP(B8,AmmoTypeFactors,5,FALSE))</f>
        <v>10 Bullet</v>
      </c>
      <c r="I8" s="25" t="str">
        <f>IF(Calcs!E8=0,"None",CONCATENATE(ROUND(Calcs!E8,0)," ",VLOOKUP(B8,AmmoTypeFactors,6,FALSE)))</f>
        <v>None</v>
      </c>
      <c r="J8">
        <f>MROUND(2.42*'Ammo Input'!M8^(1/3)*VLOOKUP(B8,AmmoTypeFactors,3,FALSE),0.5)</f>
        <v>0</v>
      </c>
      <c r="K8" s="25" t="str">
        <f>IF(VLOOKUP(B8,AmmoTypeFactors,12,FALSE),MROUND(J8/3,0.5),"None")</f>
        <v>None</v>
      </c>
      <c r="L8" s="25">
        <f>IF(VLOOKUP(B8,AmmoTypeFactors,8,FALSE),"None",ROUNDUP(IF(Calcs!I8&gt;0,Calcs!I8,Calcs!H8),3))</f>
        <v>73.2</v>
      </c>
      <c r="M8" s="25">
        <f>IF(VLOOKUP(B8,AmmoTypeFactors,8,FALSE),"None",'Ammo Input'!L8)</f>
        <v>21</v>
      </c>
      <c r="N8">
        <f>'Ammo Input'!O8</f>
        <v>500</v>
      </c>
      <c r="O8" t="e">
        <f>ROUND((P8*0.0036+SUMPRODUCT(Q8:AB8,VLOOKUP($Q$1:$AB$1,IngredientStats,2,FALSE)))/N8*IF('Ammo Input'!R8,0.5,1),2)</f>
        <v>#VALUE!</v>
      </c>
      <c r="P8" t="e">
        <f>(SUMPRODUCT(Q8:AB8,VLOOKUP($Q$1:$AB$1,IngredientStats,4,FALSE))*VLOOKUP(B8,AmmoTypeFactors,14,FALSE)*IF('Ammo Input'!R8,1.1,1))</f>
        <v>#VALUE!</v>
      </c>
      <c r="Q8">
        <f>IFERROR(__xludf.DUMMYFUNCTION("((IF(NOT(OR(REGEXMATCH(B8, ""Arrow""), B8 = ""Javelin"", B8 = ""Stick bomb"")), ROUNDUP(('Ammo Input'!E8 / 1000) * N8)) + IF(VLOOKUP(B8, AmmoTypeFactors, 9, FALSE) = ""Steel"", ROUNDUP(('Ammo Input'!H8 -'Ammo Input'!M8) * MAX(IF('Ammo Input'!J8 &gt; 0, 'Ammo"&amp;" Input'!J8, 1), 1) * N8 / 1000))) / 'Ingredient stats'!$C$2) * IF(ISBLANK(VLOOKUP(B8,AmmoTypeFactors,15,False)),1,VLOOKUP(B8,AmmoTypeFactors,15,False))"),10)</f>
        <v>10</v>
      </c>
      <c r="R8">
        <f>IFERROR(__xludf.DUMMYFUNCTION("ROUNDUP((IF(REGEXMATCH(B8, ""Arrow"") + (B8 = ""Javelin""), 'Ammo Input'!E8) + IF(VLOOKUP(B8, AmmoTypeFactors, 9, FALSE) = ""Wood"", 'Ammo Input'!H8) + IF(B8 = ""Stick bomb"", 'Ammo Input'!E8)) * N8 / 'Ingredient stats'!$C$12 / 1000)"),0)</f>
        <v>0</v>
      </c>
      <c r="S8">
        <v>3</v>
      </c>
      <c r="T8">
        <v>3</v>
      </c>
      <c r="U8">
        <f>IF(VLOOKUP(B8,AmmoTypeFactors,9,FALSE)="Plasteel",ROUNDUP(('Ammo Input'!H8*MAX(IF('Ammo Input'!J8&gt;0,'Ammo Input'!J8,1)*N8/1000/'Ingredient stats'!$C$4)),0),0)</f>
        <v>0</v>
      </c>
      <c r="V8">
        <f>IFERROR(__xludf.DUMMYFUNCTION("ROUNDUP(IF(ISBLANK(VLOOKUP(B8,AmmoTypeFactors,16,False)),1,VLOOKUP(B8,AmmoTypeFactors,16,False)) * (IFS(REGEXMATCH(B8, ""EMP""), 'Ammo Input'!M8 * N8 / 'Ingredient stats'!$C$5, REGEXMATCH(B8, ""Charge""), (U8^0.75), true, 0) + (IF(VLOOKUP(B8, AmmoTypeFact"&amp;"ors, 10, false), 2,0) + IF('Ammo Input'!P8, 2,0) + IF('Ammo Input'!Q8,MIN(ROUNDUP(0.2*('Ammo Input'!H8/1000)*'Ammo Input'!O8,0),20),0))))"),0)</f>
        <v>0</v>
      </c>
      <c r="W8">
        <v>0</v>
      </c>
      <c r="X8">
        <v>0</v>
      </c>
      <c r="Y8">
        <v>0</v>
      </c>
      <c r="Z8">
        <v>0</v>
      </c>
      <c r="AA8">
        <v>0</v>
      </c>
      <c r="AB8" s="30">
        <f>IF(B8="Sling Bullet (Stone)",ROUNDUP(D8*0.02*E8/'Ingredient stats'!$C$8,0),0)</f>
        <v>0</v>
      </c>
      <c r="AC8" t="str">
        <f t="shared" si="0"/>
        <v>None</v>
      </c>
      <c r="AD8" t="str">
        <f>IF(OR(B8="Buck",B8="Bird",B8="Charge (Scatter)"),'Ammo Input'!J8,"None")</f>
        <v>None</v>
      </c>
      <c r="AE8" t="str">
        <f>_xlfn.IFS(ISTEXT(Calcs!N8),Calcs!N8,Calcs!N8&lt;=40,Calcs!N8,Calcs!N8&gt;41,"40")</f>
        <v>None</v>
      </c>
      <c r="AF8" t="str">
        <f>_xlfn.IFS(ISTEXT(Calcs!O8),Calcs!O8,Calcs!O8&lt;=80,Calcs!O8,Calcs!O8&gt;=81,"80")</f>
        <v>None</v>
      </c>
      <c r="AG8" s="25">
        <f t="shared" si="1"/>
        <v>1</v>
      </c>
      <c r="AH8" s="25">
        <f t="shared" si="2"/>
        <v>3.33</v>
      </c>
      <c r="AI8" s="25">
        <f t="shared" si="3"/>
        <v>1</v>
      </c>
    </row>
    <row r="9" ht="14.4" spans="1:35">
      <c r="A9" s="24" t="str">
        <f>'Ammo Input'!A9</f>
        <v>5x50mm caseless (HV/Toxic)</v>
      </c>
      <c r="B9" t="str">
        <f>'Ammo Input'!B9</f>
        <v>Sabot</v>
      </c>
      <c r="C9">
        <f>ROUNDUP(('Ammo Input'!C9*(MAX('Ammo Input'!D9,'Ammo Input'!F9)*0.5)^2*PI())*3/1000000,2)</f>
        <v>0.02</v>
      </c>
      <c r="D9">
        <f>ROUNDUP(('Ammo Input'!E9+'Ammo Input'!H9*IF('Ammo Input'!J9&lt;&gt;"",MAX('Ammo Input'!J9,1),1))/1000,3)</f>
        <v>0.015</v>
      </c>
      <c r="E9">
        <f>MIN(5000,MAX(25,CEILING(Calcs!L9,_xlfn.IFS(Calcs!L9&lt;100,25,Calcs!L9&lt;250,50,Calcs!L9&lt;1000,250,Calcs!L9&gt;=1000,1000))))</f>
        <v>5000</v>
      </c>
      <c r="F9">
        <f>ROUNDUP('Ammo Input'!G9^(3/4),0)</f>
        <v>242</v>
      </c>
      <c r="G9">
        <f>ROUND((0.5*((IF(OR(B9="HEAT",B9="HEDP"),'Ammo Input'!N9,'Ammo Input'!H9)/1000)*(IF(B9="HEAT",9000,IF(B9="HEDP",1500,'Ammo Input'!G9))^2))),0)</f>
        <v>5625</v>
      </c>
      <c r="H9" s="25" t="str">
        <f>CONCATENATE(IF((B9="Foam")+(B9="Smoke"),"-",ROUND(Calcs!D9,0))," ",VLOOKUP(B9,AmmoTypeFactors,5,FALSE))</f>
        <v>11 Bullet</v>
      </c>
      <c r="I9" s="25" t="str">
        <f>IF(Calcs!E9=0,"None",CONCATENATE(ROUND(Calcs!E9,0)," ",VLOOKUP(B9,AmmoTypeFactors,6,FALSE)))</f>
        <v>None</v>
      </c>
      <c r="J9">
        <f>MROUND(2.42*'Ammo Input'!M9^(1/3)*VLOOKUP(B9,AmmoTypeFactors,3,FALSE),0.5)</f>
        <v>0</v>
      </c>
      <c r="K9" s="25" t="str">
        <f>IF(VLOOKUP(B9,AmmoTypeFactors,12,FALSE),MROUND(J9/3,0.5),"None")</f>
        <v>None</v>
      </c>
      <c r="L9" s="25">
        <f>IF(VLOOKUP(B9,AmmoTypeFactors,8,FALSE),"None",ROUNDUP(IF(Calcs!I9&gt;0,Calcs!I9,Calcs!H9),3))</f>
        <v>112.5</v>
      </c>
      <c r="M9" s="25">
        <f>IF(VLOOKUP(B9,AmmoTypeFactors,8,FALSE),"None",'Ammo Input'!L9)</f>
        <v>26</v>
      </c>
      <c r="N9">
        <f>'Ammo Input'!O9</f>
        <v>500</v>
      </c>
      <c r="O9" t="e">
        <f>ROUND((P9*0.0036+SUMPRODUCT(Q9:AB9,VLOOKUP($Q$1:$AB$1,IngredientStats,2,FALSE)))/N9*IF('Ammo Input'!R9,0.5,1),2)</f>
        <v>#VALUE!</v>
      </c>
      <c r="P9" t="e">
        <f>(SUMPRODUCT(Q9:AB9,VLOOKUP($Q$1:$AB$1,IngredientStats,4,FALSE))*VLOOKUP(B9,AmmoTypeFactors,14,FALSE)*IF('Ammo Input'!R9,1.1,1))</f>
        <v>#VALUE!</v>
      </c>
      <c r="Q9">
        <f>IFERROR(__xludf.DUMMYFUNCTION("((IF(NOT(OR(REGEXMATCH(B9, ""Arrow""), B9 = ""Javelin"", B9 = ""Stick bomb"")), ROUNDUP(('Ammo Input'!E9 / 1000) * N9)) + IF(VLOOKUP(B9, AmmoTypeFactors, 9, FALSE) = ""Steel"", ROUNDUP(('Ammo Input'!H9 -'Ammo Input'!M9) * MAX(IF('Ammo Input'!J9 &gt; 0, 'Ammo"&amp;" Input'!J9, 1), 1) * N9 / 1000))) / 'Ingredient stats'!$C$2) * IF(ISBLANK(VLOOKUP(B9,AmmoTypeFactors,15,False)),1,VLOOKUP(B9,AmmoTypeFactors,15,False))"),10)</f>
        <v>10</v>
      </c>
      <c r="R9">
        <f>IFERROR(__xludf.DUMMYFUNCTION("ROUNDUP((IF(REGEXMATCH(B9, ""Arrow"") + (B9 = ""Javelin""), 'Ammo Input'!E9) + IF(VLOOKUP(B9, AmmoTypeFactors, 9, FALSE) = ""Wood"", 'Ammo Input'!H9) + IF(B9 = ""Stick bomb"", 'Ammo Input'!E9)) * N9 / 'Ingredient stats'!$C$12 / 1000)"),0)</f>
        <v>0</v>
      </c>
      <c r="S9">
        <v>3</v>
      </c>
      <c r="T9">
        <v>3</v>
      </c>
      <c r="U9">
        <f>IF(VLOOKUP(B9,AmmoTypeFactors,9,FALSE)="Plasteel",ROUNDUP(('Ammo Input'!H9*MAX(IF('Ammo Input'!J9&gt;0,'Ammo Input'!J9,1)*N9/1000/'Ingredient stats'!$C$4)),0),0)</f>
        <v>0</v>
      </c>
      <c r="V9">
        <f>IFERROR(__xludf.DUMMYFUNCTION("ROUNDUP(IF(ISBLANK(VLOOKUP(B9,AmmoTypeFactors,16,False)),1,VLOOKUP(B9,AmmoTypeFactors,16,False)) * (IFS(REGEXMATCH(B9, ""EMP""), 'Ammo Input'!M9 * N9 / 'Ingredient stats'!$C$5, REGEXMATCH(B9, ""Charge""), (U9^0.75), true, 0) + (IF(VLOOKUP(B9, AmmoTypeFact"&amp;"ors, 10, false), 2,0) + IF('Ammo Input'!P9, 2,0) + IF('Ammo Input'!Q9,MIN(ROUNDUP(0.2*('Ammo Input'!H9/1000)*'Ammo Input'!O9,0),20),0))))"),0)</f>
        <v>0</v>
      </c>
      <c r="W9">
        <v>0</v>
      </c>
      <c r="X9">
        <v>0</v>
      </c>
      <c r="Y9">
        <v>0</v>
      </c>
      <c r="Z9">
        <v>0</v>
      </c>
      <c r="AA9">
        <v>0</v>
      </c>
      <c r="AB9" s="30">
        <f>IF(B9="Sling Bullet (Stone)",ROUNDUP(D9*0.02*E9/'Ingredient stats'!$C$8,0),0)</f>
        <v>0</v>
      </c>
      <c r="AC9" t="str">
        <f t="shared" si="0"/>
        <v>None</v>
      </c>
      <c r="AD9" t="str">
        <f>IF(OR(B9="Buck",B9="Bird",B9="Charge (Scatter)"),'Ammo Input'!J9,"None")</f>
        <v>None</v>
      </c>
      <c r="AE9" t="str">
        <f>_xlfn.IFS(ISTEXT(Calcs!N9),Calcs!N9,Calcs!N9&lt;=40,Calcs!N9,Calcs!N9&gt;41,"40")</f>
        <v>None</v>
      </c>
      <c r="AF9" t="str">
        <f>_xlfn.IFS(ISTEXT(Calcs!O9),Calcs!O9,Calcs!O9&lt;=80,Calcs!O9,Calcs!O9&gt;=81,"80")</f>
        <v>None</v>
      </c>
      <c r="AG9" s="25">
        <f t="shared" si="1"/>
        <v>1</v>
      </c>
      <c r="AH9" s="25">
        <f t="shared" si="2"/>
        <v>3.92</v>
      </c>
      <c r="AI9" s="25">
        <f t="shared" si="3"/>
        <v>1</v>
      </c>
    </row>
    <row r="10" ht="14.4" spans="1:35">
      <c r="A10" s="24" t="str">
        <f>'Ammo Input'!A10</f>
        <v>5x16mm Charged</v>
      </c>
      <c r="B10" t="str">
        <f>'Ammo Input'!B10</f>
        <v>Charge</v>
      </c>
      <c r="C10">
        <f>ROUNDUP(('Ammo Input'!C10*(MAX('Ammo Input'!D10,'Ammo Input'!F10)*0.5)^2*PI())*3/1000000,2)</f>
        <v>0.01</v>
      </c>
      <c r="D10">
        <f>ROUNDUP(('Ammo Input'!E10+'Ammo Input'!H10*IF('Ammo Input'!J10&lt;&gt;"",MAX('Ammo Input'!J10,1),1))/1000,3)</f>
        <v>0.006</v>
      </c>
      <c r="E10">
        <f>MIN(5000,MAX(25,CEILING(Calcs!L10,_xlfn.IFS(Calcs!L10&lt;100,25,Calcs!L10&lt;250,50,Calcs!L10&lt;1000,250,Calcs!L10&gt;=1000,1000))))</f>
        <v>5000</v>
      </c>
      <c r="F10">
        <f>ROUNDUP('Ammo Input'!G10^(3/4),0)</f>
        <v>122</v>
      </c>
      <c r="G10">
        <f>ROUND((0.5*((IF(OR(B10="HEAT",B10="HEDP"),'Ammo Input'!N10,'Ammo Input'!H10)/1000)*(IF(B10="HEAT",9000,IF(B10="HEDP",1500,'Ammo Input'!G10))^2))),0)</f>
        <v>540</v>
      </c>
      <c r="H10" s="25" t="str">
        <f>CONCATENATE(IF((B10="Foam")+(B10="Smoke"),"-",ROUND(Calcs!D10,0))," ",VLOOKUP(B10,AmmoTypeFactors,5,FALSE))</f>
        <v>9 Bullet</v>
      </c>
      <c r="I10" s="25" t="str">
        <f>IF(Calcs!E10=0,"None",CONCATENATE(ROUND(Calcs!E10,0)," ",VLOOKUP(B10,AmmoTypeFactors,6,FALSE)))</f>
        <v>3 Bomb_Secondary</v>
      </c>
      <c r="J10">
        <f>MROUND(2.42*'Ammo Input'!M10^(1/3)*VLOOKUP(B10,AmmoTypeFactors,3,FALSE),0.5)</f>
        <v>0</v>
      </c>
      <c r="K10" s="25" t="str">
        <f>IF(VLOOKUP(B10,AmmoTypeFactors,12,FALSE),MROUND(J10/3,0.5),"None")</f>
        <v>None</v>
      </c>
      <c r="L10" s="25">
        <f>IF(VLOOKUP(B10,AmmoTypeFactors,8,FALSE),"None",ROUNDUP(IF(Calcs!I10&gt;0,Calcs!I10,Calcs!H10),3))</f>
        <v>10.8</v>
      </c>
      <c r="M10" s="25">
        <f>IF(VLOOKUP(B10,AmmoTypeFactors,8,FALSE),"None",'Ammo Input'!L10)</f>
        <v>8</v>
      </c>
      <c r="N10">
        <f>'Ammo Input'!O10</f>
        <v>500</v>
      </c>
      <c r="O10" t="e">
        <f>ROUND((P10*0.0036+SUMPRODUCT(Q10:AB10,VLOOKUP($Q$1:$AB$1,IngredientStats,2,FALSE)))/N10*IF('Ammo Input'!R10,0.5,1),2)</f>
        <v>#VALUE!</v>
      </c>
      <c r="P10" t="e">
        <f>(SUMPRODUCT(Q10:AB10,VLOOKUP($Q$1:$AB$1,IngredientStats,4,FALSE))*VLOOKUP(B10,AmmoTypeFactors,14,FALSE)*IF('Ammo Input'!R10,1.1,1))</f>
        <v>#VALUE!</v>
      </c>
      <c r="Q10">
        <f>IFERROR(__xludf.DUMMYFUNCTION("((IF(NOT(OR(REGEXMATCH(B10, ""Arrow""), B10 = ""Javelin"", B10 = ""Stick bomb"")), ROUNDUP(('Ammo Input'!E10 / 1000) * N10)) + IF(VLOOKUP(B10, AmmoTypeFactors, 9, FALSE) = ""Steel"", ROUNDUP(('Ammo Input'!H10 -'Ammo Input'!M10) * MAX(IF('Ammo Input'!J10 &gt;"&amp;" 0, 'Ammo Input'!J10, 1), 1) * N10 / 1000))) / 'Ingredient stats'!$C$2) * IF(ISBLANK(VLOOKUP(B10,AmmoTypeFactors,15,False)),1,VLOOKUP(B10,AmmoTypeFactors,15,False))"),4)</f>
        <v>4</v>
      </c>
      <c r="R10">
        <f>IFERROR(__xludf.DUMMYFUNCTION("ROUNDUP((IF(REGEXMATCH(B10, ""Arrow"") + (B10 = ""Javelin""), 'Ammo Input'!E10) + IF(VLOOKUP(B10, AmmoTypeFactors, 9, FALSE) = ""Wood"", 'Ammo Input'!H10) + IF(B10 = ""Stick bomb"", 'Ammo Input'!E10)) * N10 / 'Ingredient stats'!$C$12 / 1000)"),0)</f>
        <v>0</v>
      </c>
      <c r="S10">
        <v>0</v>
      </c>
      <c r="T10">
        <v>0</v>
      </c>
      <c r="U10">
        <f>IF(VLOOKUP(B10,AmmoTypeFactors,9,FALSE)="Plasteel",ROUNDUP(('Ammo Input'!H10*MAX(IF('Ammo Input'!J10&gt;0,'Ammo Input'!J10,1)*N10/1000/'Ingredient stats'!$C$4)),0),0)</f>
        <v>6</v>
      </c>
      <c r="V10">
        <f>IFERROR(__xludf.DUMMYFUNCTION("ROUNDUP(IF(ISBLANK(VLOOKUP(B10,AmmoTypeFactors,16,False)),1,VLOOKUP(B10,AmmoTypeFactors,16,False)) * (IFS(REGEXMATCH(B10, ""EMP""), 'Ammo Input'!M10 * N10 / 'Ingredient stats'!$C$5, REGEXMATCH(B10, ""Charge""), (U10^0.75), true, 0) + (IF(VLOOKUP(B10, Ammo"&amp;"TypeFactors, 10, false), 2,0) + IF('Ammo Input'!P10, 2,0) + IF('Ammo Input'!Q10,MIN(ROUNDUP(0.2*('Ammo Input'!H10/1000)*'Ammo Input'!O10,0),20),0))))"),4)</f>
        <v>4</v>
      </c>
      <c r="W10">
        <v>0</v>
      </c>
      <c r="X10">
        <v>0</v>
      </c>
      <c r="Y10">
        <v>0</v>
      </c>
      <c r="Z10">
        <v>0</v>
      </c>
      <c r="AA10">
        <v>0</v>
      </c>
      <c r="AB10" s="30">
        <f>IF(B10="Sling Bullet (Stone)",ROUNDUP(D10*0.02*E10/'Ingredient stats'!$C$8,0),0)</f>
        <v>0</v>
      </c>
      <c r="AC10" t="str">
        <f t="shared" si="0"/>
        <v>None</v>
      </c>
      <c r="AD10" t="str">
        <f>IF(OR(B10="Buck",B10="Bird",B10="Charge (Scatter)"),'Ammo Input'!J10,"None")</f>
        <v>None</v>
      </c>
      <c r="AE10" t="str">
        <f>_xlfn.IFS(ISTEXT(Calcs!N10),Calcs!N10,Calcs!N10&lt;=40,Calcs!N10,Calcs!N10&gt;41,"40")</f>
        <v>None</v>
      </c>
      <c r="AF10" t="str">
        <f>_xlfn.IFS(ISTEXT(Calcs!O10),Calcs!O10,Calcs!O10&lt;=80,Calcs!O10,Calcs!O10&gt;=81,"80")</f>
        <v>None</v>
      </c>
      <c r="AG10" s="25">
        <f t="shared" si="1"/>
        <v>1</v>
      </c>
      <c r="AH10" s="25">
        <f t="shared" si="2"/>
        <v>2</v>
      </c>
      <c r="AI10" s="25">
        <f t="shared" si="3"/>
        <v>1</v>
      </c>
    </row>
    <row r="11" ht="14.4" spans="1:35">
      <c r="A11" s="24" t="str">
        <f>'Ammo Input'!A11</f>
        <v>6mm Railgun</v>
      </c>
      <c r="B11" t="str">
        <f>'Ammo Input'!B11</f>
        <v>Railgun (Sabot)</v>
      </c>
      <c r="C11">
        <f>ROUNDUP(('Ammo Input'!C11*(MAX('Ammo Input'!D11,'Ammo Input'!F11)*0.5)^2*PI())*3/1000000,2)</f>
        <v>0.01</v>
      </c>
      <c r="D11">
        <f>ROUNDUP(('Ammo Input'!E11+'Ammo Input'!H11*IF('Ammo Input'!J11&lt;&gt;"",MAX('Ammo Input'!J11,1),1))/1000,3)</f>
        <v>0.008</v>
      </c>
      <c r="E11">
        <f>MIN(5000,MAX(25,CEILING(Calcs!L11,_xlfn.IFS(Calcs!L11&lt;100,25,Calcs!L11&lt;250,50,Calcs!L11&lt;1000,250,Calcs!L11&gt;=1000,1000))))</f>
        <v>5000</v>
      </c>
      <c r="F11">
        <f>ROUNDUP('Ammo Input'!G11^(3/4),0)</f>
        <v>300</v>
      </c>
      <c r="G11">
        <f>ROUND((0.5*((IF(OR(B11="HEAT",B11="HEDP"),'Ammo Input'!N11,'Ammo Input'!H11)/1000)*(IF(B11="HEAT",9000,IF(B11="HEDP",1500,'Ammo Input'!G11))^2))),0)</f>
        <v>14540</v>
      </c>
      <c r="H11" s="25" t="str">
        <f>CONCATENATE(IF((B11="Foam")+(B11="Smoke"),"-",ROUND(Calcs!D11,0))," ",VLOOKUP(B11,AmmoTypeFactors,5,FALSE))</f>
        <v>19 Bullet</v>
      </c>
      <c r="I11" s="25" t="str">
        <f>IF(Calcs!E11=0,"None",CONCATENATE(ROUND(Calcs!E11,0)," ",VLOOKUP(B11,AmmoTypeFactors,6,FALSE)))</f>
        <v>None</v>
      </c>
      <c r="J11">
        <f>MROUND(2.42*'Ammo Input'!M11^(1/3)*VLOOKUP(B11,AmmoTypeFactors,3,FALSE),0.5)</f>
        <v>0</v>
      </c>
      <c r="K11" s="25" t="str">
        <f>IF(VLOOKUP(B11,AmmoTypeFactors,12,FALSE),MROUND(J11/3,0.5),"None")</f>
        <v>None</v>
      </c>
      <c r="L11" s="25">
        <f>IF(VLOOKUP(B11,AmmoTypeFactors,8,FALSE),"None",ROUNDUP(IF(Calcs!I11&gt;0,Calcs!I11,Calcs!H11),3))</f>
        <v>290.8</v>
      </c>
      <c r="M11" s="25">
        <f>IF(VLOOKUP(B11,AmmoTypeFactors,8,FALSE),"None",'Ammo Input'!L11)</f>
        <v>59</v>
      </c>
      <c r="N11">
        <f>'Ammo Input'!O11</f>
        <v>500</v>
      </c>
      <c r="O11" t="e">
        <f>ROUND((P11*0.0036+SUMPRODUCT(Q11:AB11,VLOOKUP($Q$1:$AB$1,IngredientStats,2,FALSE)))/N11*IF('Ammo Input'!R11,0.5,1),2)</f>
        <v>#VALUE!</v>
      </c>
      <c r="P11" t="e">
        <f>(SUMPRODUCT(Q11:AB11,VLOOKUP($Q$1:$AB$1,IngredientStats,4,FALSE))*VLOOKUP(B11,AmmoTypeFactors,14,FALSE)*IF('Ammo Input'!R11,1.1,1))</f>
        <v>#VALUE!</v>
      </c>
      <c r="Q11">
        <f>IFERROR(__xludf.DUMMYFUNCTION("((IF(NOT(OR(REGEXMATCH(B11, ""Arrow""), B11 = ""Javelin"", B11 = ""Stick bomb"")), ROUNDUP(('Ammo Input'!E11 / 1000) * N11)) + IF(VLOOKUP(B11, AmmoTypeFactors, 9, FALSE) = ""Steel"", ROUNDUP(('Ammo Input'!H11 -'Ammo Input'!M11) * MAX(IF('Ammo Input'!J11 &gt;"&amp;" 0, 'Ammo Input'!J11, 1), 1) * N11 / 1000))) / 'Ingredient stats'!$C$2) * IF(ISBLANK(VLOOKUP(B11,AmmoTypeFactors,15,False)),1,VLOOKUP(B11,AmmoTypeFactors,15,False))"),2)</f>
        <v>2</v>
      </c>
      <c r="R11">
        <f>IFERROR(__xludf.DUMMYFUNCTION("ROUNDUP((IF(REGEXMATCH(B11, ""Arrow"") + (B11 = ""Javelin""), 'Ammo Input'!E11) + IF(VLOOKUP(B11, AmmoTypeFactors, 9, FALSE) = ""Wood"", 'Ammo Input'!H11) + IF(B11 = ""Stick bomb"", 'Ammo Input'!E11)) * N11 / 'Ingredient stats'!$C$12 / 1000)"),0)</f>
        <v>0</v>
      </c>
      <c r="S11">
        <v>4</v>
      </c>
      <c r="T11">
        <v>2</v>
      </c>
      <c r="U11">
        <f>IF(VLOOKUP(B11,AmmoTypeFactors,9,FALSE)="Plasteel",ROUNDUP(('Ammo Input'!H11*MAX(IF('Ammo Input'!J11&gt;0,'Ammo Input'!J11,1)*N11/1000/'Ingredient stats'!$C$4)),0),0)</f>
        <v>0</v>
      </c>
      <c r="V11">
        <f>IFERROR(__xludf.DUMMYFUNCTION("ROUNDUP(IF(ISBLANK(VLOOKUP(B11,AmmoTypeFactors,16,False)),1,VLOOKUP(B11,AmmoTypeFactors,16,False)) * (IFS(REGEXMATCH(B11, ""EMP""), 'Ammo Input'!M11 * N11 / 'Ingredient stats'!$C$5, REGEXMATCH(B11, ""Charge""), (U11^0.75), true, 0) + (IF(VLOOKUP(B11, Ammo"&amp;"TypeFactors, 10, false), 2,0) + IF('Ammo Input'!P11, 2,0) + IF('Ammo Input'!Q11,MIN(ROUNDUP(0.2*('Ammo Input'!H11/1000)*'Ammo Input'!O11,0),20),0))))"),0)</f>
        <v>0</v>
      </c>
      <c r="W11">
        <v>0</v>
      </c>
      <c r="X11">
        <v>0</v>
      </c>
      <c r="Y11">
        <v>0</v>
      </c>
      <c r="Z11">
        <v>0</v>
      </c>
      <c r="AA11">
        <v>0</v>
      </c>
      <c r="AB11" s="30">
        <f>IF(B11="Sling Bullet (Stone)",ROUNDUP(D11*0.02*E11/'Ingredient stats'!$C$8,0),0)</f>
        <v>0</v>
      </c>
      <c r="AC11" t="str">
        <f t="shared" si="0"/>
        <v>None</v>
      </c>
      <c r="AD11" t="str">
        <f>IF(OR(B11="Buck",B11="Bird",B11="Charge (Scatter)"),'Ammo Input'!J11,"None")</f>
        <v>None</v>
      </c>
      <c r="AE11" t="str">
        <f>_xlfn.IFS(ISTEXT(Calcs!N11),Calcs!N11,Calcs!N11&lt;=40,Calcs!N11,Calcs!N11&gt;41,"40")</f>
        <v>None</v>
      </c>
      <c r="AF11" t="str">
        <f>_xlfn.IFS(ISTEXT(Calcs!O11),Calcs!O11,Calcs!O11&lt;=80,Calcs!O11,Calcs!O11&gt;=81,"80")</f>
        <v>None</v>
      </c>
      <c r="AG11" s="25">
        <f t="shared" si="1"/>
        <v>1</v>
      </c>
      <c r="AH11" s="25">
        <f t="shared" si="2"/>
        <v>4.88</v>
      </c>
      <c r="AI11" s="25">
        <f t="shared" si="3"/>
        <v>1</v>
      </c>
    </row>
    <row r="12" ht="14.4" spans="1:35">
      <c r="A12" s="24" t="str">
        <f>'Ammo Input'!A12</f>
        <v>6x18mm Charged</v>
      </c>
      <c r="B12" t="str">
        <f>'Ammo Input'!B12</f>
        <v>Charge</v>
      </c>
      <c r="C12">
        <f>ROUNDUP(('Ammo Input'!C12*(MAX('Ammo Input'!D12,'Ammo Input'!F12)*0.5)^2*PI())*3/1000000,2)</f>
        <v>0.01</v>
      </c>
      <c r="D12">
        <f>ROUNDUP(('Ammo Input'!E12+'Ammo Input'!H12*IF('Ammo Input'!J12&lt;&gt;"",MAX('Ammo Input'!J12,1),1))/1000,3)</f>
        <v>0.008</v>
      </c>
      <c r="E12">
        <f>MIN(5000,MAX(25,CEILING(Calcs!L12,_xlfn.IFS(Calcs!L12&lt;100,25,Calcs!L12&lt;250,50,Calcs!L12&lt;1000,250,Calcs!L12&gt;=1000,1000))))</f>
        <v>5000</v>
      </c>
      <c r="F12">
        <f>ROUNDUP('Ammo Input'!G12^(3/4),0)</f>
        <v>122</v>
      </c>
      <c r="G12">
        <f>ROUND((0.5*((IF(OR(B12="HEAT",B12="HEDP"),'Ammo Input'!N12,'Ammo Input'!H12)/1000)*(IF(B12="HEAT",9000,IF(B12="HEDP",1500,'Ammo Input'!G12))^2))),0)</f>
        <v>720</v>
      </c>
      <c r="H12" s="25" t="str">
        <f>CONCATENATE(IF((B12="Foam")+(B12="Smoke"),"-",ROUND(Calcs!D12,0))," ",VLOOKUP(B12,AmmoTypeFactors,5,FALSE))</f>
        <v>10 Bullet</v>
      </c>
      <c r="I12" s="25" t="str">
        <f>IF(Calcs!E12=0,"None",CONCATENATE(ROUND(Calcs!E12,0)," ",VLOOKUP(B12,AmmoTypeFactors,6,FALSE)))</f>
        <v>3 Bomb_Secondary</v>
      </c>
      <c r="J12">
        <f>MROUND(2.42*'Ammo Input'!M12^(1/3)*VLOOKUP(B12,AmmoTypeFactors,3,FALSE),0.5)</f>
        <v>0</v>
      </c>
      <c r="K12" s="25" t="str">
        <f>IF(VLOOKUP(B12,AmmoTypeFactors,12,FALSE),MROUND(J12/3,0.5),"None")</f>
        <v>None</v>
      </c>
      <c r="L12" s="25">
        <f>IF(VLOOKUP(B12,AmmoTypeFactors,8,FALSE),"None",ROUNDUP(IF(Calcs!I12&gt;0,Calcs!I12,Calcs!H12),3))</f>
        <v>14.4</v>
      </c>
      <c r="M12" s="25">
        <f>IF(VLOOKUP(B12,AmmoTypeFactors,8,FALSE),"None",'Ammo Input'!L12)</f>
        <v>12</v>
      </c>
      <c r="N12">
        <f>'Ammo Input'!O12</f>
        <v>500</v>
      </c>
      <c r="O12" t="e">
        <f>ROUND((P12*0.0036+SUMPRODUCT(Q12:AB12,VLOOKUP($Q$1:$AB$1,IngredientStats,2,FALSE)))/N12*IF('Ammo Input'!R12,0.5,1),2)</f>
        <v>#VALUE!</v>
      </c>
      <c r="P12" t="e">
        <f>(SUMPRODUCT(Q12:AB12,VLOOKUP($Q$1:$AB$1,IngredientStats,4,FALSE))*VLOOKUP(B12,AmmoTypeFactors,14,FALSE)*IF('Ammo Input'!R12,1.1,1))</f>
        <v>#VALUE!</v>
      </c>
      <c r="Q12">
        <f>IFERROR(__xludf.DUMMYFUNCTION("((IF(NOT(OR(REGEXMATCH(B12, ""Arrow""), B12 = ""Javelin"", B12 = ""Stick bomb"")), ROUNDUP(('Ammo Input'!E12 / 1000) * N12)) + IF(VLOOKUP(B12, AmmoTypeFactors, 9, FALSE) = ""Steel"", ROUNDUP(('Ammo Input'!H12 -'Ammo Input'!M12) * MAX(IF('Ammo Input'!J12 &gt;"&amp;" 0, 'Ammo Input'!J12, 1), 1) * N12 / 1000))) / 'Ingredient stats'!$C$2) * IF(ISBLANK(VLOOKUP(B12,AmmoTypeFactors,15,False)),1,VLOOKUP(B12,AmmoTypeFactors,15,False))"),4)</f>
        <v>4</v>
      </c>
      <c r="R12">
        <f>IFERROR(__xludf.DUMMYFUNCTION("ROUNDUP((IF(REGEXMATCH(B12, ""Arrow"") + (B12 = ""Javelin""), 'Ammo Input'!E12) + IF(VLOOKUP(B12, AmmoTypeFactors, 9, FALSE) = ""Wood"", 'Ammo Input'!H12) + IF(B12 = ""Stick bomb"", 'Ammo Input'!E12)) * N12 / 'Ingredient stats'!$C$12 / 1000)"),0)</f>
        <v>0</v>
      </c>
      <c r="S12">
        <v>0</v>
      </c>
      <c r="T12">
        <v>0</v>
      </c>
      <c r="U12">
        <f>IF(VLOOKUP(B12,AmmoTypeFactors,9,FALSE)="Plasteel",ROUNDUP(('Ammo Input'!H12*MAX(IF('Ammo Input'!J12&gt;0,'Ammo Input'!J12,1)*N12/1000/'Ingredient stats'!$C$4)),0),0)</f>
        <v>8</v>
      </c>
      <c r="V12">
        <f>IFERROR(__xludf.DUMMYFUNCTION("ROUNDUP(IF(ISBLANK(VLOOKUP(B12,AmmoTypeFactors,16,False)),1,VLOOKUP(B12,AmmoTypeFactors,16,False)) * (IFS(REGEXMATCH(B12, ""EMP""), 'Ammo Input'!M12 * N12 / 'Ingredient stats'!$C$5, REGEXMATCH(B12, ""Charge""), (U12^0.75), true, 0) + (IF(VLOOKUP(B12, Ammo"&amp;"TypeFactors, 10, false), 2,0) + IF('Ammo Input'!P12, 2,0) + IF('Ammo Input'!Q12,MIN(ROUNDUP(0.2*('Ammo Input'!H12/1000)*'Ammo Input'!O12,0),20),0))))"),5)</f>
        <v>5</v>
      </c>
      <c r="W12">
        <v>0</v>
      </c>
      <c r="X12">
        <v>0</v>
      </c>
      <c r="Y12">
        <v>0</v>
      </c>
      <c r="Z12">
        <v>0</v>
      </c>
      <c r="AA12">
        <v>0</v>
      </c>
      <c r="AB12" s="30">
        <f>IF(B12="Sling Bullet (Stone)",ROUNDUP(D12*0.02*E12/'Ingredient stats'!$C$8,0),0)</f>
        <v>0</v>
      </c>
      <c r="AC12" t="str">
        <f t="shared" si="0"/>
        <v>None</v>
      </c>
      <c r="AD12" t="str">
        <f>IF(OR(B12="Buck",B12="Bird",B12="Charge (Scatter)"),'Ammo Input'!J12,"None")</f>
        <v>None</v>
      </c>
      <c r="AE12" t="str">
        <f>_xlfn.IFS(ISTEXT(Calcs!N12),Calcs!N12,Calcs!N12&lt;=40,Calcs!N12,Calcs!N12&gt;41,"40")</f>
        <v>None</v>
      </c>
      <c r="AF12" t="str">
        <f>_xlfn.IFS(ISTEXT(Calcs!O12),Calcs!O12,Calcs!O12&lt;=80,Calcs!O12,Calcs!O12&gt;=81,"80")</f>
        <v>None</v>
      </c>
      <c r="AG12" s="25">
        <f t="shared" si="1"/>
        <v>1</v>
      </c>
      <c r="AH12" s="25">
        <f t="shared" si="2"/>
        <v>2</v>
      </c>
      <c r="AI12" s="25">
        <f t="shared" si="3"/>
        <v>1</v>
      </c>
    </row>
    <row r="13" ht="14.4" spans="1:35">
      <c r="A13" s="24" t="str">
        <f>'Ammo Input'!A13</f>
        <v>6x18mm Charged</v>
      </c>
      <c r="B13" t="str">
        <f>'Ammo Input'!B13</f>
        <v>Charge (Concentrated)</v>
      </c>
      <c r="C13">
        <f>ROUNDUP(('Ammo Input'!C13*(MAX('Ammo Input'!D13,'Ammo Input'!F13)*0.5)^2*PI())*3/1000000,2)</f>
        <v>0.01</v>
      </c>
      <c r="D13">
        <f>ROUNDUP(('Ammo Input'!E13+'Ammo Input'!H13*IF('Ammo Input'!J13&lt;&gt;"",MAX('Ammo Input'!J13,1),1))/1000,3)</f>
        <v>0.008</v>
      </c>
      <c r="E13">
        <f>MIN(5000,MAX(25,CEILING(Calcs!L13,_xlfn.IFS(Calcs!L13&lt;100,25,Calcs!L13&lt;250,50,Calcs!L13&lt;1000,250,Calcs!L13&gt;=1000,1000))))</f>
        <v>5000</v>
      </c>
      <c r="F13">
        <f>ROUNDUP('Ammo Input'!G13^(3/4),0)</f>
        <v>122</v>
      </c>
      <c r="G13">
        <f>ROUND((0.5*((IF(OR(B13="HEAT",B13="HEDP"),'Ammo Input'!N13,'Ammo Input'!H13)/1000)*(IF(B13="HEAT",9000,IF(B13="HEDP",1500,'Ammo Input'!G13))^2))),0)</f>
        <v>720</v>
      </c>
      <c r="H13" s="25" t="str">
        <f>CONCATENATE(IF((B13="Foam")+(B13="Smoke"),"-",ROUND(Calcs!D13,0))," ",VLOOKUP(B13,AmmoTypeFactors,5,FALSE))</f>
        <v>8 Bullet</v>
      </c>
      <c r="I13" s="25" t="str">
        <f>IF(Calcs!E13=0,"None",CONCATENATE(ROUND(Calcs!E13,0)," ",VLOOKUP(B13,AmmoTypeFactors,6,FALSE)))</f>
        <v>1 Bomb_Secondary</v>
      </c>
      <c r="J13">
        <f>MROUND(2.42*'Ammo Input'!M13^(1/3)*VLOOKUP(B13,AmmoTypeFactors,3,FALSE),0.5)</f>
        <v>0</v>
      </c>
      <c r="K13" s="25" t="str">
        <f>IF(VLOOKUP(B13,AmmoTypeFactors,12,FALSE),MROUND(J13/3,0.5),"None")</f>
        <v>None</v>
      </c>
      <c r="L13" s="25">
        <f>IF(VLOOKUP(B13,AmmoTypeFactors,8,FALSE),"None",ROUNDUP(IF(Calcs!I13&gt;0,Calcs!I13,Calcs!H13),3))</f>
        <v>14.4</v>
      </c>
      <c r="M13" s="25">
        <f>IF(VLOOKUP(B13,AmmoTypeFactors,8,FALSE),"None",'Ammo Input'!L13)</f>
        <v>24</v>
      </c>
      <c r="N13">
        <f>'Ammo Input'!O13</f>
        <v>500</v>
      </c>
      <c r="O13" t="e">
        <f>ROUND((P13*0.0036+SUMPRODUCT(Q13:AB13,VLOOKUP($Q$1:$AB$1,IngredientStats,2,FALSE)))/N13*IF('Ammo Input'!R13,0.5,1),2)</f>
        <v>#VALUE!</v>
      </c>
      <c r="P13" t="e">
        <f>(SUMPRODUCT(Q13:AB13,VLOOKUP($Q$1:$AB$1,IngredientStats,4,FALSE))*VLOOKUP(B13,AmmoTypeFactors,14,FALSE)*IF('Ammo Input'!R13,1.1,1))</f>
        <v>#VALUE!</v>
      </c>
      <c r="Q13">
        <f>IFERROR(__xludf.DUMMYFUNCTION("((IF(NOT(OR(REGEXMATCH(B13, ""Arrow""), B13 = ""Javelin"", B13 = ""Stick bomb"")), ROUNDUP(('Ammo Input'!E13 / 1000) * N13)) + IF(VLOOKUP(B13, AmmoTypeFactors, 9, FALSE) = ""Steel"", ROUNDUP(('Ammo Input'!H13 -'Ammo Input'!M13) * MAX(IF('Ammo Input'!J13 &gt;"&amp;" 0, 'Ammo Input'!J13, 1), 1) * N13 / 1000))) / 'Ingredient stats'!$C$2) * IF(ISBLANK(VLOOKUP(B13,AmmoTypeFactors,15,False)),1,VLOOKUP(B13,AmmoTypeFactors,15,False))"),4)</f>
        <v>4</v>
      </c>
      <c r="R13">
        <f>IFERROR(__xludf.DUMMYFUNCTION("ROUNDUP((IF(REGEXMATCH(B13, ""Arrow"") + (B13 = ""Javelin""), 'Ammo Input'!E13) + IF(VLOOKUP(B13, AmmoTypeFactors, 9, FALSE) = ""Wood"", 'Ammo Input'!H13) + IF(B13 = ""Stick bomb"", 'Ammo Input'!E13)) * N13 / 'Ingredient stats'!$C$12 / 1000)"),0)</f>
        <v>0</v>
      </c>
      <c r="S13">
        <v>0</v>
      </c>
      <c r="T13">
        <v>0</v>
      </c>
      <c r="U13">
        <f>IF(VLOOKUP(B13,AmmoTypeFactors,9,FALSE)="Plasteel",ROUNDUP(('Ammo Input'!H13*MAX(IF('Ammo Input'!J13&gt;0,'Ammo Input'!J13,1)*N13/1000/'Ingredient stats'!$C$4)),0),0)</f>
        <v>8</v>
      </c>
      <c r="V13">
        <f>IFERROR(__xludf.DUMMYFUNCTION("ROUNDUP(IF(ISBLANK(VLOOKUP(B13,AmmoTypeFactors,16,False)),1,VLOOKUP(B13,AmmoTypeFactors,16,False)) * (IFS(REGEXMATCH(B13, ""EMP""), 'Ammo Input'!M13 * N13 / 'Ingredient stats'!$C$5, REGEXMATCH(B13, ""Charge""), (U13^0.75), true, 0) + (IF(VLOOKUP(B13, Ammo"&amp;"TypeFactors, 10, false), 2,0) + IF('Ammo Input'!P13, 2,0) + IF('Ammo Input'!Q13,MIN(ROUNDUP(0.2*('Ammo Input'!H13/1000)*'Ammo Input'!O13,0),20),0))))"),5)</f>
        <v>5</v>
      </c>
      <c r="W13">
        <v>0</v>
      </c>
      <c r="X13">
        <v>0</v>
      </c>
      <c r="Y13">
        <v>0</v>
      </c>
      <c r="Z13">
        <v>0</v>
      </c>
      <c r="AA13">
        <v>0</v>
      </c>
      <c r="AB13" s="30">
        <f>IF(B13="Sling Bullet (Stone)",ROUNDUP(D13*0.02*E13/'Ingredient stats'!$C$8,0),0)</f>
        <v>0</v>
      </c>
      <c r="AC13" t="str">
        <f t="shared" si="0"/>
        <v>None</v>
      </c>
      <c r="AD13" t="str">
        <f>IF(OR(B13="Buck",B13="Bird",B13="Charge (Scatter)"),'Ammo Input'!J13,"None")</f>
        <v>None</v>
      </c>
      <c r="AE13" t="str">
        <f>_xlfn.IFS(ISTEXT(Calcs!N13),Calcs!N13,Calcs!N13&lt;=40,Calcs!N13,Calcs!N13&gt;41,"40")</f>
        <v>None</v>
      </c>
      <c r="AF13" t="str">
        <f>_xlfn.IFS(ISTEXT(Calcs!O13),Calcs!O13,Calcs!O13&lt;=80,Calcs!O13,Calcs!O13&gt;=81,"80")</f>
        <v>None</v>
      </c>
      <c r="AG13" s="25">
        <f t="shared" si="1"/>
        <v>1</v>
      </c>
      <c r="AH13" s="25">
        <f t="shared" si="2"/>
        <v>2</v>
      </c>
      <c r="AI13" s="25">
        <f t="shared" si="3"/>
        <v>1</v>
      </c>
    </row>
    <row r="14" ht="14.4" spans="1:35">
      <c r="A14" s="24" t="str">
        <f>'Ammo Input'!A14</f>
        <v>6x18mm Charged</v>
      </c>
      <c r="B14" t="str">
        <f>'Ammo Input'!B14</f>
        <v>Charge (Ion)</v>
      </c>
      <c r="C14">
        <f>ROUNDUP(('Ammo Input'!C14*(MAX('Ammo Input'!D14,'Ammo Input'!F14)*0.5)^2*PI())*3/1000000,2)</f>
        <v>0.01</v>
      </c>
      <c r="D14">
        <f>ROUNDUP(('Ammo Input'!E14+'Ammo Input'!H14*IF('Ammo Input'!J14&lt;&gt;"",MAX('Ammo Input'!J14,1),1))/1000,3)</f>
        <v>0.008</v>
      </c>
      <c r="E14">
        <f>MIN(5000,MAX(25,CEILING(Calcs!L14,_xlfn.IFS(Calcs!L14&lt;100,25,Calcs!L14&lt;250,50,Calcs!L14&lt;1000,250,Calcs!L14&gt;=1000,1000))))</f>
        <v>5000</v>
      </c>
      <c r="F14">
        <f>ROUNDUP('Ammo Input'!G14^(3/4),0)</f>
        <v>122</v>
      </c>
      <c r="G14">
        <f>ROUND((0.5*((IF(OR(B14="HEAT",B14="HEDP"),'Ammo Input'!N14,'Ammo Input'!H14)/1000)*(IF(B14="HEAT",9000,IF(B14="HEDP",1500,'Ammo Input'!G14))^2))),0)</f>
        <v>720</v>
      </c>
      <c r="H14" s="25" t="str">
        <f>CONCATENATE(IF((B14="Foam")+(B14="Smoke"),"-",ROUND(Calcs!D14,0))," ",VLOOKUP(B14,AmmoTypeFactors,5,FALSE))</f>
        <v>8 Bullet</v>
      </c>
      <c r="I14" s="25" t="str">
        <f>IF(Calcs!E14=0,"None",CONCATENATE(ROUND(Calcs!E14,0)," ",VLOOKUP(B14,AmmoTypeFactors,6,FALSE)))</f>
        <v>5 EMP</v>
      </c>
      <c r="J14">
        <f>MROUND(2.42*'Ammo Input'!M14^(1/3)*VLOOKUP(B14,AmmoTypeFactors,3,FALSE),0.5)</f>
        <v>0</v>
      </c>
      <c r="K14" s="25" t="str">
        <f>IF(VLOOKUP(B14,AmmoTypeFactors,12,FALSE),MROUND(J14/3,0.5),"None")</f>
        <v>None</v>
      </c>
      <c r="L14" s="25">
        <f>IF(VLOOKUP(B14,AmmoTypeFactors,8,FALSE),"None",ROUNDUP(IF(Calcs!I14&gt;0,Calcs!I14,Calcs!H14),3))</f>
        <v>14.4</v>
      </c>
      <c r="M14" s="25">
        <f>IF(VLOOKUP(B14,AmmoTypeFactors,8,FALSE),"None",'Ammo Input'!L14)</f>
        <v>18</v>
      </c>
      <c r="N14">
        <f>'Ammo Input'!O14</f>
        <v>500</v>
      </c>
      <c r="O14" t="e">
        <f>ROUND((P14*0.0036+SUMPRODUCT(Q14:AB14,VLOOKUP($Q$1:$AB$1,IngredientStats,2,FALSE)))/N14*IF('Ammo Input'!R14,0.5,1),2)</f>
        <v>#VALUE!</v>
      </c>
      <c r="P14" t="e">
        <f>(SUMPRODUCT(Q14:AB14,VLOOKUP($Q$1:$AB$1,IngredientStats,4,FALSE))*VLOOKUP(B14,AmmoTypeFactors,14,FALSE)*IF('Ammo Input'!R14,1.1,1))</f>
        <v>#VALUE!</v>
      </c>
      <c r="Q14">
        <f>IFERROR(__xludf.DUMMYFUNCTION("((IF(NOT(OR(REGEXMATCH(B14, ""Arrow""), B14 = ""Javelin"", B14 = ""Stick bomb"")), ROUNDUP(('Ammo Input'!E14 / 1000) * N14)) + IF(VLOOKUP(B14, AmmoTypeFactors, 9, FALSE) = ""Steel"", ROUNDUP(('Ammo Input'!H14 -'Ammo Input'!M14) * MAX(IF('Ammo Input'!J14 &gt;"&amp;" 0, 'Ammo Input'!J14, 1), 1) * N14 / 1000))) / 'Ingredient stats'!$C$2) * IF(ISBLANK(VLOOKUP(B14,AmmoTypeFactors,15,False)),1,VLOOKUP(B14,AmmoTypeFactors,15,False))"),4)</f>
        <v>4</v>
      </c>
      <c r="R14">
        <f>IFERROR(__xludf.DUMMYFUNCTION("ROUNDUP((IF(REGEXMATCH(B14, ""Arrow"") + (B14 = ""Javelin""), 'Ammo Input'!E14) + IF(VLOOKUP(B14, AmmoTypeFactors, 9, FALSE) = ""Wood"", 'Ammo Input'!H14) + IF(B14 = ""Stick bomb"", 'Ammo Input'!E14)) * N14 / 'Ingredient stats'!$C$12 / 1000)"),0)</f>
        <v>0</v>
      </c>
      <c r="S14">
        <v>0</v>
      </c>
      <c r="T14">
        <v>0</v>
      </c>
      <c r="U14">
        <f>IF(VLOOKUP(B14,AmmoTypeFactors,9,FALSE)="Plasteel",ROUNDUP(('Ammo Input'!H14*MAX(IF('Ammo Input'!J14&gt;0,'Ammo Input'!J14,1)*N14/1000/'Ingredient stats'!$C$4)),0),0)</f>
        <v>8</v>
      </c>
      <c r="V14">
        <f>IFERROR(__xludf.DUMMYFUNCTION("ROUNDUP(IF(ISBLANK(VLOOKUP(B14,AmmoTypeFactors,16,False)),1,VLOOKUP(B14,AmmoTypeFactors,16,False)) * (IFS(REGEXMATCH(B14, ""EMP""), 'Ammo Input'!M14 * N14 / 'Ingredient stats'!$C$5, REGEXMATCH(B14, ""Charge""), (U14^0.75), true, 0) + (IF(VLOOKUP(B14, Ammo"&amp;"TypeFactors, 10, false), 2,0) + IF('Ammo Input'!P14, 2,0) + IF('Ammo Input'!Q14,MIN(ROUNDUP(0.2*('Ammo Input'!H14/1000)*'Ammo Input'!O14,0),20),0))))"),5)</f>
        <v>5</v>
      </c>
      <c r="W14">
        <v>0</v>
      </c>
      <c r="X14">
        <v>0</v>
      </c>
      <c r="Y14">
        <v>0</v>
      </c>
      <c r="Z14">
        <v>0</v>
      </c>
      <c r="AA14">
        <v>0</v>
      </c>
      <c r="AB14" s="30">
        <f>IF(B14="Sling Bullet (Stone)",ROUNDUP(D14*0.02*E14/'Ingredient stats'!$C$8,0),0)</f>
        <v>0</v>
      </c>
      <c r="AC14" t="str">
        <f t="shared" si="0"/>
        <v>None</v>
      </c>
      <c r="AD14" t="str">
        <f>IF(OR(B14="Buck",B14="Bird",B14="Charge (Scatter)"),'Ammo Input'!J14,"None")</f>
        <v>None</v>
      </c>
      <c r="AE14" t="str">
        <f>_xlfn.IFS(ISTEXT(Calcs!N14),Calcs!N14,Calcs!N14&lt;=40,Calcs!N14,Calcs!N14&gt;41,"40")</f>
        <v>None</v>
      </c>
      <c r="AF14" t="str">
        <f>_xlfn.IFS(ISTEXT(Calcs!O14),Calcs!O14,Calcs!O14&lt;=80,Calcs!O14,Calcs!O14&gt;=81,"80")</f>
        <v>None</v>
      </c>
      <c r="AG14" s="25">
        <f t="shared" si="1"/>
        <v>1</v>
      </c>
      <c r="AH14" s="25">
        <f t="shared" si="2"/>
        <v>2</v>
      </c>
      <c r="AI14" s="25">
        <f t="shared" si="3"/>
        <v>1</v>
      </c>
    </row>
    <row r="15" ht="14.4" spans="1:35">
      <c r="A15" s="24" t="str">
        <f>'Ammo Input'!A15</f>
        <v>6x22mm Charged</v>
      </c>
      <c r="B15" t="str">
        <f>'Ammo Input'!B15</f>
        <v>Charge</v>
      </c>
      <c r="C15">
        <f>ROUNDUP(('Ammo Input'!C15*(MAX('Ammo Input'!D15,'Ammo Input'!F15)*0.5)^2*PI())*3/1000000,2)</f>
        <v>0.01</v>
      </c>
      <c r="D15">
        <f>ROUNDUP(('Ammo Input'!E15+'Ammo Input'!H15*IF('Ammo Input'!J15&lt;&gt;"",MAX('Ammo Input'!J15,1),1))/1000,3)</f>
        <v>0.01</v>
      </c>
      <c r="E15">
        <f>MIN(5000,MAX(25,CEILING(Calcs!L15,_xlfn.IFS(Calcs!L15&lt;100,25,Calcs!L15&lt;250,50,Calcs!L15&lt;1000,250,Calcs!L15&gt;=1000,1000))))</f>
        <v>5000</v>
      </c>
      <c r="F15">
        <f>ROUNDUP('Ammo Input'!G15^(3/4),0)</f>
        <v>151</v>
      </c>
      <c r="G15">
        <f>ROUND((0.5*((IF(OR(B15="HEAT",B15="HEDP"),'Ammo Input'!N15,'Ammo Input'!H15)/1000)*(IF(B15="HEAT",9000,IF(B15="HEDP",1500,'Ammo Input'!G15))^2))),0)</f>
        <v>1280</v>
      </c>
      <c r="H15" s="25" t="str">
        <f>CONCATENATE(IF((B15="Foam")+(B15="Smoke"),"-",ROUND(Calcs!D15,0))," ",VLOOKUP(B15,AmmoTypeFactors,5,FALSE))</f>
        <v>13 Bullet</v>
      </c>
      <c r="I15" s="25" t="str">
        <f>IF(Calcs!E15=0,"None",CONCATENATE(ROUND(Calcs!E15,0)," ",VLOOKUP(B15,AmmoTypeFactors,6,FALSE)))</f>
        <v>4 Bomb_Secondary</v>
      </c>
      <c r="J15">
        <f>MROUND(2.42*'Ammo Input'!M15^(1/3)*VLOOKUP(B15,AmmoTypeFactors,3,FALSE),0.5)</f>
        <v>0</v>
      </c>
      <c r="K15" s="25" t="str">
        <f>IF(VLOOKUP(B15,AmmoTypeFactors,12,FALSE),MROUND(J15/3,0.5),"None")</f>
        <v>None</v>
      </c>
      <c r="L15" s="25">
        <f>IF(VLOOKUP(B15,AmmoTypeFactors,8,FALSE),"None",ROUNDUP(IF(Calcs!I15&gt;0,Calcs!I15,Calcs!H15),3))</f>
        <v>25.6</v>
      </c>
      <c r="M15" s="25">
        <f>IF(VLOOKUP(B15,AmmoTypeFactors,8,FALSE),"None",'Ammo Input'!L15)</f>
        <v>15</v>
      </c>
      <c r="N15">
        <f>'Ammo Input'!O15</f>
        <v>500</v>
      </c>
      <c r="O15" t="e">
        <f>ROUND((P15*0.0036+SUMPRODUCT(Q15:AB15,VLOOKUP($Q$1:$AB$1,IngredientStats,2,FALSE)))/N15*IF('Ammo Input'!R15,0.5,1),2)</f>
        <v>#VALUE!</v>
      </c>
      <c r="P15" t="e">
        <f>(SUMPRODUCT(Q15:AB15,VLOOKUP($Q$1:$AB$1,IngredientStats,4,FALSE))*VLOOKUP(B15,AmmoTypeFactors,14,FALSE)*IF('Ammo Input'!R15,1.1,1))</f>
        <v>#VALUE!</v>
      </c>
      <c r="Q15">
        <f>IFERROR(__xludf.DUMMYFUNCTION("((IF(NOT(OR(REGEXMATCH(B15, ""Arrow""), B15 = ""Javelin"", B15 = ""Stick bomb"")), ROUNDUP(('Ammo Input'!E15 / 1000) * N15)) + IF(VLOOKUP(B15, AmmoTypeFactors, 9, FALSE) = ""Steel"", ROUNDUP(('Ammo Input'!H15 -'Ammo Input'!M15) * MAX(IF('Ammo Input'!J15 &gt;"&amp;" 0, 'Ammo Input'!J15, 1), 1) * N15 / 1000))) / 'Ingredient stats'!$C$2) * IF(ISBLANK(VLOOKUP(B15,AmmoTypeFactors,15,False)),1,VLOOKUP(B15,AmmoTypeFactors,15,False))"),6)</f>
        <v>6</v>
      </c>
      <c r="R15">
        <f>IFERROR(__xludf.DUMMYFUNCTION("ROUNDUP((IF(REGEXMATCH(B15, ""Arrow"") + (B15 = ""Javelin""), 'Ammo Input'!E15) + IF(VLOOKUP(B15, AmmoTypeFactors, 9, FALSE) = ""Wood"", 'Ammo Input'!H15) + IF(B15 = ""Stick bomb"", 'Ammo Input'!E15)) * N15 / 'Ingredient stats'!$C$12 / 1000)"),0)</f>
        <v>0</v>
      </c>
      <c r="S15">
        <v>0</v>
      </c>
      <c r="T15">
        <v>0</v>
      </c>
      <c r="U15">
        <f>IF(VLOOKUP(B15,AmmoTypeFactors,9,FALSE)="Plasteel",ROUNDUP(('Ammo Input'!H15*MAX(IF('Ammo Input'!J15&gt;0,'Ammo Input'!J15,1)*N15/1000/'Ingredient stats'!$C$4)),0),0)</f>
        <v>8</v>
      </c>
      <c r="V15">
        <f>IFERROR(__xludf.DUMMYFUNCTION("ROUNDUP(IF(ISBLANK(VLOOKUP(B15,AmmoTypeFactors,16,False)),1,VLOOKUP(B15,AmmoTypeFactors,16,False)) * (IFS(REGEXMATCH(B15, ""EMP""), 'Ammo Input'!M15 * N15 / 'Ingredient stats'!$C$5, REGEXMATCH(B15, ""Charge""), (U15^0.75), true, 0) + (IF(VLOOKUP(B15, Ammo"&amp;"TypeFactors, 10, false), 2,0) + IF('Ammo Input'!P15, 2,0) + IF('Ammo Input'!Q15,MIN(ROUNDUP(0.2*('Ammo Input'!H15/1000)*'Ammo Input'!O15,0),20),0))))"),5)</f>
        <v>5</v>
      </c>
      <c r="W15">
        <v>0</v>
      </c>
      <c r="X15">
        <v>0</v>
      </c>
      <c r="Y15">
        <v>0</v>
      </c>
      <c r="Z15">
        <v>0</v>
      </c>
      <c r="AA15">
        <v>0</v>
      </c>
      <c r="AB15" s="30">
        <f>IF(B15="Sling Bullet (Stone)",ROUNDUP(D15*0.02*E15/'Ingredient stats'!$C$8,0),0)</f>
        <v>0</v>
      </c>
      <c r="AC15" t="str">
        <f t="shared" si="0"/>
        <v>None</v>
      </c>
      <c r="AD15" t="str">
        <f>IF(OR(B15="Buck",B15="Bird",B15="Charge (Scatter)"),'Ammo Input'!J15,"None")</f>
        <v>None</v>
      </c>
      <c r="AE15" t="str">
        <f>_xlfn.IFS(ISTEXT(Calcs!N15),Calcs!N15,Calcs!N15&lt;=40,Calcs!N15,Calcs!N15&gt;41,"40")</f>
        <v>None</v>
      </c>
      <c r="AF15" t="str">
        <f>_xlfn.IFS(ISTEXT(Calcs!O15),Calcs!O15,Calcs!O15&lt;=80,Calcs!O15,Calcs!O15&gt;=81,"80")</f>
        <v>None</v>
      </c>
      <c r="AG15" s="25">
        <f t="shared" si="1"/>
        <v>1</v>
      </c>
      <c r="AH15" s="25">
        <f t="shared" si="2"/>
        <v>2.47</v>
      </c>
      <c r="AI15" s="25">
        <f t="shared" si="3"/>
        <v>1</v>
      </c>
    </row>
    <row r="16" ht="14.4" spans="1:35">
      <c r="A16" s="24" t="str">
        <f>'Ammo Input'!A16</f>
        <v>6x24mm Charged</v>
      </c>
      <c r="B16" t="str">
        <f>'Ammo Input'!B16</f>
        <v>Charge</v>
      </c>
      <c r="C16">
        <f>ROUNDUP(('Ammo Input'!C16*(MAX('Ammo Input'!D16,'Ammo Input'!F16)*0.5)^2*PI())*3/1000000,2)</f>
        <v>0.01</v>
      </c>
      <c r="D16">
        <f>ROUNDUP(('Ammo Input'!E16+'Ammo Input'!H16*IF('Ammo Input'!J16&lt;&gt;"",MAX('Ammo Input'!J16,1),1))/1000,3)</f>
        <v>0.01</v>
      </c>
      <c r="E16">
        <f>MIN(5000,MAX(25,CEILING(Calcs!L16,_xlfn.IFS(Calcs!L16&lt;100,25,Calcs!L16&lt;250,50,Calcs!L16&lt;1000,250,Calcs!L16&gt;=1000,1000))))</f>
        <v>5000</v>
      </c>
      <c r="F16">
        <f>ROUNDUP('Ammo Input'!G16^(3/4),0)</f>
        <v>151</v>
      </c>
      <c r="G16">
        <f>ROUND((0.5*((IF(OR(B16="HEAT",B16="HEDP"),'Ammo Input'!N16,'Ammo Input'!H16)/1000)*(IF(B16="HEAT",9000,IF(B16="HEDP",1500,'Ammo Input'!G16))^2))),0)</f>
        <v>1280</v>
      </c>
      <c r="H16" s="25" t="str">
        <f>CONCATENATE(IF((B16="Foam")+(B16="Smoke"),"-",ROUND(Calcs!D16,0))," ",VLOOKUP(B16,AmmoTypeFactors,5,FALSE))</f>
        <v>13 Bullet</v>
      </c>
      <c r="I16" s="25" t="str">
        <f>IF(Calcs!E16=0,"None",CONCATENATE(ROUND(Calcs!E16,0)," ",VLOOKUP(B16,AmmoTypeFactors,6,FALSE)))</f>
        <v>4 Bomb_Secondary</v>
      </c>
      <c r="J16">
        <f>MROUND(2.42*'Ammo Input'!M16^(1/3)*VLOOKUP(B16,AmmoTypeFactors,3,FALSE),0.5)</f>
        <v>0</v>
      </c>
      <c r="K16" s="25" t="str">
        <f>IF(VLOOKUP(B16,AmmoTypeFactors,12,FALSE),MROUND(J16/3,0.5),"None")</f>
        <v>None</v>
      </c>
      <c r="L16" s="25">
        <f>IF(VLOOKUP(B16,AmmoTypeFactors,8,FALSE),"None",ROUNDUP(IF(Calcs!I16&gt;0,Calcs!I16,Calcs!H16),3))</f>
        <v>25.6</v>
      </c>
      <c r="M16" s="25">
        <f>IF(VLOOKUP(B16,AmmoTypeFactors,8,FALSE),"None",'Ammo Input'!L16)</f>
        <v>15</v>
      </c>
      <c r="N16">
        <f>'Ammo Input'!O16</f>
        <v>500</v>
      </c>
      <c r="O16" t="e">
        <f>ROUND((P16*0.0036+SUMPRODUCT(Q16:AB16,VLOOKUP($Q$1:$AB$1,IngredientStats,2,FALSE)))/N16*IF('Ammo Input'!R16,0.5,1),2)</f>
        <v>#VALUE!</v>
      </c>
      <c r="P16" t="e">
        <f>(SUMPRODUCT(Q16:AB16,VLOOKUP($Q$1:$AB$1,IngredientStats,4,FALSE))*VLOOKUP(B16,AmmoTypeFactors,14,FALSE)*IF('Ammo Input'!R16,1.1,1))</f>
        <v>#VALUE!</v>
      </c>
      <c r="Q16">
        <f>IFERROR(__xludf.DUMMYFUNCTION("((IF(NOT(OR(REGEXMATCH(B16, ""Arrow""), B16 = ""Javelin"", B16 = ""Stick bomb"")), ROUNDUP(('Ammo Input'!E16 / 1000) * N16)) + IF(VLOOKUP(B16, AmmoTypeFactors, 9, FALSE) = ""Steel"", ROUNDUP(('Ammo Input'!H16 -'Ammo Input'!M16) * MAX(IF('Ammo Input'!J16 &gt;"&amp;" 0, 'Ammo Input'!J16, 1), 1) * N16 / 1000))) / 'Ingredient stats'!$C$2) * IF(ISBLANK(VLOOKUP(B16,AmmoTypeFactors,15,False)),1,VLOOKUP(B16,AmmoTypeFactors,15,False))"),6)</f>
        <v>6</v>
      </c>
      <c r="R16">
        <f>IFERROR(__xludf.DUMMYFUNCTION("ROUNDUP((IF(REGEXMATCH(B16, ""Arrow"") + (B16 = ""Javelin""), 'Ammo Input'!E16) + IF(VLOOKUP(B16, AmmoTypeFactors, 9, FALSE) = ""Wood"", 'Ammo Input'!H16) + IF(B16 = ""Stick bomb"", 'Ammo Input'!E16)) * N16 / 'Ingredient stats'!$C$12 / 1000)"),0)</f>
        <v>0</v>
      </c>
      <c r="S16">
        <v>0</v>
      </c>
      <c r="T16">
        <v>0</v>
      </c>
      <c r="U16">
        <f>IF(VLOOKUP(B16,AmmoTypeFactors,9,FALSE)="Plasteel",ROUNDUP(('Ammo Input'!H16*MAX(IF('Ammo Input'!J16&gt;0,'Ammo Input'!J16,1)*N16/1000/'Ingredient stats'!$C$4)),0),0)</f>
        <v>8</v>
      </c>
      <c r="V16">
        <f>IFERROR(__xludf.DUMMYFUNCTION("ROUNDUP(IF(ISBLANK(VLOOKUP(B16,AmmoTypeFactors,16,False)),1,VLOOKUP(B16,AmmoTypeFactors,16,False)) * (IFS(REGEXMATCH(B16, ""EMP""), 'Ammo Input'!M16 * N16 / 'Ingredient stats'!$C$5, REGEXMATCH(B16, ""Charge""), (U16^0.75), true, 0) + (IF(VLOOKUP(B16, Ammo"&amp;"TypeFactors, 10, false), 2,0) + IF('Ammo Input'!P16, 2,0) + IF('Ammo Input'!Q16,MIN(ROUNDUP(0.2*('Ammo Input'!H16/1000)*'Ammo Input'!O16,0),20),0))))"),5)</f>
        <v>5</v>
      </c>
      <c r="W16">
        <v>0</v>
      </c>
      <c r="X16">
        <v>0</v>
      </c>
      <c r="Y16">
        <v>0</v>
      </c>
      <c r="Z16">
        <v>0</v>
      </c>
      <c r="AA16">
        <v>0</v>
      </c>
      <c r="AB16" s="30">
        <f>IF(B16="Sling Bullet (Stone)",ROUNDUP(D16*0.02*E16/'Ingredient stats'!$C$8,0),0)</f>
        <v>0</v>
      </c>
      <c r="AC16" t="str">
        <f t="shared" si="0"/>
        <v>None</v>
      </c>
      <c r="AD16" t="str">
        <f>IF(OR(B16="Buck",B16="Bird",B16="Charge (Scatter)"),'Ammo Input'!J16,"None")</f>
        <v>None</v>
      </c>
      <c r="AE16" t="str">
        <f>_xlfn.IFS(ISTEXT(Calcs!N16),Calcs!N16,Calcs!N16&lt;=40,Calcs!N16,Calcs!N16&gt;41,"40")</f>
        <v>None</v>
      </c>
      <c r="AF16" t="str">
        <f>_xlfn.IFS(ISTEXT(Calcs!O16),Calcs!O16,Calcs!O16&lt;=80,Calcs!O16,Calcs!O16&gt;=81,"80")</f>
        <v>None</v>
      </c>
      <c r="AG16" s="25">
        <f t="shared" si="1"/>
        <v>1</v>
      </c>
      <c r="AH16" s="25">
        <f t="shared" si="2"/>
        <v>2.47</v>
      </c>
      <c r="AI16" s="25">
        <f t="shared" si="3"/>
        <v>1</v>
      </c>
    </row>
    <row r="17" ht="14.4" spans="1:35">
      <c r="A17" s="24" t="str">
        <f>'Ammo Input'!A17</f>
        <v>6x24mm Charged</v>
      </c>
      <c r="B17" t="str">
        <f>'Ammo Input'!B17</f>
        <v>Charge (Concentrated)</v>
      </c>
      <c r="C17">
        <f>ROUNDUP(('Ammo Input'!C17*(MAX('Ammo Input'!D17,'Ammo Input'!F17)*0.5)^2*PI())*3/1000000,2)</f>
        <v>0.01</v>
      </c>
      <c r="D17">
        <f>ROUNDUP(('Ammo Input'!E17+'Ammo Input'!H17*IF('Ammo Input'!J17&lt;&gt;"",MAX('Ammo Input'!J17,1),1))/1000,3)</f>
        <v>0.01</v>
      </c>
      <c r="E17">
        <f>MIN(5000,MAX(25,CEILING(Calcs!L17,_xlfn.IFS(Calcs!L17&lt;100,25,Calcs!L17&lt;250,50,Calcs!L17&lt;1000,250,Calcs!L17&gt;=1000,1000))))</f>
        <v>5000</v>
      </c>
      <c r="F17">
        <f>ROUNDUP('Ammo Input'!G17^(3/4),0)</f>
        <v>151</v>
      </c>
      <c r="G17">
        <f>ROUND((0.5*((IF(OR(B17="HEAT",B17="HEDP"),'Ammo Input'!N17,'Ammo Input'!H17)/1000)*(IF(B17="HEAT",9000,IF(B17="HEDP",1500,'Ammo Input'!G17))^2))),0)</f>
        <v>1280</v>
      </c>
      <c r="H17" s="25" t="str">
        <f>CONCATENATE(IF((B17="Foam")+(B17="Smoke"),"-",ROUND(Calcs!D17,0))," ",VLOOKUP(B17,AmmoTypeFactors,5,FALSE))</f>
        <v>10 Bullet</v>
      </c>
      <c r="I17" s="25" t="str">
        <f>IF(Calcs!E17=0,"None",CONCATENATE(ROUND(Calcs!E17,0)," ",VLOOKUP(B17,AmmoTypeFactors,6,FALSE)))</f>
        <v>2 Bomb_Secondary</v>
      </c>
      <c r="J17">
        <f>MROUND(2.42*'Ammo Input'!M17^(1/3)*VLOOKUP(B17,AmmoTypeFactors,3,FALSE),0.5)</f>
        <v>0</v>
      </c>
      <c r="K17" s="25" t="str">
        <f>IF(VLOOKUP(B17,AmmoTypeFactors,12,FALSE),MROUND(J17/3,0.5),"None")</f>
        <v>None</v>
      </c>
      <c r="L17" s="25">
        <f>IF(VLOOKUP(B17,AmmoTypeFactors,8,FALSE),"None",ROUNDUP(IF(Calcs!I17&gt;0,Calcs!I17,Calcs!H17),3))</f>
        <v>25.6</v>
      </c>
      <c r="M17" s="25">
        <f>IF(VLOOKUP(B17,AmmoTypeFactors,8,FALSE),"None",'Ammo Input'!L17)</f>
        <v>30</v>
      </c>
      <c r="N17">
        <f>'Ammo Input'!O17</f>
        <v>500</v>
      </c>
      <c r="O17" t="e">
        <f>ROUND((P17*0.0036+SUMPRODUCT(Q17:AB17,VLOOKUP($Q$1:$AB$1,IngredientStats,2,FALSE)))/N17*IF('Ammo Input'!R17,0.5,1),2)</f>
        <v>#VALUE!</v>
      </c>
      <c r="P17" t="e">
        <f>(SUMPRODUCT(Q17:AB17,VLOOKUP($Q$1:$AB$1,IngredientStats,4,FALSE))*VLOOKUP(B17,AmmoTypeFactors,14,FALSE)*IF('Ammo Input'!R17,1.1,1))</f>
        <v>#VALUE!</v>
      </c>
      <c r="Q17">
        <f>IFERROR(__xludf.DUMMYFUNCTION("((IF(NOT(OR(REGEXMATCH(B17, ""Arrow""), B17 = ""Javelin"", B17 = ""Stick bomb"")), ROUNDUP(('Ammo Input'!E17 / 1000) * N17)) + IF(VLOOKUP(B17, AmmoTypeFactors, 9, FALSE) = ""Steel"", ROUNDUP(('Ammo Input'!H17 -'Ammo Input'!M17) * MAX(IF('Ammo Input'!J17 &gt;"&amp;" 0, 'Ammo Input'!J17, 1), 1) * N17 / 1000))) / 'Ingredient stats'!$C$2) * IF(ISBLANK(VLOOKUP(B17,AmmoTypeFactors,15,False)),1,VLOOKUP(B17,AmmoTypeFactors,15,False))"),6)</f>
        <v>6</v>
      </c>
      <c r="R17">
        <f>IFERROR(__xludf.DUMMYFUNCTION("ROUNDUP((IF(REGEXMATCH(B17, ""Arrow"") + (B17 = ""Javelin""), 'Ammo Input'!E17) + IF(VLOOKUP(B17, AmmoTypeFactors, 9, FALSE) = ""Wood"", 'Ammo Input'!H17) + IF(B17 = ""Stick bomb"", 'Ammo Input'!E17)) * N17 / 'Ingredient stats'!$C$12 / 1000)"),0)</f>
        <v>0</v>
      </c>
      <c r="S17">
        <v>0</v>
      </c>
      <c r="T17">
        <v>0</v>
      </c>
      <c r="U17">
        <f>IF(VLOOKUP(B17,AmmoTypeFactors,9,FALSE)="Plasteel",ROUNDUP(('Ammo Input'!H17*MAX(IF('Ammo Input'!J17&gt;0,'Ammo Input'!J17,1)*N17/1000/'Ingredient stats'!$C$4)),0),0)</f>
        <v>8</v>
      </c>
      <c r="V17">
        <f>IFERROR(__xludf.DUMMYFUNCTION("ROUNDUP(IF(ISBLANK(VLOOKUP(B17,AmmoTypeFactors,16,False)),1,VLOOKUP(B17,AmmoTypeFactors,16,False)) * (IFS(REGEXMATCH(B17, ""EMP""), 'Ammo Input'!M17 * N17 / 'Ingredient stats'!$C$5, REGEXMATCH(B17, ""Charge""), (U17^0.75), true, 0) + (IF(VLOOKUP(B17, Ammo"&amp;"TypeFactors, 10, false), 2,0) + IF('Ammo Input'!P17, 2,0) + IF('Ammo Input'!Q17,MIN(ROUNDUP(0.2*('Ammo Input'!H17/1000)*'Ammo Input'!O17,0),20),0))))"),5)</f>
        <v>5</v>
      </c>
      <c r="W17">
        <v>0</v>
      </c>
      <c r="X17">
        <v>0</v>
      </c>
      <c r="Y17">
        <v>0</v>
      </c>
      <c r="Z17">
        <v>0</v>
      </c>
      <c r="AA17">
        <v>0</v>
      </c>
      <c r="AB17" s="30">
        <f>IF(B17="Sling Bullet (Stone)",ROUNDUP(D17*0.02*E17/'Ingredient stats'!$C$8,0),0)</f>
        <v>0</v>
      </c>
      <c r="AC17" t="str">
        <f t="shared" si="0"/>
        <v>None</v>
      </c>
      <c r="AD17" t="str">
        <f>IF(OR(B17="Buck",B17="Bird",B17="Charge (Scatter)"),'Ammo Input'!J17,"None")</f>
        <v>None</v>
      </c>
      <c r="AE17" t="str">
        <f>_xlfn.IFS(ISTEXT(Calcs!N17),Calcs!N17,Calcs!N17&lt;=40,Calcs!N17,Calcs!N17&gt;41,"40")</f>
        <v>None</v>
      </c>
      <c r="AF17" t="str">
        <f>_xlfn.IFS(ISTEXT(Calcs!O17),Calcs!O17,Calcs!O17&lt;=80,Calcs!O17,Calcs!O17&gt;=81,"80")</f>
        <v>None</v>
      </c>
      <c r="AG17" s="25">
        <f t="shared" si="1"/>
        <v>1</v>
      </c>
      <c r="AH17" s="25">
        <f t="shared" si="2"/>
        <v>2.47</v>
      </c>
      <c r="AI17" s="25">
        <f t="shared" si="3"/>
        <v>1</v>
      </c>
    </row>
    <row r="18" ht="14.4" spans="1:35">
      <c r="A18" s="24" t="str">
        <f>'Ammo Input'!A18</f>
        <v>6x24mm Charged</v>
      </c>
      <c r="B18" t="str">
        <f>'Ammo Input'!B18</f>
        <v>Charge (Ion)</v>
      </c>
      <c r="C18">
        <f>ROUNDUP(('Ammo Input'!C18*(MAX('Ammo Input'!D18,'Ammo Input'!F18)*0.5)^2*PI())*3/1000000,2)</f>
        <v>0.01</v>
      </c>
      <c r="D18">
        <f>ROUNDUP(('Ammo Input'!E18+'Ammo Input'!H18*IF('Ammo Input'!J18&lt;&gt;"",MAX('Ammo Input'!J18,1),1))/1000,3)</f>
        <v>0.01</v>
      </c>
      <c r="E18">
        <f>MIN(5000,MAX(25,CEILING(Calcs!L18,_xlfn.IFS(Calcs!L18&lt;100,25,Calcs!L18&lt;250,50,Calcs!L18&lt;1000,250,Calcs!L18&gt;=1000,1000))))</f>
        <v>5000</v>
      </c>
      <c r="F18">
        <f>ROUNDUP('Ammo Input'!G18^(3/4),0)</f>
        <v>151</v>
      </c>
      <c r="G18">
        <f>ROUND((0.5*((IF(OR(B18="HEAT",B18="HEDP"),'Ammo Input'!N18,'Ammo Input'!H18)/1000)*(IF(B18="HEAT",9000,IF(B18="HEDP",1500,'Ammo Input'!G18))^2))),0)</f>
        <v>1280</v>
      </c>
      <c r="H18" s="25" t="str">
        <f>CONCATENATE(IF((B18="Foam")+(B18="Smoke"),"-",ROUND(Calcs!D18,0))," ",VLOOKUP(B18,AmmoTypeFactors,5,FALSE))</f>
        <v>10 Bullet</v>
      </c>
      <c r="I18" s="25" t="str">
        <f>IF(Calcs!E18=0,"None",CONCATENATE(ROUND(Calcs!E18,0)," ",VLOOKUP(B18,AmmoTypeFactors,6,FALSE)))</f>
        <v>6 EMP</v>
      </c>
      <c r="J18">
        <f>MROUND(2.42*'Ammo Input'!M18^(1/3)*VLOOKUP(B18,AmmoTypeFactors,3,FALSE),0.5)</f>
        <v>0</v>
      </c>
      <c r="K18" s="25" t="str">
        <f>IF(VLOOKUP(B18,AmmoTypeFactors,12,FALSE),MROUND(J18/3,0.5),"None")</f>
        <v>None</v>
      </c>
      <c r="L18" s="25">
        <f>IF(VLOOKUP(B18,AmmoTypeFactors,8,FALSE),"None",ROUNDUP(IF(Calcs!I18&gt;0,Calcs!I18,Calcs!H18),3))</f>
        <v>25.6</v>
      </c>
      <c r="M18" s="25">
        <f>IF(VLOOKUP(B18,AmmoTypeFactors,8,FALSE),"None",'Ammo Input'!L18)</f>
        <v>22.5</v>
      </c>
      <c r="N18">
        <f>'Ammo Input'!O18</f>
        <v>500</v>
      </c>
      <c r="O18" t="e">
        <f>ROUND((P18*0.0036+SUMPRODUCT(Q18:AB18,VLOOKUP($Q$1:$AB$1,IngredientStats,2,FALSE)))/N18*IF('Ammo Input'!R18,0.5,1),2)</f>
        <v>#VALUE!</v>
      </c>
      <c r="P18" t="e">
        <f>(SUMPRODUCT(Q18:AB18,VLOOKUP($Q$1:$AB$1,IngredientStats,4,FALSE))*VLOOKUP(B18,AmmoTypeFactors,14,FALSE)*IF('Ammo Input'!R18,1.1,1))</f>
        <v>#VALUE!</v>
      </c>
      <c r="Q18">
        <f>IFERROR(__xludf.DUMMYFUNCTION("((IF(NOT(OR(REGEXMATCH(B18, ""Arrow""), B18 = ""Javelin"", B18 = ""Stick bomb"")), ROUNDUP(('Ammo Input'!E18 / 1000) * N18)) + IF(VLOOKUP(B18, AmmoTypeFactors, 9, FALSE) = ""Steel"", ROUNDUP(('Ammo Input'!H18 -'Ammo Input'!M18) * MAX(IF('Ammo Input'!J18 &gt;"&amp;" 0, 'Ammo Input'!J18, 1), 1) * N18 / 1000))) / 'Ingredient stats'!$C$2) * IF(ISBLANK(VLOOKUP(B18,AmmoTypeFactors,15,False)),1,VLOOKUP(B18,AmmoTypeFactors,15,False))"),6)</f>
        <v>6</v>
      </c>
      <c r="R18">
        <f>IFERROR(__xludf.DUMMYFUNCTION("ROUNDUP((IF(REGEXMATCH(B18, ""Arrow"") + (B18 = ""Javelin""), 'Ammo Input'!E18) + IF(VLOOKUP(B18, AmmoTypeFactors, 9, FALSE) = ""Wood"", 'Ammo Input'!H18) + IF(B18 = ""Stick bomb"", 'Ammo Input'!E18)) * N18 / 'Ingredient stats'!$C$12 / 1000)"),0)</f>
        <v>0</v>
      </c>
      <c r="S18">
        <v>0</v>
      </c>
      <c r="T18">
        <v>0</v>
      </c>
      <c r="U18">
        <f>IF(VLOOKUP(B18,AmmoTypeFactors,9,FALSE)="Plasteel",ROUNDUP(('Ammo Input'!H18*MAX(IF('Ammo Input'!J18&gt;0,'Ammo Input'!J18,1)*N18/1000/'Ingredient stats'!$C$4)),0),0)</f>
        <v>8</v>
      </c>
      <c r="V18">
        <f>IFERROR(__xludf.DUMMYFUNCTION("ROUNDUP(IF(ISBLANK(VLOOKUP(B18,AmmoTypeFactors,16,False)),1,VLOOKUP(B18,AmmoTypeFactors,16,False)) * (IFS(REGEXMATCH(B18, ""EMP""), 'Ammo Input'!M18 * N18 / 'Ingredient stats'!$C$5, REGEXMATCH(B18, ""Charge""), (U18^0.75), true, 0) + (IF(VLOOKUP(B18, Ammo"&amp;"TypeFactors, 10, false), 2,0) + IF('Ammo Input'!P18, 2,0) + IF('Ammo Input'!Q18,MIN(ROUNDUP(0.2*('Ammo Input'!H18/1000)*'Ammo Input'!O18,0),20),0))))"),5)</f>
        <v>5</v>
      </c>
      <c r="W18">
        <v>0</v>
      </c>
      <c r="X18">
        <v>0</v>
      </c>
      <c r="Y18">
        <v>0</v>
      </c>
      <c r="Z18">
        <v>0</v>
      </c>
      <c r="AA18">
        <v>0</v>
      </c>
      <c r="AB18" s="30">
        <f>IF(B18="Sling Bullet (Stone)",ROUNDUP(D18*0.02*E18/'Ingredient stats'!$C$8,0),0)</f>
        <v>0</v>
      </c>
      <c r="AC18" t="str">
        <f t="shared" si="0"/>
        <v>None</v>
      </c>
      <c r="AD18" t="str">
        <f>IF(OR(B18="Buck",B18="Bird",B18="Charge (Scatter)"),'Ammo Input'!J18,"None")</f>
        <v>None</v>
      </c>
      <c r="AE18" t="str">
        <f>_xlfn.IFS(ISTEXT(Calcs!N18),Calcs!N18,Calcs!N18&lt;=40,Calcs!N18,Calcs!N18&gt;41,"40")</f>
        <v>None</v>
      </c>
      <c r="AF18" t="str">
        <f>_xlfn.IFS(ISTEXT(Calcs!O18),Calcs!O18,Calcs!O18&lt;=80,Calcs!O18,Calcs!O18&gt;=81,"80")</f>
        <v>None</v>
      </c>
      <c r="AG18" s="25">
        <f t="shared" si="1"/>
        <v>1</v>
      </c>
      <c r="AH18" s="25">
        <f t="shared" si="2"/>
        <v>2.47</v>
      </c>
      <c r="AI18" s="25">
        <f t="shared" si="3"/>
        <v>1</v>
      </c>
    </row>
    <row r="19" ht="14.4" spans="1:35">
      <c r="A19" s="24" t="str">
        <f>'Ammo Input'!A19</f>
        <v>8mm Railgun</v>
      </c>
      <c r="B19" t="str">
        <f>'Ammo Input'!B19</f>
        <v>Railgun (Sabot)</v>
      </c>
      <c r="C19">
        <f>ROUNDUP(('Ammo Input'!C19*(MAX('Ammo Input'!D19,'Ammo Input'!F19)*0.5)^2*PI())*3/1000000,2)</f>
        <v>0.01</v>
      </c>
      <c r="D19">
        <f>ROUNDUP(('Ammo Input'!E19+'Ammo Input'!H19*IF('Ammo Input'!J19&lt;&gt;"",MAX('Ammo Input'!J19,1),1))/1000,3)</f>
        <v>0.009</v>
      </c>
      <c r="E19">
        <f>MIN(5000,MAX(25,CEILING(Calcs!L19,_xlfn.IFS(Calcs!L19&lt;100,25,Calcs!L19&lt;250,50,Calcs!L19&lt;1000,250,Calcs!L19&gt;=1000,1000))))</f>
        <v>5000</v>
      </c>
      <c r="F19">
        <f>ROUNDUP('Ammo Input'!G19^(3/4),0)</f>
        <v>277</v>
      </c>
      <c r="G19">
        <f>ROUND((0.5*((IF(OR(B19="HEAT",B19="HEDP"),'Ammo Input'!N19,'Ammo Input'!H19)/1000)*(IF(B19="HEAT",9000,IF(B19="HEDP",1500,'Ammo Input'!G19))^2))),0)</f>
        <v>12636</v>
      </c>
      <c r="H19" s="25" t="str">
        <f>CONCATENATE(IF((B19="Foam")+(B19="Smoke"),"-",ROUND(Calcs!D19,0))," ",VLOOKUP(B19,AmmoTypeFactors,5,FALSE))</f>
        <v>20 Bullet</v>
      </c>
      <c r="I19" s="25" t="str">
        <f>IF(Calcs!E19=0,"None",CONCATENATE(ROUND(Calcs!E19,0)," ",VLOOKUP(B19,AmmoTypeFactors,6,FALSE)))</f>
        <v>None</v>
      </c>
      <c r="J19">
        <f>MROUND(2.42*'Ammo Input'!M19^(1/3)*VLOOKUP(B19,AmmoTypeFactors,3,FALSE),0.5)</f>
        <v>0</v>
      </c>
      <c r="K19" s="25" t="str">
        <f>IF(VLOOKUP(B19,AmmoTypeFactors,12,FALSE),MROUND(J19/3,0.5),"None")</f>
        <v>None</v>
      </c>
      <c r="L19" s="25">
        <f>IF(VLOOKUP(B19,AmmoTypeFactors,8,FALSE),"None",ROUNDUP(IF(Calcs!I19&gt;0,Calcs!I19,Calcs!H19),3))</f>
        <v>252.72</v>
      </c>
      <c r="M19" s="25">
        <f>IF(VLOOKUP(B19,AmmoTypeFactors,8,FALSE),"None",'Ammo Input'!L19)</f>
        <v>55</v>
      </c>
      <c r="N19">
        <f>'Ammo Input'!O19</f>
        <v>500</v>
      </c>
      <c r="O19" t="e">
        <f>ROUND((P19*0.0036+SUMPRODUCT(Q19:AB19,VLOOKUP($Q$1:$AB$1,IngredientStats,2,FALSE)))/N19*IF('Ammo Input'!R19,0.5,1),2)</f>
        <v>#VALUE!</v>
      </c>
      <c r="P19" t="e">
        <f>(SUMPRODUCT(Q19:AB19,VLOOKUP($Q$1:$AB$1,IngredientStats,4,FALSE))*VLOOKUP(B19,AmmoTypeFactors,14,FALSE)*IF('Ammo Input'!R19,1.1,1))</f>
        <v>#VALUE!</v>
      </c>
      <c r="Q19">
        <f>IFERROR(__xludf.DUMMYFUNCTION("((IF(NOT(OR(REGEXMATCH(B19, ""Arrow""), B19 = ""Javelin"", B19 = ""Stick bomb"")), ROUNDUP(('Ammo Input'!E19 / 1000) * N19)) + IF(VLOOKUP(B19, AmmoTypeFactors, 9, FALSE) = ""Steel"", ROUNDUP(('Ammo Input'!H19 -'Ammo Input'!M19) * MAX(IF('Ammo Input'!J19 &gt;"&amp;" 0, 'Ammo Input'!J19, 1), 1) * N19 / 1000))) / 'Ingredient stats'!$C$2) * IF(ISBLANK(VLOOKUP(B19,AmmoTypeFactors,15,False)),1,VLOOKUP(B19,AmmoTypeFactors,15,False))"),2)</f>
        <v>2</v>
      </c>
      <c r="R19">
        <f>IFERROR(__xludf.DUMMYFUNCTION("ROUNDUP((IF(REGEXMATCH(B19, ""Arrow"") + (B19 = ""Javelin""), 'Ammo Input'!E19) + IF(VLOOKUP(B19, AmmoTypeFactors, 9, FALSE) = ""Wood"", 'Ammo Input'!H19) + IF(B19 = ""Stick bomb"", 'Ammo Input'!E19)) * N19 / 'Ingredient stats'!$C$12 / 1000)"),0)</f>
        <v>0</v>
      </c>
      <c r="S19">
        <v>4</v>
      </c>
      <c r="T19">
        <v>2</v>
      </c>
      <c r="U19">
        <f>IF(VLOOKUP(B19,AmmoTypeFactors,9,FALSE)="Plasteel",ROUNDUP(('Ammo Input'!H19*MAX(IF('Ammo Input'!J19&gt;0,'Ammo Input'!J19,1)*N19/1000/'Ingredient stats'!$C$4)),0),0)</f>
        <v>0</v>
      </c>
      <c r="V19">
        <f>IFERROR(__xludf.DUMMYFUNCTION("ROUNDUP(IF(ISBLANK(VLOOKUP(B19,AmmoTypeFactors,16,False)),1,VLOOKUP(B19,AmmoTypeFactors,16,False)) * (IFS(REGEXMATCH(B19, ""EMP""), 'Ammo Input'!M19 * N19 / 'Ingredient stats'!$C$5, REGEXMATCH(B19, ""Charge""), (U19^0.75), true, 0) + (IF(VLOOKUP(B19, Ammo"&amp;"TypeFactors, 10, false), 2,0) + IF('Ammo Input'!P19, 2,0) + IF('Ammo Input'!Q19,MIN(ROUNDUP(0.2*('Ammo Input'!H19/1000)*'Ammo Input'!O19,0),20),0))))"),0)</f>
        <v>0</v>
      </c>
      <c r="W19">
        <v>0</v>
      </c>
      <c r="X19">
        <v>0</v>
      </c>
      <c r="Y19">
        <v>0</v>
      </c>
      <c r="Z19">
        <v>0</v>
      </c>
      <c r="AA19">
        <v>0</v>
      </c>
      <c r="AB19" s="30">
        <f>IF(B19="Sling Bullet (Stone)",ROUNDUP(D19*0.02*E19/'Ingredient stats'!$C$8,0),0)</f>
        <v>0</v>
      </c>
      <c r="AC19" t="str">
        <f t="shared" si="0"/>
        <v>None</v>
      </c>
      <c r="AD19" t="str">
        <f>IF(OR(B19="Buck",B19="Bird",B19="Charge (Scatter)"),'Ammo Input'!J19,"None")</f>
        <v>None</v>
      </c>
      <c r="AE19" t="str">
        <f>_xlfn.IFS(ISTEXT(Calcs!N19),Calcs!N19,Calcs!N19&lt;=40,Calcs!N19,Calcs!N19&gt;41,"40")</f>
        <v>None</v>
      </c>
      <c r="AF19" t="str">
        <f>_xlfn.IFS(ISTEXT(Calcs!O19),Calcs!O19,Calcs!O19&lt;=80,Calcs!O19,Calcs!O19&gt;=81,"80")</f>
        <v>None</v>
      </c>
      <c r="AG19" s="25">
        <f t="shared" si="1"/>
        <v>1</v>
      </c>
      <c r="AH19" s="25">
        <f t="shared" si="2"/>
        <v>4.44</v>
      </c>
      <c r="AI19" s="25">
        <f t="shared" si="3"/>
        <v>1</v>
      </c>
    </row>
    <row r="20" ht="14.4" spans="1:35">
      <c r="A20" s="24" t="str">
        <f>'Ammo Input'!A20</f>
        <v>8x35mm Charged</v>
      </c>
      <c r="B20" t="str">
        <f>'Ammo Input'!B20</f>
        <v>Charge</v>
      </c>
      <c r="C20">
        <f>ROUNDUP(('Ammo Input'!C20*(MAX('Ammo Input'!D20,'Ammo Input'!F20)*0.5)^2*PI())*3/1000000,2)</f>
        <v>0.02</v>
      </c>
      <c r="D20">
        <f>ROUNDUP(('Ammo Input'!E20+'Ammo Input'!H20*IF('Ammo Input'!J20&lt;&gt;"",MAX('Ammo Input'!J20,1),1))/1000,3)</f>
        <v>0.018</v>
      </c>
      <c r="E20">
        <f>MIN(5000,MAX(25,CEILING(Calcs!L20,_xlfn.IFS(Calcs!L20&lt;100,25,Calcs!L20&lt;250,50,Calcs!L20&lt;1000,250,Calcs!L20&gt;=1000,1000))))</f>
        <v>5000</v>
      </c>
      <c r="F20">
        <f>ROUNDUP('Ammo Input'!G20^(3/4),0)</f>
        <v>151</v>
      </c>
      <c r="G20">
        <f>ROUND((0.5*((IF(OR(B20="HEAT",B20="HEDP"),'Ammo Input'!N20,'Ammo Input'!H20)/1000)*(IF(B20="HEAT",9000,IF(B20="HEDP",1500,'Ammo Input'!G20))^2))),0)</f>
        <v>2880</v>
      </c>
      <c r="H20" s="25" t="str">
        <f>CONCATENATE(IF((B20="Foam")+(B20="Smoke"),"-",ROUND(Calcs!D20,0))," ",VLOOKUP(B20,AmmoTypeFactors,5,FALSE))</f>
        <v>19 Bullet</v>
      </c>
      <c r="I20" s="25" t="str">
        <f>IF(Calcs!E20=0,"None",CONCATENATE(ROUND(Calcs!E20,0)," ",VLOOKUP(B20,AmmoTypeFactors,6,FALSE)))</f>
        <v>6 Bomb_Secondary</v>
      </c>
      <c r="J20">
        <f>MROUND(2.42*'Ammo Input'!M20^(1/3)*VLOOKUP(B20,AmmoTypeFactors,3,FALSE),0.5)</f>
        <v>0</v>
      </c>
      <c r="K20" s="25" t="str">
        <f>IF(VLOOKUP(B20,AmmoTypeFactors,12,FALSE),MROUND(J20/3,0.5),"None")</f>
        <v>None</v>
      </c>
      <c r="L20" s="25">
        <f>IF(VLOOKUP(B20,AmmoTypeFactors,8,FALSE),"None",ROUNDUP(IF(Calcs!I20&gt;0,Calcs!I20,Calcs!H20),3))</f>
        <v>57.6</v>
      </c>
      <c r="M20" s="25">
        <f>IF(VLOOKUP(B20,AmmoTypeFactors,8,FALSE),"None",'Ammo Input'!L20)</f>
        <v>16</v>
      </c>
      <c r="N20">
        <f>'Ammo Input'!O20</f>
        <v>500</v>
      </c>
      <c r="O20" t="e">
        <f>ROUND((P20*0.0036+SUMPRODUCT(Q20:AB20,VLOOKUP($Q$1:$AB$1,IngredientStats,2,FALSE)))/N20*IF('Ammo Input'!R20,0.5,1),2)</f>
        <v>#VALUE!</v>
      </c>
      <c r="P20" t="e">
        <f>(SUMPRODUCT(Q20:AB20,VLOOKUP($Q$1:$AB$1,IngredientStats,4,FALSE))*VLOOKUP(B20,AmmoTypeFactors,14,FALSE)*IF('Ammo Input'!R20,1.1,1))</f>
        <v>#VALUE!</v>
      </c>
      <c r="Q20">
        <f>IFERROR(__xludf.DUMMYFUNCTION("((IF(NOT(OR(REGEXMATCH(B20, ""Arrow""), B20 = ""Javelin"", B20 = ""Stick bomb"")), ROUNDUP(('Ammo Input'!E20 / 1000) * N20)) + IF(VLOOKUP(B20, AmmoTypeFactors, 9, FALSE) = ""Steel"", ROUNDUP(('Ammo Input'!H20 -'Ammo Input'!M20) * MAX(IF('Ammo Input'!J20 &gt;"&amp;" 0, 'Ammo Input'!J20, 1), 1) * N20 / 1000))) / 'Ingredient stats'!$C$2) * IF(ISBLANK(VLOOKUP(B20,AmmoTypeFactors,15,False)),1,VLOOKUP(B20,AmmoTypeFactors,15,False))"),10)</f>
        <v>10</v>
      </c>
      <c r="R20">
        <f>IFERROR(__xludf.DUMMYFUNCTION("ROUNDUP((IF(REGEXMATCH(B20, ""Arrow"") + (B20 = ""Javelin""), 'Ammo Input'!E20) + IF(VLOOKUP(B20, AmmoTypeFactors, 9, FALSE) = ""Wood"", 'Ammo Input'!H20) + IF(B20 = ""Stick bomb"", 'Ammo Input'!E20)) * N20 / 'Ingredient stats'!$C$12 / 1000)"),0)</f>
        <v>0</v>
      </c>
      <c r="S20">
        <v>0</v>
      </c>
      <c r="T20">
        <v>0</v>
      </c>
      <c r="U20">
        <f>IF(VLOOKUP(B20,AmmoTypeFactors,9,FALSE)="Plasteel",ROUNDUP(('Ammo Input'!H20*MAX(IF('Ammo Input'!J20&gt;0,'Ammo Input'!J20,1)*N20/1000/'Ingredient stats'!$C$4)),0),0)</f>
        <v>18</v>
      </c>
      <c r="V20">
        <f>IFERROR(__xludf.DUMMYFUNCTION("ROUNDUP(IF(ISBLANK(VLOOKUP(B20,AmmoTypeFactors,16,False)),1,VLOOKUP(B20,AmmoTypeFactors,16,False)) * (IFS(REGEXMATCH(B20, ""EMP""), 'Ammo Input'!M20 * N20 / 'Ingredient stats'!$C$5, REGEXMATCH(B20, ""Charge""), (U20^0.75), true, 0) + (IF(VLOOKUP(B20, Ammo"&amp;"TypeFactors, 10, false), 2,0) + IF('Ammo Input'!P20, 2,0) + IF('Ammo Input'!Q20,MIN(ROUNDUP(0.2*('Ammo Input'!H20/1000)*'Ammo Input'!O20,0),20),0))))"),9)</f>
        <v>9</v>
      </c>
      <c r="W20">
        <v>0</v>
      </c>
      <c r="X20">
        <v>0</v>
      </c>
      <c r="Y20">
        <v>0</v>
      </c>
      <c r="Z20">
        <v>0</v>
      </c>
      <c r="AA20">
        <v>0</v>
      </c>
      <c r="AB20" s="30">
        <f>IF(B20="Sling Bullet (Stone)",ROUNDUP(D20*0.02*E20/'Ingredient stats'!$C$8,0),0)</f>
        <v>0</v>
      </c>
      <c r="AC20" t="str">
        <f t="shared" si="0"/>
        <v>None</v>
      </c>
      <c r="AD20" t="str">
        <f>IF(OR(B20="Buck",B20="Bird",B20="Charge (Scatter)"),'Ammo Input'!J20,"None")</f>
        <v>None</v>
      </c>
      <c r="AE20" t="str">
        <f>_xlfn.IFS(ISTEXT(Calcs!N20),Calcs!N20,Calcs!N20&lt;=40,Calcs!N20,Calcs!N20&gt;41,"40")</f>
        <v>None</v>
      </c>
      <c r="AF20" t="str">
        <f>_xlfn.IFS(ISTEXT(Calcs!O20),Calcs!O20,Calcs!O20&lt;=80,Calcs!O20,Calcs!O20&gt;=81,"80")</f>
        <v>None</v>
      </c>
      <c r="AG20" s="25">
        <f t="shared" si="1"/>
        <v>1</v>
      </c>
      <c r="AH20" s="25">
        <f t="shared" si="2"/>
        <v>2.47</v>
      </c>
      <c r="AI20" s="25">
        <f t="shared" si="3"/>
        <v>1</v>
      </c>
    </row>
    <row r="21" ht="14.4" spans="1:35">
      <c r="A21" s="24" t="str">
        <f>'Ammo Input'!A21</f>
        <v>8x35mm Charged</v>
      </c>
      <c r="B21" t="str">
        <f>'Ammo Input'!B21</f>
        <v>Charge (Concentrated)</v>
      </c>
      <c r="C21">
        <f>ROUNDUP(('Ammo Input'!C21*(MAX('Ammo Input'!D21,'Ammo Input'!F21)*0.5)^2*PI())*3/1000000,2)</f>
        <v>0.02</v>
      </c>
      <c r="D21">
        <f>ROUNDUP(('Ammo Input'!E21+'Ammo Input'!H21*IF('Ammo Input'!J21&lt;&gt;"",MAX('Ammo Input'!J21,1),1))/1000,3)</f>
        <v>0.018</v>
      </c>
      <c r="E21">
        <f>MIN(5000,MAX(25,CEILING(Calcs!L21,_xlfn.IFS(Calcs!L21&lt;100,25,Calcs!L21&lt;250,50,Calcs!L21&lt;1000,250,Calcs!L21&gt;=1000,1000))))</f>
        <v>5000</v>
      </c>
      <c r="F21">
        <f>ROUNDUP('Ammo Input'!G21^(3/4),0)</f>
        <v>151</v>
      </c>
      <c r="G21">
        <f>ROUND((0.5*((IF(OR(B21="HEAT",B21="HEDP"),'Ammo Input'!N21,'Ammo Input'!H21)/1000)*(IF(B21="HEAT",9000,IF(B21="HEDP",1500,'Ammo Input'!G21))^2))),0)</f>
        <v>2880</v>
      </c>
      <c r="H21" s="25" t="str">
        <f>CONCATENATE(IF((B21="Foam")+(B21="Smoke"),"-",ROUND(Calcs!D21,0))," ",VLOOKUP(B21,AmmoTypeFactors,5,FALSE))</f>
        <v>15 Bullet</v>
      </c>
      <c r="I21" s="25" t="str">
        <f>IF(Calcs!E21=0,"None",CONCATENATE(ROUND(Calcs!E21,0)," ",VLOOKUP(B21,AmmoTypeFactors,6,FALSE)))</f>
        <v>2 Bomb_Secondary</v>
      </c>
      <c r="J21">
        <f>MROUND(2.42*'Ammo Input'!M21^(1/3)*VLOOKUP(B21,AmmoTypeFactors,3,FALSE),0.5)</f>
        <v>0</v>
      </c>
      <c r="K21" s="25" t="str">
        <f>IF(VLOOKUP(B21,AmmoTypeFactors,12,FALSE),MROUND(J21/3,0.5),"None")</f>
        <v>None</v>
      </c>
      <c r="L21" s="25">
        <f>IF(VLOOKUP(B21,AmmoTypeFactors,8,FALSE),"None",ROUNDUP(IF(Calcs!I21&gt;0,Calcs!I21,Calcs!H21),3))</f>
        <v>57.6</v>
      </c>
      <c r="M21" s="25">
        <f>IF(VLOOKUP(B21,AmmoTypeFactors,8,FALSE),"None",'Ammo Input'!L21)</f>
        <v>32</v>
      </c>
      <c r="N21">
        <f>'Ammo Input'!O21</f>
        <v>500</v>
      </c>
      <c r="O21" t="e">
        <f>ROUND((P21*0.0036+SUMPRODUCT(Q21:AB21,VLOOKUP($Q$1:$AB$1,IngredientStats,2,FALSE)))/N21*IF('Ammo Input'!R21,0.5,1),2)</f>
        <v>#VALUE!</v>
      </c>
      <c r="P21" t="e">
        <f>(SUMPRODUCT(Q21:AB21,VLOOKUP($Q$1:$AB$1,IngredientStats,4,FALSE))*VLOOKUP(B21,AmmoTypeFactors,14,FALSE)*IF('Ammo Input'!R21,1.1,1))</f>
        <v>#VALUE!</v>
      </c>
      <c r="Q21">
        <f>IFERROR(__xludf.DUMMYFUNCTION("((IF(NOT(OR(REGEXMATCH(B21, ""Arrow""), B21 = ""Javelin"", B21 = ""Stick bomb"")), ROUNDUP(('Ammo Input'!E21 / 1000) * N21)) + IF(VLOOKUP(B21, AmmoTypeFactors, 9, FALSE) = ""Steel"", ROUNDUP(('Ammo Input'!H21 -'Ammo Input'!M21) * MAX(IF('Ammo Input'!J21 &gt;"&amp;" 0, 'Ammo Input'!J21, 1), 1) * N21 / 1000))) / 'Ingredient stats'!$C$2) * IF(ISBLANK(VLOOKUP(B21,AmmoTypeFactors,15,False)),1,VLOOKUP(B21,AmmoTypeFactors,15,False))"),10)</f>
        <v>10</v>
      </c>
      <c r="R21">
        <f>IFERROR(__xludf.DUMMYFUNCTION("ROUNDUP((IF(REGEXMATCH(B21, ""Arrow"") + (B21 = ""Javelin""), 'Ammo Input'!E21) + IF(VLOOKUP(B21, AmmoTypeFactors, 9, FALSE) = ""Wood"", 'Ammo Input'!H21) + IF(B21 = ""Stick bomb"", 'Ammo Input'!E21)) * N21 / 'Ingredient stats'!$C$12 / 1000)"),0)</f>
        <v>0</v>
      </c>
      <c r="S21">
        <v>0</v>
      </c>
      <c r="T21">
        <v>0</v>
      </c>
      <c r="U21">
        <f>IF(VLOOKUP(B21,AmmoTypeFactors,9,FALSE)="Plasteel",ROUNDUP(('Ammo Input'!H21*MAX(IF('Ammo Input'!J21&gt;0,'Ammo Input'!J21,1)*N21/1000/'Ingredient stats'!$C$4)),0),0)</f>
        <v>18</v>
      </c>
      <c r="V21">
        <f>IFERROR(__xludf.DUMMYFUNCTION("ROUNDUP(IF(ISBLANK(VLOOKUP(B21,AmmoTypeFactors,16,False)),1,VLOOKUP(B21,AmmoTypeFactors,16,False)) * (IFS(REGEXMATCH(B21, ""EMP""), 'Ammo Input'!M21 * N21 / 'Ingredient stats'!$C$5, REGEXMATCH(B21, ""Charge""), (U21^0.75), true, 0) + (IF(VLOOKUP(B21, Ammo"&amp;"TypeFactors, 10, false), 2,0) + IF('Ammo Input'!P21, 2,0) + IF('Ammo Input'!Q21,MIN(ROUNDUP(0.2*('Ammo Input'!H21/1000)*'Ammo Input'!O21,0),20),0))))"),9)</f>
        <v>9</v>
      </c>
      <c r="W21">
        <v>0</v>
      </c>
      <c r="X21">
        <v>0</v>
      </c>
      <c r="Y21">
        <v>0</v>
      </c>
      <c r="Z21">
        <v>0</v>
      </c>
      <c r="AA21">
        <v>0</v>
      </c>
      <c r="AB21" s="30">
        <f>IF(B21="Sling Bullet (Stone)",ROUNDUP(D21*0.02*E21/'Ingredient stats'!$C$8,0),0)</f>
        <v>0</v>
      </c>
      <c r="AC21" t="str">
        <f t="shared" si="0"/>
        <v>None</v>
      </c>
      <c r="AD21" t="str">
        <f>IF(OR(B21="Buck",B21="Bird",B21="Charge (Scatter)"),'Ammo Input'!J21,"None")</f>
        <v>None</v>
      </c>
      <c r="AE21" t="str">
        <f>_xlfn.IFS(ISTEXT(Calcs!N21),Calcs!N21,Calcs!N21&lt;=40,Calcs!N21,Calcs!N21&gt;41,"40")</f>
        <v>None</v>
      </c>
      <c r="AF21" t="str">
        <f>_xlfn.IFS(ISTEXT(Calcs!O21),Calcs!O21,Calcs!O21&lt;=80,Calcs!O21,Calcs!O21&gt;=81,"80")</f>
        <v>None</v>
      </c>
      <c r="AG21" s="25">
        <f t="shared" si="1"/>
        <v>1</v>
      </c>
      <c r="AH21" s="25">
        <f t="shared" si="2"/>
        <v>2.47</v>
      </c>
      <c r="AI21" s="25">
        <f t="shared" si="3"/>
        <v>1</v>
      </c>
    </row>
    <row r="22" ht="14.4" spans="1:35">
      <c r="A22" s="24" t="str">
        <f>'Ammo Input'!A22</f>
        <v>8x35mm Charged</v>
      </c>
      <c r="B22" t="str">
        <f>'Ammo Input'!B22</f>
        <v>Charge (Ion)</v>
      </c>
      <c r="C22">
        <f>ROUNDUP(('Ammo Input'!C22*(MAX('Ammo Input'!D22,'Ammo Input'!F22)*0.5)^2*PI())*3/1000000,2)</f>
        <v>0.02</v>
      </c>
      <c r="D22">
        <f>ROUNDUP(('Ammo Input'!E22+'Ammo Input'!H22*IF('Ammo Input'!J22&lt;&gt;"",MAX('Ammo Input'!J22,1),1))/1000,3)</f>
        <v>0.018</v>
      </c>
      <c r="E22">
        <f>MIN(5000,MAX(25,CEILING(Calcs!L22,_xlfn.IFS(Calcs!L22&lt;100,25,Calcs!L22&lt;250,50,Calcs!L22&lt;1000,250,Calcs!L22&gt;=1000,1000))))</f>
        <v>5000</v>
      </c>
      <c r="F22">
        <f>ROUNDUP('Ammo Input'!G22^(3/4),0)</f>
        <v>151</v>
      </c>
      <c r="G22">
        <f>ROUND((0.5*((IF(OR(B22="HEAT",B22="HEDP"),'Ammo Input'!N22,'Ammo Input'!H22)/1000)*(IF(B22="HEAT",9000,IF(B22="HEDP",1500,'Ammo Input'!G22))^2))),0)</f>
        <v>2880</v>
      </c>
      <c r="H22" s="25" t="str">
        <f>CONCATENATE(IF((B22="Foam")+(B22="Smoke"),"-",ROUND(Calcs!D22,0))," ",VLOOKUP(B22,AmmoTypeFactors,5,FALSE))</f>
        <v>15 Bullet</v>
      </c>
      <c r="I22" s="25" t="str">
        <f>IF(Calcs!E22=0,"None",CONCATENATE(ROUND(Calcs!E22,0)," ",VLOOKUP(B22,AmmoTypeFactors,6,FALSE)))</f>
        <v>9 EMP</v>
      </c>
      <c r="J22">
        <f>MROUND(2.42*'Ammo Input'!M22^(1/3)*VLOOKUP(B22,AmmoTypeFactors,3,FALSE),0.5)</f>
        <v>0</v>
      </c>
      <c r="K22" s="25" t="str">
        <f>IF(VLOOKUP(B22,AmmoTypeFactors,12,FALSE),MROUND(J22/3,0.5),"None")</f>
        <v>None</v>
      </c>
      <c r="L22" s="25">
        <f>IF(VLOOKUP(B22,AmmoTypeFactors,8,FALSE),"None",ROUNDUP(IF(Calcs!I22&gt;0,Calcs!I22,Calcs!H22),3))</f>
        <v>57.6</v>
      </c>
      <c r="M22" s="25">
        <f>IF(VLOOKUP(B22,AmmoTypeFactors,8,FALSE),"None",'Ammo Input'!L22)</f>
        <v>24</v>
      </c>
      <c r="N22">
        <f>'Ammo Input'!O22</f>
        <v>500</v>
      </c>
      <c r="O22" t="e">
        <f>ROUND((P22*0.0036+SUMPRODUCT(Q22:AB22,VLOOKUP($Q$1:$AB$1,IngredientStats,2,FALSE)))/N22*IF('Ammo Input'!R22,0.5,1),2)</f>
        <v>#VALUE!</v>
      </c>
      <c r="P22" t="e">
        <f>(SUMPRODUCT(Q22:AB22,VLOOKUP($Q$1:$AB$1,IngredientStats,4,FALSE))*VLOOKUP(B22,AmmoTypeFactors,14,FALSE)*IF('Ammo Input'!R22,1.1,1))</f>
        <v>#VALUE!</v>
      </c>
      <c r="Q22">
        <f>IFERROR(__xludf.DUMMYFUNCTION("((IF(NOT(OR(REGEXMATCH(B22, ""Arrow""), B22 = ""Javelin"", B22 = ""Stick bomb"")), ROUNDUP(('Ammo Input'!E22 / 1000) * N22)) + IF(VLOOKUP(B22, AmmoTypeFactors, 9, FALSE) = ""Steel"", ROUNDUP(('Ammo Input'!H22 -'Ammo Input'!M22) * MAX(IF('Ammo Input'!J22 &gt;"&amp;" 0, 'Ammo Input'!J22, 1), 1) * N22 / 1000))) / 'Ingredient stats'!$C$2) * IF(ISBLANK(VLOOKUP(B22,AmmoTypeFactors,15,False)),1,VLOOKUP(B22,AmmoTypeFactors,15,False))"),10)</f>
        <v>10</v>
      </c>
      <c r="R22">
        <f>IFERROR(__xludf.DUMMYFUNCTION("ROUNDUP((IF(REGEXMATCH(B22, ""Arrow"") + (B22 = ""Javelin""), 'Ammo Input'!E22) + IF(VLOOKUP(B22, AmmoTypeFactors, 9, FALSE) = ""Wood"", 'Ammo Input'!H22) + IF(B22 = ""Stick bomb"", 'Ammo Input'!E22)) * N22 / 'Ingredient stats'!$C$12 / 1000)"),0)</f>
        <v>0</v>
      </c>
      <c r="S22">
        <v>0</v>
      </c>
      <c r="T22">
        <v>0</v>
      </c>
      <c r="U22">
        <f>IF(VLOOKUP(B22,AmmoTypeFactors,9,FALSE)="Plasteel",ROUNDUP(('Ammo Input'!H22*MAX(IF('Ammo Input'!J22&gt;0,'Ammo Input'!J22,1)*N22/1000/'Ingredient stats'!$C$4)),0),0)</f>
        <v>18</v>
      </c>
      <c r="V22">
        <f>IFERROR(__xludf.DUMMYFUNCTION("ROUNDUP(IF(ISBLANK(VLOOKUP(B22,AmmoTypeFactors,16,False)),1,VLOOKUP(B22,AmmoTypeFactors,16,False)) * (IFS(REGEXMATCH(B22, ""EMP""), 'Ammo Input'!M22 * N22 / 'Ingredient stats'!$C$5, REGEXMATCH(B22, ""Charge""), (U22^0.75), true, 0) + (IF(VLOOKUP(B22, Ammo"&amp;"TypeFactors, 10, false), 2,0) + IF('Ammo Input'!P22, 2,0) + IF('Ammo Input'!Q22,MIN(ROUNDUP(0.2*('Ammo Input'!H22/1000)*'Ammo Input'!O22,0),20),0))))"),9)</f>
        <v>9</v>
      </c>
      <c r="W22">
        <v>0</v>
      </c>
      <c r="X22">
        <v>0</v>
      </c>
      <c r="Y22">
        <v>0</v>
      </c>
      <c r="Z22">
        <v>0</v>
      </c>
      <c r="AA22">
        <v>0</v>
      </c>
      <c r="AB22" s="30">
        <f>IF(B22="Sling Bullet (Stone)",ROUNDUP(D22*0.02*E22/'Ingredient stats'!$C$8,0),0)</f>
        <v>0</v>
      </c>
      <c r="AC22" t="str">
        <f t="shared" si="0"/>
        <v>None</v>
      </c>
      <c r="AD22" t="str">
        <f>IF(OR(B22="Buck",B22="Bird",B22="Charge (Scatter)"),'Ammo Input'!J22,"None")</f>
        <v>None</v>
      </c>
      <c r="AE22" t="str">
        <f>_xlfn.IFS(ISTEXT(Calcs!N22),Calcs!N22,Calcs!N22&lt;=40,Calcs!N22,Calcs!N22&gt;41,"40")</f>
        <v>None</v>
      </c>
      <c r="AF22" t="str">
        <f>_xlfn.IFS(ISTEXT(Calcs!O22),Calcs!O22,Calcs!O22&lt;=80,Calcs!O22,Calcs!O22&gt;=81,"80")</f>
        <v>None</v>
      </c>
      <c r="AG22" s="25">
        <f t="shared" si="1"/>
        <v>1</v>
      </c>
      <c r="AH22" s="25">
        <f t="shared" si="2"/>
        <v>2.47</v>
      </c>
      <c r="AI22" s="25">
        <f t="shared" si="3"/>
        <v>1</v>
      </c>
    </row>
    <row r="23" ht="14.4" spans="1:35">
      <c r="A23" s="24" t="str">
        <f>'Ammo Input'!A23</f>
        <v>8x40mm Charged</v>
      </c>
      <c r="B23" t="str">
        <f>'Ammo Input'!B23</f>
        <v>Charge</v>
      </c>
      <c r="C23">
        <f>ROUNDUP(('Ammo Input'!C23*(MAX('Ammo Input'!D23,'Ammo Input'!F23)*0.5)^2*PI())*3/1000000,2)</f>
        <v>0.02</v>
      </c>
      <c r="D23">
        <f>ROUNDUP(('Ammo Input'!E23+'Ammo Input'!H23*IF('Ammo Input'!J23&lt;&gt;"",MAX('Ammo Input'!J23,1),1))/1000,3)</f>
        <v>0.021</v>
      </c>
      <c r="E23">
        <f>MIN(5000,MAX(25,CEILING(Calcs!L23,_xlfn.IFS(Calcs!L23&lt;100,25,Calcs!L23&lt;250,50,Calcs!L23&lt;1000,250,Calcs!L23&gt;=1000,1000))))</f>
        <v>5000</v>
      </c>
      <c r="F23">
        <f>ROUNDUP('Ammo Input'!G23^(3/4),0)</f>
        <v>178</v>
      </c>
      <c r="G23">
        <f>ROUND((0.5*((IF(OR(B23="HEAT",B23="HEDP"),'Ammo Input'!N23,'Ammo Input'!H23)/1000)*(IF(B23="HEAT",9000,IF(B23="HEDP",1500,'Ammo Input'!G23))^2))),0)</f>
        <v>4500</v>
      </c>
      <c r="H23" s="25" t="str">
        <f>CONCATENATE(IF((B23="Foam")+(B23="Smoke"),"-",ROUND(Calcs!D23,0))," ",VLOOKUP(B23,AmmoTypeFactors,5,FALSE))</f>
        <v>22 Bullet</v>
      </c>
      <c r="I23" s="25" t="str">
        <f>IF(Calcs!E23=0,"None",CONCATENATE(ROUND(Calcs!E23,0)," ",VLOOKUP(B23,AmmoTypeFactors,6,FALSE)))</f>
        <v>7 Bomb_Secondary</v>
      </c>
      <c r="J23">
        <f>MROUND(2.42*'Ammo Input'!M23^(1/3)*VLOOKUP(B23,AmmoTypeFactors,3,FALSE),0.5)</f>
        <v>0</v>
      </c>
      <c r="K23" s="25" t="str">
        <f>IF(VLOOKUP(B23,AmmoTypeFactors,12,FALSE),MROUND(J23/3,0.5),"None")</f>
        <v>None</v>
      </c>
      <c r="L23" s="25">
        <f>IF(VLOOKUP(B23,AmmoTypeFactors,8,FALSE),"None",ROUNDUP(IF(Calcs!I23&gt;0,Calcs!I23,Calcs!H23),3))</f>
        <v>90</v>
      </c>
      <c r="M23" s="25">
        <f>IF(VLOOKUP(B23,AmmoTypeFactors,8,FALSE),"None",'Ammo Input'!L23)</f>
        <v>16</v>
      </c>
      <c r="N23">
        <f>'Ammo Input'!O23</f>
        <v>500</v>
      </c>
      <c r="O23" t="e">
        <f>ROUND((P23*0.0036+SUMPRODUCT(Q23:AB23,VLOOKUP($Q$1:$AB$1,IngredientStats,2,FALSE)))/N23*IF('Ammo Input'!R23,0.5,1),2)</f>
        <v>#VALUE!</v>
      </c>
      <c r="P23" t="e">
        <f>(SUMPRODUCT(Q23:AB23,VLOOKUP($Q$1:$AB$1,IngredientStats,4,FALSE))*VLOOKUP(B23,AmmoTypeFactors,14,FALSE)*IF('Ammo Input'!R23,1.1,1))</f>
        <v>#VALUE!</v>
      </c>
      <c r="Q23">
        <f>IFERROR(__xludf.DUMMYFUNCTION("((IF(NOT(OR(REGEXMATCH(B23, ""Arrow""), B23 = ""Javelin"", B23 = ""Stick bomb"")), ROUNDUP(('Ammo Input'!E23 / 1000) * N23)) + IF(VLOOKUP(B23, AmmoTypeFactors, 9, FALSE) = ""Steel"", ROUNDUP(('Ammo Input'!H23 -'Ammo Input'!M23) * MAX(IF('Ammo Input'!J23 &gt;"&amp;" 0, 'Ammo Input'!J23, 1), 1) * N23 / 1000))) / 'Ingredient stats'!$C$2) * IF(ISBLANK(VLOOKUP(B23,AmmoTypeFactors,15,False)),1,VLOOKUP(B23,AmmoTypeFactors,15,False))"),12)</f>
        <v>12</v>
      </c>
      <c r="R23">
        <f>IFERROR(__xludf.DUMMYFUNCTION("ROUNDUP((IF(REGEXMATCH(B23, ""Arrow"") + (B23 = ""Javelin""), 'Ammo Input'!E23) + IF(VLOOKUP(B23, AmmoTypeFactors, 9, FALSE) = ""Wood"", 'Ammo Input'!H23) + IF(B23 = ""Stick bomb"", 'Ammo Input'!E23)) * N23 / 'Ingredient stats'!$C$12 / 1000)"),0)</f>
        <v>0</v>
      </c>
      <c r="S23">
        <v>0</v>
      </c>
      <c r="T23">
        <v>0</v>
      </c>
      <c r="U23">
        <f>IF(VLOOKUP(B23,AmmoTypeFactors,9,FALSE)="Plasteel",ROUNDUP(('Ammo Input'!H23*MAX(IF('Ammo Input'!J23&gt;0,'Ammo Input'!J23,1)*N23/1000/'Ingredient stats'!$C$4)),0),0)</f>
        <v>18</v>
      </c>
      <c r="V23">
        <f>IFERROR(__xludf.DUMMYFUNCTION("ROUNDUP(IF(ISBLANK(VLOOKUP(B23,AmmoTypeFactors,16,False)),1,VLOOKUP(B23,AmmoTypeFactors,16,False)) * (IFS(REGEXMATCH(B23, ""EMP""), 'Ammo Input'!M23 * N23 / 'Ingredient stats'!$C$5, REGEXMATCH(B23, ""Charge""), (U23^0.75), true, 0) + (IF(VLOOKUP(B23, Ammo"&amp;"TypeFactors, 10, false), 2,0) + IF('Ammo Input'!P23, 2,0) + IF('Ammo Input'!Q23,MIN(ROUNDUP(0.2*('Ammo Input'!H23/1000)*'Ammo Input'!O23,0),20),0))))"),9)</f>
        <v>9</v>
      </c>
      <c r="W23">
        <v>0</v>
      </c>
      <c r="X23">
        <v>0</v>
      </c>
      <c r="Y23">
        <v>0</v>
      </c>
      <c r="Z23">
        <v>0</v>
      </c>
      <c r="AA23">
        <v>0</v>
      </c>
      <c r="AB23" s="30">
        <f>IF(B23="Sling Bullet (Stone)",ROUNDUP(D23*0.02*E23/'Ingredient stats'!$C$8,0),0)</f>
        <v>0</v>
      </c>
      <c r="AC23" t="str">
        <f t="shared" si="0"/>
        <v>None</v>
      </c>
      <c r="AD23" t="str">
        <f>IF(OR(B23="Buck",B23="Bird",B23="Charge (Scatter)"),'Ammo Input'!J23,"None")</f>
        <v>None</v>
      </c>
      <c r="AE23" t="str">
        <f>_xlfn.IFS(ISTEXT(Calcs!N23),Calcs!N23,Calcs!N23&lt;=40,Calcs!N23,Calcs!N23&gt;41,"40")</f>
        <v>None</v>
      </c>
      <c r="AF23" t="str">
        <f>_xlfn.IFS(ISTEXT(Calcs!O23),Calcs!O23,Calcs!O23&lt;=80,Calcs!O23,Calcs!O23&gt;=81,"80")</f>
        <v>None</v>
      </c>
      <c r="AG23" s="25">
        <f t="shared" si="1"/>
        <v>1</v>
      </c>
      <c r="AH23" s="25">
        <f t="shared" si="2"/>
        <v>2.9</v>
      </c>
      <c r="AI23" s="25">
        <f t="shared" si="3"/>
        <v>1</v>
      </c>
    </row>
    <row r="24" ht="14.4" spans="1:35">
      <c r="A24" s="24" t="str">
        <f>'Ammo Input'!A24</f>
        <v>8x50mm Charged</v>
      </c>
      <c r="B24" t="str">
        <f>'Ammo Input'!B24</f>
        <v>Charge</v>
      </c>
      <c r="C24">
        <f>ROUNDUP(('Ammo Input'!C24*(MAX('Ammo Input'!D24,'Ammo Input'!F24)*0.5)^2*PI())*3/1000000,2)</f>
        <v>0.02</v>
      </c>
      <c r="D24">
        <f>ROUNDUP(('Ammo Input'!E24+'Ammo Input'!H24*IF('Ammo Input'!J24&lt;&gt;"",MAX('Ammo Input'!J24,1),1))/1000,3)</f>
        <v>0.027</v>
      </c>
      <c r="E24">
        <f>MIN(5000,MAX(25,CEILING(Calcs!L24,_xlfn.IFS(Calcs!L24&lt;100,25,Calcs!L24&lt;250,50,Calcs!L24&lt;1000,250,Calcs!L24&gt;=1000,1000))))</f>
        <v>5000</v>
      </c>
      <c r="F24">
        <f>ROUNDUP('Ammo Input'!G24^(3/4),0)</f>
        <v>178</v>
      </c>
      <c r="G24">
        <f>ROUND((0.5*((IF(OR(B24="HEAT",B24="HEDP"),'Ammo Input'!N24,'Ammo Input'!H24)/1000)*(IF(B24="HEAT",9000,IF(B24="HEDP",1500,'Ammo Input'!G24))^2))),0)</f>
        <v>6000</v>
      </c>
      <c r="H24" s="25" t="str">
        <f>CONCATENATE(IF((B24="Foam")+(B24="Smoke"),"-",ROUND(Calcs!D24,0))," ",VLOOKUP(B24,AmmoTypeFactors,5,FALSE))</f>
        <v>24 Bullet</v>
      </c>
      <c r="I24" s="25" t="str">
        <f>IF(Calcs!E24=0,"None",CONCATENATE(ROUND(Calcs!E24,0)," ",VLOOKUP(B24,AmmoTypeFactors,6,FALSE)))</f>
        <v>7 Bomb_Secondary</v>
      </c>
      <c r="J24">
        <f>MROUND(2.42*'Ammo Input'!M24^(1/3)*VLOOKUP(B24,AmmoTypeFactors,3,FALSE),0.5)</f>
        <v>0</v>
      </c>
      <c r="K24" s="25" t="str">
        <f>IF(VLOOKUP(B24,AmmoTypeFactors,12,FALSE),MROUND(J24/3,0.5),"None")</f>
        <v>None</v>
      </c>
      <c r="L24" s="25">
        <f>IF(VLOOKUP(B24,AmmoTypeFactors,8,FALSE),"None",ROUNDUP(IF(Calcs!I24&gt;0,Calcs!I24,Calcs!H24),3))</f>
        <v>120</v>
      </c>
      <c r="M24" s="25">
        <f>IF(VLOOKUP(B24,AmmoTypeFactors,8,FALSE),"None",'Ammo Input'!L24)</f>
        <v>18</v>
      </c>
      <c r="N24">
        <f>'Ammo Input'!O24</f>
        <v>500</v>
      </c>
      <c r="O24" t="e">
        <f>ROUND((P24*0.0036+SUMPRODUCT(Q24:AB24,VLOOKUP($Q$1:$AB$1,IngredientStats,2,FALSE)))/N24*IF('Ammo Input'!R24,0.5,1),2)</f>
        <v>#VALUE!</v>
      </c>
      <c r="P24" t="e">
        <f>(SUMPRODUCT(Q24:AB24,VLOOKUP($Q$1:$AB$1,IngredientStats,4,FALSE))*VLOOKUP(B24,AmmoTypeFactors,14,FALSE)*IF('Ammo Input'!R24,1.1,1))</f>
        <v>#VALUE!</v>
      </c>
      <c r="Q24">
        <f>IFERROR(__xludf.DUMMYFUNCTION("((IF(NOT(OR(REGEXMATCH(B24, ""Arrow""), B24 = ""Javelin"", B24 = ""Stick bomb"")), ROUNDUP(('Ammo Input'!E24 / 1000) * N24)) + IF(VLOOKUP(B24, AmmoTypeFactors, 9, FALSE) = ""Steel"", ROUNDUP(('Ammo Input'!H24 -'Ammo Input'!M24) * MAX(IF('Ammo Input'!J24 &gt;"&amp;" 0, 'Ammo Input'!J24, 1), 1) * N24 / 1000))) / 'Ingredient stats'!$C$2) * IF(ISBLANK(VLOOKUP(B24,AmmoTypeFactors,15,False)),1,VLOOKUP(B24,AmmoTypeFactors,15,False))"),16)</f>
        <v>16</v>
      </c>
      <c r="R24">
        <f>IFERROR(__xludf.DUMMYFUNCTION("ROUNDUP((IF(REGEXMATCH(B24, ""Arrow"") + (B24 = ""Javelin""), 'Ammo Input'!E24) + IF(VLOOKUP(B24, AmmoTypeFactors, 9, FALSE) = ""Wood"", 'Ammo Input'!H24) + IF(B24 = ""Stick bomb"", 'Ammo Input'!E24)) * N24 / 'Ingredient stats'!$C$12 / 1000)"),0)</f>
        <v>0</v>
      </c>
      <c r="S24">
        <v>0</v>
      </c>
      <c r="T24">
        <v>0</v>
      </c>
      <c r="U24">
        <f>IF(VLOOKUP(B24,AmmoTypeFactors,9,FALSE)="Plasteel",ROUNDUP(('Ammo Input'!H24*MAX(IF('Ammo Input'!J24&gt;0,'Ammo Input'!J24,1)*N24/1000/'Ingredient stats'!$C$4)),0),0)</f>
        <v>24</v>
      </c>
      <c r="V24">
        <f>IFERROR(__xludf.DUMMYFUNCTION("ROUNDUP(IF(ISBLANK(VLOOKUP(B24,AmmoTypeFactors,16,False)),1,VLOOKUP(B24,AmmoTypeFactors,16,False)) * (IFS(REGEXMATCH(B24, ""EMP""), 'Ammo Input'!M24 * N24 / 'Ingredient stats'!$C$5, REGEXMATCH(B24, ""Charge""), (U24^0.75), true, 0) + (IF(VLOOKUP(B24, Ammo"&amp;"TypeFactors, 10, false), 2,0) + IF('Ammo Input'!P24, 2,0) + IF('Ammo Input'!Q24,MIN(ROUNDUP(0.2*('Ammo Input'!H24/1000)*'Ammo Input'!O24,0),20),0))))"),11)</f>
        <v>11</v>
      </c>
      <c r="W24">
        <v>0</v>
      </c>
      <c r="X24">
        <v>0</v>
      </c>
      <c r="Y24">
        <v>0</v>
      </c>
      <c r="Z24">
        <v>0</v>
      </c>
      <c r="AA24">
        <v>0</v>
      </c>
      <c r="AB24" s="30">
        <f>IF(B24="Sling Bullet (Stone)",ROUNDUP(D24*0.02*E24/'Ingredient stats'!$C$8,0),0)</f>
        <v>0</v>
      </c>
      <c r="AC24" t="str">
        <f t="shared" si="0"/>
        <v>None</v>
      </c>
      <c r="AD24" t="str">
        <f>IF(OR(B24="Buck",B24="Bird",B24="Charge (Scatter)"),'Ammo Input'!J24,"None")</f>
        <v>None</v>
      </c>
      <c r="AE24" t="str">
        <f>_xlfn.IFS(ISTEXT(Calcs!N24),Calcs!N24,Calcs!N24&lt;=40,Calcs!N24,Calcs!N24&gt;41,"40")</f>
        <v>None</v>
      </c>
      <c r="AF24" t="str">
        <f>_xlfn.IFS(ISTEXT(Calcs!O24),Calcs!O24,Calcs!O24&lt;=80,Calcs!O24,Calcs!O24&gt;=81,"80")</f>
        <v>None</v>
      </c>
      <c r="AG24" s="25">
        <f t="shared" si="1"/>
        <v>1</v>
      </c>
      <c r="AH24" s="25">
        <f t="shared" si="2"/>
        <v>2.9</v>
      </c>
      <c r="AI24" s="25">
        <f t="shared" si="3"/>
        <v>1</v>
      </c>
    </row>
    <row r="25" ht="14.4" spans="1:35">
      <c r="A25" s="24" t="str">
        <f>'Ammo Input'!A25</f>
        <v>8x50mm Charged</v>
      </c>
      <c r="B25" t="str">
        <f>'Ammo Input'!B25</f>
        <v>Charge (Concentrated)</v>
      </c>
      <c r="C25">
        <f>ROUNDUP(('Ammo Input'!C25*(MAX('Ammo Input'!D25,'Ammo Input'!F25)*0.5)^2*PI())*3/1000000,2)</f>
        <v>0.02</v>
      </c>
      <c r="D25">
        <f>ROUNDUP(('Ammo Input'!E25+'Ammo Input'!H25*IF('Ammo Input'!J25&lt;&gt;"",MAX('Ammo Input'!J25,1),1))/1000,3)</f>
        <v>0.027</v>
      </c>
      <c r="E25">
        <f>MIN(5000,MAX(25,CEILING(Calcs!L25,_xlfn.IFS(Calcs!L25&lt;100,25,Calcs!L25&lt;250,50,Calcs!L25&lt;1000,250,Calcs!L25&gt;=1000,1000))))</f>
        <v>5000</v>
      </c>
      <c r="F25">
        <f>ROUNDUP('Ammo Input'!G25^(3/4),0)</f>
        <v>178</v>
      </c>
      <c r="G25">
        <f>ROUND((0.5*((IF(OR(B25="HEAT",B25="HEDP"),'Ammo Input'!N25,'Ammo Input'!H25)/1000)*(IF(B25="HEAT",9000,IF(B25="HEDP",1500,'Ammo Input'!G25))^2))),0)</f>
        <v>6000</v>
      </c>
      <c r="H25" s="25" t="str">
        <f>CONCATENATE(IF((B25="Foam")+(B25="Smoke"),"-",ROUND(Calcs!D25,0))," ",VLOOKUP(B25,AmmoTypeFactors,5,FALSE))</f>
        <v>19 Bullet</v>
      </c>
      <c r="I25" s="25" t="str">
        <f>IF(Calcs!E25=0,"None",CONCATENATE(ROUND(Calcs!E25,0)," ",VLOOKUP(B25,AmmoTypeFactors,6,FALSE)))</f>
        <v>3 Bomb_Secondary</v>
      </c>
      <c r="J25">
        <f>MROUND(2.42*'Ammo Input'!M25^(1/3)*VLOOKUP(B25,AmmoTypeFactors,3,FALSE),0.5)</f>
        <v>0</v>
      </c>
      <c r="K25" s="25" t="str">
        <f>IF(VLOOKUP(B25,AmmoTypeFactors,12,FALSE),MROUND(J25/3,0.5),"None")</f>
        <v>None</v>
      </c>
      <c r="L25" s="25">
        <f>IF(VLOOKUP(B25,AmmoTypeFactors,8,FALSE),"None",ROUNDUP(IF(Calcs!I25&gt;0,Calcs!I25,Calcs!H25),3))</f>
        <v>120</v>
      </c>
      <c r="M25" s="25">
        <f>IF(VLOOKUP(B25,AmmoTypeFactors,8,FALSE),"None",'Ammo Input'!L25)</f>
        <v>36</v>
      </c>
      <c r="N25">
        <f>'Ammo Input'!O25</f>
        <v>500</v>
      </c>
      <c r="O25" t="e">
        <f>ROUND((P25*0.0036+SUMPRODUCT(Q25:AB25,VLOOKUP($Q$1:$AB$1,IngredientStats,2,FALSE)))/N25*IF('Ammo Input'!R25,0.5,1),2)</f>
        <v>#VALUE!</v>
      </c>
      <c r="P25" t="e">
        <f>(SUMPRODUCT(Q25:AB25,VLOOKUP($Q$1:$AB$1,IngredientStats,4,FALSE))*VLOOKUP(B25,AmmoTypeFactors,14,FALSE)*IF('Ammo Input'!R25,1.1,1))</f>
        <v>#VALUE!</v>
      </c>
      <c r="Q25">
        <f>IFERROR(__xludf.DUMMYFUNCTION("((IF(NOT(OR(REGEXMATCH(B25, ""Arrow""), B25 = ""Javelin"", B25 = ""Stick bomb"")), ROUNDUP(('Ammo Input'!E25 / 1000) * N25)) + IF(VLOOKUP(B25, AmmoTypeFactors, 9, FALSE) = ""Steel"", ROUNDUP(('Ammo Input'!H25 -'Ammo Input'!M25) * MAX(IF('Ammo Input'!J25 &gt;"&amp;" 0, 'Ammo Input'!J25, 1), 1) * N25 / 1000))) / 'Ingredient stats'!$C$2) * IF(ISBLANK(VLOOKUP(B25,AmmoTypeFactors,15,False)),1,VLOOKUP(B25,AmmoTypeFactors,15,False))"),16)</f>
        <v>16</v>
      </c>
      <c r="R25">
        <f>IFERROR(__xludf.DUMMYFUNCTION("ROUNDUP((IF(REGEXMATCH(B25, ""Arrow"") + (B25 = ""Javelin""), 'Ammo Input'!E25) + IF(VLOOKUP(B25, AmmoTypeFactors, 9, FALSE) = ""Wood"", 'Ammo Input'!H25) + IF(B25 = ""Stick bomb"", 'Ammo Input'!E25)) * N25 / 'Ingredient stats'!$C$12 / 1000)"),0)</f>
        <v>0</v>
      </c>
      <c r="S25">
        <v>0</v>
      </c>
      <c r="T25">
        <v>0</v>
      </c>
      <c r="U25">
        <f>IF(VLOOKUP(B25,AmmoTypeFactors,9,FALSE)="Plasteel",ROUNDUP(('Ammo Input'!H25*MAX(IF('Ammo Input'!J25&gt;0,'Ammo Input'!J25,1)*N25/1000/'Ingredient stats'!$C$4)),0),0)</f>
        <v>24</v>
      </c>
      <c r="V25">
        <f>IFERROR(__xludf.DUMMYFUNCTION("ROUNDUP(IF(ISBLANK(VLOOKUP(B25,AmmoTypeFactors,16,False)),1,VLOOKUP(B25,AmmoTypeFactors,16,False)) * (IFS(REGEXMATCH(B25, ""EMP""), 'Ammo Input'!M25 * N25 / 'Ingredient stats'!$C$5, REGEXMATCH(B25, ""Charge""), (U25^0.75), true, 0) + (IF(VLOOKUP(B25, Ammo"&amp;"TypeFactors, 10, false), 2,0) + IF('Ammo Input'!P25, 2,0) + IF('Ammo Input'!Q25,MIN(ROUNDUP(0.2*('Ammo Input'!H25/1000)*'Ammo Input'!O25,0),20),0))))"),11)</f>
        <v>11</v>
      </c>
      <c r="W25">
        <v>0</v>
      </c>
      <c r="X25">
        <v>0</v>
      </c>
      <c r="Y25">
        <v>0</v>
      </c>
      <c r="Z25">
        <v>0</v>
      </c>
      <c r="AA25">
        <v>0</v>
      </c>
      <c r="AB25" s="30">
        <f>IF(B25="Sling Bullet (Stone)",ROUNDUP(D25*0.02*E25/'Ingredient stats'!$C$8,0),0)</f>
        <v>0</v>
      </c>
      <c r="AC25" t="str">
        <f t="shared" si="0"/>
        <v>None</v>
      </c>
      <c r="AD25" t="str">
        <f>IF(OR(B25="Buck",B25="Bird",B25="Charge (Scatter)"),'Ammo Input'!J25,"None")</f>
        <v>None</v>
      </c>
      <c r="AE25" t="str">
        <f>_xlfn.IFS(ISTEXT(Calcs!N25),Calcs!N25,Calcs!N25&lt;=40,Calcs!N25,Calcs!N25&gt;41,"40")</f>
        <v>None</v>
      </c>
      <c r="AF25" t="str">
        <f>_xlfn.IFS(ISTEXT(Calcs!O25),Calcs!O25,Calcs!O25&lt;=80,Calcs!O25,Calcs!O25&gt;=81,"80")</f>
        <v>None</v>
      </c>
      <c r="AG25" s="25">
        <f t="shared" si="1"/>
        <v>1</v>
      </c>
      <c r="AH25" s="25">
        <f t="shared" si="2"/>
        <v>2.9</v>
      </c>
      <c r="AI25" s="25">
        <f t="shared" si="3"/>
        <v>1</v>
      </c>
    </row>
    <row r="26" ht="14.4" spans="1:35">
      <c r="A26" s="24" t="str">
        <f>'Ammo Input'!A26</f>
        <v>8x50mm Charged</v>
      </c>
      <c r="B26" t="str">
        <f>'Ammo Input'!B26</f>
        <v>Charge (Ion)</v>
      </c>
      <c r="C26">
        <f>ROUNDUP(('Ammo Input'!C26*(MAX('Ammo Input'!D26,'Ammo Input'!F26)*0.5)^2*PI())*3/1000000,2)</f>
        <v>0.02</v>
      </c>
      <c r="D26">
        <f>ROUNDUP(('Ammo Input'!E26+'Ammo Input'!H26*IF('Ammo Input'!J26&lt;&gt;"",MAX('Ammo Input'!J26,1),1))/1000,3)</f>
        <v>0.027</v>
      </c>
      <c r="E26">
        <f>MIN(5000,MAX(25,CEILING(Calcs!L26,_xlfn.IFS(Calcs!L26&lt;100,25,Calcs!L26&lt;250,50,Calcs!L26&lt;1000,250,Calcs!L26&gt;=1000,1000))))</f>
        <v>5000</v>
      </c>
      <c r="F26">
        <f>ROUNDUP('Ammo Input'!G26^(3/4),0)</f>
        <v>178</v>
      </c>
      <c r="G26">
        <f>ROUND((0.5*((IF(OR(B26="HEAT",B26="HEDP"),'Ammo Input'!N26,'Ammo Input'!H26)/1000)*(IF(B26="HEAT",9000,IF(B26="HEDP",1500,'Ammo Input'!G26))^2))),0)</f>
        <v>6000</v>
      </c>
      <c r="H26" s="25" t="str">
        <f>CONCATENATE(IF((B26="Foam")+(B26="Smoke"),"-",ROUND(Calcs!D26,0))," ",VLOOKUP(B26,AmmoTypeFactors,5,FALSE))</f>
        <v>19 Bullet</v>
      </c>
      <c r="I26" s="25" t="str">
        <f>IF(Calcs!E26=0,"None",CONCATENATE(ROUND(Calcs!E26,0)," ",VLOOKUP(B26,AmmoTypeFactors,6,FALSE)))</f>
        <v>11 EMP</v>
      </c>
      <c r="J26">
        <f>MROUND(2.42*'Ammo Input'!M26^(1/3)*VLOOKUP(B26,AmmoTypeFactors,3,FALSE),0.5)</f>
        <v>0</v>
      </c>
      <c r="K26" s="25" t="str">
        <f>IF(VLOOKUP(B26,AmmoTypeFactors,12,FALSE),MROUND(J26/3,0.5),"None")</f>
        <v>None</v>
      </c>
      <c r="L26" s="25">
        <f>IF(VLOOKUP(B26,AmmoTypeFactors,8,FALSE),"None",ROUNDUP(IF(Calcs!I26&gt;0,Calcs!I26,Calcs!H26),3))</f>
        <v>120</v>
      </c>
      <c r="M26" s="25">
        <f>IF(VLOOKUP(B26,AmmoTypeFactors,8,FALSE),"None",'Ammo Input'!L26)</f>
        <v>27</v>
      </c>
      <c r="N26">
        <f>'Ammo Input'!O26</f>
        <v>500</v>
      </c>
      <c r="O26" t="e">
        <f>ROUND((P26*0.0036+SUMPRODUCT(Q26:AB26,VLOOKUP($Q$1:$AB$1,IngredientStats,2,FALSE)))/N26*IF('Ammo Input'!R26,0.5,1),2)</f>
        <v>#VALUE!</v>
      </c>
      <c r="P26" t="e">
        <f>(SUMPRODUCT(Q26:AB26,VLOOKUP($Q$1:$AB$1,IngredientStats,4,FALSE))*VLOOKUP(B26,AmmoTypeFactors,14,FALSE)*IF('Ammo Input'!R26,1.1,1))</f>
        <v>#VALUE!</v>
      </c>
      <c r="Q26">
        <f>IFERROR(__xludf.DUMMYFUNCTION("((IF(NOT(OR(REGEXMATCH(B26, ""Arrow""), B26 = ""Javelin"", B26 = ""Stick bomb"")), ROUNDUP(('Ammo Input'!E26 / 1000) * N26)) + IF(VLOOKUP(B26, AmmoTypeFactors, 9, FALSE) = ""Steel"", ROUNDUP(('Ammo Input'!H26 -'Ammo Input'!M26) * MAX(IF('Ammo Input'!J26 &gt;"&amp;" 0, 'Ammo Input'!J26, 1), 1) * N26 / 1000))) / 'Ingredient stats'!$C$2) * IF(ISBLANK(VLOOKUP(B26,AmmoTypeFactors,15,False)),1,VLOOKUP(B26,AmmoTypeFactors,15,False))"),16)</f>
        <v>16</v>
      </c>
      <c r="R26">
        <f>IFERROR(__xludf.DUMMYFUNCTION("ROUNDUP((IF(REGEXMATCH(B26, ""Arrow"") + (B26 = ""Javelin""), 'Ammo Input'!E26) + IF(VLOOKUP(B26, AmmoTypeFactors, 9, FALSE) = ""Wood"", 'Ammo Input'!H26) + IF(B26 = ""Stick bomb"", 'Ammo Input'!E26)) * N26 / 'Ingredient stats'!$C$12 / 1000)"),0)</f>
        <v>0</v>
      </c>
      <c r="S26">
        <v>0</v>
      </c>
      <c r="T26">
        <v>0</v>
      </c>
      <c r="U26">
        <f>IF(VLOOKUP(B26,AmmoTypeFactors,9,FALSE)="Plasteel",ROUNDUP(('Ammo Input'!H26*MAX(IF('Ammo Input'!J26&gt;0,'Ammo Input'!J26,1)*N26/1000/'Ingredient stats'!$C$4)),0),0)</f>
        <v>24</v>
      </c>
      <c r="V26">
        <f>IFERROR(__xludf.DUMMYFUNCTION("ROUNDUP(IF(ISBLANK(VLOOKUP(B26,AmmoTypeFactors,16,False)),1,VLOOKUP(B26,AmmoTypeFactors,16,False)) * (IFS(REGEXMATCH(B26, ""EMP""), 'Ammo Input'!M26 * N26 / 'Ingredient stats'!$C$5, REGEXMATCH(B26, ""Charge""), (U26^0.75), true, 0) + (IF(VLOOKUP(B26, Ammo"&amp;"TypeFactors, 10, false), 2,0) + IF('Ammo Input'!P26, 2,0) + IF('Ammo Input'!Q26,MIN(ROUNDUP(0.2*('Ammo Input'!H26/1000)*'Ammo Input'!O26,0),20),0))))"),11)</f>
        <v>11</v>
      </c>
      <c r="W26">
        <v>0</v>
      </c>
      <c r="X26">
        <v>0</v>
      </c>
      <c r="Y26">
        <v>0</v>
      </c>
      <c r="Z26">
        <v>0</v>
      </c>
      <c r="AA26">
        <v>0</v>
      </c>
      <c r="AB26" s="30">
        <f>IF(B26="Sling Bullet (Stone)",ROUNDUP(D26*0.02*E26/'Ingredient stats'!$C$8,0),0)</f>
        <v>0</v>
      </c>
      <c r="AC26" t="str">
        <f t="shared" si="0"/>
        <v>None</v>
      </c>
      <c r="AD26" t="str">
        <f>IF(OR(B26="Buck",B26="Bird",B26="Charge (Scatter)"),'Ammo Input'!J26,"None")</f>
        <v>None</v>
      </c>
      <c r="AE26" t="str">
        <f>_xlfn.IFS(ISTEXT(Calcs!N26),Calcs!N26,Calcs!N26&lt;=40,Calcs!N26,Calcs!N26&gt;41,"40")</f>
        <v>None</v>
      </c>
      <c r="AF26" t="str">
        <f>_xlfn.IFS(ISTEXT(Calcs!O26),Calcs!O26,Calcs!O26&lt;=80,Calcs!O26,Calcs!O26&gt;=81,"80")</f>
        <v>None</v>
      </c>
      <c r="AG26" s="25">
        <f t="shared" si="1"/>
        <v>1</v>
      </c>
      <c r="AH26" s="25">
        <f t="shared" si="2"/>
        <v>2.9</v>
      </c>
      <c r="AI26" s="25">
        <f t="shared" si="3"/>
        <v>1</v>
      </c>
    </row>
    <row r="27" ht="14.4" spans="1:35">
      <c r="A27" s="24" t="str">
        <f>'Ammo Input'!A27</f>
        <v>12 Gauge Charged</v>
      </c>
      <c r="B27" t="str">
        <f>'Ammo Input'!B27</f>
        <v>Charge (Scatter)</v>
      </c>
      <c r="C27">
        <f>ROUNDUP(('Ammo Input'!C27*(MAX('Ammo Input'!D27,'Ammo Input'!F27)*0.5)^2*PI())*3/1000000,2)</f>
        <v>0.06</v>
      </c>
      <c r="D27">
        <f>ROUNDUP(('Ammo Input'!E27+'Ammo Input'!H27*IF('Ammo Input'!J27&lt;&gt;"",MAX('Ammo Input'!J27,1),1))/1000,3)</f>
        <v>0.047</v>
      </c>
      <c r="E27">
        <f>MIN(5000,MAX(25,CEILING(Calcs!L27,_xlfn.IFS(Calcs!L27&lt;100,25,Calcs!L27&lt;250,50,Calcs!L27&lt;1000,250,Calcs!L27&gt;=1000,1000))))</f>
        <v>5000</v>
      </c>
      <c r="F27">
        <f>ROUNDUP('Ammo Input'!G27^(3/4),0)</f>
        <v>122</v>
      </c>
      <c r="G27">
        <f>ROUND((0.5*((IF(OR(B27="HEAT",B27="HEDP"),'Ammo Input'!N27,'Ammo Input'!H27)/1000)*(IF(B27="HEAT",9000,IF(B27="HEDP",1500,'Ammo Input'!G27))^2))),0)</f>
        <v>720</v>
      </c>
      <c r="H27" s="25" t="str">
        <f>CONCATENATE(IF((B27="Foam")+(B27="Smoke"),"-",ROUND(Calcs!D27,0))," ",VLOOKUP(B27,AmmoTypeFactors,5,FALSE))</f>
        <v>10 Bullet</v>
      </c>
      <c r="I27" s="25" t="str">
        <f>IF(Calcs!E27=0,"None",CONCATENATE(ROUND(Calcs!E27,0)," ",VLOOKUP(B27,AmmoTypeFactors,6,FALSE)))</f>
        <v>3 Bomb_Secondary</v>
      </c>
      <c r="J27">
        <f>MROUND(2.42*'Ammo Input'!M27^(1/3)*VLOOKUP(B27,AmmoTypeFactors,3,FALSE),0.5)</f>
        <v>0</v>
      </c>
      <c r="K27" s="25" t="str">
        <f>IF(VLOOKUP(B27,AmmoTypeFactors,12,FALSE),MROUND(J27/3,0.5),"None")</f>
        <v>None</v>
      </c>
      <c r="L27" s="25">
        <f>IF(VLOOKUP(B27,AmmoTypeFactors,8,FALSE),"None",ROUNDUP(IF(Calcs!I27&gt;0,Calcs!I27,Calcs!H27),3))</f>
        <v>14.4</v>
      </c>
      <c r="M27" s="25">
        <f>IF(VLOOKUP(B27,AmmoTypeFactors,8,FALSE),"None",'Ammo Input'!L27)</f>
        <v>10</v>
      </c>
      <c r="N27">
        <f>'Ammo Input'!O27</f>
        <v>200</v>
      </c>
      <c r="O27" t="e">
        <f>ROUND((P27*0.0036+SUMPRODUCT(Q27:AB27,VLOOKUP($Q$1:$AB$1,IngredientStats,2,FALSE)))/N27*IF('Ammo Input'!R27,0.5,1),2)</f>
        <v>#VALUE!</v>
      </c>
      <c r="P27" t="e">
        <f>(SUMPRODUCT(Q27:AB27,VLOOKUP($Q$1:$AB$1,IngredientStats,4,FALSE))*VLOOKUP(B27,AmmoTypeFactors,14,FALSE)*IF('Ammo Input'!R27,1.1,1))</f>
        <v>#VALUE!</v>
      </c>
      <c r="Q27">
        <f>IFERROR(__xludf.DUMMYFUNCTION("((IF(NOT(OR(REGEXMATCH(B27, ""Arrow""), B27 = ""Javelin"", B27 = ""Stick bomb"")), ROUNDUP(('Ammo Input'!E27 / 1000) * N27)) + IF(VLOOKUP(B27, AmmoTypeFactors, 9, FALSE) = ""Steel"", ROUNDUP(('Ammo Input'!H27 -'Ammo Input'!M27) * MAX(IF('Ammo Input'!J27 &gt;"&amp;" 0, 'Ammo Input'!J27, 1), 1) * N27 / 1000))) / 'Ingredient stats'!$C$2) * IF(ISBLANK(VLOOKUP(B27,AmmoTypeFactors,15,False)),1,VLOOKUP(B27,AmmoTypeFactors,15,False))"),10)</f>
        <v>10</v>
      </c>
      <c r="R27">
        <f>IFERROR(__xludf.DUMMYFUNCTION("ROUNDUP((IF(REGEXMATCH(B27, ""Arrow"") + (B27 = ""Javelin""), 'Ammo Input'!E27) + IF(VLOOKUP(B27, AmmoTypeFactors, 9, FALSE) = ""Wood"", 'Ammo Input'!H27) + IF(B27 = ""Stick bomb"", 'Ammo Input'!E27)) * N27 / 'Ingredient stats'!$C$12 / 1000)"),0)</f>
        <v>0</v>
      </c>
      <c r="S27">
        <v>0</v>
      </c>
      <c r="T27">
        <v>0</v>
      </c>
      <c r="U27">
        <f>IF(VLOOKUP(B27,AmmoTypeFactors,9,FALSE)="Plasteel",ROUNDUP(('Ammo Input'!H27*MAX(IF('Ammo Input'!J27&gt;0,'Ammo Input'!J27,1)*N27/1000/'Ingredient stats'!$C$4)),0),0)</f>
        <v>20</v>
      </c>
      <c r="V27">
        <f>IFERROR(__xludf.DUMMYFUNCTION("ROUNDUP(IF(ISBLANK(VLOOKUP(B27,AmmoTypeFactors,16,False)),1,VLOOKUP(B27,AmmoTypeFactors,16,False)) * (IFS(REGEXMATCH(B27, ""EMP""), 'Ammo Input'!M27 * N27 / 'Ingredient stats'!$C$5, REGEXMATCH(B27, ""Charge""), (U27^0.75), true, 0) + (IF(VLOOKUP(B27, Ammo"&amp;"TypeFactors, 10, false), 2,0) + IF('Ammo Input'!P27, 2,0) + IF('Ammo Input'!Q27,MIN(ROUNDUP(0.2*('Ammo Input'!H27/1000)*'Ammo Input'!O27,0),20),0))))"),10)</f>
        <v>10</v>
      </c>
      <c r="W27">
        <v>0</v>
      </c>
      <c r="X27">
        <v>0</v>
      </c>
      <c r="Y27">
        <v>0</v>
      </c>
      <c r="Z27">
        <v>0</v>
      </c>
      <c r="AA27">
        <v>0</v>
      </c>
      <c r="AB27" s="30">
        <f>IF(B27="Sling Bullet (Stone)",ROUNDUP(D27*0.02*E27/'Ingredient stats'!$C$8,0),0)</f>
        <v>0</v>
      </c>
      <c r="AC27">
        <f t="shared" si="0"/>
        <v>8.9</v>
      </c>
      <c r="AD27">
        <f>IF(OR(B27="Buck",B27="Bird",B27="Charge (Scatter)"),'Ammo Input'!J27,"None")</f>
        <v>6</v>
      </c>
      <c r="AE27" t="str">
        <f>_xlfn.IFS(ISTEXT(Calcs!N27),Calcs!N27,Calcs!N27&lt;=40,Calcs!N27,Calcs!N27&gt;41,"40")</f>
        <v>None</v>
      </c>
      <c r="AF27" t="str">
        <f>_xlfn.IFS(ISTEXT(Calcs!O27),Calcs!O27,Calcs!O27&lt;=80,Calcs!O27,Calcs!O27&gt;=81,"80")</f>
        <v>None</v>
      </c>
      <c r="AG27" s="25">
        <f t="shared" si="1"/>
        <v>1</v>
      </c>
      <c r="AH27" s="25">
        <f t="shared" si="2"/>
        <v>2</v>
      </c>
      <c r="AI27" s="25">
        <f t="shared" si="3"/>
        <v>1</v>
      </c>
    </row>
    <row r="28" ht="14.4" spans="1:35">
      <c r="A28" s="24" t="str">
        <f>'Ammo Input'!A28</f>
        <v>12 Gauge Charged</v>
      </c>
      <c r="B28" t="str">
        <f>'Ammo Input'!B28</f>
        <v>Charge (Slug)</v>
      </c>
      <c r="C28">
        <f>ROUNDUP(('Ammo Input'!C28*(MAX('Ammo Input'!D28,'Ammo Input'!F28)*0.5)^2*PI())*3/1000000,2)</f>
        <v>0.06</v>
      </c>
      <c r="D28">
        <f>ROUNDUP(('Ammo Input'!E28+'Ammo Input'!H28*IF('Ammo Input'!J28&lt;&gt;"",MAX('Ammo Input'!J28,1),1))/1000,3)</f>
        <v>0.043</v>
      </c>
      <c r="E28">
        <f>MIN(5000,MAX(25,CEILING(Calcs!L28,_xlfn.IFS(Calcs!L28&lt;100,25,Calcs!L28&lt;250,50,Calcs!L28&lt;1000,250,Calcs!L28&gt;=1000,1000))))</f>
        <v>5000</v>
      </c>
      <c r="F28">
        <f>ROUNDUP('Ammo Input'!G28^(3/4),0)</f>
        <v>122</v>
      </c>
      <c r="G28">
        <f>ROUND((0.5*((IF(OR(B28="HEAT",B28="HEDP"),'Ammo Input'!N28,'Ammo Input'!H28)/1000)*(IF(B28="HEAT",9000,IF(B28="HEDP",1500,'Ammo Input'!G28))^2))),0)</f>
        <v>4500</v>
      </c>
      <c r="H28" s="25" t="str">
        <f>CONCATENATE(IF((B28="Foam")+(B28="Smoke"),"-",ROUND(Calcs!D28,0))," ",VLOOKUP(B28,AmmoTypeFactors,5,FALSE))</f>
        <v>24 Bullet</v>
      </c>
      <c r="I28" s="25" t="str">
        <f>IF(Calcs!E28=0,"None",CONCATENATE(ROUND(Calcs!E28,0)," ",VLOOKUP(B28,AmmoTypeFactors,6,FALSE)))</f>
        <v>15 Bomb_Secondary</v>
      </c>
      <c r="J28">
        <f>MROUND(2.42*'Ammo Input'!M28^(1/3)*VLOOKUP(B28,AmmoTypeFactors,3,FALSE),0.5)</f>
        <v>0</v>
      </c>
      <c r="K28" s="25" t="str">
        <f>IF(VLOOKUP(B28,AmmoTypeFactors,12,FALSE),MROUND(J28/3,0.5),"None")</f>
        <v>None</v>
      </c>
      <c r="L28" s="25">
        <f>IF(VLOOKUP(B28,AmmoTypeFactors,8,FALSE),"None",ROUNDUP(IF(Calcs!I28&gt;0,Calcs!I28,Calcs!H28),3))</f>
        <v>90</v>
      </c>
      <c r="M28" s="25">
        <f>IF(VLOOKUP(B28,AmmoTypeFactors,8,FALSE),"None",'Ammo Input'!L28)</f>
        <v>15</v>
      </c>
      <c r="N28">
        <f>'Ammo Input'!O28</f>
        <v>200</v>
      </c>
      <c r="O28" t="e">
        <f>ROUND((P28*0.0036+SUMPRODUCT(Q28:AB28,VLOOKUP($Q$1:$AB$1,IngredientStats,2,FALSE)))/N28*IF('Ammo Input'!R28,0.5,1),2)</f>
        <v>#VALUE!</v>
      </c>
      <c r="P28" t="e">
        <f>(SUMPRODUCT(Q28:AB28,VLOOKUP($Q$1:$AB$1,IngredientStats,4,FALSE))*VLOOKUP(B28,AmmoTypeFactors,14,FALSE)*IF('Ammo Input'!R28,1.1,1))</f>
        <v>#VALUE!</v>
      </c>
      <c r="Q28">
        <f>IFERROR(__xludf.DUMMYFUNCTION("((IF(NOT(OR(REGEXMATCH(B28, ""Arrow""), B28 = ""Javelin"", B28 = ""Stick bomb"")), ROUNDUP(('Ammo Input'!E28 / 1000) * N28)) + IF(VLOOKUP(B28, AmmoTypeFactors, 9, FALSE) = ""Steel"", ROUNDUP(('Ammo Input'!H28 -'Ammo Input'!M28) * MAX(IF('Ammo Input'!J28 &gt;"&amp;" 0, 'Ammo Input'!J28, 1), 1) * N28 / 1000))) / 'Ingredient stats'!$C$2) * IF(ISBLANK(VLOOKUP(B28,AmmoTypeFactors,15,False)),1,VLOOKUP(B28,AmmoTypeFactors,15,False))"),8)</f>
        <v>8</v>
      </c>
      <c r="R28">
        <f>IFERROR(__xludf.DUMMYFUNCTION("ROUNDUP((IF(REGEXMATCH(B28, ""Arrow"") + (B28 = ""Javelin""), 'Ammo Input'!E28) + IF(VLOOKUP(B28, AmmoTypeFactors, 9, FALSE) = ""Wood"", 'Ammo Input'!H28) + IF(B28 = ""Stick bomb"", 'Ammo Input'!E28)) * N28 / 'Ingredient stats'!$C$12 / 1000)"),0)</f>
        <v>0</v>
      </c>
      <c r="S28">
        <v>0</v>
      </c>
      <c r="T28">
        <v>0</v>
      </c>
      <c r="U28">
        <f>IF(VLOOKUP(B28,AmmoTypeFactors,9,FALSE)="Plasteel",ROUNDUP(('Ammo Input'!H28*MAX(IF('Ammo Input'!J28&gt;0,'Ammo Input'!J28,1)*N28/1000/'Ingredient stats'!$C$4)),0),0)</f>
        <v>20</v>
      </c>
      <c r="V28">
        <f>IFERROR(__xludf.DUMMYFUNCTION("ROUNDUP(IF(ISBLANK(VLOOKUP(B28,AmmoTypeFactors,16,False)),1,VLOOKUP(B28,AmmoTypeFactors,16,False)) * (IFS(REGEXMATCH(B28, ""EMP""), 'Ammo Input'!M28 * N28 / 'Ingredient stats'!$C$5, REGEXMATCH(B28, ""Charge""), (U28^0.75), true, 0) + (IF(VLOOKUP(B28, Ammo"&amp;"TypeFactors, 10, false), 2,0) + IF('Ammo Input'!P28, 2,0) + IF('Ammo Input'!Q28,MIN(ROUNDUP(0.2*('Ammo Input'!H28/1000)*'Ammo Input'!O28,0),20),0))))"),10)</f>
        <v>10</v>
      </c>
      <c r="W28">
        <v>0</v>
      </c>
      <c r="X28">
        <v>0</v>
      </c>
      <c r="Y28">
        <v>0</v>
      </c>
      <c r="Z28">
        <v>0</v>
      </c>
      <c r="AA28">
        <v>0</v>
      </c>
      <c r="AB28" s="30">
        <f>IF(B28="Sling Bullet (Stone)",ROUNDUP(D28*0.02*E28/'Ingredient stats'!$C$8,0),0)</f>
        <v>0</v>
      </c>
      <c r="AC28" t="str">
        <f t="shared" si="0"/>
        <v>None</v>
      </c>
      <c r="AD28" t="str">
        <f>IF(OR(B28="Buck",B28="Bird",B28="Charge (Scatter)"),'Ammo Input'!J28,"None")</f>
        <v>None</v>
      </c>
      <c r="AE28" t="str">
        <f>_xlfn.IFS(ISTEXT(Calcs!N28),Calcs!N28,Calcs!N28&lt;=40,Calcs!N28,Calcs!N28&gt;41,"40")</f>
        <v>None</v>
      </c>
      <c r="AF28" t="str">
        <f>_xlfn.IFS(ISTEXT(Calcs!O28),Calcs!O28,Calcs!O28&lt;=80,Calcs!O28,Calcs!O28&gt;=81,"80")</f>
        <v>None</v>
      </c>
      <c r="AG28" s="25">
        <f t="shared" si="1"/>
        <v>1</v>
      </c>
      <c r="AH28" s="25">
        <f t="shared" si="2"/>
        <v>2</v>
      </c>
      <c r="AI28" s="25">
        <f t="shared" si="3"/>
        <v>1</v>
      </c>
    </row>
    <row r="29" ht="14.4" spans="1:35">
      <c r="A29" s="24" t="str">
        <f>'Ammo Input'!A29</f>
        <v>12 Gauge Charged</v>
      </c>
      <c r="B29" t="str">
        <f>'Ammo Input'!B29</f>
        <v>Charge (Ion Scatter)</v>
      </c>
      <c r="C29">
        <f>ROUNDUP(('Ammo Input'!C29*(MAX('Ammo Input'!D29,'Ammo Input'!F29)*0.5)^2*PI())*3/1000000,2)</f>
        <v>0.06</v>
      </c>
      <c r="D29">
        <f>ROUNDUP(('Ammo Input'!E29+'Ammo Input'!H29*IF('Ammo Input'!J29&lt;&gt;"",MAX('Ammo Input'!J29,1),1))/1000,3)</f>
        <v>0.047</v>
      </c>
      <c r="E29">
        <f>MIN(5000,MAX(25,CEILING(Calcs!L29,_xlfn.IFS(Calcs!L29&lt;100,25,Calcs!L29&lt;250,50,Calcs!L29&lt;1000,250,Calcs!L29&gt;=1000,1000))))</f>
        <v>5000</v>
      </c>
      <c r="F29">
        <f>ROUNDUP('Ammo Input'!G29^(3/4),0)</f>
        <v>122</v>
      </c>
      <c r="G29">
        <f>ROUND((0.5*((IF(OR(B29="HEAT",B29="HEDP"),'Ammo Input'!N29,'Ammo Input'!H29)/1000)*(IF(B29="HEAT",9000,IF(B29="HEDP",1500,'Ammo Input'!G29))^2))),0)</f>
        <v>720</v>
      </c>
      <c r="H29" s="25" t="str">
        <f>CONCATENATE(IF((B29="Foam")+(B29="Smoke"),"-",ROUND(Calcs!D29,0))," ",VLOOKUP(B29,AmmoTypeFactors,5,FALSE))</f>
        <v>8 Bullet</v>
      </c>
      <c r="I29" s="25" t="str">
        <f>IF(Calcs!E29=0,"None",CONCATENATE(ROUND(Calcs!E29,0)," ",VLOOKUP(B29,AmmoTypeFactors,6,FALSE)))</f>
        <v>5 EMP</v>
      </c>
      <c r="J29">
        <f>MROUND(2.42*'Ammo Input'!M29^(1/3)*VLOOKUP(B29,AmmoTypeFactors,3,FALSE),0.5)</f>
        <v>0</v>
      </c>
      <c r="K29" s="25" t="str">
        <f>IF(VLOOKUP(B29,AmmoTypeFactors,12,FALSE),MROUND(J29/3,0.5),"None")</f>
        <v>None</v>
      </c>
      <c r="L29" s="25">
        <f>IF(VLOOKUP(B29,AmmoTypeFactors,8,FALSE),"None",ROUNDUP(IF(Calcs!I29&gt;0,Calcs!I29,Calcs!H29),3))</f>
        <v>14.4</v>
      </c>
      <c r="M29" s="25">
        <f>IF(VLOOKUP(B29,AmmoTypeFactors,8,FALSE),"None",'Ammo Input'!L29)</f>
        <v>12.5</v>
      </c>
      <c r="N29">
        <f>'Ammo Input'!O29</f>
        <v>200</v>
      </c>
      <c r="O29" t="e">
        <f>ROUND((P29*0.0036+SUMPRODUCT(Q29:AB29,VLOOKUP($Q$1:$AB$1,IngredientStats,2,FALSE)))/N29*IF('Ammo Input'!R29,0.5,1),2)</f>
        <v>#VALUE!</v>
      </c>
      <c r="P29" t="e">
        <f>(SUMPRODUCT(Q29:AB29,VLOOKUP($Q$1:$AB$1,IngredientStats,4,FALSE))*VLOOKUP(B29,AmmoTypeFactors,14,FALSE)*IF('Ammo Input'!R29,1.1,1))</f>
        <v>#VALUE!</v>
      </c>
      <c r="Q29">
        <f>IFERROR(__xludf.DUMMYFUNCTION("((IF(NOT(OR(REGEXMATCH(B29, ""Arrow""), B29 = ""Javelin"", B29 = ""Stick bomb"")), ROUNDUP(('Ammo Input'!E29 / 1000) * N29)) + IF(VLOOKUP(B29, AmmoTypeFactors, 9, FALSE) = ""Steel"", ROUNDUP(('Ammo Input'!H29 -'Ammo Input'!M29) * MAX(IF('Ammo Input'!J29 &gt;"&amp;" 0, 'Ammo Input'!J29, 1), 1) * N29 / 1000))) / 'Ingredient stats'!$C$2) * IF(ISBLANK(VLOOKUP(B29,AmmoTypeFactors,15,False)),1,VLOOKUP(B29,AmmoTypeFactors,15,False))"),10)</f>
        <v>10</v>
      </c>
      <c r="R29">
        <f>IFERROR(__xludf.DUMMYFUNCTION("ROUNDUP((IF(REGEXMATCH(B29, ""Arrow"") + (B29 = ""Javelin""), 'Ammo Input'!E29) + IF(VLOOKUP(B29, AmmoTypeFactors, 9, FALSE) = ""Wood"", 'Ammo Input'!H29) + IF(B29 = ""Stick bomb"", 'Ammo Input'!E29)) * N29 / 'Ingredient stats'!$C$12 / 1000)"),0)</f>
        <v>0</v>
      </c>
      <c r="S29">
        <v>0</v>
      </c>
      <c r="T29">
        <v>0</v>
      </c>
      <c r="U29">
        <f>IF(VLOOKUP(B29,AmmoTypeFactors,9,FALSE)="Plasteel",ROUNDUP(('Ammo Input'!H29*MAX(IF('Ammo Input'!J29&gt;0,'Ammo Input'!J29,1)*N29/1000/'Ingredient stats'!$C$4)),0),0)</f>
        <v>20</v>
      </c>
      <c r="V29">
        <f>IFERROR(__xludf.DUMMYFUNCTION("ROUNDUP(IF(ISBLANK(VLOOKUP(B29,AmmoTypeFactors,16,False)),1,VLOOKUP(B29,AmmoTypeFactors,16,False)) * (IFS(REGEXMATCH(B29, ""EMP""), 'Ammo Input'!M29 * N29 / 'Ingredient stats'!$C$5, REGEXMATCH(B29, ""Charge""), (U29^0.75), true, 0) + (IF(VLOOKUP(B29, Ammo"&amp;"TypeFactors, 10, false), 2,0) + IF('Ammo Input'!P29, 2,0) + IF('Ammo Input'!Q29,MIN(ROUNDUP(0.2*('Ammo Input'!H29/1000)*'Ammo Input'!O29,0),20),0))))"),10)</f>
        <v>10</v>
      </c>
      <c r="W29">
        <v>0</v>
      </c>
      <c r="X29">
        <v>0</v>
      </c>
      <c r="Y29">
        <v>0</v>
      </c>
      <c r="Z29">
        <v>0</v>
      </c>
      <c r="AA29">
        <v>0</v>
      </c>
      <c r="AB29" s="30">
        <f>IF(B29="Sling Bullet (Stone)",ROUNDUP(D29*0.02*E29/'Ingredient stats'!$C$8,0),0)</f>
        <v>0</v>
      </c>
      <c r="AC29" t="str">
        <f t="shared" si="0"/>
        <v>None</v>
      </c>
      <c r="AD29" t="str">
        <f>IF(OR(B29="Buck",B29="Bird",B29="Charge (Scatter)"),'Ammo Input'!J29,"None")</f>
        <v>None</v>
      </c>
      <c r="AE29" t="str">
        <f>_xlfn.IFS(ISTEXT(Calcs!N29),Calcs!N29,Calcs!N29&lt;=40,Calcs!N29,Calcs!N29&gt;41,"40")</f>
        <v>None</v>
      </c>
      <c r="AF29" t="str">
        <f>_xlfn.IFS(ISTEXT(Calcs!O29),Calcs!O29,Calcs!O29&lt;=80,Calcs!O29,Calcs!O29&gt;=81,"80")</f>
        <v>None</v>
      </c>
      <c r="AG29" s="25">
        <f t="shared" si="1"/>
        <v>1</v>
      </c>
      <c r="AH29" s="25">
        <f t="shared" si="2"/>
        <v>2</v>
      </c>
      <c r="AI29" s="25">
        <f t="shared" si="3"/>
        <v>1</v>
      </c>
    </row>
    <row r="30" ht="14.4" spans="1:35">
      <c r="A30" s="24" t="str">
        <f>'Ammo Input'!A30</f>
        <v>12mm Railgun</v>
      </c>
      <c r="B30" t="str">
        <f>'Ammo Input'!B30</f>
        <v>Railgun (Sabot)</v>
      </c>
      <c r="C30">
        <f>ROUNDUP(('Ammo Input'!C30*(MAX('Ammo Input'!D30,'Ammo Input'!F30)*0.5)^2*PI())*3/1000000,2)</f>
        <v>0.04</v>
      </c>
      <c r="D30">
        <f>ROUNDUP(('Ammo Input'!E30+'Ammo Input'!H30*IF('Ammo Input'!J30&lt;&gt;"",MAX('Ammo Input'!J30,1),1))/1000,3)</f>
        <v>0.12</v>
      </c>
      <c r="E30">
        <f>MIN(5000,MAX(25,CEILING(Calcs!L30,_xlfn.IFS(Calcs!L30&lt;100,25,Calcs!L30&lt;250,50,Calcs!L30&lt;1000,250,Calcs!L30&gt;=1000,1000))))</f>
        <v>5000</v>
      </c>
      <c r="F30">
        <f>ROUNDUP('Ammo Input'!G30^(3/4),0)</f>
        <v>354</v>
      </c>
      <c r="G30">
        <f>ROUND((0.5*((IF(OR(B30="HEAT",B30="HEDP"),'Ammo Input'!N30,'Ammo Input'!H30)/1000)*(IF(B30="HEAT",9000,IF(B30="HEDP",1500,'Ammo Input'!G30))^2))),0)</f>
        <v>362500</v>
      </c>
      <c r="H30" s="25" t="str">
        <f>CONCATENATE(IF((B30="Foam")+(B30="Smoke"),"-",ROUND(Calcs!D30,0))," ",VLOOKUP(B30,AmmoTypeFactors,5,FALSE))</f>
        <v>73 Bullet</v>
      </c>
      <c r="I30" s="25" t="str">
        <f>IF(Calcs!E30=0,"None",CONCATENATE(ROUND(Calcs!E30,0)," ",VLOOKUP(B30,AmmoTypeFactors,6,FALSE)))</f>
        <v>None</v>
      </c>
      <c r="J30">
        <f>MROUND(2.42*'Ammo Input'!M30^(1/3)*VLOOKUP(B30,AmmoTypeFactors,3,FALSE),0.5)</f>
        <v>0</v>
      </c>
      <c r="K30" s="25" t="str">
        <f>IF(VLOOKUP(B30,AmmoTypeFactors,12,FALSE),MROUND(J30/3,0.5),"None")</f>
        <v>None</v>
      </c>
      <c r="L30" s="25">
        <f>IF(VLOOKUP(B30,AmmoTypeFactors,8,FALSE),"None",ROUNDUP(IF(Calcs!I30&gt;0,Calcs!I30,Calcs!H30),3))</f>
        <v>7250</v>
      </c>
      <c r="M30" s="25">
        <f>IF(VLOOKUP(B30,AmmoTypeFactors,8,FALSE),"None",'Ammo Input'!L30)</f>
        <v>130</v>
      </c>
      <c r="N30">
        <f>'Ammo Input'!O30</f>
        <v>200</v>
      </c>
      <c r="O30" t="e">
        <f>ROUND((P30*0.0036+SUMPRODUCT(Q30:AB30,VLOOKUP($Q$1:$AB$1,IngredientStats,2,FALSE)))/N30*IF('Ammo Input'!R30,0.5,1),2)</f>
        <v>#VALUE!</v>
      </c>
      <c r="P30" t="e">
        <f>(SUMPRODUCT(Q30:AB30,VLOOKUP($Q$1:$AB$1,IngredientStats,4,FALSE))*VLOOKUP(B30,AmmoTypeFactors,14,FALSE)*IF('Ammo Input'!R30,1.1,1))</f>
        <v>#VALUE!</v>
      </c>
      <c r="Q30">
        <f>IFERROR(__xludf.DUMMYFUNCTION("((IF(NOT(OR(REGEXMATCH(B30, ""Arrow""), B30 = ""Javelin"", B30 = ""Stick bomb"")), ROUNDUP(('Ammo Input'!E30 / 1000) * N30)) + IF(VLOOKUP(B30, AmmoTypeFactors, 9, FALSE) = ""Steel"", ROUNDUP(('Ammo Input'!H30 -'Ammo Input'!M30) * MAX(IF('Ammo Input'!J30 &gt;"&amp;" 0, 'Ammo Input'!J30, 1), 1) * N30 / 1000))) / 'Ingredient stats'!$C$2) * IF(ISBLANK(VLOOKUP(B30,AmmoTypeFactors,15,False)),1,VLOOKUP(B30,AmmoTypeFactors,15,False))"),2)</f>
        <v>2</v>
      </c>
      <c r="R30">
        <f>IFERROR(__xludf.DUMMYFUNCTION("ROUNDUP((IF(REGEXMATCH(B30, ""Arrow"") + (B30 = ""Javelin""), 'Ammo Input'!E30) + IF(VLOOKUP(B30, AmmoTypeFactors, 9, FALSE) = ""Wood"", 'Ammo Input'!H30) + IF(B30 = ""Stick bomb"", 'Ammo Input'!E30)) * N30 / 'Ingredient stats'!$C$12 / 1000)"),0)</f>
        <v>0</v>
      </c>
      <c r="S30">
        <v>24</v>
      </c>
      <c r="T30">
        <v>8</v>
      </c>
      <c r="U30">
        <f>IF(VLOOKUP(B30,AmmoTypeFactors,9,FALSE)="Plasteel",ROUNDUP(('Ammo Input'!H30*MAX(IF('Ammo Input'!J30&gt;0,'Ammo Input'!J30,1)*N30/1000/'Ingredient stats'!$C$4)),0),0)</f>
        <v>0</v>
      </c>
      <c r="V30">
        <f>IFERROR(__xludf.DUMMYFUNCTION("ROUNDUP(IF(ISBLANK(VLOOKUP(B30,AmmoTypeFactors,16,False)),1,VLOOKUP(B30,AmmoTypeFactors,16,False)) * (IFS(REGEXMATCH(B30, ""EMP""), 'Ammo Input'!M30 * N30 / 'Ingredient stats'!$C$5, REGEXMATCH(B30, ""Charge""), (U30^0.75), true, 0) + (IF(VLOOKUP(B30, Ammo"&amp;"TypeFactors, 10, false), 2,0) + IF('Ammo Input'!P30, 2,0) + IF('Ammo Input'!Q30,MIN(ROUNDUP(0.2*('Ammo Input'!H30/1000)*'Ammo Input'!O30,0),20),0))))"),0)</f>
        <v>0</v>
      </c>
      <c r="W30">
        <v>0</v>
      </c>
      <c r="X30">
        <v>0</v>
      </c>
      <c r="Y30">
        <v>0</v>
      </c>
      <c r="Z30">
        <v>0</v>
      </c>
      <c r="AA30">
        <v>0</v>
      </c>
      <c r="AB30" s="30">
        <f>IF(B30="Sling Bullet (Stone)",ROUNDUP(D30*0.02*E30/'Ingredient stats'!$C$8,0),0)</f>
        <v>0</v>
      </c>
      <c r="AC30" t="str">
        <f t="shared" si="0"/>
        <v>None</v>
      </c>
      <c r="AD30" t="str">
        <f>IF(OR(B30="Buck",B30="Bird",B30="Charge (Scatter)"),'Ammo Input'!J30,"None")</f>
        <v>None</v>
      </c>
      <c r="AE30" t="str">
        <f>_xlfn.IFS(ISTEXT(Calcs!N30),Calcs!N30,Calcs!N30&lt;=40,Calcs!N30,Calcs!N30&gt;41,"40")</f>
        <v>None</v>
      </c>
      <c r="AF30" t="str">
        <f>_xlfn.IFS(ISTEXT(Calcs!O30),Calcs!O30,Calcs!O30&lt;=80,Calcs!O30,Calcs!O30&gt;=81,"80")</f>
        <v>None</v>
      </c>
      <c r="AG30" s="25">
        <f t="shared" si="1"/>
        <v>1</v>
      </c>
      <c r="AH30" s="25">
        <f t="shared" si="2"/>
        <v>5.71</v>
      </c>
      <c r="AI30" s="25">
        <f t="shared" si="3"/>
        <v>1</v>
      </c>
    </row>
    <row r="31" ht="14.4" spans="1:35">
      <c r="A31" s="24" t="str">
        <f>'Ammo Input'!A31</f>
        <v>12x64mm Charged</v>
      </c>
      <c r="B31" t="str">
        <f>'Ammo Input'!B31</f>
        <v>Charge</v>
      </c>
      <c r="C31">
        <f>ROUNDUP(('Ammo Input'!C31*(MAX('Ammo Input'!D31,'Ammo Input'!F31)*0.5)^2*PI())*3/1000000,2)</f>
        <v>0.05</v>
      </c>
      <c r="D31">
        <f>ROUNDUP(('Ammo Input'!E31+'Ammo Input'!H31*IF('Ammo Input'!J31&lt;&gt;"",MAX('Ammo Input'!J31,1),1))/1000,3)</f>
        <v>0.058</v>
      </c>
      <c r="E31">
        <f>MIN(5000,MAX(25,CEILING(Calcs!L31,_xlfn.IFS(Calcs!L31&lt;100,25,Calcs!L31&lt;250,50,Calcs!L31&lt;1000,250,Calcs!L31&gt;=1000,1000))))</f>
        <v>5000</v>
      </c>
      <c r="F31">
        <f>ROUNDUP('Ammo Input'!G31^(3/4),0)</f>
        <v>165</v>
      </c>
      <c r="G31">
        <f>ROUND((0.5*((IF(OR(B31="HEAT",B31="HEDP"),'Ammo Input'!N31,'Ammo Input'!H31)/1000)*(IF(B31="HEAT",9000,IF(B31="HEDP",1500,'Ammo Input'!G31))^2))),0)</f>
        <v>16200</v>
      </c>
      <c r="H31" s="25" t="str">
        <f>CONCATENATE(IF((B31="Foam")+(B31="Smoke"),"-",ROUND(Calcs!D31,0))," ",VLOOKUP(B31,AmmoTypeFactors,5,FALSE))</f>
        <v>39 Bullet</v>
      </c>
      <c r="I31" s="25" t="str">
        <f>IF(Calcs!E31=0,"None",CONCATENATE(ROUND(Calcs!E31,0)," ",VLOOKUP(B31,AmmoTypeFactors,6,FALSE)))</f>
        <v>12 Bomb_Secondary</v>
      </c>
      <c r="J31">
        <f>MROUND(2.42*'Ammo Input'!M31^(1/3)*VLOOKUP(B31,AmmoTypeFactors,3,FALSE),0.5)</f>
        <v>0</v>
      </c>
      <c r="K31" s="25" t="str">
        <f>IF(VLOOKUP(B31,AmmoTypeFactors,12,FALSE),MROUND(J31/3,0.5),"None")</f>
        <v>None</v>
      </c>
      <c r="L31" s="25">
        <f>IF(VLOOKUP(B31,AmmoTypeFactors,8,FALSE),"None",ROUNDUP(IF(Calcs!I31&gt;0,Calcs!I31,Calcs!H31),3))</f>
        <v>324</v>
      </c>
      <c r="M31" s="25">
        <f>IF(VLOOKUP(B31,AmmoTypeFactors,8,FALSE),"None",'Ammo Input'!L31)</f>
        <v>30</v>
      </c>
      <c r="N31">
        <f>'Ammo Input'!O31</f>
        <v>200</v>
      </c>
      <c r="O31" t="e">
        <f>ROUND((P31*0.0036+SUMPRODUCT(Q31:AB31,VLOOKUP($Q$1:$AB$1,IngredientStats,2,FALSE)))/N31*IF('Ammo Input'!R31,0.5,1),2)</f>
        <v>#VALUE!</v>
      </c>
      <c r="P31" t="e">
        <f>(SUMPRODUCT(Q31:AB31,VLOOKUP($Q$1:$AB$1,IngredientStats,4,FALSE))*VLOOKUP(B31,AmmoTypeFactors,14,FALSE)*IF('Ammo Input'!R31,1.1,1))</f>
        <v>#VALUE!</v>
      </c>
      <c r="Q31">
        <f>IFERROR(__xludf.DUMMYFUNCTION("((IF(NOT(OR(REGEXMATCH(B31, ""Arrow""), B31 = ""Javelin"", B31 = ""Stick bomb"")), ROUNDUP(('Ammo Input'!E31 / 1000) * N31)) + IF(VLOOKUP(B31, AmmoTypeFactors, 9, FALSE) = ""Steel"", ROUNDUP(('Ammo Input'!H31 -'Ammo Input'!M31) * MAX(IF('Ammo Input'!J31 &gt;"&amp;" 0, 'Ammo Input'!J31, 1), 1) * N31 / 1000))) / 'Ingredient stats'!$C$2) * IF(ISBLANK(VLOOKUP(B31,AmmoTypeFactors,15,False)),1,VLOOKUP(B31,AmmoTypeFactors,15,False))"),8)</f>
        <v>8</v>
      </c>
      <c r="R31">
        <f>IFERROR(__xludf.DUMMYFUNCTION("ROUNDUP((IF(REGEXMATCH(B31, ""Arrow"") + (B31 = ""Javelin""), 'Ammo Input'!E31) + IF(VLOOKUP(B31, AmmoTypeFactors, 9, FALSE) = ""Wood"", 'Ammo Input'!H31) + IF(B31 = ""Stick bomb"", 'Ammo Input'!E31)) * N31 / 'Ingredient stats'!$C$12 / 1000)"),0)</f>
        <v>0</v>
      </c>
      <c r="S31">
        <v>0</v>
      </c>
      <c r="T31">
        <v>0</v>
      </c>
      <c r="U31">
        <f>IF(VLOOKUP(B31,AmmoTypeFactors,9,FALSE)="Plasteel",ROUNDUP(('Ammo Input'!H31*MAX(IF('Ammo Input'!J31&gt;0,'Ammo Input'!J31,1)*N31/1000/'Ingredient stats'!$C$4)),0),0)</f>
        <v>32</v>
      </c>
      <c r="V31">
        <f>IFERROR(__xludf.DUMMYFUNCTION("ROUNDUP(IF(ISBLANK(VLOOKUP(B31,AmmoTypeFactors,16,False)),1,VLOOKUP(B31,AmmoTypeFactors,16,False)) * (IFS(REGEXMATCH(B31, ""EMP""), 'Ammo Input'!M31 * N31 / 'Ingredient stats'!$C$5, REGEXMATCH(B31, ""Charge""), (U31^0.75), true, 0) + (IF(VLOOKUP(B31, Ammo"&amp;"TypeFactors, 10, false), 2,0) + IF('Ammo Input'!P31, 2,0) + IF('Ammo Input'!Q31,MIN(ROUNDUP(0.2*('Ammo Input'!H31/1000)*'Ammo Input'!O31,0),20),0))))"),14)</f>
        <v>14</v>
      </c>
      <c r="W31">
        <v>0</v>
      </c>
      <c r="X31">
        <v>0</v>
      </c>
      <c r="Y31">
        <v>0</v>
      </c>
      <c r="Z31">
        <v>0</v>
      </c>
      <c r="AA31">
        <v>0</v>
      </c>
      <c r="AB31" s="30">
        <f>IF(B31="Sling Bullet (Stone)",ROUNDUP(D31*0.02*E31/'Ingredient stats'!$C$8,0),0)</f>
        <v>0</v>
      </c>
      <c r="AC31" t="str">
        <f t="shared" si="0"/>
        <v>None</v>
      </c>
      <c r="AD31" t="str">
        <f>IF(OR(B31="Buck",B31="Bird",B31="Charge (Scatter)"),'Ammo Input'!J31,"None")</f>
        <v>None</v>
      </c>
      <c r="AE31" t="str">
        <f>_xlfn.IFS(ISTEXT(Calcs!N31),Calcs!N31,Calcs!N31&lt;=40,Calcs!N31,Calcs!N31&gt;41,"40")</f>
        <v>None</v>
      </c>
      <c r="AF31" t="str">
        <f>_xlfn.IFS(ISTEXT(Calcs!O31),Calcs!O31,Calcs!O31&lt;=80,Calcs!O31,Calcs!O31&gt;=81,"80")</f>
        <v>None</v>
      </c>
      <c r="AG31" s="25">
        <f t="shared" si="1"/>
        <v>1</v>
      </c>
      <c r="AH31" s="25">
        <f t="shared" si="2"/>
        <v>2.7</v>
      </c>
      <c r="AI31" s="25">
        <f t="shared" si="3"/>
        <v>1</v>
      </c>
    </row>
    <row r="32" ht="14.4" spans="1:35">
      <c r="A32" s="24" t="str">
        <f>'Ammo Input'!A32</f>
        <v>12x72mm Charged</v>
      </c>
      <c r="B32" t="str">
        <f>'Ammo Input'!B32</f>
        <v>Charge</v>
      </c>
      <c r="C32">
        <f>ROUNDUP(('Ammo Input'!C32*(MAX('Ammo Input'!D32,'Ammo Input'!F32)*0.5)^2*PI())*3/1000000,2)</f>
        <v>0.05</v>
      </c>
      <c r="D32">
        <f>ROUNDUP(('Ammo Input'!E32+'Ammo Input'!H32*IF('Ammo Input'!J32&lt;&gt;"",MAX('Ammo Input'!J32,1),1))/1000,3)</f>
        <v>0.058</v>
      </c>
      <c r="E32">
        <f>MIN(5000,MAX(25,CEILING(Calcs!L32,_xlfn.IFS(Calcs!L32&lt;100,25,Calcs!L32&lt;250,50,Calcs!L32&lt;1000,250,Calcs!L32&gt;=1000,1000))))</f>
        <v>5000</v>
      </c>
      <c r="F32">
        <f>ROUNDUP('Ammo Input'!G32^(3/4),0)</f>
        <v>165</v>
      </c>
      <c r="G32">
        <f>ROUND((0.5*((IF(OR(B32="HEAT",B32="HEDP"),'Ammo Input'!N32,'Ammo Input'!H32)/1000)*(IF(B32="HEAT",9000,IF(B32="HEDP",1500,'Ammo Input'!G32))^2))),0)</f>
        <v>16200</v>
      </c>
      <c r="H32" s="25" t="str">
        <f>CONCATENATE(IF((B32="Foam")+(B32="Smoke"),"-",ROUND(Calcs!D32,0))," ",VLOOKUP(B32,AmmoTypeFactors,5,FALSE))</f>
        <v>39 Bullet</v>
      </c>
      <c r="I32" s="25" t="str">
        <f>IF(Calcs!E32=0,"None",CONCATENATE(ROUND(Calcs!E32,0)," ",VLOOKUP(B32,AmmoTypeFactors,6,FALSE)))</f>
        <v>12 Bomb_Secondary</v>
      </c>
      <c r="J32">
        <f>MROUND(2.42*'Ammo Input'!M32^(1/3)*VLOOKUP(B32,AmmoTypeFactors,3,FALSE),0.5)</f>
        <v>0</v>
      </c>
      <c r="K32" s="25" t="str">
        <f>IF(VLOOKUP(B32,AmmoTypeFactors,12,FALSE),MROUND(J32/3,0.5),"None")</f>
        <v>None</v>
      </c>
      <c r="L32" s="25">
        <f>IF(VLOOKUP(B32,AmmoTypeFactors,8,FALSE),"None",ROUNDUP(IF(Calcs!I32&gt;0,Calcs!I32,Calcs!H32),3))</f>
        <v>324</v>
      </c>
      <c r="M32" s="25">
        <f>IF(VLOOKUP(B32,AmmoTypeFactors,8,FALSE),"None",'Ammo Input'!L32)</f>
        <v>30</v>
      </c>
      <c r="N32">
        <f>'Ammo Input'!O32</f>
        <v>200</v>
      </c>
      <c r="O32" t="e">
        <f>ROUND((P32*0.0036+SUMPRODUCT(Q32:AB32,VLOOKUP($Q$1:$AB$1,IngredientStats,2,FALSE)))/N32*IF('Ammo Input'!R32,0.5,1),2)</f>
        <v>#VALUE!</v>
      </c>
      <c r="P32" t="e">
        <f>(SUMPRODUCT(Q32:AB32,VLOOKUP($Q$1:$AB$1,IngredientStats,4,FALSE))*VLOOKUP(B32,AmmoTypeFactors,14,FALSE)*IF('Ammo Input'!R32,1.1,1))</f>
        <v>#VALUE!</v>
      </c>
      <c r="Q32">
        <f>IFERROR(__xludf.DUMMYFUNCTION("((IF(NOT(OR(REGEXMATCH(B32, ""Arrow""), B32 = ""Javelin"", B32 = ""Stick bomb"")), ROUNDUP(('Ammo Input'!E32 / 1000) * N32)) + IF(VLOOKUP(B32, AmmoTypeFactors, 9, FALSE) = ""Steel"", ROUNDUP(('Ammo Input'!H32 -'Ammo Input'!M32) * MAX(IF('Ammo Input'!J32 &gt;"&amp;" 0, 'Ammo Input'!J32, 1), 1) * N32 / 1000))) / 'Ingredient stats'!$C$2) * IF(ISBLANK(VLOOKUP(B32,AmmoTypeFactors,15,False)),1,VLOOKUP(B32,AmmoTypeFactors,15,False))"),8)</f>
        <v>8</v>
      </c>
      <c r="R32">
        <f>IFERROR(__xludf.DUMMYFUNCTION("ROUNDUP((IF(REGEXMATCH(B32, ""Arrow"") + (B32 = ""Javelin""), 'Ammo Input'!E32) + IF(VLOOKUP(B32, AmmoTypeFactors, 9, FALSE) = ""Wood"", 'Ammo Input'!H32) + IF(B32 = ""Stick bomb"", 'Ammo Input'!E32)) * N32 / 'Ingredient stats'!$C$12 / 1000)"),0)</f>
        <v>0</v>
      </c>
      <c r="S32">
        <v>0</v>
      </c>
      <c r="T32">
        <v>0</v>
      </c>
      <c r="U32">
        <f>IF(VLOOKUP(B32,AmmoTypeFactors,9,FALSE)="Plasteel",ROUNDUP(('Ammo Input'!H32*MAX(IF('Ammo Input'!J32&gt;0,'Ammo Input'!J32,1)*N32/1000/'Ingredient stats'!$C$4)),0),0)</f>
        <v>32</v>
      </c>
      <c r="V32">
        <f>IFERROR(__xludf.DUMMYFUNCTION("ROUNDUP(IF(ISBLANK(VLOOKUP(B32,AmmoTypeFactors,16,False)),1,VLOOKUP(B32,AmmoTypeFactors,16,False)) * (IFS(REGEXMATCH(B32, ""EMP""), 'Ammo Input'!M32 * N32 / 'Ingredient stats'!$C$5, REGEXMATCH(B32, ""Charge""), (U32^0.75), true, 0) + (IF(VLOOKUP(B32, Ammo"&amp;"TypeFactors, 10, false), 2,0) + IF('Ammo Input'!P32, 2,0) + IF('Ammo Input'!Q32,MIN(ROUNDUP(0.2*('Ammo Input'!H32/1000)*'Ammo Input'!O32,0),20),0))))"),14)</f>
        <v>14</v>
      </c>
      <c r="W32">
        <v>0</v>
      </c>
      <c r="X32">
        <v>0</v>
      </c>
      <c r="Y32">
        <v>0</v>
      </c>
      <c r="Z32">
        <v>0</v>
      </c>
      <c r="AA32">
        <v>0</v>
      </c>
      <c r="AB32" s="30">
        <f>IF(B32="Sling Bullet (Stone)",ROUNDUP(D32*0.02*E32/'Ingredient stats'!$C$8,0),0)</f>
        <v>0</v>
      </c>
      <c r="AC32" t="str">
        <f t="shared" si="0"/>
        <v>None</v>
      </c>
      <c r="AD32" t="str">
        <f>IF(OR(B32="Buck",B32="Bird",B32="Charge (Scatter)"),'Ammo Input'!J32,"None")</f>
        <v>None</v>
      </c>
      <c r="AE32" t="str">
        <f>_xlfn.IFS(ISTEXT(Calcs!N32),Calcs!N32,Calcs!N32&lt;=40,Calcs!N32,Calcs!N32&gt;41,"40")</f>
        <v>None</v>
      </c>
      <c r="AF32" t="str">
        <f>_xlfn.IFS(ISTEXT(Calcs!O32),Calcs!O32,Calcs!O32&lt;=80,Calcs!O32,Calcs!O32&gt;=81,"80")</f>
        <v>None</v>
      </c>
      <c r="AG32" s="25">
        <f t="shared" si="1"/>
        <v>1</v>
      </c>
      <c r="AH32" s="25">
        <f t="shared" si="2"/>
        <v>2.7</v>
      </c>
      <c r="AI32" s="25">
        <f t="shared" si="3"/>
        <v>1</v>
      </c>
    </row>
    <row r="33" ht="14.4" spans="1:35">
      <c r="A33" s="24" t="str">
        <f>'Ammo Input'!A33</f>
        <v>12x72mm Charged</v>
      </c>
      <c r="B33" t="str">
        <f>'Ammo Input'!B33</f>
        <v>Charge (Concentrated)</v>
      </c>
      <c r="C33">
        <f>ROUNDUP(('Ammo Input'!C33*(MAX('Ammo Input'!D33,'Ammo Input'!F33)*0.5)^2*PI())*3/1000000,2)</f>
        <v>0.05</v>
      </c>
      <c r="D33">
        <f>ROUNDUP(('Ammo Input'!E33+'Ammo Input'!H33*IF('Ammo Input'!J33&lt;&gt;"",MAX('Ammo Input'!J33,1),1))/1000,3)</f>
        <v>0.058</v>
      </c>
      <c r="E33">
        <f>MIN(5000,MAX(25,CEILING(Calcs!L33,_xlfn.IFS(Calcs!L33&lt;100,25,Calcs!L33&lt;250,50,Calcs!L33&lt;1000,250,Calcs!L33&gt;=1000,1000))))</f>
        <v>5000</v>
      </c>
      <c r="F33">
        <f>ROUNDUP('Ammo Input'!G33^(3/4),0)</f>
        <v>165</v>
      </c>
      <c r="G33">
        <f>ROUND((0.5*((IF(OR(B33="HEAT",B33="HEDP"),'Ammo Input'!N33,'Ammo Input'!H33)/1000)*(IF(B33="HEAT",9000,IF(B33="HEDP",1500,'Ammo Input'!G33))^2))),0)</f>
        <v>16200</v>
      </c>
      <c r="H33" s="25" t="str">
        <f>CONCATENATE(IF((B33="Foam")+(B33="Smoke"),"-",ROUND(Calcs!D33,0))," ",VLOOKUP(B33,AmmoTypeFactors,5,FALSE))</f>
        <v>31 Bullet</v>
      </c>
      <c r="I33" s="25" t="str">
        <f>IF(Calcs!E33=0,"None",CONCATENATE(ROUND(Calcs!E33,0)," ",VLOOKUP(B33,AmmoTypeFactors,6,FALSE)))</f>
        <v>5 Bomb_Secondary</v>
      </c>
      <c r="J33">
        <f>MROUND(2.42*'Ammo Input'!M33^(1/3)*VLOOKUP(B33,AmmoTypeFactors,3,FALSE),0.5)</f>
        <v>0</v>
      </c>
      <c r="K33" s="25" t="str">
        <f>IF(VLOOKUP(B33,AmmoTypeFactors,12,FALSE),MROUND(J33/3,0.5),"None")</f>
        <v>None</v>
      </c>
      <c r="L33" s="25">
        <f>IF(VLOOKUP(B33,AmmoTypeFactors,8,FALSE),"None",ROUNDUP(IF(Calcs!I33&gt;0,Calcs!I33,Calcs!H33),3))</f>
        <v>324</v>
      </c>
      <c r="M33" s="25">
        <f>IF(VLOOKUP(B33,AmmoTypeFactors,8,FALSE),"None",'Ammo Input'!L33)</f>
        <v>60</v>
      </c>
      <c r="N33">
        <f>'Ammo Input'!O33</f>
        <v>200</v>
      </c>
      <c r="O33" t="e">
        <f>ROUND((P33*0.0036+SUMPRODUCT(Q33:AB33,VLOOKUP($Q$1:$AB$1,IngredientStats,2,FALSE)))/N33*IF('Ammo Input'!R33,0.5,1),2)</f>
        <v>#VALUE!</v>
      </c>
      <c r="P33" t="e">
        <f>(SUMPRODUCT(Q33:AB33,VLOOKUP($Q$1:$AB$1,IngredientStats,4,FALSE))*VLOOKUP(B33,AmmoTypeFactors,14,FALSE)*IF('Ammo Input'!R33,1.1,1))</f>
        <v>#VALUE!</v>
      </c>
      <c r="Q33">
        <f>IFERROR(__xludf.DUMMYFUNCTION("((IF(NOT(OR(REGEXMATCH(B33, ""Arrow""), B33 = ""Javelin"", B33 = ""Stick bomb"")), ROUNDUP(('Ammo Input'!E33 / 1000) * N33)) + IF(VLOOKUP(B33, AmmoTypeFactors, 9, FALSE) = ""Steel"", ROUNDUP(('Ammo Input'!H33 -'Ammo Input'!M33) * MAX(IF('Ammo Input'!J33 &gt;"&amp;" 0, 'Ammo Input'!J33, 1), 1) * N33 / 1000))) / 'Ingredient stats'!$C$2) * IF(ISBLANK(VLOOKUP(B33,AmmoTypeFactors,15,False)),1,VLOOKUP(B33,AmmoTypeFactors,15,False))"),8)</f>
        <v>8</v>
      </c>
      <c r="R33">
        <f>IFERROR(__xludf.DUMMYFUNCTION("ROUNDUP((IF(REGEXMATCH(B33, ""Arrow"") + (B33 = ""Javelin""), 'Ammo Input'!E33) + IF(VLOOKUP(B33, AmmoTypeFactors, 9, FALSE) = ""Wood"", 'Ammo Input'!H33) + IF(B33 = ""Stick bomb"", 'Ammo Input'!E33)) * N33 / 'Ingredient stats'!$C$12 / 1000)"),0)</f>
        <v>0</v>
      </c>
      <c r="S33">
        <v>0</v>
      </c>
      <c r="T33">
        <v>0</v>
      </c>
      <c r="U33">
        <f>IF(VLOOKUP(B33,AmmoTypeFactors,9,FALSE)="Plasteel",ROUNDUP(('Ammo Input'!H33*MAX(IF('Ammo Input'!J33&gt;0,'Ammo Input'!J33,1)*N33/1000/'Ingredient stats'!$C$4)),0),0)</f>
        <v>32</v>
      </c>
      <c r="V33">
        <f>IFERROR(__xludf.DUMMYFUNCTION("ROUNDUP(IF(ISBLANK(VLOOKUP(B33,AmmoTypeFactors,16,False)),1,VLOOKUP(B33,AmmoTypeFactors,16,False)) * (IFS(REGEXMATCH(B33, ""EMP""), 'Ammo Input'!M33 * N33 / 'Ingredient stats'!$C$5, REGEXMATCH(B33, ""Charge""), (U33^0.75), true, 0) + (IF(VLOOKUP(B33, Ammo"&amp;"TypeFactors, 10, false), 2,0) + IF('Ammo Input'!P33, 2,0) + IF('Ammo Input'!Q33,MIN(ROUNDUP(0.2*('Ammo Input'!H33/1000)*'Ammo Input'!O33,0),20),0))))"),14)</f>
        <v>14</v>
      </c>
      <c r="W33">
        <v>0</v>
      </c>
      <c r="X33">
        <v>0</v>
      </c>
      <c r="Y33">
        <v>0</v>
      </c>
      <c r="Z33">
        <v>0</v>
      </c>
      <c r="AA33">
        <v>0</v>
      </c>
      <c r="AB33" s="30">
        <f>IF(B33="Sling Bullet (Stone)",ROUNDUP(D33*0.02*E33/'Ingredient stats'!$C$8,0),0)</f>
        <v>0</v>
      </c>
      <c r="AC33" t="str">
        <f t="shared" si="0"/>
        <v>None</v>
      </c>
      <c r="AD33" t="str">
        <f>IF(OR(B33="Buck",B33="Bird",B33="Charge (Scatter)"),'Ammo Input'!J33,"None")</f>
        <v>None</v>
      </c>
      <c r="AE33" t="str">
        <f>_xlfn.IFS(ISTEXT(Calcs!N33),Calcs!N33,Calcs!N33&lt;=40,Calcs!N33,Calcs!N33&gt;41,"40")</f>
        <v>None</v>
      </c>
      <c r="AF33" t="str">
        <f>_xlfn.IFS(ISTEXT(Calcs!O33),Calcs!O33,Calcs!O33&lt;=80,Calcs!O33,Calcs!O33&gt;=81,"80")</f>
        <v>None</v>
      </c>
      <c r="AG33" s="25">
        <f t="shared" si="1"/>
        <v>1</v>
      </c>
      <c r="AH33" s="25">
        <f t="shared" si="2"/>
        <v>2.7</v>
      </c>
      <c r="AI33" s="25">
        <f t="shared" si="3"/>
        <v>1</v>
      </c>
    </row>
    <row r="34" ht="14.4" spans="1:35">
      <c r="A34" s="24" t="str">
        <f>'Ammo Input'!A34</f>
        <v>12x72mm Charged</v>
      </c>
      <c r="B34" t="str">
        <f>'Ammo Input'!B34</f>
        <v>Charge (Ion)</v>
      </c>
      <c r="C34">
        <f>ROUNDUP(('Ammo Input'!C34*(MAX('Ammo Input'!D34,'Ammo Input'!F34)*0.5)^2*PI())*3/1000000,2)</f>
        <v>0.05</v>
      </c>
      <c r="D34">
        <f>ROUNDUP(('Ammo Input'!E34+'Ammo Input'!H34*IF('Ammo Input'!J34&lt;&gt;"",MAX('Ammo Input'!J34,1),1))/1000,3)</f>
        <v>0.058</v>
      </c>
      <c r="E34">
        <f>MIN(5000,MAX(25,CEILING(Calcs!L34,_xlfn.IFS(Calcs!L34&lt;100,25,Calcs!L34&lt;250,50,Calcs!L34&lt;1000,250,Calcs!L34&gt;=1000,1000))))</f>
        <v>5000</v>
      </c>
      <c r="F34">
        <f>ROUNDUP('Ammo Input'!G34^(3/4),0)</f>
        <v>165</v>
      </c>
      <c r="G34">
        <f>ROUND((0.5*((IF(OR(B34="HEAT",B34="HEDP"),'Ammo Input'!N34,'Ammo Input'!H34)/1000)*(IF(B34="HEAT",9000,IF(B34="HEDP",1500,'Ammo Input'!G34))^2))),0)</f>
        <v>16200</v>
      </c>
      <c r="H34" s="25" t="str">
        <f>CONCATENATE(IF((B34="Foam")+(B34="Smoke"),"-",ROUND(Calcs!D34,0))," ",VLOOKUP(B34,AmmoTypeFactors,5,FALSE))</f>
        <v>31 Bullet</v>
      </c>
      <c r="I34" s="25" t="str">
        <f>IF(Calcs!E34=0,"None",CONCATENATE(ROUND(Calcs!E34,0)," ",VLOOKUP(B34,AmmoTypeFactors,6,FALSE)))</f>
        <v>18 EMP</v>
      </c>
      <c r="J34">
        <f>MROUND(2.42*'Ammo Input'!M34^(1/3)*VLOOKUP(B34,AmmoTypeFactors,3,FALSE),0.5)</f>
        <v>0</v>
      </c>
      <c r="K34" s="25" t="str">
        <f>IF(VLOOKUP(B34,AmmoTypeFactors,12,FALSE),MROUND(J34/3,0.5),"None")</f>
        <v>None</v>
      </c>
      <c r="L34" s="25">
        <f>IF(VLOOKUP(B34,AmmoTypeFactors,8,FALSE),"None",ROUNDUP(IF(Calcs!I34&gt;0,Calcs!I34,Calcs!H34),3))</f>
        <v>324</v>
      </c>
      <c r="M34" s="25">
        <f>IF(VLOOKUP(B34,AmmoTypeFactors,8,FALSE),"None",'Ammo Input'!L34)</f>
        <v>45</v>
      </c>
      <c r="N34">
        <f>'Ammo Input'!O34</f>
        <v>200</v>
      </c>
      <c r="O34" t="e">
        <f>ROUND((P34*0.0036+SUMPRODUCT(Q34:AB34,VLOOKUP($Q$1:$AB$1,IngredientStats,2,FALSE)))/N34*IF('Ammo Input'!R34,0.5,1),2)</f>
        <v>#VALUE!</v>
      </c>
      <c r="P34" t="e">
        <f>(SUMPRODUCT(Q34:AB34,VLOOKUP($Q$1:$AB$1,IngredientStats,4,FALSE))*VLOOKUP(B34,AmmoTypeFactors,14,FALSE)*IF('Ammo Input'!R34,1.1,1))</f>
        <v>#VALUE!</v>
      </c>
      <c r="Q34">
        <f>IFERROR(__xludf.DUMMYFUNCTION("((IF(NOT(OR(REGEXMATCH(B34, ""Arrow""), B34 = ""Javelin"", B34 = ""Stick bomb"")), ROUNDUP(('Ammo Input'!E34 / 1000) * N34)) + IF(VLOOKUP(B34, AmmoTypeFactors, 9, FALSE) = ""Steel"", ROUNDUP(('Ammo Input'!H34 -'Ammo Input'!M34) * MAX(IF('Ammo Input'!J34 &gt;"&amp;" 0, 'Ammo Input'!J34, 1), 1) * N34 / 1000))) / 'Ingredient stats'!$C$2) * IF(ISBLANK(VLOOKUP(B34,AmmoTypeFactors,15,False)),1,VLOOKUP(B34,AmmoTypeFactors,15,False))"),8)</f>
        <v>8</v>
      </c>
      <c r="R34">
        <f>IFERROR(__xludf.DUMMYFUNCTION("ROUNDUP((IF(REGEXMATCH(B34, ""Arrow"") + (B34 = ""Javelin""), 'Ammo Input'!E34) + IF(VLOOKUP(B34, AmmoTypeFactors, 9, FALSE) = ""Wood"", 'Ammo Input'!H34) + IF(B34 = ""Stick bomb"", 'Ammo Input'!E34)) * N34 / 'Ingredient stats'!$C$12 / 1000)"),0)</f>
        <v>0</v>
      </c>
      <c r="S34">
        <v>0</v>
      </c>
      <c r="T34">
        <v>0</v>
      </c>
      <c r="U34">
        <f>IF(VLOOKUP(B34,AmmoTypeFactors,9,FALSE)="Plasteel",ROUNDUP(('Ammo Input'!H34*MAX(IF('Ammo Input'!J34&gt;0,'Ammo Input'!J34,1)*N34/1000/'Ingredient stats'!$C$4)),0),0)</f>
        <v>32</v>
      </c>
      <c r="V34">
        <f>IFERROR(__xludf.DUMMYFUNCTION("ROUNDUP(IF(ISBLANK(VLOOKUP(B34,AmmoTypeFactors,16,False)),1,VLOOKUP(B34,AmmoTypeFactors,16,False)) * (IFS(REGEXMATCH(B34, ""EMP""), 'Ammo Input'!M34 * N34 / 'Ingredient stats'!$C$5, REGEXMATCH(B34, ""Charge""), (U34^0.75), true, 0) + (IF(VLOOKUP(B34, Ammo"&amp;"TypeFactors, 10, false), 2,0) + IF('Ammo Input'!P34, 2,0) + IF('Ammo Input'!Q34,MIN(ROUNDUP(0.2*('Ammo Input'!H34/1000)*'Ammo Input'!O34,0),20),0))))"),14)</f>
        <v>14</v>
      </c>
      <c r="W34">
        <v>0</v>
      </c>
      <c r="X34">
        <v>0</v>
      </c>
      <c r="Y34">
        <v>0</v>
      </c>
      <c r="Z34">
        <v>0</v>
      </c>
      <c r="AA34">
        <v>0</v>
      </c>
      <c r="AB34" s="30">
        <f>IF(B34="Sling Bullet (Stone)",ROUNDUP(D34*0.02*E34/'Ingredient stats'!$C$8,0),0)</f>
        <v>0</v>
      </c>
      <c r="AC34" t="str">
        <f t="shared" si="0"/>
        <v>None</v>
      </c>
      <c r="AD34" t="str">
        <f>IF(OR(B34="Buck",B34="Bird",B34="Charge (Scatter)"),'Ammo Input'!J34,"None")</f>
        <v>None</v>
      </c>
      <c r="AE34" t="str">
        <f>_xlfn.IFS(ISTEXT(Calcs!N34),Calcs!N34,Calcs!N34&lt;=40,Calcs!N34,Calcs!N34&gt;41,"40")</f>
        <v>None</v>
      </c>
      <c r="AF34" t="str">
        <f>_xlfn.IFS(ISTEXT(Calcs!O34),Calcs!O34,Calcs!O34&lt;=80,Calcs!O34,Calcs!O34&gt;=81,"80")</f>
        <v>None</v>
      </c>
      <c r="AG34" s="25">
        <f t="shared" si="1"/>
        <v>1</v>
      </c>
      <c r="AH34" s="25">
        <f t="shared" si="2"/>
        <v>2.7</v>
      </c>
      <c r="AI34" s="25">
        <f t="shared" si="3"/>
        <v>1</v>
      </c>
    </row>
    <row r="35" ht="14.4" spans="1:35">
      <c r="A35" s="24" t="str">
        <f>'Ammo Input'!A35</f>
        <v>15x65mm Diffusing</v>
      </c>
      <c r="B35" t="str">
        <f>'Ammo Input'!B35</f>
        <v>Charge (Scatter)</v>
      </c>
      <c r="C35">
        <f>ROUNDUP(('Ammo Input'!C35*(MAX('Ammo Input'!D35,'Ammo Input'!F35)*0.5)^2*PI())*3/1000000,2)</f>
        <v>0.05</v>
      </c>
      <c r="D35">
        <f>ROUNDUP(('Ammo Input'!E35+'Ammo Input'!H35*IF('Ammo Input'!J35&lt;&gt;"",MAX('Ammo Input'!J35,1),1))/1000,3)</f>
        <v>0.11</v>
      </c>
      <c r="E35">
        <f>MIN(5000,MAX(25,CEILING(Calcs!L35,_xlfn.IFS(Calcs!L35&lt;100,25,Calcs!L35&lt;250,50,Calcs!L35&lt;1000,250,Calcs!L35&gt;=1000,1000))))</f>
        <v>5000</v>
      </c>
      <c r="F35">
        <f>ROUNDUP('Ammo Input'!G35^(3/4),0)</f>
        <v>119</v>
      </c>
      <c r="G35">
        <f>ROUND((0.5*((IF(OR(B35="HEAT",B35="HEDP"),'Ammo Input'!N35,'Ammo Input'!H35)/1000)*(IF(B35="HEAT",9000,IF(B35="HEDP",1500,'Ammo Input'!G35))^2))),0)</f>
        <v>2523</v>
      </c>
      <c r="H35" s="25" t="str">
        <f>CONCATENATE(IF((B35="Foam")+(B35="Smoke"),"-",ROUND(Calcs!D35,0))," ",VLOOKUP(B35,AmmoTypeFactors,5,FALSE))</f>
        <v>22 Bullet</v>
      </c>
      <c r="I35" s="25" t="str">
        <f>IF(Calcs!E35=0,"None",CONCATENATE(ROUND(Calcs!E35,0)," ",VLOOKUP(B35,AmmoTypeFactors,6,FALSE)))</f>
        <v>7 Bomb_Secondary</v>
      </c>
      <c r="J35">
        <f>MROUND(2.42*'Ammo Input'!M35^(1/3)*VLOOKUP(B35,AmmoTypeFactors,3,FALSE),0.5)</f>
        <v>0</v>
      </c>
      <c r="K35" s="25" t="str">
        <f>IF(VLOOKUP(B35,AmmoTypeFactors,12,FALSE),MROUND(J35/3,0.5),"None")</f>
        <v>None</v>
      </c>
      <c r="L35" s="25">
        <f>IF(VLOOKUP(B35,AmmoTypeFactors,8,FALSE),"None",ROUNDUP(IF(Calcs!I35&gt;0,Calcs!I35,Calcs!H35),3))</f>
        <v>50.46</v>
      </c>
      <c r="M35" s="25">
        <f>IF(VLOOKUP(B35,AmmoTypeFactors,8,FALSE),"None",'Ammo Input'!L35)</f>
        <v>8</v>
      </c>
      <c r="N35">
        <f>'Ammo Input'!O35</f>
        <v>200</v>
      </c>
      <c r="O35" t="e">
        <f>ROUND((P35*0.0036+SUMPRODUCT(Q35:AB35,VLOOKUP($Q$1:$AB$1,IngredientStats,2,FALSE)))/N35*IF('Ammo Input'!R35,0.5,1),2)</f>
        <v>#VALUE!</v>
      </c>
      <c r="P35" t="e">
        <f>(SUMPRODUCT(Q35:AB35,VLOOKUP($Q$1:$AB$1,IngredientStats,4,FALSE))*VLOOKUP(B35,AmmoTypeFactors,14,FALSE)*IF('Ammo Input'!R35,1.1,1))</f>
        <v>#VALUE!</v>
      </c>
      <c r="Q35">
        <f>IFERROR(__xludf.DUMMYFUNCTION("((IF(NOT(OR(REGEXMATCH(B35, ""Arrow""), B35 = ""Javelin"", B35 = ""Stick bomb"")), ROUNDUP(('Ammo Input'!E35 / 1000) * N35)) + IF(VLOOKUP(B35, AmmoTypeFactors, 9, FALSE) = ""Steel"", ROUNDUP(('Ammo Input'!H35 -'Ammo Input'!M35) * MAX(IF('Ammo Input'!J35 &gt;"&amp;" 0, 'Ammo Input'!J35, 1), 1) * N35 / 1000))) / 'Ingredient stats'!$C$2) * IF(ISBLANK(VLOOKUP(B35,AmmoTypeFactors,15,False)),1,VLOOKUP(B35,AmmoTypeFactors,15,False))"),14)</f>
        <v>14</v>
      </c>
      <c r="R35">
        <f>IFERROR(__xludf.DUMMYFUNCTION("ROUNDUP((IF(REGEXMATCH(B35, ""Arrow"") + (B35 = ""Javelin""), 'Ammo Input'!E35) + IF(VLOOKUP(B35, AmmoTypeFactors, 9, FALSE) = ""Wood"", 'Ammo Input'!H35) + IF(B35 = ""Stick bomb"", 'Ammo Input'!E35)) * N35 / 'Ingredient stats'!$C$12 / 1000)"),0)</f>
        <v>0</v>
      </c>
      <c r="S35">
        <v>0</v>
      </c>
      <c r="T35">
        <v>0</v>
      </c>
      <c r="U35">
        <f>IF(VLOOKUP(B35,AmmoTypeFactors,9,FALSE)="Plasteel",ROUNDUP(('Ammo Input'!H35*MAX(IF('Ammo Input'!J35&gt;0,'Ammo Input'!J35,1)*N35/1000/'Ingredient stats'!$C$4)),0),0)</f>
        <v>60</v>
      </c>
      <c r="V35">
        <f>IFERROR(__xludf.DUMMYFUNCTION("ROUNDUP(IF(ISBLANK(VLOOKUP(B35,AmmoTypeFactors,16,False)),1,VLOOKUP(B35,AmmoTypeFactors,16,False)) * (IFS(REGEXMATCH(B35, ""EMP""), 'Ammo Input'!M35 * N35 / 'Ingredient stats'!$C$5, REGEXMATCH(B35, ""Charge""), (U35^0.75), true, 0) + (IF(VLOOKUP(B35, Ammo"&amp;"TypeFactors, 10, false), 2,0) + IF('Ammo Input'!P35, 2,0) + IF('Ammo Input'!Q35,MIN(ROUNDUP(0.2*('Ammo Input'!H35/1000)*'Ammo Input'!O35,0),20),0))))"),22)</f>
        <v>22</v>
      </c>
      <c r="W35">
        <v>0</v>
      </c>
      <c r="X35">
        <v>0</v>
      </c>
      <c r="Y35">
        <v>0</v>
      </c>
      <c r="Z35">
        <v>0</v>
      </c>
      <c r="AA35">
        <v>0</v>
      </c>
      <c r="AB35" s="30">
        <f>IF(B35="Sling Bullet (Stone)",ROUNDUP(D35*0.02*E35/'Ingredient stats'!$C$8,0),0)</f>
        <v>0</v>
      </c>
      <c r="AC35">
        <f t="shared" si="0"/>
        <v>8.9</v>
      </c>
      <c r="AD35">
        <f>IF(OR(B35="Buck",B35="Bird",B35="Charge (Scatter)"),'Ammo Input'!J35,"None")</f>
        <v>5</v>
      </c>
      <c r="AE35" t="str">
        <f>_xlfn.IFS(ISTEXT(Calcs!N35),Calcs!N35,Calcs!N35&lt;=40,Calcs!N35,Calcs!N35&gt;41,"40")</f>
        <v>None</v>
      </c>
      <c r="AF35" t="str">
        <f>_xlfn.IFS(ISTEXT(Calcs!O35),Calcs!O35,Calcs!O35&lt;=80,Calcs!O35,Calcs!O35&gt;=81,"80")</f>
        <v>None</v>
      </c>
      <c r="AG35" s="25">
        <f t="shared" si="1"/>
        <v>1</v>
      </c>
      <c r="AH35" s="25">
        <f t="shared" si="2"/>
        <v>1.96</v>
      </c>
      <c r="AI35" s="25">
        <f t="shared" si="3"/>
        <v>1</v>
      </c>
    </row>
    <row r="36" ht="14.4" spans="1:35">
      <c r="A36" s="24" t="str">
        <f>'Ammo Input'!A36</f>
        <v>20x105mm Charged</v>
      </c>
      <c r="B36" t="str">
        <f>'Ammo Input'!B36</f>
        <v>Charge</v>
      </c>
      <c r="C36">
        <f>ROUNDUP(('Ammo Input'!C36*(MAX('Ammo Input'!D36,'Ammo Input'!F36)*0.5)^2*PI())*3/1000000,2)</f>
        <v>0.14</v>
      </c>
      <c r="D36">
        <f>ROUNDUP(('Ammo Input'!E36+'Ammo Input'!H36*IF('Ammo Input'!J36&lt;&gt;"",MAX('Ammo Input'!J36,1),1))/1000,3)</f>
        <v>0.13</v>
      </c>
      <c r="E36">
        <f>MIN(5000,MAX(25,CEILING(Calcs!L36,_xlfn.IFS(Calcs!L36&lt;100,25,Calcs!L36&lt;250,50,Calcs!L36&lt;1000,250,Calcs!L36&gt;=1000,1000))))</f>
        <v>4000</v>
      </c>
      <c r="F36">
        <f>ROUNDUP('Ammo Input'!G36^(3/4),0)</f>
        <v>178</v>
      </c>
      <c r="G36">
        <f>ROUND((0.5*((IF(OR(B36="HEAT",B36="HEDP"),'Ammo Input'!N36,'Ammo Input'!H36)/1000)*(IF(B36="HEAT",9000,IF(B36="HEDP",1500,'Ammo Input'!G36))^2))),0)</f>
        <v>50000</v>
      </c>
      <c r="H36" s="25" t="str">
        <f>CONCATENATE(IF((B36="Foam")+(B36="Smoke"),"-",ROUND(Calcs!D36,0))," ",VLOOKUP(B36,AmmoTypeFactors,5,FALSE))</f>
        <v>69 Bullet</v>
      </c>
      <c r="I36" s="25" t="str">
        <f>IF(Calcs!E36=0,"None",CONCATENATE(ROUND(Calcs!E36,0)," ",VLOOKUP(B36,AmmoTypeFactors,6,FALSE)))</f>
        <v>21 Bomb_Secondary</v>
      </c>
      <c r="J36">
        <f>MROUND(2.42*'Ammo Input'!M36^(1/3)*VLOOKUP(B36,AmmoTypeFactors,3,FALSE),0.5)</f>
        <v>0</v>
      </c>
      <c r="K36" s="25" t="str">
        <f>IF(VLOOKUP(B36,AmmoTypeFactors,12,FALSE),MROUND(J36/3,0.5),"None")</f>
        <v>None</v>
      </c>
      <c r="L36" s="25">
        <f>IF(VLOOKUP(B36,AmmoTypeFactors,8,FALSE),"None",ROUNDUP(IF(Calcs!I36&gt;0,Calcs!I36,Calcs!H36),3))</f>
        <v>1000</v>
      </c>
      <c r="M36" s="25">
        <f>IF(VLOOKUP(B36,AmmoTypeFactors,8,FALSE),"None",'Ammo Input'!L36)</f>
        <v>40</v>
      </c>
      <c r="N36">
        <f>'Ammo Input'!O36</f>
        <v>100</v>
      </c>
      <c r="O36" t="e">
        <f>ROUND((P36*0.0036+SUMPRODUCT(Q36:AB36,VLOOKUP($Q$1:$AB$1,IngredientStats,2,FALSE)))/N36*IF('Ammo Input'!R36,0.5,1),2)</f>
        <v>#VALUE!</v>
      </c>
      <c r="P36" t="e">
        <f>(SUMPRODUCT(Q36:AB36,VLOOKUP($Q$1:$AB$1,IngredientStats,4,FALSE))*VLOOKUP(B36,AmmoTypeFactors,14,FALSE)*IF('Ammo Input'!R36,1.1,1))</f>
        <v>#VALUE!</v>
      </c>
      <c r="Q36">
        <f>IFERROR(__xludf.DUMMYFUNCTION("((IF(NOT(OR(REGEXMATCH(B36, ""Arrow""), B36 = ""Javelin"", B36 = ""Stick bomb"")), ROUNDUP(('Ammo Input'!E36 / 1000) * N36)) + IF(VLOOKUP(B36, AmmoTypeFactors, 9, FALSE) = ""Steel"", ROUNDUP(('Ammo Input'!H36 -'Ammo Input'!M36) * MAX(IF('Ammo Input'!J36 &gt;"&amp;" 0, 'Ammo Input'!J36, 1), 1) * N36 / 1000))) / 'Ingredient stats'!$C$2) * IF(ISBLANK(VLOOKUP(B36,AmmoTypeFactors,15,False)),1,VLOOKUP(B36,AmmoTypeFactors,15,False))"),6)</f>
        <v>6</v>
      </c>
      <c r="R36">
        <f>IFERROR(__xludf.DUMMYFUNCTION("ROUNDUP((IF(REGEXMATCH(B36, ""Arrow"") + (B36 = ""Javelin""), 'Ammo Input'!E36) + IF(VLOOKUP(B36, AmmoTypeFactors, 9, FALSE) = ""Wood"", 'Ammo Input'!H36) + IF(B36 = ""Stick bomb"", 'Ammo Input'!E36)) * N36 / 'Ingredient stats'!$C$12 / 1000)"),0)</f>
        <v>0</v>
      </c>
      <c r="S36">
        <v>0</v>
      </c>
      <c r="T36">
        <v>0</v>
      </c>
      <c r="U36">
        <f>IF(VLOOKUP(B36,AmmoTypeFactors,9,FALSE)="Plasteel",ROUNDUP(('Ammo Input'!H36*MAX(IF('Ammo Input'!J36&gt;0,'Ammo Input'!J36,1)*N36/1000/'Ingredient stats'!$C$4)),0),0)</f>
        <v>40</v>
      </c>
      <c r="V36">
        <f>IFERROR(__xludf.DUMMYFUNCTION("ROUNDUP(IF(ISBLANK(VLOOKUP(B36,AmmoTypeFactors,16,False)),1,VLOOKUP(B36,AmmoTypeFactors,16,False)) * (IFS(REGEXMATCH(B36, ""EMP""), 'Ammo Input'!M36 * N36 / 'Ingredient stats'!$C$5, REGEXMATCH(B36, ""Charge""), (U36^0.75), true, 0) + (IF(VLOOKUP(B36, Ammo"&amp;"TypeFactors, 10, false), 2,0) + IF('Ammo Input'!P36, 2,0) + IF('Ammo Input'!Q36,MIN(ROUNDUP(0.2*('Ammo Input'!H36/1000)*'Ammo Input'!O36,0),20),0))))"),16)</f>
        <v>16</v>
      </c>
      <c r="W36">
        <v>0</v>
      </c>
      <c r="X36">
        <v>0</v>
      </c>
      <c r="Y36">
        <v>0</v>
      </c>
      <c r="Z36">
        <v>0</v>
      </c>
      <c r="AA36">
        <v>0</v>
      </c>
      <c r="AB36" s="30">
        <f>IF(B36="Sling Bullet (Stone)",ROUNDUP(D36*0.02*E36/'Ingredient stats'!$C$8,0),0)</f>
        <v>0</v>
      </c>
      <c r="AC36" t="str">
        <f t="shared" si="0"/>
        <v>None</v>
      </c>
      <c r="AD36" t="str">
        <f>IF(OR(B36="Buck",B36="Bird",B36="Charge (Scatter)"),'Ammo Input'!J36,"None")</f>
        <v>None</v>
      </c>
      <c r="AE36" t="str">
        <f>_xlfn.IFS(ISTEXT(Calcs!N36),Calcs!N36,Calcs!N36&lt;=40,Calcs!N36,Calcs!N36&gt;41,"40")</f>
        <v>None</v>
      </c>
      <c r="AF36" t="str">
        <f>_xlfn.IFS(ISTEXT(Calcs!O36),Calcs!O36,Calcs!O36&lt;=80,Calcs!O36,Calcs!O36&gt;=81,"80")</f>
        <v>None</v>
      </c>
      <c r="AG36" s="25">
        <f t="shared" si="1"/>
        <v>1</v>
      </c>
      <c r="AH36" s="25">
        <f t="shared" si="2"/>
        <v>2.9</v>
      </c>
      <c r="AI36" s="25">
        <f t="shared" si="3"/>
        <v>1</v>
      </c>
    </row>
    <row r="37" ht="14.4" spans="1:35">
      <c r="A37" s="24" t="str">
        <f>'Ammo Input'!A37</f>
        <v>20x105mm Charged</v>
      </c>
      <c r="B37" t="str">
        <f>'Ammo Input'!B37</f>
        <v>Charge (Concentrated)</v>
      </c>
      <c r="C37">
        <f>ROUNDUP(('Ammo Input'!C37*(MAX('Ammo Input'!D37,'Ammo Input'!F37)*0.5)^2*PI())*3/1000000,2)</f>
        <v>0.14</v>
      </c>
      <c r="D37">
        <f>ROUNDUP(('Ammo Input'!E37+'Ammo Input'!H37*IF('Ammo Input'!J37&lt;&gt;"",MAX('Ammo Input'!J37,1),1))/1000,3)</f>
        <v>0.13</v>
      </c>
      <c r="E37">
        <f>MIN(5000,MAX(25,CEILING(Calcs!L37,_xlfn.IFS(Calcs!L37&lt;100,25,Calcs!L37&lt;250,50,Calcs!L37&lt;1000,250,Calcs!L37&gt;=1000,1000))))</f>
        <v>4000</v>
      </c>
      <c r="F37">
        <f>ROUNDUP('Ammo Input'!G37^(3/4),0)</f>
        <v>178</v>
      </c>
      <c r="G37">
        <f>ROUND((0.5*((IF(OR(B37="HEAT",B37="HEDP"),'Ammo Input'!N37,'Ammo Input'!H37)/1000)*(IF(B37="HEAT",9000,IF(B37="HEDP",1500,'Ammo Input'!G37))^2))),0)</f>
        <v>50000</v>
      </c>
      <c r="H37" s="25" t="str">
        <f>CONCATENATE(IF((B37="Foam")+(B37="Smoke"),"-",ROUND(Calcs!D37,0))," ",VLOOKUP(B37,AmmoTypeFactors,5,FALSE))</f>
        <v>54 Bullet</v>
      </c>
      <c r="I37" s="25" t="str">
        <f>IF(Calcs!E37=0,"None",CONCATENATE(ROUND(Calcs!E37,0)," ",VLOOKUP(B37,AmmoTypeFactors,6,FALSE)))</f>
        <v>8 Bomb_Secondary</v>
      </c>
      <c r="J37">
        <f>MROUND(2.42*'Ammo Input'!M37^(1/3)*VLOOKUP(B37,AmmoTypeFactors,3,FALSE),0.5)</f>
        <v>0</v>
      </c>
      <c r="K37" s="25" t="str">
        <f>IF(VLOOKUP(B37,AmmoTypeFactors,12,FALSE),MROUND(J37/3,0.5),"None")</f>
        <v>None</v>
      </c>
      <c r="L37" s="25">
        <f>IF(VLOOKUP(B37,AmmoTypeFactors,8,FALSE),"None",ROUNDUP(IF(Calcs!I37&gt;0,Calcs!I37,Calcs!H37),3))</f>
        <v>1000</v>
      </c>
      <c r="M37" s="25">
        <f>IF(VLOOKUP(B37,AmmoTypeFactors,8,FALSE),"None",'Ammo Input'!L37)</f>
        <v>80</v>
      </c>
      <c r="N37">
        <f>'Ammo Input'!O37</f>
        <v>100</v>
      </c>
      <c r="O37" t="e">
        <f>ROUND((P37*0.0036+SUMPRODUCT(Q37:AB37,VLOOKUP($Q$1:$AB$1,IngredientStats,2,FALSE)))/N37*IF('Ammo Input'!R37,0.5,1),2)</f>
        <v>#VALUE!</v>
      </c>
      <c r="P37" t="e">
        <f>(SUMPRODUCT(Q37:AB37,VLOOKUP($Q$1:$AB$1,IngredientStats,4,FALSE))*VLOOKUP(B37,AmmoTypeFactors,14,FALSE)*IF('Ammo Input'!R37,1.1,1))</f>
        <v>#VALUE!</v>
      </c>
      <c r="Q37">
        <f>IFERROR(__xludf.DUMMYFUNCTION("((IF(NOT(OR(REGEXMATCH(B37, ""Arrow""), B37 = ""Javelin"", B37 = ""Stick bomb"")), ROUNDUP(('Ammo Input'!E37 / 1000) * N37)) + IF(VLOOKUP(B37, AmmoTypeFactors, 9, FALSE) = ""Steel"", ROUNDUP(('Ammo Input'!H37 -'Ammo Input'!M37) * MAX(IF('Ammo Input'!J37 &gt;"&amp;" 0, 'Ammo Input'!J37, 1), 1) * N37 / 1000))) / 'Ingredient stats'!$C$2) * IF(ISBLANK(VLOOKUP(B37,AmmoTypeFactors,15,False)),1,VLOOKUP(B37,AmmoTypeFactors,15,False))"),6)</f>
        <v>6</v>
      </c>
      <c r="R37">
        <f>IFERROR(__xludf.DUMMYFUNCTION("ROUNDUP((IF(REGEXMATCH(B37, ""Arrow"") + (B37 = ""Javelin""), 'Ammo Input'!E37) + IF(VLOOKUP(B37, AmmoTypeFactors, 9, FALSE) = ""Wood"", 'Ammo Input'!H37) + IF(B37 = ""Stick bomb"", 'Ammo Input'!E37)) * N37 / 'Ingredient stats'!$C$12 / 1000)"),0)</f>
        <v>0</v>
      </c>
      <c r="S37">
        <v>0</v>
      </c>
      <c r="T37">
        <v>0</v>
      </c>
      <c r="U37">
        <f>IF(VLOOKUP(B37,AmmoTypeFactors,9,FALSE)="Plasteel",ROUNDUP(('Ammo Input'!H37*MAX(IF('Ammo Input'!J37&gt;0,'Ammo Input'!J37,1)*N37/1000/'Ingredient stats'!$C$4)),0),0)</f>
        <v>40</v>
      </c>
      <c r="V37">
        <f>IFERROR(__xludf.DUMMYFUNCTION("ROUNDUP(IF(ISBLANK(VLOOKUP(B37,AmmoTypeFactors,16,False)),1,VLOOKUP(B37,AmmoTypeFactors,16,False)) * (IFS(REGEXMATCH(B37, ""EMP""), 'Ammo Input'!M37 * N37 / 'Ingredient stats'!$C$5, REGEXMATCH(B37, ""Charge""), (U37^0.75), true, 0) + (IF(VLOOKUP(B37, Ammo"&amp;"TypeFactors, 10, false), 2,0) + IF('Ammo Input'!P37, 2,0) + IF('Ammo Input'!Q37,MIN(ROUNDUP(0.2*('Ammo Input'!H37/1000)*'Ammo Input'!O37,0),20),0))))"),16)</f>
        <v>16</v>
      </c>
      <c r="W37">
        <v>0</v>
      </c>
      <c r="X37">
        <v>0</v>
      </c>
      <c r="Y37">
        <v>0</v>
      </c>
      <c r="Z37">
        <v>0</v>
      </c>
      <c r="AA37">
        <v>0</v>
      </c>
      <c r="AB37" s="30">
        <f>IF(B37="Sling Bullet (Stone)",ROUNDUP(D37*0.02*E37/'Ingredient stats'!$C$8,0),0)</f>
        <v>0</v>
      </c>
      <c r="AC37" t="str">
        <f t="shared" si="0"/>
        <v>None</v>
      </c>
      <c r="AD37" t="str">
        <f>IF(OR(B37="Buck",B37="Bird",B37="Charge (Scatter)"),'Ammo Input'!J37,"None")</f>
        <v>None</v>
      </c>
      <c r="AE37" t="str">
        <f>_xlfn.IFS(ISTEXT(Calcs!N37),Calcs!N37,Calcs!N37&lt;=40,Calcs!N37,Calcs!N37&gt;41,"40")</f>
        <v>None</v>
      </c>
      <c r="AF37" t="str">
        <f>_xlfn.IFS(ISTEXT(Calcs!O37),Calcs!O37,Calcs!O37&lt;=80,Calcs!O37,Calcs!O37&gt;=81,"80")</f>
        <v>None</v>
      </c>
      <c r="AG37" s="25">
        <f t="shared" si="1"/>
        <v>1</v>
      </c>
      <c r="AH37" s="25">
        <f t="shared" si="2"/>
        <v>2.9</v>
      </c>
      <c r="AI37" s="25">
        <f t="shared" si="3"/>
        <v>1</v>
      </c>
    </row>
    <row r="38" ht="14.4" spans="1:35">
      <c r="A38" s="24" t="str">
        <f>'Ammo Input'!A38</f>
        <v>20x105mm Charged</v>
      </c>
      <c r="B38" t="str">
        <f>'Ammo Input'!B38</f>
        <v>Charge (Ion)</v>
      </c>
      <c r="C38">
        <f>ROUNDUP(('Ammo Input'!C38*(MAX('Ammo Input'!D38,'Ammo Input'!F38)*0.5)^2*PI())*3/1000000,2)</f>
        <v>0.14</v>
      </c>
      <c r="D38">
        <f>ROUNDUP(('Ammo Input'!E38+'Ammo Input'!H38*IF('Ammo Input'!J38&lt;&gt;"",MAX('Ammo Input'!J38,1),1))/1000,3)</f>
        <v>0.13</v>
      </c>
      <c r="E38">
        <f>MIN(5000,MAX(25,CEILING(Calcs!L38,_xlfn.IFS(Calcs!L38&lt;100,25,Calcs!L38&lt;250,50,Calcs!L38&lt;1000,250,Calcs!L38&gt;=1000,1000))))</f>
        <v>4000</v>
      </c>
      <c r="F38">
        <f>ROUNDUP('Ammo Input'!G38^(3/4),0)</f>
        <v>178</v>
      </c>
      <c r="G38">
        <f>ROUND((0.5*((IF(OR(B38="HEAT",B38="HEDP"),'Ammo Input'!N38,'Ammo Input'!H38)/1000)*(IF(B38="HEAT",9000,IF(B38="HEDP",1500,'Ammo Input'!G38))^2))),0)</f>
        <v>50000</v>
      </c>
      <c r="H38" s="25" t="str">
        <f>CONCATENATE(IF((B38="Foam")+(B38="Smoke"),"-",ROUND(Calcs!D38,0))," ",VLOOKUP(B38,AmmoTypeFactors,5,FALSE))</f>
        <v>54 Bullet</v>
      </c>
      <c r="I38" s="25" t="str">
        <f>IF(Calcs!E38=0,"None",CONCATENATE(ROUND(Calcs!E38,0)," ",VLOOKUP(B38,AmmoTypeFactors,6,FALSE)))</f>
        <v>33 EMP</v>
      </c>
      <c r="J38">
        <f>MROUND(2.42*'Ammo Input'!M38^(1/3)*VLOOKUP(B38,AmmoTypeFactors,3,FALSE),0.5)</f>
        <v>0</v>
      </c>
      <c r="K38" s="25" t="str">
        <f>IF(VLOOKUP(B38,AmmoTypeFactors,12,FALSE),MROUND(J38/3,0.5),"None")</f>
        <v>None</v>
      </c>
      <c r="L38" s="25">
        <f>IF(VLOOKUP(B38,AmmoTypeFactors,8,FALSE),"None",ROUNDUP(IF(Calcs!I38&gt;0,Calcs!I38,Calcs!H38),3))</f>
        <v>1000</v>
      </c>
      <c r="M38" s="25">
        <f>IF(VLOOKUP(B38,AmmoTypeFactors,8,FALSE),"None",'Ammo Input'!L38)</f>
        <v>60</v>
      </c>
      <c r="N38">
        <f>'Ammo Input'!O38</f>
        <v>100</v>
      </c>
      <c r="O38" t="e">
        <f>ROUND((P38*0.0036+SUMPRODUCT(Q38:AB38,VLOOKUP($Q$1:$AB$1,IngredientStats,2,FALSE)))/N38*IF('Ammo Input'!R38,0.5,1),2)</f>
        <v>#VALUE!</v>
      </c>
      <c r="P38" t="e">
        <f>(SUMPRODUCT(Q38:AB38,VLOOKUP($Q$1:$AB$1,IngredientStats,4,FALSE))*VLOOKUP(B38,AmmoTypeFactors,14,FALSE)*IF('Ammo Input'!R38,1.1,1))</f>
        <v>#VALUE!</v>
      </c>
      <c r="Q38">
        <f>IFERROR(__xludf.DUMMYFUNCTION("((IF(NOT(OR(REGEXMATCH(B38, ""Arrow""), B38 = ""Javelin"", B38 = ""Stick bomb"")), ROUNDUP(('Ammo Input'!E38 / 1000) * N38)) + IF(VLOOKUP(B38, AmmoTypeFactors, 9, FALSE) = ""Steel"", ROUNDUP(('Ammo Input'!H38 -'Ammo Input'!M38) * MAX(IF('Ammo Input'!J38 &gt;"&amp;" 0, 'Ammo Input'!J38, 1), 1) * N38 / 1000))) / 'Ingredient stats'!$C$2) * IF(ISBLANK(VLOOKUP(B38,AmmoTypeFactors,15,False)),1,VLOOKUP(B38,AmmoTypeFactors,15,False))"),6)</f>
        <v>6</v>
      </c>
      <c r="R38">
        <f>IFERROR(__xludf.DUMMYFUNCTION("ROUNDUP((IF(REGEXMATCH(B38, ""Arrow"") + (B38 = ""Javelin""), 'Ammo Input'!E38) + IF(VLOOKUP(B38, AmmoTypeFactors, 9, FALSE) = ""Wood"", 'Ammo Input'!H38) + IF(B38 = ""Stick bomb"", 'Ammo Input'!E38)) * N38 / 'Ingredient stats'!$C$12 / 1000)"),0)</f>
        <v>0</v>
      </c>
      <c r="S38">
        <v>0</v>
      </c>
      <c r="T38">
        <v>0</v>
      </c>
      <c r="U38">
        <f>IF(VLOOKUP(B38,AmmoTypeFactors,9,FALSE)="Plasteel",ROUNDUP(('Ammo Input'!H38*MAX(IF('Ammo Input'!J38&gt;0,'Ammo Input'!J38,1)*N38/1000/'Ingredient stats'!$C$4)),0),0)</f>
        <v>40</v>
      </c>
      <c r="V38">
        <f>IFERROR(__xludf.DUMMYFUNCTION("ROUNDUP(IF(ISBLANK(VLOOKUP(B38,AmmoTypeFactors,16,False)),1,VLOOKUP(B38,AmmoTypeFactors,16,False)) * (IFS(REGEXMATCH(B38, ""EMP""), 'Ammo Input'!M38 * N38 / 'Ingredient stats'!$C$5, REGEXMATCH(B38, ""Charge""), (U38^0.75), true, 0) + (IF(VLOOKUP(B38, Ammo"&amp;"TypeFactors, 10, false), 2,0) + IF('Ammo Input'!P38, 2,0) + IF('Ammo Input'!Q38,MIN(ROUNDUP(0.2*('Ammo Input'!H38/1000)*'Ammo Input'!O38,0),20),0))))"),16)</f>
        <v>16</v>
      </c>
      <c r="W38">
        <v>0</v>
      </c>
      <c r="X38">
        <v>0</v>
      </c>
      <c r="Y38">
        <v>0</v>
      </c>
      <c r="Z38">
        <v>0</v>
      </c>
      <c r="AA38">
        <v>0</v>
      </c>
      <c r="AB38" s="30">
        <f>IF(B38="Sling Bullet (Stone)",ROUNDUP(D38*0.02*E38/'Ingredient stats'!$C$8,0),0)</f>
        <v>0</v>
      </c>
      <c r="AC38" t="str">
        <f t="shared" si="0"/>
        <v>None</v>
      </c>
      <c r="AD38" t="str">
        <f>IF(OR(B38="Buck",B38="Bird",B38="Charge (Scatter)"),'Ammo Input'!J38,"None")</f>
        <v>None</v>
      </c>
      <c r="AE38" t="str">
        <f>_xlfn.IFS(ISTEXT(Calcs!N38),Calcs!N38,Calcs!N38&lt;=40,Calcs!N38,Calcs!N38&gt;41,"40")</f>
        <v>None</v>
      </c>
      <c r="AF38" t="str">
        <f>_xlfn.IFS(ISTEXT(Calcs!O38),Calcs!O38,Calcs!O38&lt;=80,Calcs!O38,Calcs!O38&gt;=81,"80")</f>
        <v>None</v>
      </c>
      <c r="AG38" s="25">
        <f t="shared" si="1"/>
        <v>1</v>
      </c>
      <c r="AH38" s="25">
        <f t="shared" si="2"/>
        <v>2.9</v>
      </c>
      <c r="AI38" s="25">
        <f t="shared" si="3"/>
        <v>1</v>
      </c>
    </row>
    <row r="39" ht="14.4" spans="1:35">
      <c r="A39" s="24" t="str">
        <f>'Ammo Input'!A39</f>
        <v>30x64mm FC</v>
      </c>
      <c r="B39" t="str">
        <f>'Ammo Input'!B39</f>
        <v>Incendiary</v>
      </c>
      <c r="C39">
        <f>ROUNDUP(('Ammo Input'!C39*(MAX('Ammo Input'!D39,'Ammo Input'!F39)*0.5)^2*PI())*3/1000000,2)</f>
        <v>0.14</v>
      </c>
      <c r="D39">
        <f>ROUNDUP(('Ammo Input'!E39+'Ammo Input'!H39*IF('Ammo Input'!J39&lt;&gt;"",MAX('Ammo Input'!J39,1),1))/1000,3)</f>
        <v>0.4</v>
      </c>
      <c r="E39">
        <f>MIN(5000,MAX(25,CEILING(Calcs!L39,_xlfn.IFS(Calcs!L39&lt;100,25,Calcs!L39&lt;250,50,Calcs!L39&lt;1000,250,Calcs!L39&gt;=1000,1000))))</f>
        <v>3000</v>
      </c>
      <c r="F39">
        <f>ROUNDUP('Ammo Input'!G39^(3/4),0)</f>
        <v>54</v>
      </c>
      <c r="G39">
        <f>ROUND((0.5*((IF(OR(B39="HEAT",B39="HEDP"),'Ammo Input'!N39,'Ammo Input'!H39)/1000)*(IF(B39="HEAT",9000,IF(B39="HEDP",1500,'Ammo Input'!G39))^2))),0)</f>
        <v>6000</v>
      </c>
      <c r="H39" s="25" t="str">
        <f>CONCATENATE(IF((B39="Foam")+(B39="Smoke"),"-",ROUND(Calcs!D39,0))," ",VLOOKUP(B39,AmmoTypeFactors,5,FALSE))</f>
        <v>10 Flame</v>
      </c>
      <c r="I39" s="25" t="str">
        <f>IF(Calcs!E39=0,"None",CONCATENATE(ROUND(Calcs!E39,0)," ",VLOOKUP(B39,AmmoTypeFactors,6,FALSE)))</f>
        <v>None</v>
      </c>
      <c r="J39">
        <f>MROUND(2.42*'Ammo Input'!M39^(1/3)*VLOOKUP(B39,AmmoTypeFactors,3,FALSE),0.5)</f>
        <v>6</v>
      </c>
      <c r="K39" s="25" t="str">
        <f>IF(VLOOKUP(B39,AmmoTypeFactors,12,FALSE),MROUND(J39/3,0.5),"None")</f>
        <v>None</v>
      </c>
      <c r="L39" s="25" t="str">
        <f>IF(VLOOKUP(B39,AmmoTypeFactors,8,FALSE),"None",ROUNDUP(IF(Calcs!I39&gt;0,Calcs!I39,Calcs!H39),3))</f>
        <v>None</v>
      </c>
      <c r="M39" s="25" t="str">
        <f>IF(VLOOKUP(B39,AmmoTypeFactors,8,FALSE),"None",'Ammo Input'!L39)</f>
        <v>None</v>
      </c>
      <c r="N39">
        <f>'Ammo Input'!O39</f>
        <v>50</v>
      </c>
      <c r="O39" t="e">
        <f>ROUND((P39*0.0036+SUMPRODUCT(Q39:AB39,VLOOKUP($Q$1:$AB$1,IngredientStats,2,FALSE)))/N39*IF('Ammo Input'!R39,0.5,1),2)</f>
        <v>#VALUE!</v>
      </c>
      <c r="P39" t="e">
        <f>(SUMPRODUCT(Q39:AB39,VLOOKUP($Q$1:$AB$1,IngredientStats,4,FALSE))*VLOOKUP(B39,AmmoTypeFactors,14,FALSE)*IF('Ammo Input'!R39,1.1,1))</f>
        <v>#VALUE!</v>
      </c>
      <c r="Q39">
        <f>IFERROR(__xludf.DUMMYFUNCTION("((IF(NOT(OR(REGEXMATCH(B39, ""Arrow""), B39 = ""Javelin"", B39 = ""Stick bomb"")), ROUNDUP(('Ammo Input'!E39 / 1000) * N39)) + IF(VLOOKUP(B39, AmmoTypeFactors, 9, FALSE) = ""Steel"", ROUNDUP(('Ammo Input'!H39 -'Ammo Input'!M39) * MAX(IF('Ammo Input'!J39 &gt;"&amp;" 0, 'Ammo Input'!J39, 1), 1) * N39 / 1000))) / 'Ingredient stats'!$C$2) * IF(ISBLANK(VLOOKUP(B39,AmmoTypeFactors,15,False)),1,VLOOKUP(B39,AmmoTypeFactors,15,False))"),40)</f>
        <v>40</v>
      </c>
      <c r="R39">
        <f>IFERROR(__xludf.DUMMYFUNCTION("ROUNDUP((IF(REGEXMATCH(B39, ""Arrow"") + (B39 = ""Javelin""), 'Ammo Input'!E39) + IF(VLOOKUP(B39, AmmoTypeFactors, 9, FALSE) = ""Wood"", 'Ammo Input'!H39) + IF(B39 = ""Stick bomb"", 'Ammo Input'!E39)) * N39 / 'Ingredient stats'!$C$12 / 1000)"),0)</f>
        <v>0</v>
      </c>
      <c r="S39">
        <v>0</v>
      </c>
      <c r="T39">
        <v>0</v>
      </c>
      <c r="U39">
        <f>IF(VLOOKUP(B39,AmmoTypeFactors,9,FALSE)="Plasteel",ROUNDUP(('Ammo Input'!H39*MAX(IF('Ammo Input'!J39&gt;0,'Ammo Input'!J39,1)*N39/1000/'Ingredient stats'!$C$4)),0),0)</f>
        <v>0</v>
      </c>
      <c r="V39">
        <f>IFERROR(__xludf.DUMMYFUNCTION("ROUNDUP(IF(ISBLANK(VLOOKUP(B39,AmmoTypeFactors,16,False)),1,VLOOKUP(B39,AmmoTypeFactors,16,False)) * (IFS(REGEXMATCH(B39, ""EMP""), 'Ammo Input'!M39 * N39 / 'Ingredient stats'!$C$5, REGEXMATCH(B39, ""Charge""), (U39^0.75), true, 0) + (IF(VLOOKUP(B39, Ammo"&amp;"TypeFactors, 10, false), 2,0) + IF('Ammo Input'!P39, 2,0) + IF('Ammo Input'!Q39,MIN(ROUNDUP(0.2*('Ammo Input'!H39/1000)*'Ammo Input'!O39,0),20),0))))"),2)</f>
        <v>2</v>
      </c>
      <c r="W39">
        <v>30</v>
      </c>
      <c r="X39">
        <v>0</v>
      </c>
      <c r="Y39">
        <v>0</v>
      </c>
      <c r="Z39">
        <v>0</v>
      </c>
      <c r="AA39">
        <v>0</v>
      </c>
      <c r="AB39" s="30">
        <f>IF(B39="Sling Bullet (Stone)",ROUNDUP(D39*0.02*E39/'Ingredient stats'!$C$8,0),0)</f>
        <v>0</v>
      </c>
      <c r="AC39" t="str">
        <f t="shared" si="0"/>
        <v>None</v>
      </c>
      <c r="AD39" t="str">
        <f>IF(OR(B39="Buck",B39="Bird",B39="Charge (Scatter)"),'Ammo Input'!J39,"None")</f>
        <v>None</v>
      </c>
      <c r="AE39" t="str">
        <f>_xlfn.IFS(ISTEXT(Calcs!N39),Calcs!N39,Calcs!N39&lt;=40,Calcs!N39,Calcs!N39&gt;41,"40")</f>
        <v>None</v>
      </c>
      <c r="AF39" t="str">
        <f>_xlfn.IFS(ISTEXT(Calcs!O39),Calcs!O39,Calcs!O39&lt;=80,Calcs!O39,Calcs!O39&gt;=81,"80")</f>
        <v>None</v>
      </c>
      <c r="AG39" s="25">
        <f t="shared" si="1"/>
        <v>3</v>
      </c>
      <c r="AH39" s="25">
        <f t="shared" si="2"/>
        <v>0.89</v>
      </c>
      <c r="AI39" s="25">
        <f t="shared" si="3"/>
        <v>2</v>
      </c>
    </row>
    <row r="40" ht="14.4" spans="1:35">
      <c r="A40" s="24" t="str">
        <f>'Ammo Input'!A40</f>
        <v>30x64mm FC</v>
      </c>
      <c r="B40" t="str">
        <f>'Ammo Input'!B40</f>
        <v>Thermobaric</v>
      </c>
      <c r="C40">
        <f>ROUNDUP(('Ammo Input'!C40*(MAX('Ammo Input'!D40,'Ammo Input'!F40)*0.5)^2*PI())*3/1000000,2)</f>
        <v>0.14</v>
      </c>
      <c r="D40">
        <f>ROUNDUP(('Ammo Input'!E40+'Ammo Input'!H40*IF('Ammo Input'!J40&lt;&gt;"",MAX('Ammo Input'!J40,1),1))/1000,3)</f>
        <v>0.4</v>
      </c>
      <c r="E40">
        <f>MIN(5000,MAX(25,CEILING(Calcs!L40,_xlfn.IFS(Calcs!L40&lt;100,25,Calcs!L40&lt;250,50,Calcs!L40&lt;1000,250,Calcs!L40&gt;=1000,1000))))</f>
        <v>3000</v>
      </c>
      <c r="F40">
        <f>ROUNDUP('Ammo Input'!G40^(3/4),0)</f>
        <v>54</v>
      </c>
      <c r="G40">
        <f>ROUND((0.5*((IF(OR(B40="HEAT",B40="HEDP"),'Ammo Input'!N40,'Ammo Input'!H40)/1000)*(IF(B40="HEAT",9000,IF(B40="HEDP",1500,'Ammo Input'!G40))^2))),0)</f>
        <v>6000</v>
      </c>
      <c r="H40" s="25" t="str">
        <f>CONCATENATE(IF((B40="Foam")+(B40="Smoke"),"-",ROUND(Calcs!D40,0))," ",VLOOKUP(B40,AmmoTypeFactors,5,FALSE))</f>
        <v>78 Thermobaric</v>
      </c>
      <c r="I40" s="25" t="str">
        <f>IF(Calcs!E40=0,"None",CONCATENATE(ROUND(Calcs!E40,0)," ",VLOOKUP(B40,AmmoTypeFactors,6,FALSE)))</f>
        <v>None</v>
      </c>
      <c r="J40">
        <f>MROUND(2.42*'Ammo Input'!M40^(1/3)*VLOOKUP(B40,AmmoTypeFactors,3,FALSE),0.5)</f>
        <v>2.5</v>
      </c>
      <c r="K40" s="25" t="str">
        <f>IF(VLOOKUP(B40,AmmoTypeFactors,12,FALSE),MROUND(J40/3,0.5),"None")</f>
        <v>None</v>
      </c>
      <c r="L40" s="25" t="str">
        <f>IF(VLOOKUP(B40,AmmoTypeFactors,8,FALSE),"None",ROUNDUP(IF(Calcs!I40&gt;0,Calcs!I40,Calcs!H40),3))</f>
        <v>None</v>
      </c>
      <c r="M40" s="25" t="str">
        <f>IF(VLOOKUP(B40,AmmoTypeFactors,8,FALSE),"None",'Ammo Input'!L40)</f>
        <v>None</v>
      </c>
      <c r="N40">
        <f>'Ammo Input'!O40</f>
        <v>50</v>
      </c>
      <c r="O40" t="e">
        <f>ROUND((P40*0.0036+SUMPRODUCT(Q40:AB40,VLOOKUP($Q$1:$AB$1,IngredientStats,2,FALSE)))/N40*IF('Ammo Input'!R40,0.5,1),2)</f>
        <v>#VALUE!</v>
      </c>
      <c r="P40" t="e">
        <f>(SUMPRODUCT(Q40:AB40,VLOOKUP($Q$1:$AB$1,IngredientStats,4,FALSE))*VLOOKUP(B40,AmmoTypeFactors,14,FALSE)*IF('Ammo Input'!R40,1.1,1))</f>
        <v>#VALUE!</v>
      </c>
      <c r="Q40">
        <f>IFERROR(__xludf.DUMMYFUNCTION("((IF(NOT(OR(REGEXMATCH(B40, ""Arrow""), B40 = ""Javelin"", B40 = ""Stick bomb"")), ROUNDUP(('Ammo Input'!E40 / 1000) * N40)) + IF(VLOOKUP(B40, AmmoTypeFactors, 9, FALSE) = ""Steel"", ROUNDUP(('Ammo Input'!H40 -'Ammo Input'!M40) * MAX(IF('Ammo Input'!J40 &gt;"&amp;" 0, 'Ammo Input'!J40, 1), 1) * N40 / 1000))) / 'Ingredient stats'!$C$2) * IF(ISBLANK(VLOOKUP(B40,AmmoTypeFactors,15,False)),1,VLOOKUP(B40,AmmoTypeFactors,15,False))"),40)</f>
        <v>40</v>
      </c>
      <c r="R40">
        <f>IFERROR(__xludf.DUMMYFUNCTION("ROUNDUP((IF(REGEXMATCH(B40, ""Arrow"") + (B40 = ""Javelin""), 'Ammo Input'!E40) + IF(VLOOKUP(B40, AmmoTypeFactors, 9, FALSE) = ""Wood"", 'Ammo Input'!H40) + IF(B40 = ""Stick bomb"", 'Ammo Input'!E40)) * N40 / 'Ingredient stats'!$C$12 / 1000)"),0)</f>
        <v>0</v>
      </c>
      <c r="S40">
        <v>0</v>
      </c>
      <c r="T40">
        <v>0</v>
      </c>
      <c r="U40">
        <f>IF(VLOOKUP(B40,AmmoTypeFactors,9,FALSE)="Plasteel",ROUNDUP(('Ammo Input'!H40*MAX(IF('Ammo Input'!J40&gt;0,'Ammo Input'!J40,1)*N40/1000/'Ingredient stats'!$C$4)),0),0)</f>
        <v>0</v>
      </c>
      <c r="V40">
        <f>IFERROR(__xludf.DUMMYFUNCTION("ROUNDUP(IF(ISBLANK(VLOOKUP(B40,AmmoTypeFactors,16,False)),1,VLOOKUP(B40,AmmoTypeFactors,16,False)) * (IFS(REGEXMATCH(B40, ""EMP""), 'Ammo Input'!M40 * N40 / 'Ingredient stats'!$C$5, REGEXMATCH(B40, ""Charge""), (U40^0.75), true, 0) + (IF(VLOOKUP(B40, Ammo"&amp;"TypeFactors, 10, false), 2,0) + IF('Ammo Input'!P40, 2,0) + IF('Ammo Input'!Q40,MIN(ROUNDUP(0.2*('Ammo Input'!H40/1000)*'Ammo Input'!O40,0),20),0))))"),2)</f>
        <v>2</v>
      </c>
      <c r="W40">
        <v>0</v>
      </c>
      <c r="X40">
        <v>46</v>
      </c>
      <c r="Y40">
        <v>0</v>
      </c>
      <c r="Z40">
        <v>0</v>
      </c>
      <c r="AA40">
        <v>0</v>
      </c>
      <c r="AB40" s="30">
        <f>IF(B40="Sling Bullet (Stone)",ROUNDUP(D40*0.02*E40/'Ingredient stats'!$C$8,0),0)</f>
        <v>0</v>
      </c>
      <c r="AC40" t="str">
        <f t="shared" si="0"/>
        <v>None</v>
      </c>
      <c r="AD40" t="str">
        <f>IF(OR(B40="Buck",B40="Bird",B40="Charge (Scatter)"),'Ammo Input'!J40,"None")</f>
        <v>None</v>
      </c>
      <c r="AE40" t="str">
        <f>_xlfn.IFS(ISTEXT(Calcs!N40),Calcs!N40,Calcs!N40&lt;=40,Calcs!N40,Calcs!N40&gt;41,"40")</f>
        <v>None</v>
      </c>
      <c r="AF40" t="str">
        <f>_xlfn.IFS(ISTEXT(Calcs!O40),Calcs!O40,Calcs!O40&lt;=80,Calcs!O40,Calcs!O40&gt;=81,"80")</f>
        <v>None</v>
      </c>
      <c r="AG40" s="25">
        <f t="shared" si="1"/>
        <v>3</v>
      </c>
      <c r="AH40" s="25">
        <f t="shared" si="2"/>
        <v>0.89</v>
      </c>
      <c r="AI40" s="25">
        <f t="shared" si="3"/>
        <v>2</v>
      </c>
    </row>
    <row r="41" ht="14.4" spans="1:35">
      <c r="A41" s="24" t="str">
        <f>'Ammo Input'!A41</f>
        <v>30x64mm FC</v>
      </c>
      <c r="B41" t="str">
        <f>'Ammo Input'!B41</f>
        <v>Foam</v>
      </c>
      <c r="C41">
        <f>ROUNDUP(('Ammo Input'!C41*(MAX('Ammo Input'!D41,'Ammo Input'!F41)*0.5)^2*PI())*3/1000000,2)</f>
        <v>0.14</v>
      </c>
      <c r="D41">
        <f>ROUNDUP(('Ammo Input'!E41+'Ammo Input'!H41*IF('Ammo Input'!J41&lt;&gt;"",MAX('Ammo Input'!J41,1),1))/1000,3)</f>
        <v>0.4</v>
      </c>
      <c r="E41">
        <f>MIN(5000,MAX(25,CEILING(Calcs!L41,_xlfn.IFS(Calcs!L41&lt;100,25,Calcs!L41&lt;250,50,Calcs!L41&lt;1000,250,Calcs!L41&gt;=1000,1000))))</f>
        <v>3000</v>
      </c>
      <c r="F41">
        <f>ROUNDUP('Ammo Input'!G41^(3/4),0)</f>
        <v>54</v>
      </c>
      <c r="G41">
        <f>ROUND((0.5*((IF(OR(B41="HEAT",B41="HEDP"),'Ammo Input'!N41,'Ammo Input'!H41)/1000)*(IF(B41="HEAT",9000,IF(B41="HEDP",1500,'Ammo Input'!G41))^2))),0)</f>
        <v>6000</v>
      </c>
      <c r="H41" s="25" t="str">
        <f>CONCATENATE(IF((B41="Foam")+(B41="Smoke"),"-",ROUND(Calcs!D41,0))," ",VLOOKUP(B41,AmmoTypeFactors,5,FALSE))</f>
        <v>- Extinguish</v>
      </c>
      <c r="I41" s="25" t="str">
        <f>IF(Calcs!E41=0,"None",CONCATENATE(ROUND(Calcs!E41,0)," ",VLOOKUP(B41,AmmoTypeFactors,6,FALSE)))</f>
        <v>None</v>
      </c>
      <c r="J41">
        <f>MROUND(2.42*'Ammo Input'!M41^(1/3)*VLOOKUP(B41,AmmoTypeFactors,3,FALSE),0.5)</f>
        <v>4</v>
      </c>
      <c r="K41" s="25" t="str">
        <f>IF(VLOOKUP(B41,AmmoTypeFactors,12,FALSE),MROUND(J41/3,0.5),"None")</f>
        <v>None</v>
      </c>
      <c r="L41" s="25" t="str">
        <f>IF(VLOOKUP(B41,AmmoTypeFactors,8,FALSE),"None",ROUNDUP(IF(Calcs!I41&gt;0,Calcs!I41,Calcs!H41),3))</f>
        <v>None</v>
      </c>
      <c r="M41" s="25" t="str">
        <f>IF(VLOOKUP(B41,AmmoTypeFactors,8,FALSE),"None",'Ammo Input'!L41)</f>
        <v>None</v>
      </c>
      <c r="N41">
        <f>'Ammo Input'!O41</f>
        <v>50</v>
      </c>
      <c r="O41" t="e">
        <f>ROUND((P41*0.0036+SUMPRODUCT(Q41:AB41,VLOOKUP($Q$1:$AB$1,IngredientStats,2,FALSE)))/N41*IF('Ammo Input'!R41,0.5,1),2)</f>
        <v>#VALUE!</v>
      </c>
      <c r="P41" t="e">
        <f>(SUMPRODUCT(Q41:AB41,VLOOKUP($Q$1:$AB$1,IngredientStats,4,FALSE))*VLOOKUP(B41,AmmoTypeFactors,14,FALSE)*IF('Ammo Input'!R41,1.1,1))</f>
        <v>#VALUE!</v>
      </c>
      <c r="Q41">
        <f>IFERROR(__xludf.DUMMYFUNCTION("((IF(NOT(OR(REGEXMATCH(B41, ""Arrow""), B41 = ""Javelin"", B41 = ""Stick bomb"")), ROUNDUP(('Ammo Input'!E41 / 1000) * N41)) + IF(VLOOKUP(B41, AmmoTypeFactors, 9, FALSE) = ""Steel"", ROUNDUP(('Ammo Input'!H41 -'Ammo Input'!M41) * MAX(IF('Ammo Input'!J41 &gt;"&amp;" 0, 'Ammo Input'!J41, 1), 1) * N41 / 1000))) / 'Ingredient stats'!$C$2) * IF(ISBLANK(VLOOKUP(B41,AmmoTypeFactors,15,False)),1,VLOOKUP(B41,AmmoTypeFactors,15,False))"),40)</f>
        <v>40</v>
      </c>
      <c r="R41">
        <f>IFERROR(__xludf.DUMMYFUNCTION("ROUNDUP((IF(REGEXMATCH(B41, ""Arrow"") + (B41 = ""Javelin""), 'Ammo Input'!E41) + IF(VLOOKUP(B41, AmmoTypeFactors, 9, FALSE) = ""Wood"", 'Ammo Input'!H41) + IF(B41 = ""Stick bomb"", 'Ammo Input'!E41)) * N41 / 'Ingredient stats'!$C$12 / 1000)"),0)</f>
        <v>0</v>
      </c>
      <c r="S41">
        <v>0</v>
      </c>
      <c r="T41">
        <v>0</v>
      </c>
      <c r="U41">
        <f>IF(VLOOKUP(B41,AmmoTypeFactors,9,FALSE)="Plasteel",ROUNDUP(('Ammo Input'!H41*MAX(IF('Ammo Input'!J41&gt;0,'Ammo Input'!J41,1)*N41/1000/'Ingredient stats'!$C$4)),0),0)</f>
        <v>0</v>
      </c>
      <c r="V41">
        <f>IFERROR(__xludf.DUMMYFUNCTION("ROUNDUP(IF(ISBLANK(VLOOKUP(B41,AmmoTypeFactors,16,False)),1,VLOOKUP(B41,AmmoTypeFactors,16,False)) * (IFS(REGEXMATCH(B41, ""EMP""), 'Ammo Input'!M41 * N41 / 'Ingredient stats'!$C$5, REGEXMATCH(B41, ""Charge""), (U41^0.75), true, 0) + (IF(VLOOKUP(B41, Ammo"&amp;"TypeFactors, 10, false), 2,0) + IF('Ammo Input'!P41, 2,0) + IF('Ammo Input'!Q41,MIN(ROUNDUP(0.2*('Ammo Input'!H41/1000)*'Ammo Input'!O41,0),20),0))))"),2)</f>
        <v>2</v>
      </c>
      <c r="W41">
        <v>0</v>
      </c>
      <c r="X41">
        <v>0</v>
      </c>
      <c r="Y41">
        <v>100</v>
      </c>
      <c r="Z41">
        <v>0</v>
      </c>
      <c r="AA41">
        <v>0</v>
      </c>
      <c r="AB41" s="30">
        <f>IF(B41="Sling Bullet (Stone)",ROUNDUP(D41*0.02*E41/'Ingredient stats'!$C$8,0),0)</f>
        <v>0</v>
      </c>
      <c r="AC41" t="str">
        <f t="shared" si="0"/>
        <v>None</v>
      </c>
      <c r="AD41" t="str">
        <f>IF(OR(B41="Buck",B41="Bird",B41="Charge (Scatter)"),'Ammo Input'!J41,"None")</f>
        <v>None</v>
      </c>
      <c r="AE41" t="str">
        <f>_xlfn.IFS(ISTEXT(Calcs!N41),Calcs!N41,Calcs!N41&lt;=40,Calcs!N41,Calcs!N41&gt;41,"40")</f>
        <v>None</v>
      </c>
      <c r="AF41" t="str">
        <f>_xlfn.IFS(ISTEXT(Calcs!O41),Calcs!O41,Calcs!O41&lt;=80,Calcs!O41,Calcs!O41&gt;=81,"80")</f>
        <v>None</v>
      </c>
      <c r="AG41" s="25">
        <f t="shared" si="1"/>
        <v>0</v>
      </c>
      <c r="AH41" s="25">
        <f t="shared" si="2"/>
        <v>0.89</v>
      </c>
      <c r="AI41" s="25">
        <f t="shared" si="3"/>
        <v>0</v>
      </c>
    </row>
    <row r="42" ht="14.4" spans="1:35">
      <c r="A42" s="24" t="str">
        <f>'Ammo Input'!A42</f>
        <v>60x225 Gamma Shell</v>
      </c>
      <c r="B42" t="str">
        <f>'Ammo Input'!B42</f>
        <v>Radiation</v>
      </c>
      <c r="C42">
        <f>ROUNDUP(('Ammo Input'!C42*(MAX('Ammo Input'!D42,'Ammo Input'!F42)*0.5)^2*PI())*3/1000000,2)</f>
        <v>4.25</v>
      </c>
      <c r="D42">
        <f>ROUNDUP(('Ammo Input'!E42+'Ammo Input'!H42*IF('Ammo Input'!J42&lt;&gt;"",MAX('Ammo Input'!J42,1),1))/1000,3)</f>
        <v>5.5</v>
      </c>
      <c r="E42">
        <f>MIN(5000,MAX(25,CEILING(Calcs!L42,_xlfn.IFS(Calcs!L42&lt;100,25,Calcs!L42&lt;250,50,Calcs!L42&lt;1000,250,Calcs!L42&gt;=1000,1000))))</f>
        <v>25</v>
      </c>
      <c r="F42">
        <f>ROUNDUP('Ammo Input'!G42^(3/4),0)</f>
        <v>73</v>
      </c>
      <c r="G42">
        <f>ROUND((0.5*((IF(OR(B42="HEAT",B42="HEDP"),'Ammo Input'!N42,'Ammo Input'!H42)/1000)*(IF(B42="HEAT",9000,IF(B42="HEDP",1500,'Ammo Input'!G42))^2))),0)</f>
        <v>225000</v>
      </c>
      <c r="H42" s="25" t="str">
        <f>CONCATENATE(IF((B42="Foam")+(B42="Smoke"),"-",ROUND(Calcs!D42,0))," ",VLOOKUP(B42,AmmoTypeFactors,5,FALSE))</f>
        <v>33 Burn</v>
      </c>
      <c r="I42" s="25" t="str">
        <f>IF(Calcs!E42=0,"None",CONCATENATE(ROUND(Calcs!E42,0)," ",VLOOKUP(B42,AmmoTypeFactors,6,FALSE)))</f>
        <v>None</v>
      </c>
      <c r="J42">
        <f>MROUND(2.42*'Ammo Input'!M42^(1/3)*VLOOKUP(B42,AmmoTypeFactors,3,FALSE),0.5)</f>
        <v>7.5</v>
      </c>
      <c r="K42" s="25" t="str">
        <f>IF(VLOOKUP(B42,AmmoTypeFactors,12,FALSE),MROUND(J42/3,0.5),"None")</f>
        <v>None</v>
      </c>
      <c r="L42" s="25" t="str">
        <f>IF(VLOOKUP(B42,AmmoTypeFactors,8,FALSE),"None",ROUNDUP(IF(Calcs!I42&gt;0,Calcs!I42,Calcs!H42),3))</f>
        <v>None</v>
      </c>
      <c r="M42" s="25" t="str">
        <f>IF(VLOOKUP(B42,AmmoTypeFactors,8,FALSE),"None",'Ammo Input'!L42)</f>
        <v>None</v>
      </c>
      <c r="N42">
        <f>'Ammo Input'!O42</f>
        <v>5</v>
      </c>
      <c r="O42" t="e">
        <f>ROUND((P42*0.0036+SUMPRODUCT(Q42:AB42,VLOOKUP($Q$1:$AB$1,IngredientStats,2,FALSE)))/N42*IF('Ammo Input'!R42,0.5,1),2)</f>
        <v>#VALUE!</v>
      </c>
      <c r="P42" t="e">
        <f>(SUMPRODUCT(Q42:AB42,VLOOKUP($Q$1:$AB$1,IngredientStats,4,FALSE))*VLOOKUP(B42,AmmoTypeFactors,14,FALSE)*IF('Ammo Input'!R42,1.1,1))</f>
        <v>#VALUE!</v>
      </c>
      <c r="Q42">
        <f>IFERROR(__xludf.DUMMYFUNCTION("((IF(NOT(OR(REGEXMATCH(B42, ""Arrow""), B42 = ""Javelin"", B42 = ""Stick bomb"")), ROUNDUP(('Ammo Input'!E42 / 1000) * N42)) + IF(VLOOKUP(B42, AmmoTypeFactors, 9, FALSE) = ""Steel"", ROUNDUP(('Ammo Input'!H42 -'Ammo Input'!M42) * MAX(IF('Ammo Input'!J42 &gt;"&amp;" 0, 'Ammo Input'!J42, 1), 1) * N42 / 1000))) / 'Ingredient stats'!$C$2) * IF(ISBLANK(VLOOKUP(B42,AmmoTypeFactors,15,False)),1,VLOOKUP(B42,AmmoTypeFactors,15,False))"),6)</f>
        <v>6</v>
      </c>
      <c r="R42">
        <f>IFERROR(__xludf.DUMMYFUNCTION("ROUNDUP((IF(REGEXMATCH(B42, ""Arrow"") + (B42 = ""Javelin""), 'Ammo Input'!E42) + IF(VLOOKUP(B42, AmmoTypeFactors, 9, FALSE) = ""Wood"", 'Ammo Input'!H42) + IF(B42 = ""Stick bomb"", 'Ammo Input'!E42)) * N42 / 'Ingredient stats'!$C$12 / 1000)"),0)</f>
        <v>0</v>
      </c>
      <c r="S42">
        <v>25</v>
      </c>
      <c r="T42">
        <v>0</v>
      </c>
      <c r="U42">
        <f>IF(VLOOKUP(B42,AmmoTypeFactors,9,FALSE)="Plasteel",ROUNDUP(('Ammo Input'!H42*MAX(IF('Ammo Input'!J42&gt;0,'Ammo Input'!J42,1)*N42/1000/'Ingredient stats'!$C$4)),0),0)</f>
        <v>0</v>
      </c>
      <c r="V42">
        <f>IFERROR(__xludf.DUMMYFUNCTION("ROUNDUP(IF(ISBLANK(VLOOKUP(B42,AmmoTypeFactors,16,False)),1,VLOOKUP(B42,AmmoTypeFactors,16,False)) * (IFS(REGEXMATCH(B42, ""EMP""), 'Ammo Input'!M42 * N42 / 'Ingredient stats'!$C$5, REGEXMATCH(B42, ""Charge""), (U42^0.75), true, 0) + (IF(VLOOKUP(B42, Ammo"&amp;"TypeFactors, 10, false), 2,0) + IF('Ammo Input'!P42, 2,0) + IF('Ammo Input'!Q42,MIN(ROUNDUP(0.2*('Ammo Input'!H42/1000)*'Ammo Input'!O42,0),20),0))))"),0)</f>
        <v>0</v>
      </c>
      <c r="W42">
        <v>0</v>
      </c>
      <c r="X42">
        <v>0</v>
      </c>
      <c r="Y42">
        <v>0</v>
      </c>
      <c r="Z42">
        <v>0</v>
      </c>
      <c r="AA42">
        <v>0</v>
      </c>
      <c r="AB42" s="30">
        <f>IF(B42="Sling Bullet (Stone)",ROUNDUP(D42*0.02*E42/'Ingredient stats'!$C$8,0),0)</f>
        <v>0</v>
      </c>
      <c r="AC42" t="str">
        <f t="shared" si="0"/>
        <v>None</v>
      </c>
      <c r="AD42" t="str">
        <f>IF(OR(B42="Buck",B42="Bird",B42="Charge (Scatter)"),'Ammo Input'!J42,"None")</f>
        <v>None</v>
      </c>
      <c r="AE42" t="str">
        <f>_xlfn.IFS(ISTEXT(Calcs!N42),Calcs!N42,Calcs!N42&lt;=40,Calcs!N42,Calcs!N42&gt;41,"40")</f>
        <v>None</v>
      </c>
      <c r="AF42" t="str">
        <f>_xlfn.IFS(ISTEXT(Calcs!O42),Calcs!O42,Calcs!O42&lt;=80,Calcs!O42,Calcs!O42&gt;=81,"80")</f>
        <v>None</v>
      </c>
      <c r="AG42" s="25">
        <f t="shared" si="1"/>
        <v>3</v>
      </c>
      <c r="AH42" s="25">
        <f t="shared" si="2"/>
        <v>1.2</v>
      </c>
      <c r="AI42" s="25">
        <f t="shared" si="3"/>
        <v>2</v>
      </c>
    </row>
    <row r="43" ht="14.4" spans="1:35">
      <c r="A43" s="24" t="str">
        <f>'Ammo Input'!A43</f>
        <v>70mm Mechanoid Grenade</v>
      </c>
      <c r="B43" t="str">
        <f>'Ammo Input'!B43</f>
        <v>HE</v>
      </c>
      <c r="C43">
        <f>ROUNDUP(('Ammo Input'!C43*(MAX('Ammo Input'!D43,'Ammo Input'!F43)*0.5)^2*PI())*3/1000000,2)</f>
        <v>2.89</v>
      </c>
      <c r="D43">
        <f>ROUNDUP(('Ammo Input'!E43+'Ammo Input'!H43*IF('Ammo Input'!J43&lt;&gt;"",MAX('Ammo Input'!J43,1),1))/1000,3)</f>
        <v>1.58</v>
      </c>
      <c r="E43">
        <f>MIN(5000,MAX(25,CEILING(Calcs!L43,_xlfn.IFS(Calcs!L43&lt;100,25,Calcs!L43&lt;250,50,Calcs!L43&lt;1000,250,Calcs!L43&gt;=1000,1000))))</f>
        <v>25</v>
      </c>
      <c r="F43">
        <f>ROUNDUP('Ammo Input'!G43^(3/4),0)</f>
        <v>32</v>
      </c>
      <c r="G43">
        <f>ROUND((0.5*((IF(OR(B43="HEAT",B43="HEDP"),'Ammo Input'!N43,'Ammo Input'!H43)/1000)*(IF(B43="HEAT",9000,IF(B43="HEDP",1500,'Ammo Input'!G43))^2))),0)</f>
        <v>7500</v>
      </c>
      <c r="H43" s="25" t="str">
        <f>CONCATENATE(IF((B43="Foam")+(B43="Smoke"),"-",ROUND(Calcs!D43,0))," ",VLOOKUP(B43,AmmoTypeFactors,5,FALSE))</f>
        <v>132 Bomb</v>
      </c>
      <c r="I43" s="25" t="str">
        <f>IF(Calcs!E43=0,"None",CONCATENATE(ROUND(Calcs!E43,0)," ",VLOOKUP(B43,AmmoTypeFactors,6,FALSE)))</f>
        <v>None</v>
      </c>
      <c r="J43">
        <f>MROUND(2.42*'Ammo Input'!M43^(1/3)*VLOOKUP(B43,AmmoTypeFactors,3,FALSE),0.5)</f>
        <v>2.5</v>
      </c>
      <c r="K43" s="25" t="str">
        <f>IF(VLOOKUP(B43,AmmoTypeFactors,12,FALSE),MROUND(J43/3,0.5),"None")</f>
        <v>None</v>
      </c>
      <c r="L43" s="25" t="str">
        <f>IF(VLOOKUP(B43,AmmoTypeFactors,8,FALSE),"None",ROUNDUP(IF(Calcs!I43&gt;0,Calcs!I43,Calcs!H43),3))</f>
        <v>None</v>
      </c>
      <c r="M43" s="25" t="str">
        <f>IF(VLOOKUP(B43,AmmoTypeFactors,8,FALSE),"None",'Ammo Input'!L43)</f>
        <v>None</v>
      </c>
      <c r="N43">
        <f>'Ammo Input'!O43</f>
        <v>5</v>
      </c>
      <c r="O43" t="e">
        <f>ROUND((P43*0.0036+SUMPRODUCT(Q43:AB43,VLOOKUP($Q$1:$AB$1,IngredientStats,2,FALSE)))/N43*IF('Ammo Input'!R43,0.5,1),2)</f>
        <v>#VALUE!</v>
      </c>
      <c r="P43" t="e">
        <f>(SUMPRODUCT(Q43:AB43,VLOOKUP($Q$1:$AB$1,IngredientStats,4,FALSE))*VLOOKUP(B43,AmmoTypeFactors,14,FALSE)*IF('Ammo Input'!R43,1.1,1))</f>
        <v>#VALUE!</v>
      </c>
      <c r="Q43">
        <f>IFERROR(__xludf.DUMMYFUNCTION("((IF(NOT(OR(REGEXMATCH(B43, ""Arrow""), B43 = ""Javelin"", B43 = ""Stick bomb"")), ROUNDUP(('Ammo Input'!E43 / 1000) * N43)) + IF(VLOOKUP(B43, AmmoTypeFactors, 9, FALSE) = ""Steel"", ROUNDUP(('Ammo Input'!H43 -'Ammo Input'!M43) * MAX(IF('Ammo Input'!J43 &gt;"&amp;" 0, 'Ammo Input'!J43, 1), 1) * N43 / 1000))) / 'Ingredient stats'!$C$2) * IF(ISBLANK(VLOOKUP(B43,AmmoTypeFactors,15,False)),1,VLOOKUP(B43,AmmoTypeFactors,15,False))"),18)</f>
        <v>18</v>
      </c>
      <c r="R43">
        <f>IFERROR(__xludf.DUMMYFUNCTION("ROUNDUP((IF(REGEXMATCH(B43, ""Arrow"") + (B43 = ""Javelin""), 'Ammo Input'!E43) + IF(VLOOKUP(B43, AmmoTypeFactors, 9, FALSE) = ""Wood"", 'Ammo Input'!H43) + IF(B43 = ""Stick bomb"", 'Ammo Input'!E43)) * N43 / 'Ingredient stats'!$C$12 / 1000)"),0)</f>
        <v>0</v>
      </c>
      <c r="S43">
        <v>0</v>
      </c>
      <c r="T43">
        <v>0</v>
      </c>
      <c r="U43">
        <f>IF(VLOOKUP(B43,AmmoTypeFactors,9,FALSE)="Plasteel",ROUNDUP(('Ammo Input'!H43*MAX(IF('Ammo Input'!J43&gt;0,'Ammo Input'!J43,1)*N43/1000/'Ingredient stats'!$C$4)),0),0)</f>
        <v>0</v>
      </c>
      <c r="V43">
        <f>IFERROR(__xludf.DUMMYFUNCTION("ROUNDUP(IF(ISBLANK(VLOOKUP(B43,AmmoTypeFactors,16,False)),1,VLOOKUP(B43,AmmoTypeFactors,16,False)) * (IFS(REGEXMATCH(B43, ""EMP""), 'Ammo Input'!M43 * N43 / 'Ingredient stats'!$C$5, REGEXMATCH(B43, ""Charge""), (U43^0.75), true, 0) + (IF(VLOOKUP(B43, Ammo"&amp;"TypeFactors, 10, false), 2,0) + IF('Ammo Input'!P43, 2,0) + IF('Ammo Input'!Q43,MIN(ROUNDUP(0.2*('Ammo Input'!H43/1000)*'Ammo Input'!O43,0),20),0))))"),2)</f>
        <v>2</v>
      </c>
      <c r="W43">
        <v>0</v>
      </c>
      <c r="X43">
        <v>8</v>
      </c>
      <c r="Y43">
        <v>0</v>
      </c>
      <c r="Z43">
        <v>0</v>
      </c>
      <c r="AA43">
        <v>0</v>
      </c>
      <c r="AB43" s="30">
        <f>IF(B43="Sling Bullet (Stone)",ROUNDUP(D43*0.02*E43/'Ingredient stats'!$C$8,0),0)</f>
        <v>0</v>
      </c>
      <c r="AC43" t="str">
        <f t="shared" si="0"/>
        <v>None</v>
      </c>
      <c r="AD43" t="str">
        <f>IF(OR(B43="Buck",B43="Bird",B43="Charge (Scatter)"),'Ammo Input'!J43,"None")</f>
        <v>None</v>
      </c>
      <c r="AE43">
        <f>_xlfn.IFS(ISTEXT(Calcs!N43),Calcs!N43,Calcs!N43&lt;=40,Calcs!N43,Calcs!N43&gt;41,"40")</f>
        <v>3</v>
      </c>
      <c r="AF43">
        <f>_xlfn.IFS(ISTEXT(Calcs!O43),Calcs!O43,Calcs!O43&lt;=80,Calcs!O43,Calcs!O43&gt;=81,"80")</f>
        <v>19</v>
      </c>
      <c r="AG43" s="25">
        <f t="shared" si="1"/>
        <v>3</v>
      </c>
      <c r="AH43" s="25">
        <f t="shared" si="2"/>
        <v>0.53</v>
      </c>
      <c r="AI43" s="25">
        <f t="shared" si="3"/>
        <v>2</v>
      </c>
    </row>
    <row r="44" ht="14.4" spans="1:35">
      <c r="A44" s="24" t="str">
        <f>'Ammo Input'!A44</f>
        <v>70mm Mechanoid Grenade</v>
      </c>
      <c r="B44" t="str">
        <f>'Ammo Input'!B44</f>
        <v>EMP</v>
      </c>
      <c r="C44">
        <f>ROUNDUP(('Ammo Input'!C44*(MAX('Ammo Input'!D44,'Ammo Input'!F44)*0.5)^2*PI())*3/1000000,2)</f>
        <v>2.89</v>
      </c>
      <c r="D44">
        <f>ROUNDUP(('Ammo Input'!E44+'Ammo Input'!H44*IF('Ammo Input'!J44&lt;&gt;"",MAX('Ammo Input'!J44,1),1))/1000,3)</f>
        <v>1.58</v>
      </c>
      <c r="E44">
        <f>MIN(5000,MAX(25,CEILING(Calcs!L44,_xlfn.IFS(Calcs!L44&lt;100,25,Calcs!L44&lt;250,50,Calcs!L44&lt;1000,250,Calcs!L44&gt;=1000,1000))))</f>
        <v>25</v>
      </c>
      <c r="F44">
        <f>ROUNDUP('Ammo Input'!G44^(3/4),0)</f>
        <v>32</v>
      </c>
      <c r="G44">
        <f>ROUND((0.5*((IF(OR(B44="HEAT",B44="HEDP"),'Ammo Input'!N44,'Ammo Input'!H44)/1000)*(IF(B44="HEAT",9000,IF(B44="HEDP",1500,'Ammo Input'!G44))^2))),0)</f>
        <v>7500</v>
      </c>
      <c r="H44" s="25" t="str">
        <f>CONCATENATE(IF((B44="Foam")+(B44="Smoke"),"-",ROUND(Calcs!D44,0))," ",VLOOKUP(B44,AmmoTypeFactors,5,FALSE))</f>
        <v>132 EMP</v>
      </c>
      <c r="I44" s="25" t="str">
        <f>IF(Calcs!E44=0,"None",CONCATENATE(ROUND(Calcs!E44,0)," ",VLOOKUP(B44,AmmoTypeFactors,6,FALSE)))</f>
        <v>None</v>
      </c>
      <c r="J44">
        <f>MROUND(2.42*'Ammo Input'!M44^(1/3)*VLOOKUP(B44,AmmoTypeFactors,3,FALSE),0.5)</f>
        <v>5</v>
      </c>
      <c r="K44" s="25" t="str">
        <f>IF(VLOOKUP(B44,AmmoTypeFactors,12,FALSE),MROUND(J44/3,0.5),"None")</f>
        <v>None</v>
      </c>
      <c r="L44" s="25" t="str">
        <f>IF(VLOOKUP(B44,AmmoTypeFactors,8,FALSE),"None",ROUNDUP(IF(Calcs!I44&gt;0,Calcs!I44,Calcs!H44),3))</f>
        <v>None</v>
      </c>
      <c r="M44" s="25" t="str">
        <f>IF(VLOOKUP(B44,AmmoTypeFactors,8,FALSE),"None",'Ammo Input'!L44)</f>
        <v>None</v>
      </c>
      <c r="N44">
        <f>'Ammo Input'!O44</f>
        <v>5</v>
      </c>
      <c r="O44" t="e">
        <f>ROUND((P44*0.0036+SUMPRODUCT(Q44:AB44,VLOOKUP($Q$1:$AB$1,IngredientStats,2,FALSE)))/N44*IF('Ammo Input'!R44,0.5,1),2)</f>
        <v>#VALUE!</v>
      </c>
      <c r="P44" t="e">
        <f>(SUMPRODUCT(Q44:AB44,VLOOKUP($Q$1:$AB$1,IngredientStats,4,FALSE))*VLOOKUP(B44,AmmoTypeFactors,14,FALSE)*IF('Ammo Input'!R44,1.1,1))</f>
        <v>#VALUE!</v>
      </c>
      <c r="Q44">
        <f>IFERROR(__xludf.DUMMYFUNCTION("((IF(NOT(OR(REGEXMATCH(B44, ""Arrow""), B44 = ""Javelin"", B44 = ""Stick bomb"")), ROUNDUP(('Ammo Input'!E44 / 1000) * N44)) + IF(VLOOKUP(B44, AmmoTypeFactors, 9, FALSE) = ""Steel"", ROUNDUP(('Ammo Input'!H44 -'Ammo Input'!M44) * MAX(IF('Ammo Input'!J44 &gt;"&amp;" 0, 'Ammo Input'!J44, 1), 1) * N44 / 1000))) / 'Ingredient stats'!$C$2) * IF(ISBLANK(VLOOKUP(B44,AmmoTypeFactors,15,False)),1,VLOOKUP(B44,AmmoTypeFactors,15,False))"),18)</f>
        <v>18</v>
      </c>
      <c r="R44">
        <f>IFERROR(__xludf.DUMMYFUNCTION("ROUNDUP((IF(REGEXMATCH(B44, ""Arrow"") + (B44 = ""Javelin""), 'Ammo Input'!E44) + IF(VLOOKUP(B44, AmmoTypeFactors, 9, FALSE) = ""Wood"", 'Ammo Input'!H44) + IF(B44 = ""Stick bomb"", 'Ammo Input'!E44)) * N44 / 'Ingredient stats'!$C$12 / 1000)"),0)</f>
        <v>0</v>
      </c>
      <c r="S44">
        <v>0</v>
      </c>
      <c r="T44">
        <v>0</v>
      </c>
      <c r="U44">
        <f>IF(VLOOKUP(B44,AmmoTypeFactors,9,FALSE)="Plasteel",ROUNDUP(('Ammo Input'!H44*MAX(IF('Ammo Input'!J44&gt;0,'Ammo Input'!J44,1)*N44/1000/'Ingredient stats'!$C$4)),0),0)</f>
        <v>0</v>
      </c>
      <c r="V44">
        <f>IFERROR(__xludf.DUMMYFUNCTION("ROUNDUP(IF(ISBLANK(VLOOKUP(B44,AmmoTypeFactors,16,False)),1,VLOOKUP(B44,AmmoTypeFactors,16,False)) * (IFS(REGEXMATCH(B44, ""EMP""), 'Ammo Input'!M44 * N44 / 'Ingredient stats'!$C$5, REGEXMATCH(B44, ""Charge""), (U44^0.75), true, 0) + (IF(VLOOKUP(B44, Ammo"&amp;"TypeFactors, 10, false), 2,0) + IF('Ammo Input'!P44, 2,0) + IF('Ammo Input'!Q44,MIN(ROUNDUP(0.2*('Ammo Input'!H44/1000)*'Ammo Input'!O44,0),20),0))))"),11)</f>
        <v>11</v>
      </c>
      <c r="W44">
        <v>0</v>
      </c>
      <c r="X44">
        <v>0</v>
      </c>
      <c r="Y44">
        <v>0</v>
      </c>
      <c r="Z44">
        <v>0</v>
      </c>
      <c r="AA44">
        <v>0</v>
      </c>
      <c r="AB44" s="30">
        <f>IF(B44="Sling Bullet (Stone)",ROUNDUP(D44*0.02*E44/'Ingredient stats'!$C$8,0),0)</f>
        <v>0</v>
      </c>
      <c r="AC44" t="str">
        <f t="shared" si="0"/>
        <v>None</v>
      </c>
      <c r="AD44" t="str">
        <f>IF(OR(B44="Buck",B44="Bird",B44="Charge (Scatter)"),'Ammo Input'!J44,"None")</f>
        <v>None</v>
      </c>
      <c r="AE44" t="str">
        <f>_xlfn.IFS(ISTEXT(Calcs!N44),Calcs!N44,Calcs!N44&lt;=40,Calcs!N44,Calcs!N44&gt;41,"40")</f>
        <v>None</v>
      </c>
      <c r="AF44" t="str">
        <f>_xlfn.IFS(ISTEXT(Calcs!O44),Calcs!O44,Calcs!O44&lt;=80,Calcs!O44,Calcs!O44&gt;=81,"80")</f>
        <v>None</v>
      </c>
      <c r="AG44" s="25">
        <f t="shared" si="1"/>
        <v>3</v>
      </c>
      <c r="AH44" s="25">
        <f t="shared" si="2"/>
        <v>0.53</v>
      </c>
      <c r="AI44" s="25">
        <f t="shared" si="3"/>
        <v>2</v>
      </c>
    </row>
    <row r="45" ht="14.4" spans="1:35">
      <c r="A45" s="24" t="str">
        <f>'Ammo Input'!A45</f>
        <v>80x256mm FC</v>
      </c>
      <c r="B45" t="str">
        <f>'Ammo Input'!B45</f>
        <v>Incendiary (Heavy)</v>
      </c>
      <c r="C45">
        <f>ROUNDUP(('Ammo Input'!C45*(MAX('Ammo Input'!D45,'Ammo Input'!F45)*0.5)^2*PI())*3/1000000,2)</f>
        <v>3.87</v>
      </c>
      <c r="D45">
        <f>ROUNDUP(('Ammo Input'!E45+'Ammo Input'!H45*IF('Ammo Input'!J45&lt;&gt;"",MAX('Ammo Input'!J45,1),1))/1000,3)</f>
        <v>2</v>
      </c>
      <c r="E45">
        <f>MIN(5000,MAX(25,CEILING(Calcs!L45,_xlfn.IFS(Calcs!L45&lt;100,25,Calcs!L45&lt;250,50,Calcs!L45&lt;1000,250,Calcs!L45&gt;=1000,1000))))</f>
        <v>25</v>
      </c>
      <c r="F45">
        <f>ROUNDUP('Ammo Input'!G45^(3/4),0)</f>
        <v>73</v>
      </c>
      <c r="G45">
        <f>ROUND((0.5*((IF(OR(B45="HEAT",B45="HEDP"),'Ammo Input'!N45,'Ammo Input'!H45)/1000)*(IF(B45="HEAT",9000,IF(B45="HEDP",1500,'Ammo Input'!G45))^2))),0)</f>
        <v>67500</v>
      </c>
      <c r="H45" s="25" t="str">
        <f>CONCATENATE(IF((B45="Foam")+(B45="Smoke"),"-",ROUND(Calcs!D45,0))," ",VLOOKUP(B45,AmmoTypeFactors,5,FALSE))</f>
        <v>11 Flame</v>
      </c>
      <c r="I45" s="25" t="str">
        <f>IF(Calcs!E45=0,"None",CONCATENATE(ROUND(Calcs!E45,0)," ",VLOOKUP(B45,AmmoTypeFactors,6,FALSE)))</f>
        <v>83 Thermobaric</v>
      </c>
      <c r="J45">
        <f>MROUND(2.42*'Ammo Input'!M45^(1/3)*VLOOKUP(B45,AmmoTypeFactors,3,FALSE),0.5)</f>
        <v>6.5</v>
      </c>
      <c r="K45" s="25">
        <f>IF(VLOOKUP(B45,AmmoTypeFactors,12,FALSE),MROUND(J45/3,0.5),"None")</f>
        <v>2</v>
      </c>
      <c r="L45" s="25" t="str">
        <f>IF(VLOOKUP(B45,AmmoTypeFactors,8,FALSE),"None",ROUNDUP(IF(Calcs!I45&gt;0,Calcs!I45,Calcs!H45),3))</f>
        <v>None</v>
      </c>
      <c r="M45" s="25" t="str">
        <f>IF(VLOOKUP(B45,AmmoTypeFactors,8,FALSE),"None",'Ammo Input'!L45)</f>
        <v>None</v>
      </c>
      <c r="N45">
        <f>'Ammo Input'!O45</f>
        <v>5</v>
      </c>
      <c r="O45" t="e">
        <f>ROUND((P45*0.0036+SUMPRODUCT(Q45:AB45,VLOOKUP($Q$1:$AB$1,IngredientStats,2,FALSE)))/N45*IF('Ammo Input'!R45,0.5,1),2)</f>
        <v>#VALUE!</v>
      </c>
      <c r="P45" t="e">
        <f>(SUMPRODUCT(Q45:AB45,VLOOKUP($Q$1:$AB$1,IngredientStats,4,FALSE))*VLOOKUP(B45,AmmoTypeFactors,14,FALSE)*IF('Ammo Input'!R45,1.1,1))</f>
        <v>#VALUE!</v>
      </c>
      <c r="Q45">
        <f>IFERROR(__xludf.DUMMYFUNCTION("((IF(NOT(OR(REGEXMATCH(B45, ""Arrow""), B45 = ""Javelin"", B45 = ""Stick bomb"")), ROUNDUP(('Ammo Input'!E45 / 1000) * N45)) + IF(VLOOKUP(B45, AmmoTypeFactors, 9, FALSE) = ""Steel"", ROUNDUP(('Ammo Input'!H45 -'Ammo Input'!M45) * MAX(IF('Ammo Input'!J45 &gt;"&amp;" 0, 'Ammo Input'!J45, 1), 1) * N45 / 1000))) / 'Ingredient stats'!$C$2) * IF(ISBLANK(VLOOKUP(B45,AmmoTypeFactors,15,False)),1,VLOOKUP(B45,AmmoTypeFactors,15,False))"),22)</f>
        <v>22</v>
      </c>
      <c r="R45">
        <f>IFERROR(__xludf.DUMMYFUNCTION("ROUNDUP((IF(REGEXMATCH(B45, ""Arrow"") + (B45 = ""Javelin""), 'Ammo Input'!E45) + IF(VLOOKUP(B45, AmmoTypeFactors, 9, FALSE) = ""Wood"", 'Ammo Input'!H45) + IF(B45 = ""Stick bomb"", 'Ammo Input'!E45)) * N45 / 'Ingredient stats'!$C$12 / 1000)"),0)</f>
        <v>0</v>
      </c>
      <c r="S45">
        <v>0</v>
      </c>
      <c r="T45">
        <v>0</v>
      </c>
      <c r="U45">
        <f>IF(VLOOKUP(B45,AmmoTypeFactors,9,FALSE)="Plasteel",ROUNDUP(('Ammo Input'!H45*MAX(IF('Ammo Input'!J45&gt;0,'Ammo Input'!J45,1)*N45/1000/'Ingredient stats'!$C$4)),0),0)</f>
        <v>0</v>
      </c>
      <c r="V45">
        <f>IFERROR(__xludf.DUMMYFUNCTION("ROUNDUP(IF(ISBLANK(VLOOKUP(B45,AmmoTypeFactors,16,False)),1,VLOOKUP(B45,AmmoTypeFactors,16,False)) * (IFS(REGEXMATCH(B45, ""EMP""), 'Ammo Input'!M45 * N45 / 'Ingredient stats'!$C$5, REGEXMATCH(B45, ""Charge""), (U45^0.75), true, 0) + (IF(VLOOKUP(B45, Ammo"&amp;"TypeFactors, 10, false), 2,0) + IF('Ammo Input'!P45, 2,0) + IF('Ammo Input'!Q45,MIN(ROUNDUP(0.2*('Ammo Input'!H45/1000)*'Ammo Input'!O45,0),20),0))))"),2)</f>
        <v>2</v>
      </c>
      <c r="W45">
        <v>4</v>
      </c>
      <c r="X45">
        <v>0</v>
      </c>
      <c r="Y45">
        <v>0</v>
      </c>
      <c r="Z45">
        <v>0</v>
      </c>
      <c r="AA45">
        <v>0</v>
      </c>
      <c r="AB45" s="30">
        <f>IF(B45="Sling Bullet (Stone)",ROUNDUP(D45*0.02*E45/'Ingredient stats'!$C$8,0),0)</f>
        <v>0</v>
      </c>
      <c r="AC45" t="str">
        <f t="shared" si="0"/>
        <v>None</v>
      </c>
      <c r="AD45" t="str">
        <f>IF(OR(B45="Buck",B45="Bird",B45="Charge (Scatter)"),'Ammo Input'!J45,"None")</f>
        <v>None</v>
      </c>
      <c r="AE45" t="str">
        <f>_xlfn.IFS(ISTEXT(Calcs!N45),Calcs!N45,Calcs!N45&lt;=40,Calcs!N45,Calcs!N45&gt;41,"40")</f>
        <v>None</v>
      </c>
      <c r="AF45" t="str">
        <f>_xlfn.IFS(ISTEXT(Calcs!O45),Calcs!O45,Calcs!O45&lt;=80,Calcs!O45,Calcs!O45&gt;=81,"80")</f>
        <v>None</v>
      </c>
      <c r="AG45" s="25">
        <f t="shared" si="1"/>
        <v>3</v>
      </c>
      <c r="AH45" s="25">
        <f t="shared" si="2"/>
        <v>1.2</v>
      </c>
      <c r="AI45" s="25">
        <f t="shared" si="3"/>
        <v>2</v>
      </c>
    </row>
    <row r="46" ht="14.4" spans="1:35">
      <c r="A46" s="24" t="str">
        <f>'Ammo Input'!A46</f>
        <v>66mm Thermal Bolt</v>
      </c>
      <c r="B46" t="str">
        <f>'Ammo Input'!B46</f>
        <v>Incendiary (Heavy)</v>
      </c>
      <c r="C46">
        <f>ROUNDUP(('Ammo Input'!C46*(MAX('Ammo Input'!D46,'Ammo Input'!F46)*0.5)^2*PI())*3/1000000,2)</f>
        <v>2.57</v>
      </c>
      <c r="D46">
        <f>ROUNDUP(('Ammo Input'!E46+'Ammo Input'!H46*IF('Ammo Input'!J46&lt;&gt;"",MAX('Ammo Input'!J46,1),1))/1000,3)</f>
        <v>2.5</v>
      </c>
      <c r="E46">
        <f>MIN(5000,MAX(25,CEILING(Calcs!L46,_xlfn.IFS(Calcs!L46&lt;100,25,Calcs!L46&lt;250,50,Calcs!L46&lt;1000,250,Calcs!L46&gt;=1000,1000))))</f>
        <v>25</v>
      </c>
      <c r="F46">
        <f>ROUNDUP('Ammo Input'!G46^(3/4),0)</f>
        <v>0</v>
      </c>
      <c r="G46">
        <f>ROUND((0.5*((IF(OR(B46="HEAT",B46="HEDP"),'Ammo Input'!N46,'Ammo Input'!H46)/1000)*(IF(B46="HEAT",9000,IF(B46="HEDP",1500,'Ammo Input'!G46))^2))),0)</f>
        <v>0</v>
      </c>
      <c r="H46" s="25" t="str">
        <f>CONCATENATE(IF((B46="Foam")+(B46="Smoke"),"-",ROUND(Calcs!D46,0))," ",VLOOKUP(B46,AmmoTypeFactors,5,FALSE))</f>
        <v>6 Flame</v>
      </c>
      <c r="I46" s="25" t="str">
        <f>IF(Calcs!E46=0,"None",CONCATENATE(ROUND(Calcs!E46,0)," ",VLOOKUP(B46,AmmoTypeFactors,6,FALSE)))</f>
        <v>48 Thermobaric</v>
      </c>
      <c r="J46">
        <f>MROUND(2.42*'Ammo Input'!M46^(1/3)*VLOOKUP(B46,AmmoTypeFactors,3,FALSE),0.5)</f>
        <v>5</v>
      </c>
      <c r="K46" s="25">
        <f>IF(VLOOKUP(B46,AmmoTypeFactors,12,FALSE),MROUND(J46/3,0.5),"None")</f>
        <v>1.5</v>
      </c>
      <c r="L46" s="25" t="str">
        <f>IF(VLOOKUP(B46,AmmoTypeFactors,8,FALSE),"None",ROUNDUP(IF(Calcs!I46&gt;0,Calcs!I46,Calcs!H46),3))</f>
        <v>None</v>
      </c>
      <c r="M46" s="25" t="str">
        <f>IF(VLOOKUP(B46,AmmoTypeFactors,8,FALSE),"None",'Ammo Input'!L46)</f>
        <v>None</v>
      </c>
      <c r="N46">
        <f>'Ammo Input'!O46</f>
        <v>5</v>
      </c>
      <c r="O46" t="e">
        <f>ROUND((P46*0.0036+SUMPRODUCT(Q46:AB46,VLOOKUP($Q$1:$AB$1,IngredientStats,2,FALSE)))/N46*IF('Ammo Input'!R46,0.5,1),2)</f>
        <v>#VALUE!</v>
      </c>
      <c r="P46" t="e">
        <f>(SUMPRODUCT(Q46:AB46,VLOOKUP($Q$1:$AB$1,IngredientStats,4,FALSE))*VLOOKUP(B46,AmmoTypeFactors,14,FALSE)*IF('Ammo Input'!R46,1.1,1))</f>
        <v>#VALUE!</v>
      </c>
      <c r="Q46">
        <f>IFERROR(__xludf.DUMMYFUNCTION("((IF(NOT(OR(REGEXMATCH(B46, ""Arrow""), B46 = ""Javelin"", B46 = ""Stick bomb"")), ROUNDUP(('Ammo Input'!E46 / 1000) * N46)) + IF(VLOOKUP(B46, AmmoTypeFactors, 9, FALSE) = ""Steel"", ROUNDUP(('Ammo Input'!H46 -'Ammo Input'!M46) * MAX(IF('Ammo Input'!J46 &gt;"&amp;" 0, 'Ammo Input'!J46, 1), 1) * N46 / 1000))) / 'Ingredient stats'!$C$2) * IF(ISBLANK(VLOOKUP(B46,AmmoTypeFactors,15,False)),1,VLOOKUP(B46,AmmoTypeFactors,15,False))"),26)</f>
        <v>26</v>
      </c>
      <c r="R46">
        <f>IFERROR(__xludf.DUMMYFUNCTION("ROUNDUP((IF(REGEXMATCH(B46, ""Arrow"") + (B46 = ""Javelin""), 'Ammo Input'!E46) + IF(VLOOKUP(B46, AmmoTypeFactors, 9, FALSE) = ""Wood"", 'Ammo Input'!H46) + IF(B46 = ""Stick bomb"", 'Ammo Input'!E46)) * N46 / 'Ingredient stats'!$C$12 / 1000)"),0)</f>
        <v>0</v>
      </c>
      <c r="S46">
        <v>0</v>
      </c>
      <c r="T46">
        <v>0</v>
      </c>
      <c r="U46">
        <f>IF(VLOOKUP(B46,AmmoTypeFactors,9,FALSE)="Plasteel",ROUNDUP(('Ammo Input'!H46*MAX(IF('Ammo Input'!J46&gt;0,'Ammo Input'!J46,1)*N46/1000/'Ingredient stats'!$C$4)),0),0)</f>
        <v>0</v>
      </c>
      <c r="V46">
        <f>IFERROR(__xludf.DUMMYFUNCTION("ROUNDUP(IF(ISBLANK(VLOOKUP(B46,AmmoTypeFactors,16,False)),1,VLOOKUP(B46,AmmoTypeFactors,16,False)) * (IFS(REGEXMATCH(B46, ""EMP""), 'Ammo Input'!M46 * N46 / 'Ingredient stats'!$C$5, REGEXMATCH(B46, ""Charge""), (U46^0.75), true, 0) + (IF(VLOOKUP(B46, Ammo"&amp;"TypeFactors, 10, false), 2,0) + IF('Ammo Input'!P46, 2,0) + IF('Ammo Input'!Q46,MIN(ROUNDUP(0.2*('Ammo Input'!H46/1000)*'Ammo Input'!O46,0),20),0))))"),2)</f>
        <v>2</v>
      </c>
      <c r="W46">
        <v>2</v>
      </c>
      <c r="X46">
        <v>0</v>
      </c>
      <c r="Y46">
        <v>0</v>
      </c>
      <c r="Z46">
        <v>0</v>
      </c>
      <c r="AA46">
        <v>0</v>
      </c>
      <c r="AB46" s="30">
        <f>IF(B46="Sling Bullet (Stone)",ROUNDUP(D46*0.02*E46/'Ingredient stats'!$C$8,0),0)</f>
        <v>0</v>
      </c>
      <c r="AC46" t="str">
        <f t="shared" si="0"/>
        <v>None</v>
      </c>
      <c r="AD46" t="str">
        <f>IF(OR(B46="Buck",B46="Bird",B46="Charge (Scatter)"),'Ammo Input'!J46,"None")</f>
        <v>None</v>
      </c>
      <c r="AE46" t="str">
        <f>_xlfn.IFS(ISTEXT(Calcs!N46),Calcs!N46,Calcs!N46&lt;=40,Calcs!N46,Calcs!N46&gt;41,"40")</f>
        <v>None</v>
      </c>
      <c r="AF46" t="str">
        <f>_xlfn.IFS(ISTEXT(Calcs!O46),Calcs!O46,Calcs!O46&lt;=80,Calcs!O46,Calcs!O46&gt;=81,"80")</f>
        <v>None</v>
      </c>
      <c r="AG46" s="25">
        <f t="shared" si="1"/>
        <v>3</v>
      </c>
      <c r="AH46" s="25" t="str">
        <f t="shared" si="2"/>
        <v>-</v>
      </c>
      <c r="AI46" s="25">
        <f t="shared" si="3"/>
        <v>2</v>
      </c>
    </row>
    <row r="47" ht="14.4" spans="1:35">
      <c r="A47" s="24" t="str">
        <f>'Ammo Input'!A47</f>
        <v>Plasma Cell (Heavy)</v>
      </c>
      <c r="B47" t="str">
        <f>'Ammo Input'!B47</f>
        <v>Plasma (Bolt)</v>
      </c>
      <c r="C47">
        <f>ROUNDUP(('Ammo Input'!C47*(MAX('Ammo Input'!D47,'Ammo Input'!F47)*0.5)^2*PI())*3/1000000,2)</f>
        <v>0.51</v>
      </c>
      <c r="D47">
        <f>ROUNDUP(('Ammo Input'!E47+'Ammo Input'!H47*IF('Ammo Input'!J47&lt;&gt;"",MAX('Ammo Input'!J47,1),1))/1000,3)</f>
        <v>0.162</v>
      </c>
      <c r="E47">
        <f>MIN(5000,MAX(25,CEILING(Calcs!L47,_xlfn.IFS(Calcs!L47&lt;100,25,Calcs!L47&lt;250,50,Calcs!L47&lt;1000,250,Calcs!L47&gt;=1000,1000))))</f>
        <v>100</v>
      </c>
      <c r="F47">
        <f>ROUNDUP('Ammo Input'!G47^(3/4),0)</f>
        <v>165</v>
      </c>
      <c r="G47">
        <f>ROUND((0.5*((IF(OR(B47="HEAT",B47="HEDP"),'Ammo Input'!N47,'Ammo Input'!H47)/1000)*(IF(B47="HEAT",9000,IF(B47="HEDP",1500,'Ammo Input'!G47))^2))),0)</f>
        <v>11237</v>
      </c>
      <c r="H47" s="25" t="str">
        <f>CONCATENATE(IF((B47="Foam")+(B47="Smoke"),"-",ROUND(Calcs!D47,0))," ",VLOOKUP(B47,AmmoTypeFactors,5,FALSE))</f>
        <v>18 Bomb</v>
      </c>
      <c r="I47" s="25" t="str">
        <f>IF(Calcs!E47=0,"None",CONCATENATE(ROUND(Calcs!E47,0)," ",VLOOKUP(B47,AmmoTypeFactors,6,FALSE)))</f>
        <v>66 Flame_Secondary</v>
      </c>
      <c r="J47">
        <f>MROUND(2.42*'Ammo Input'!M47^(1/3)*VLOOKUP(B47,AmmoTypeFactors,3,FALSE),0.5)</f>
        <v>1</v>
      </c>
      <c r="K47" s="25" t="str">
        <f>IF(VLOOKUP(B47,AmmoTypeFactors,12,FALSE),MROUND(J47/3,0.5),"None")</f>
        <v>None</v>
      </c>
      <c r="L47" s="25" t="str">
        <f>IF(VLOOKUP(B47,AmmoTypeFactors,8,FALSE),"None",ROUNDUP(IF(Calcs!I47&gt;0,Calcs!I47,Calcs!H47),3))</f>
        <v>None</v>
      </c>
      <c r="M47" s="25" t="str">
        <f>IF(VLOOKUP(B47,AmmoTypeFactors,8,FALSE),"None",'Ammo Input'!L47)</f>
        <v>None</v>
      </c>
      <c r="N47">
        <f>'Ammo Input'!O47</f>
        <v>75</v>
      </c>
      <c r="O47" t="e">
        <f>ROUND((P47*0.0036+SUMPRODUCT(Q47:AB47,VLOOKUP($Q$1:$AB$1,IngredientStats,2,FALSE)))/N47*IF('Ammo Input'!R47,0.5,1),2)</f>
        <v>#VALUE!</v>
      </c>
      <c r="P47" t="e">
        <f>(SUMPRODUCT(Q47:AB47,VLOOKUP($Q$1:$AB$1,IngredientStats,4,FALSE))*VLOOKUP(B47,AmmoTypeFactors,14,FALSE)*IF('Ammo Input'!R47,1.1,1))</f>
        <v>#VALUE!</v>
      </c>
      <c r="Q47">
        <f>IFERROR(__xludf.DUMMYFUNCTION("((IF(NOT(OR(REGEXMATCH(B47, ""Arrow""), B47 = ""Javelin"", B47 = ""Stick bomb"")), ROUNDUP(('Ammo Input'!E47 / 1000) * N47)) + IF(VLOOKUP(B47, AmmoTypeFactors, 9, FALSE) = ""Steel"", ROUNDUP(('Ammo Input'!H47 -'Ammo Input'!M47) * MAX(IF('Ammo Input'!J47 &gt;"&amp;" 0, 'Ammo Input'!J47, 1), 1) * N47 / 1000))) / 'Ingredient stats'!$C$2) * IF(ISBLANK(VLOOKUP(B47,AmmoTypeFactors,15,False)),1,VLOOKUP(B47,AmmoTypeFactors,15,False))"),20)</f>
        <v>20</v>
      </c>
      <c r="R47">
        <f>IFERROR(__xludf.DUMMYFUNCTION("ROUNDUP((IF(REGEXMATCH(B47, ""Arrow"") + (B47 = ""Javelin""), 'Ammo Input'!E47) + IF(VLOOKUP(B47, AmmoTypeFactors, 9, FALSE) = ""Wood"", 'Ammo Input'!H47) + IF(B47 = ""Stick bomb"", 'Ammo Input'!E47)) * N47 / 'Ingredient stats'!$C$12 / 1000)"),0)</f>
        <v>0</v>
      </c>
      <c r="S47">
        <v>0</v>
      </c>
      <c r="T47">
        <v>0</v>
      </c>
      <c r="U47">
        <f>IF(VLOOKUP(B47,AmmoTypeFactors,9,FALSE)="Plasteel",ROUNDUP(('Ammo Input'!H47*MAX(IF('Ammo Input'!J47&gt;0,'Ammo Input'!J47,1)*N47/1000/'Ingredient stats'!$C$4)),0),0)</f>
        <v>9</v>
      </c>
      <c r="V47">
        <f>IFERROR(__xludf.DUMMYFUNCTION("ROUNDUP(IF(ISBLANK(VLOOKUP(B47,AmmoTypeFactors,16,False)),1,VLOOKUP(B47,AmmoTypeFactors,16,False)) * (IFS(REGEXMATCH(B47, ""EMP""), 'Ammo Input'!M47 * N47 / 'Ingredient stats'!$C$5, REGEXMATCH(B47, ""Charge""), (U47^0.75), true, 0) + (IF(VLOOKUP(B47, Ammo"&amp;"TypeFactors, 10, false), 2,0) + IF('Ammo Input'!P47, 2,0) + IF('Ammo Input'!Q47,MIN(ROUNDUP(0.2*('Ammo Input'!H47/1000)*'Ammo Input'!O47,0),20),0))))"),2)</f>
        <v>2</v>
      </c>
      <c r="W47">
        <v>0</v>
      </c>
      <c r="X47">
        <v>0</v>
      </c>
      <c r="Y47">
        <v>0</v>
      </c>
      <c r="Z47">
        <v>0</v>
      </c>
      <c r="AA47">
        <v>0</v>
      </c>
      <c r="AB47" s="30">
        <f>IF(B47="Sling Bullet (Stone)",ROUNDUP(D47*0.02*E47/'Ingredient stats'!$C$8,0),0)</f>
        <v>0</v>
      </c>
      <c r="AC47" t="str">
        <f t="shared" si="0"/>
        <v>None</v>
      </c>
      <c r="AD47" t="str">
        <f>IF(OR(B47="Buck",B47="Bird",B47="Charge (Scatter)"),'Ammo Input'!J47,"None")</f>
        <v>None</v>
      </c>
      <c r="AE47" t="str">
        <f>_xlfn.IFS(ISTEXT(Calcs!N47),Calcs!N47,Calcs!N47&lt;=40,Calcs!N47,Calcs!N47&gt;41,"40")</f>
        <v>None</v>
      </c>
      <c r="AF47" t="str">
        <f>_xlfn.IFS(ISTEXT(Calcs!O47),Calcs!O47,Calcs!O47&lt;=80,Calcs!O47,Calcs!O47&gt;=81,"80")</f>
        <v>None</v>
      </c>
      <c r="AG47" s="25">
        <f t="shared" si="1"/>
        <v>3</v>
      </c>
      <c r="AH47" s="25">
        <f t="shared" si="2"/>
        <v>2.7</v>
      </c>
      <c r="AI47" s="25">
        <f t="shared" si="3"/>
        <v>2</v>
      </c>
    </row>
    <row r="48" ht="14.4" spans="1:35">
      <c r="A48" s="24" t="str">
        <f>'Ammo Input'!A48</f>
        <v>Plasma Cell (Pistol)</v>
      </c>
      <c r="B48" t="str">
        <f>'Ammo Input'!B48</f>
        <v>Plasma (Bolt)</v>
      </c>
      <c r="C48">
        <f>ROUNDUP(('Ammo Input'!C48*(MAX('Ammo Input'!D48,'Ammo Input'!F48)*0.5)^2*PI())*3/1000000,2)</f>
        <v>0.01</v>
      </c>
      <c r="D48">
        <f>ROUNDUP(('Ammo Input'!E48+'Ammo Input'!H48*IF('Ammo Input'!J48&lt;&gt;"",MAX('Ammo Input'!J48,1),1))/1000,3)</f>
        <v>0.014</v>
      </c>
      <c r="E48">
        <f>MIN(5000,MAX(25,CEILING(Calcs!L48,_xlfn.IFS(Calcs!L48&lt;100,25,Calcs!L48&lt;250,50,Calcs!L48&lt;1000,250,Calcs!L48&gt;=1000,1000))))</f>
        <v>5000</v>
      </c>
      <c r="F48">
        <f>ROUNDUP('Ammo Input'!G48^(3/4),0)</f>
        <v>137</v>
      </c>
      <c r="G48">
        <f>ROUND((0.5*((IF(OR(B48="HEAT",B48="HEDP"),'Ammo Input'!N48,'Ammo Input'!H48)/1000)*(IF(B48="HEAT",9000,IF(B48="HEDP",1500,'Ammo Input'!G48))^2))),0)</f>
        <v>142</v>
      </c>
      <c r="H48" s="25" t="str">
        <f>CONCATENATE(IF((B48="Foam")+(B48="Smoke"),"-",ROUND(Calcs!D48,0))," ",VLOOKUP(B48,AmmoTypeFactors,5,FALSE))</f>
        <v>2 Bomb</v>
      </c>
      <c r="I48" s="25" t="str">
        <f>IF(Calcs!E48=0,"None",CONCATENATE(ROUND(Calcs!E48,0)," ",VLOOKUP(B48,AmmoTypeFactors,6,FALSE)))</f>
        <v>9 Flame_Secondary</v>
      </c>
      <c r="J48">
        <f>MROUND(2.42*'Ammo Input'!M48^(1/3)*VLOOKUP(B48,AmmoTypeFactors,3,FALSE),0.5)</f>
        <v>0</v>
      </c>
      <c r="K48" s="25" t="str">
        <f>IF(VLOOKUP(B48,AmmoTypeFactors,12,FALSE),MROUND(J48/3,0.5),"None")</f>
        <v>None</v>
      </c>
      <c r="L48" s="25" t="str">
        <f>IF(VLOOKUP(B48,AmmoTypeFactors,8,FALSE),"None",ROUNDUP(IF(Calcs!I48&gt;0,Calcs!I48,Calcs!H48),3))</f>
        <v>None</v>
      </c>
      <c r="M48" s="25" t="str">
        <f>IF(VLOOKUP(B48,AmmoTypeFactors,8,FALSE),"None",'Ammo Input'!L48)</f>
        <v>None</v>
      </c>
      <c r="N48">
        <f>'Ammo Input'!O48</f>
        <v>500</v>
      </c>
      <c r="O48" t="e">
        <f>ROUND((P48*0.0036+SUMPRODUCT(Q48:AB48,VLOOKUP($Q$1:$AB$1,IngredientStats,2,FALSE)))/N48*IF('Ammo Input'!R48,0.5,1),2)</f>
        <v>#VALUE!</v>
      </c>
      <c r="P48" t="e">
        <f>(SUMPRODUCT(Q48:AB48,VLOOKUP($Q$1:$AB$1,IngredientStats,4,FALSE))*VLOOKUP(B48,AmmoTypeFactors,14,FALSE)*IF('Ammo Input'!R48,1.1,1))</f>
        <v>#VALUE!</v>
      </c>
      <c r="Q48">
        <f>IFERROR(__xludf.DUMMYFUNCTION("((IF(NOT(OR(REGEXMATCH(B48, ""Arrow""), B48 = ""Javelin"", B48 = ""Stick bomb"")), ROUNDUP(('Ammo Input'!E48 / 1000) * N48)) + IF(VLOOKUP(B48, AmmoTypeFactors, 9, FALSE) = ""Steel"", ROUNDUP(('Ammo Input'!H48 -'Ammo Input'!M48) * MAX(IF('Ammo Input'!J48 &gt;"&amp;" 0, 'Ammo Input'!J48, 1), 1) * N48 / 1000))) / 'Ingredient stats'!$C$2) * IF(ISBLANK(VLOOKUP(B48,AmmoTypeFactors,15,False)),1,VLOOKUP(B48,AmmoTypeFactors,15,False))"),14)</f>
        <v>14</v>
      </c>
      <c r="R48">
        <f>IFERROR(__xludf.DUMMYFUNCTION("ROUNDUP((IF(REGEXMATCH(B48, ""Arrow"") + (B48 = ""Javelin""), 'Ammo Input'!E48) + IF(VLOOKUP(B48, AmmoTypeFactors, 9, FALSE) = ""Wood"", 'Ammo Input'!H48) + IF(B48 = ""Stick bomb"", 'Ammo Input'!E48)) * N48 / 'Ingredient stats'!$C$12 / 1000)"),0)</f>
        <v>0</v>
      </c>
      <c r="S48">
        <v>0</v>
      </c>
      <c r="T48">
        <v>0</v>
      </c>
      <c r="U48">
        <f>IF(VLOOKUP(B48,AmmoTypeFactors,9,FALSE)="Plasteel",ROUNDUP(('Ammo Input'!H48*MAX(IF('Ammo Input'!J48&gt;0,'Ammo Input'!J48,1)*N48/1000/'Ingredient stats'!$C$4)),0),0)</f>
        <v>2</v>
      </c>
      <c r="V48">
        <f>IFERROR(__xludf.DUMMYFUNCTION("ROUNDUP(IF(ISBLANK(VLOOKUP(B48,AmmoTypeFactors,16,False)),1,VLOOKUP(B48,AmmoTypeFactors,16,False)) * (IFS(REGEXMATCH(B48, ""EMP""), 'Ammo Input'!M48 * N48 / 'Ingredient stats'!$C$5, REGEXMATCH(B48, ""Charge""), (U48^0.75), true, 0) + (IF(VLOOKUP(B48, Ammo"&amp;"TypeFactors, 10, false), 2,0) + IF('Ammo Input'!P48, 2,0) + IF('Ammo Input'!Q48,MIN(ROUNDUP(0.2*('Ammo Input'!H48/1000)*'Ammo Input'!O48,0),20),0))))"),2)</f>
        <v>2</v>
      </c>
      <c r="W48">
        <v>0</v>
      </c>
      <c r="X48">
        <v>0</v>
      </c>
      <c r="Y48">
        <v>0</v>
      </c>
      <c r="Z48">
        <v>0</v>
      </c>
      <c r="AA48">
        <v>0</v>
      </c>
      <c r="AB48" s="30">
        <f>IF(B48="Sling Bullet (Stone)",ROUNDUP(D48*0.02*E48/'Ingredient stats'!$C$8,0),0)</f>
        <v>0</v>
      </c>
      <c r="AC48" t="str">
        <f t="shared" si="0"/>
        <v>None</v>
      </c>
      <c r="AD48" t="str">
        <f>IF(OR(B48="Buck",B48="Bird",B48="Charge (Scatter)"),'Ammo Input'!J48,"None")</f>
        <v>None</v>
      </c>
      <c r="AE48" t="str">
        <f>_xlfn.IFS(ISTEXT(Calcs!N48),Calcs!N48,Calcs!N48&lt;=40,Calcs!N48,Calcs!N48&gt;41,"40")</f>
        <v>None</v>
      </c>
      <c r="AF48" t="str">
        <f>_xlfn.IFS(ISTEXT(Calcs!O48),Calcs!O48,Calcs!O48&lt;=80,Calcs!O48,Calcs!O48&gt;=81,"80")</f>
        <v>None</v>
      </c>
      <c r="AG48" s="25">
        <f t="shared" si="1"/>
        <v>1</v>
      </c>
      <c r="AH48" s="25">
        <f t="shared" si="2"/>
        <v>2.25</v>
      </c>
      <c r="AI48" s="25">
        <f t="shared" si="3"/>
        <v>1</v>
      </c>
    </row>
    <row r="49" ht="14.4" spans="1:35">
      <c r="A49" s="24" t="str">
        <f>'Ammo Input'!A49</f>
        <v>Plasma Cell (Rifle)</v>
      </c>
      <c r="B49" t="str">
        <f>'Ammo Input'!B49</f>
        <v>Plasma (Bolt)</v>
      </c>
      <c r="C49">
        <f>ROUNDUP(('Ammo Input'!C49*(MAX('Ammo Input'!D49,'Ammo Input'!F49)*0.5)^2*PI())*3/1000000,2)</f>
        <v>0.01</v>
      </c>
      <c r="D49">
        <f>ROUNDUP(('Ammo Input'!E49+'Ammo Input'!H49*IF('Ammo Input'!J49&lt;&gt;"",MAX('Ammo Input'!J49,1),1))/1000,3)</f>
        <v>0.018</v>
      </c>
      <c r="E49">
        <f>MIN(5000,MAX(25,CEILING(Calcs!L49,_xlfn.IFS(Calcs!L49&lt;100,25,Calcs!L49&lt;250,50,Calcs!L49&lt;1000,250,Calcs!L49&gt;=1000,1000))))</f>
        <v>5000</v>
      </c>
      <c r="F49">
        <f>ROUNDUP('Ammo Input'!G49^(3/4),0)</f>
        <v>178</v>
      </c>
      <c r="G49">
        <f>ROUND((0.5*((IF(OR(B49="HEAT",B49="HEDP"),'Ammo Input'!N49,'Ammo Input'!H49)/1000)*(IF(B49="HEAT",9000,IF(B49="HEDP",1500,'Ammo Input'!G49))^2))),0)</f>
        <v>434</v>
      </c>
      <c r="H49" s="25" t="str">
        <f>CONCATENATE(IF((B49="Foam")+(B49="Smoke"),"-",ROUND(Calcs!D49,0))," ",VLOOKUP(B49,AmmoTypeFactors,5,FALSE))</f>
        <v>2 Bomb</v>
      </c>
      <c r="I49" s="25" t="str">
        <f>IF(Calcs!E49=0,"None",CONCATENATE(ROUND(Calcs!E49,0)," ",VLOOKUP(B49,AmmoTypeFactors,6,FALSE)))</f>
        <v>13 Flame_Secondary</v>
      </c>
      <c r="J49">
        <f>MROUND(2.42*'Ammo Input'!M49^(1/3)*VLOOKUP(B49,AmmoTypeFactors,3,FALSE),0.5)</f>
        <v>0.5</v>
      </c>
      <c r="K49" s="25" t="str">
        <f>IF(VLOOKUP(B49,AmmoTypeFactors,12,FALSE),MROUND(J49/3,0.5),"None")</f>
        <v>None</v>
      </c>
      <c r="L49" s="25" t="str">
        <f>IF(VLOOKUP(B49,AmmoTypeFactors,8,FALSE),"None",ROUNDUP(IF(Calcs!I49&gt;0,Calcs!I49,Calcs!H49),3))</f>
        <v>None</v>
      </c>
      <c r="M49" s="25" t="str">
        <f>IF(VLOOKUP(B49,AmmoTypeFactors,8,FALSE),"None",'Ammo Input'!L49)</f>
        <v>None</v>
      </c>
      <c r="N49">
        <f>'Ammo Input'!O49</f>
        <v>500</v>
      </c>
      <c r="O49" t="e">
        <f>ROUND((P49*0.0036+SUMPRODUCT(Q49:AB49,VLOOKUP($Q$1:$AB$1,IngredientStats,2,FALSE)))/N49*IF('Ammo Input'!R49,0.5,1),2)</f>
        <v>#VALUE!</v>
      </c>
      <c r="P49" t="e">
        <f>(SUMPRODUCT(Q49:AB49,VLOOKUP($Q$1:$AB$1,IngredientStats,4,FALSE))*VLOOKUP(B49,AmmoTypeFactors,14,FALSE)*IF('Ammo Input'!R49,1.1,1))</f>
        <v>#VALUE!</v>
      </c>
      <c r="Q49">
        <f>IFERROR(__xludf.DUMMYFUNCTION("((IF(NOT(OR(REGEXMATCH(B49, ""Arrow""), B49 = ""Javelin"", B49 = ""Stick bomb"")), ROUNDUP(('Ammo Input'!E49 / 1000) * N49)) + IF(VLOOKUP(B49, AmmoTypeFactors, 9, FALSE) = ""Steel"", ROUNDUP(('Ammo Input'!H49 -'Ammo Input'!M49) * MAX(IF('Ammo Input'!J49 &gt;"&amp;" 0, 'Ammo Input'!J49, 1), 1) * N49 / 1000))) / 'Ingredient stats'!$C$2) * IF(ISBLANK(VLOOKUP(B49,AmmoTypeFactors,15,False)),1,VLOOKUP(B49,AmmoTypeFactors,15,False))"),18)</f>
        <v>18</v>
      </c>
      <c r="R49">
        <f>IFERROR(__xludf.DUMMYFUNCTION("ROUNDUP((IF(REGEXMATCH(B49, ""Arrow"") + (B49 = ""Javelin""), 'Ammo Input'!E49) + IF(VLOOKUP(B49, AmmoTypeFactors, 9, FALSE) = ""Wood"", 'Ammo Input'!H49) + IF(B49 = ""Stick bomb"", 'Ammo Input'!E49)) * N49 / 'Ingredient stats'!$C$12 / 1000)"),0)</f>
        <v>0</v>
      </c>
      <c r="S49">
        <v>0</v>
      </c>
      <c r="T49">
        <v>0</v>
      </c>
      <c r="U49">
        <f>IF(VLOOKUP(B49,AmmoTypeFactors,9,FALSE)="Plasteel",ROUNDUP(('Ammo Input'!H49*MAX(IF('Ammo Input'!J49&gt;0,'Ammo Input'!J49,1)*N49/1000/'Ingredient stats'!$C$4)),0),0)</f>
        <v>2</v>
      </c>
      <c r="V49">
        <f>IFERROR(__xludf.DUMMYFUNCTION("ROUNDUP(IF(ISBLANK(VLOOKUP(B49,AmmoTypeFactors,16,False)),1,VLOOKUP(B49,AmmoTypeFactors,16,False)) * (IFS(REGEXMATCH(B49, ""EMP""), 'Ammo Input'!M49 * N49 / 'Ingredient stats'!$C$5, REGEXMATCH(B49, ""Charge""), (U49^0.75), true, 0) + (IF(VLOOKUP(B49, Ammo"&amp;"TypeFactors, 10, false), 2,0) + IF('Ammo Input'!P49, 2,0) + IF('Ammo Input'!Q49,MIN(ROUNDUP(0.2*('Ammo Input'!H49/1000)*'Ammo Input'!O49,0),20),0))))"),2)</f>
        <v>2</v>
      </c>
      <c r="W49">
        <v>0</v>
      </c>
      <c r="X49">
        <v>0</v>
      </c>
      <c r="Y49">
        <v>0</v>
      </c>
      <c r="Z49">
        <v>0</v>
      </c>
      <c r="AA49">
        <v>0</v>
      </c>
      <c r="AB49" s="30">
        <f>IF(B49="Sling Bullet (Stone)",ROUNDUP(D49*0.02*E49/'Ingredient stats'!$C$8,0),0)</f>
        <v>0</v>
      </c>
      <c r="AC49" t="str">
        <f t="shared" si="0"/>
        <v>None</v>
      </c>
      <c r="AD49" t="str">
        <f>IF(OR(B49="Buck",B49="Bird",B49="Charge (Scatter)"),'Ammo Input'!J49,"None")</f>
        <v>None</v>
      </c>
      <c r="AE49" t="str">
        <f>_xlfn.IFS(ISTEXT(Calcs!N49),Calcs!N49,Calcs!N49&lt;=40,Calcs!N49,Calcs!N49&gt;41,"40")</f>
        <v>None</v>
      </c>
      <c r="AF49" t="str">
        <f>_xlfn.IFS(ISTEXT(Calcs!O49),Calcs!O49,Calcs!O49&lt;=80,Calcs!O49,Calcs!O49&gt;=81,"80")</f>
        <v>None</v>
      </c>
      <c r="AG49" s="25">
        <f t="shared" si="1"/>
        <v>3</v>
      </c>
      <c r="AH49" s="25">
        <f t="shared" si="2"/>
        <v>2.9</v>
      </c>
      <c r="AI49" s="25">
        <f t="shared" si="3"/>
        <v>2</v>
      </c>
    </row>
    <row r="50" ht="14.4" spans="1:35">
      <c r="A50" s="14" t="s">
        <v>337</v>
      </c>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row>
    <row r="51" ht="14.4" spans="1:35">
      <c r="A51" s="24" t="str">
        <f>'Ammo Input'!A51</f>
        <v>20x42mm Grenade</v>
      </c>
      <c r="B51" t="str">
        <f>'Ammo Input'!B51</f>
        <v>AP</v>
      </c>
      <c r="C51">
        <f>ROUNDUP(('Ammo Input'!C51*(MAX('Ammo Input'!D51,'Ammo Input'!F51)*0.5)^2*PI())*3/1000000,2)</f>
        <v>0.1</v>
      </c>
      <c r="D51">
        <f>ROUNDUP(('Ammo Input'!E51+'Ammo Input'!H51*IF('Ammo Input'!J51&lt;&gt;"",MAX('Ammo Input'!J51,1),1))/1000,3)</f>
        <v>0.162</v>
      </c>
      <c r="E51">
        <f>MIN(5000,MAX(25,CEILING(Calcs!L51,_xlfn.IFS(Calcs!L51&lt;100,25,Calcs!L51&lt;250,50,Calcs!L51&lt;1000,250,Calcs!L51&gt;=1000,1000))))</f>
        <v>5000</v>
      </c>
      <c r="F51">
        <f>ROUNDUP('Ammo Input'!G51^(3/4),0)</f>
        <v>74</v>
      </c>
      <c r="G51">
        <f>ROUND((0.5*((IF(OR(B51="HEAT",B51="HEDP"),'Ammo Input'!N51,'Ammo Input'!H51)/1000)*(IF(B51="HEAT",9000,IF(B51="HEDP",1500,'Ammo Input'!G51))^2))),0)</f>
        <v>5286</v>
      </c>
      <c r="H51" s="25" t="str">
        <f>CONCATENATE(IF((B51="Foam")+(B51="Smoke"),"-",ROUND(Calcs!D51,0))," ",VLOOKUP(B51,AmmoTypeFactors,5,FALSE))</f>
        <v>20 Bullet</v>
      </c>
      <c r="I51" s="25" t="str">
        <f>IF(Calcs!E51=0,"None",CONCATENATE(ROUND(Calcs!E51,0)," ",VLOOKUP(B51,AmmoTypeFactors,6,FALSE)))</f>
        <v>None</v>
      </c>
      <c r="J51">
        <f>MROUND(2.42*'Ammo Input'!M51^(1/3)*VLOOKUP(B51,AmmoTypeFactors,3,FALSE),0.5)</f>
        <v>0</v>
      </c>
      <c r="K51" s="25" t="str">
        <f>IF(VLOOKUP(B51,AmmoTypeFactors,12,FALSE),MROUND(J51/3,0.5),"None")</f>
        <v>None</v>
      </c>
      <c r="L51" s="25">
        <f>IF(VLOOKUP(B51,AmmoTypeFactors,8,FALSE),"None",ROUNDUP(IF(Calcs!I51&gt;0,Calcs!I51,Calcs!H51),3))</f>
        <v>105.72</v>
      </c>
      <c r="M51" s="25">
        <f>IF(VLOOKUP(B51,AmmoTypeFactors,8,FALSE),"None",'Ammo Input'!L51)</f>
        <v>12</v>
      </c>
      <c r="N51">
        <f>'Ammo Input'!O51</f>
        <v>100</v>
      </c>
      <c r="O51" t="e">
        <f>ROUND((P51*0.0036+SUMPRODUCT(Q51:AB51,VLOOKUP($Q$1:$AB$1,IngredientStats,2,FALSE)))/N51*IF('Ammo Input'!R51,0.5,1),2)</f>
        <v>#VALUE!</v>
      </c>
      <c r="P51" t="e">
        <f>(SUMPRODUCT(Q51:AB51,VLOOKUP($Q$1:$AB$1,IngredientStats,4,FALSE))*VLOOKUP(B51,AmmoTypeFactors,14,FALSE)*IF('Ammo Input'!R51,1.1,1))</f>
        <v>#VALUE!</v>
      </c>
      <c r="Q51">
        <f>IFERROR(__xludf.DUMMYFUNCTION("((IF(NOT(OR(REGEXMATCH(B51, ""Arrow""), B51 = ""Javelin"", B51 = ""Stick bomb"")), ROUNDUP(('Ammo Input'!E51 / 1000) * N51)) + IF(VLOOKUP(B51, AmmoTypeFactors, 9, FALSE) = ""Steel"", ROUNDUP(('Ammo Input'!H51 -'Ammo Input'!M51) * MAX(IF('Ammo Input'!J51 &gt;"&amp;" 0, 'Ammo Input'!J51, 1), 1) * N51 / 1000))) / 'Ingredient stats'!$C$2) * IF(ISBLANK(VLOOKUP(B51,AmmoTypeFactors,15,False)),1,VLOOKUP(B51,AmmoTypeFactors,15,False))"),34)</f>
        <v>34</v>
      </c>
      <c r="R51">
        <f>IFERROR(__xludf.DUMMYFUNCTION("ROUNDUP((IF(REGEXMATCH(B51, ""Arrow"") + (B51 = ""Javelin""), 'Ammo Input'!E51) + IF(VLOOKUP(B51, AmmoTypeFactors, 9, FALSE) = ""Wood"", 'Ammo Input'!H51) + IF(B51 = ""Stick bomb"", 'Ammo Input'!E51)) * N51 / 'Ingredient stats'!$C$12 / 1000)"),0)</f>
        <v>0</v>
      </c>
      <c r="S51">
        <v>0</v>
      </c>
      <c r="T51">
        <v>0</v>
      </c>
      <c r="U51">
        <f>IF(VLOOKUP(B51,AmmoTypeFactors,9,FALSE)="Plasteel",ROUNDUP(('Ammo Input'!H51*MAX(IF('Ammo Input'!J51&gt;0,'Ammo Input'!J51,1)*N51/1000/'Ingredient stats'!$C$4)),0),0)</f>
        <v>0</v>
      </c>
      <c r="V51">
        <f>IFERROR(__xludf.DUMMYFUNCTION("ROUNDUP(IF(ISBLANK(VLOOKUP(B51,AmmoTypeFactors,16,False)),1,VLOOKUP(B51,AmmoTypeFactors,16,False)) * (IFS(REGEXMATCH(B51, ""EMP""), 'Ammo Input'!M51 * N51 / 'Ingredient stats'!$C$5, REGEXMATCH(B51, ""Charge""), (U51^0.75), true, 0) + (IF(VLOOKUP(B51, Ammo"&amp;"TypeFactors, 10, false), 2,0) + IF('Ammo Input'!P51, 2,0) + IF('Ammo Input'!Q51,MIN(ROUNDUP(0.2*('Ammo Input'!H51/1000)*'Ammo Input'!O51,0),20),0))))"),0)</f>
        <v>0</v>
      </c>
      <c r="W51">
        <v>0</v>
      </c>
      <c r="X51">
        <v>0</v>
      </c>
      <c r="Y51">
        <v>0</v>
      </c>
      <c r="Z51">
        <v>0</v>
      </c>
      <c r="AA51" s="30">
        <v>0</v>
      </c>
      <c r="AB51" s="30">
        <f>IF(B51="Sling Bullet (Stone)",ROUNDUP(D51*0.02*E51/'Ingredient stats'!$C$8,0),0)</f>
        <v>0</v>
      </c>
      <c r="AC51" t="str">
        <f t="shared" ref="AC51:AC91" si="4">IF(B51="Buck",8.9,IF(B51="Bird",71.4,IF(B51="Beanbag",2,IF(OR(B51="Charge (Scatter)",B51="Charge (IonScatter)"),8.9,"None"))))</f>
        <v>None</v>
      </c>
      <c r="AD51" t="str">
        <f>IF(OR(B51="Buck",B51="Bird",B51="Charge (Scatter)"),'Ammo Input'!J51,"None")</f>
        <v>None</v>
      </c>
      <c r="AE51" t="str">
        <f>_xlfn.IFS(ISTEXT(Calcs!N51),Calcs!N51,Calcs!N51&lt;=40,Calcs!N51,Calcs!N51&gt;41,"40")</f>
        <v>None</v>
      </c>
      <c r="AF51" t="str">
        <f>_xlfn.IFS(ISTEXT(Calcs!O51),Calcs!O51,Calcs!O51&lt;=80,Calcs!O51,Calcs!O51&gt;=81,"80")</f>
        <v>None</v>
      </c>
      <c r="AG51" s="25">
        <f t="shared" ref="AG51:AG91" si="5">IF(IFERROR(FIND("-",$H51),0),0,IF($J51,3,1))</f>
        <v>1</v>
      </c>
      <c r="AH51" s="25">
        <f t="shared" ref="AH51:AH91" si="6">IFERROR(ROUND(200/(CEILING(200/$F51*60,1)+1),2),"-")</f>
        <v>1.22</v>
      </c>
      <c r="AI51" s="25">
        <f t="shared" ref="AI51:AI91" si="7">IF(IFERROR(FIND("-",$H51),0),0,IF($J51,2,1))</f>
        <v>1</v>
      </c>
    </row>
    <row r="52" ht="14.4" spans="1:35">
      <c r="A52" s="24" t="str">
        <f>'Ammo Input'!A52</f>
        <v>20x42mm Grenade</v>
      </c>
      <c r="B52" t="str">
        <f>'Ammo Input'!B52</f>
        <v>AP-I</v>
      </c>
      <c r="C52">
        <f>ROUNDUP(('Ammo Input'!C52*(MAX('Ammo Input'!D52,'Ammo Input'!F52)*0.5)^2*PI())*3/1000000,2)</f>
        <v>0.1</v>
      </c>
      <c r="D52">
        <f>ROUNDUP(('Ammo Input'!E52+'Ammo Input'!H52*IF('Ammo Input'!J52&lt;&gt;"",MAX('Ammo Input'!J52,1),1))/1000,3)</f>
        <v>0.162</v>
      </c>
      <c r="E52">
        <f>MIN(5000,MAX(25,CEILING(Calcs!L52,_xlfn.IFS(Calcs!L52&lt;100,25,Calcs!L52&lt;250,50,Calcs!L52&lt;1000,250,Calcs!L52&gt;=1000,1000))))</f>
        <v>5000</v>
      </c>
      <c r="F52">
        <f>ROUNDUP('Ammo Input'!G52^(3/4),0)</f>
        <v>74</v>
      </c>
      <c r="G52">
        <f>ROUND((0.5*((IF(OR(B52="HEAT",B52="HEDP"),'Ammo Input'!N52,'Ammo Input'!H52)/1000)*(IF(B52="HEAT",9000,IF(B52="HEDP",1500,'Ammo Input'!G52))^2))),0)</f>
        <v>5286</v>
      </c>
      <c r="H52" s="25" t="str">
        <f>CONCATENATE(IF((B52="Foam")+(B52="Smoke"),"-",ROUND(Calcs!D52,0))," ",VLOOKUP(B52,AmmoTypeFactors,5,FALSE))</f>
        <v>20 Bullet</v>
      </c>
      <c r="I52" s="25" t="str">
        <f>IF(Calcs!E52=0,"None",CONCATENATE(ROUND(Calcs!E52,0)," ",VLOOKUP(B52,AmmoTypeFactors,6,FALSE)))</f>
        <v>24 Flame_Secondary</v>
      </c>
      <c r="J52">
        <f>MROUND(2.42*'Ammo Input'!M52^(1/3)*VLOOKUP(B52,AmmoTypeFactors,3,FALSE),0.5)</f>
        <v>0</v>
      </c>
      <c r="K52" s="25" t="str">
        <f>IF(VLOOKUP(B52,AmmoTypeFactors,12,FALSE),MROUND(J52/3,0.5),"None")</f>
        <v>None</v>
      </c>
      <c r="L52" s="25">
        <f>IF(VLOOKUP(B52,AmmoTypeFactors,8,FALSE),"None",ROUNDUP(IF(Calcs!I52&gt;0,Calcs!I52,Calcs!H52),3))</f>
        <v>105.72</v>
      </c>
      <c r="M52" s="25">
        <f>IF(VLOOKUP(B52,AmmoTypeFactors,8,FALSE),"None",'Ammo Input'!L52)</f>
        <v>12</v>
      </c>
      <c r="N52">
        <f>'Ammo Input'!O52</f>
        <v>100</v>
      </c>
      <c r="O52" t="e">
        <f>ROUND((P52*0.0036+SUMPRODUCT(Q52:AB52,VLOOKUP($Q$1:$AB$1,IngredientStats,2,FALSE)))/N52*IF('Ammo Input'!R52,0.5,1),2)</f>
        <v>#VALUE!</v>
      </c>
      <c r="P52" t="e">
        <f>(SUMPRODUCT(Q52:AB52,VLOOKUP($Q$1:$AB$1,IngredientStats,4,FALSE))*VLOOKUP(B52,AmmoTypeFactors,14,FALSE)*IF('Ammo Input'!R52,1.1,1))</f>
        <v>#VALUE!</v>
      </c>
      <c r="Q52">
        <f>IFERROR(__xludf.DUMMYFUNCTION("((IF(NOT(OR(REGEXMATCH(B52, ""Arrow""), B52 = ""Javelin"", B52 = ""Stick bomb"")), ROUNDUP(('Ammo Input'!E52 / 1000) * N52)) + IF(VLOOKUP(B52, AmmoTypeFactors, 9, FALSE) = ""Steel"", ROUNDUP(('Ammo Input'!H52 -'Ammo Input'!M52) * MAX(IF('Ammo Input'!J52 &gt;"&amp;" 0, 'Ammo Input'!J52, 1), 1) * N52 / 1000))) / 'Ingredient stats'!$C$2) * IF(ISBLANK(VLOOKUP(B52,AmmoTypeFactors,15,False)),1,VLOOKUP(B52,AmmoTypeFactors,15,False))"),34)</f>
        <v>34</v>
      </c>
      <c r="R52">
        <f>IFERROR(__xludf.DUMMYFUNCTION("ROUNDUP((IF(REGEXMATCH(B52, ""Arrow"") + (B52 = ""Javelin""), 'Ammo Input'!E52) + IF(VLOOKUP(B52, AmmoTypeFactors, 9, FALSE) = ""Wood"", 'Ammo Input'!H52) + IF(B52 = ""Stick bomb"", 'Ammo Input'!E52)) * N52 / 'Ingredient stats'!$C$12 / 1000)"),0)</f>
        <v>0</v>
      </c>
      <c r="S52">
        <v>0</v>
      </c>
      <c r="T52">
        <v>0</v>
      </c>
      <c r="U52">
        <f>IF(VLOOKUP(B52,AmmoTypeFactors,9,FALSE)="Plasteel",ROUNDUP(('Ammo Input'!H52*MAX(IF('Ammo Input'!J52&gt;0,'Ammo Input'!J52,1)*N52/1000/'Ingredient stats'!$C$4)),0),0)</f>
        <v>0</v>
      </c>
      <c r="V52">
        <f>IFERROR(__xludf.DUMMYFUNCTION("ROUNDUP(IF(ISBLANK(VLOOKUP(B52,AmmoTypeFactors,16,False)),1,VLOOKUP(B52,AmmoTypeFactors,16,False)) * (IFS(REGEXMATCH(B52, ""EMP""), 'Ammo Input'!M52 * N52 / 'Ingredient stats'!$C$5, REGEXMATCH(B52, ""Charge""), (U52^0.75), true, 0) + (IF(VLOOKUP(B52, Ammo"&amp;"TypeFactors, 10, false), 2,0) + IF('Ammo Input'!P52, 2,0) + IF('Ammo Input'!Q52,MIN(ROUNDUP(0.2*('Ammo Input'!H52/1000)*'Ammo Input'!O52,0),20),0))))"),0)</f>
        <v>0</v>
      </c>
      <c r="W52">
        <v>6</v>
      </c>
      <c r="X52">
        <v>0</v>
      </c>
      <c r="Y52">
        <v>0</v>
      </c>
      <c r="Z52">
        <v>0</v>
      </c>
      <c r="AA52">
        <v>0</v>
      </c>
      <c r="AB52" s="30">
        <f>IF(B52="Sling Bullet (Stone)",ROUNDUP(D52*0.02*E52/'Ingredient stats'!$C$8,0),0)</f>
        <v>0</v>
      </c>
      <c r="AC52" t="str">
        <f t="shared" si="4"/>
        <v>None</v>
      </c>
      <c r="AD52" t="str">
        <f>IF(OR(B52="Buck",B52="Bird",B52="Charge (Scatter)"),'Ammo Input'!J52,"None")</f>
        <v>None</v>
      </c>
      <c r="AE52" t="str">
        <f>_xlfn.IFS(ISTEXT(Calcs!N52),Calcs!N52,Calcs!N52&lt;=40,Calcs!N52,Calcs!N52&gt;41,"40")</f>
        <v>None</v>
      </c>
      <c r="AF52" t="str">
        <f>_xlfn.IFS(ISTEXT(Calcs!O52),Calcs!O52,Calcs!O52&lt;=80,Calcs!O52,Calcs!O52&gt;=81,"80")</f>
        <v>None</v>
      </c>
      <c r="AG52" s="25">
        <f t="shared" si="5"/>
        <v>1</v>
      </c>
      <c r="AH52" s="25">
        <f t="shared" si="6"/>
        <v>1.22</v>
      </c>
      <c r="AI52" s="25">
        <f t="shared" si="7"/>
        <v>1</v>
      </c>
    </row>
    <row r="53" ht="14.4" spans="1:35">
      <c r="A53" s="24" t="str">
        <f>'Ammo Input'!A53</f>
        <v>20x42mm Grenade</v>
      </c>
      <c r="B53" t="str">
        <f>'Ammo Input'!B53</f>
        <v>AP-HE</v>
      </c>
      <c r="C53">
        <f>ROUNDUP(('Ammo Input'!C53*(MAX('Ammo Input'!D53,'Ammo Input'!F53)*0.5)^2*PI())*3/1000000,2)</f>
        <v>0.1</v>
      </c>
      <c r="D53">
        <f>ROUNDUP(('Ammo Input'!E53+'Ammo Input'!H53*IF('Ammo Input'!J53&lt;&gt;"",MAX('Ammo Input'!J53,1),1))/1000,3)</f>
        <v>0.162</v>
      </c>
      <c r="E53">
        <f>MIN(5000,MAX(25,CEILING(Calcs!L53,_xlfn.IFS(Calcs!L53&lt;100,25,Calcs!L53&lt;250,50,Calcs!L53&lt;1000,250,Calcs!L53&gt;=1000,1000))))</f>
        <v>5000</v>
      </c>
      <c r="F53">
        <f>ROUNDUP('Ammo Input'!G53^(3/4),0)</f>
        <v>74</v>
      </c>
      <c r="G53">
        <f>ROUND((0.5*((IF(OR(B53="HEAT",B53="HEDP"),'Ammo Input'!N53,'Ammo Input'!H53)/1000)*(IF(B53="HEAT",9000,IF(B53="HEDP",1500,'Ammo Input'!G53))^2))),0)</f>
        <v>5286</v>
      </c>
      <c r="H53" s="25" t="str">
        <f>CONCATENATE(IF((B53="Foam")+(B53="Smoke"),"-",ROUND(Calcs!D53,0))," ",VLOOKUP(B53,AmmoTypeFactors,5,FALSE))</f>
        <v>32 Bullet</v>
      </c>
      <c r="I53" s="25" t="str">
        <f>IF(Calcs!E53=0,"None",CONCATENATE(ROUND(Calcs!E53,0)," ",VLOOKUP(B53,AmmoTypeFactors,6,FALSE)))</f>
        <v>33 Bomb_Secondary</v>
      </c>
      <c r="J53">
        <f>MROUND(2.42*'Ammo Input'!M53^(1/3)*VLOOKUP(B53,AmmoTypeFactors,3,FALSE),0.5)</f>
        <v>0</v>
      </c>
      <c r="K53" s="25" t="str">
        <f>IF(VLOOKUP(B53,AmmoTypeFactors,12,FALSE),MROUND(J53/3,0.5),"None")</f>
        <v>None</v>
      </c>
      <c r="L53" s="25">
        <f>IF(VLOOKUP(B53,AmmoTypeFactors,8,FALSE),"None",ROUNDUP(IF(Calcs!I53&gt;0,Calcs!I53,Calcs!H53),3))</f>
        <v>105.72</v>
      </c>
      <c r="M53" s="25">
        <f>IF(VLOOKUP(B53,AmmoTypeFactors,8,FALSE),"None",'Ammo Input'!L53)</f>
        <v>6</v>
      </c>
      <c r="N53">
        <f>'Ammo Input'!O53</f>
        <v>100</v>
      </c>
      <c r="O53" t="e">
        <f>ROUND((P53*0.0036+SUMPRODUCT(Q53:AB53,VLOOKUP($Q$1:$AB$1,IngredientStats,2,FALSE)))/N53*IF('Ammo Input'!R53,0.5,1),2)</f>
        <v>#VALUE!</v>
      </c>
      <c r="P53" t="e">
        <f>(SUMPRODUCT(Q53:AB53,VLOOKUP($Q$1:$AB$1,IngredientStats,4,FALSE))*VLOOKUP(B53,AmmoTypeFactors,14,FALSE)*IF('Ammo Input'!R53,1.1,1))</f>
        <v>#VALUE!</v>
      </c>
      <c r="Q53">
        <f>IFERROR(__xludf.DUMMYFUNCTION("((IF(NOT(OR(REGEXMATCH(B53, ""Arrow""), B53 = ""Javelin"", B53 = ""Stick bomb"")), ROUNDUP(('Ammo Input'!E53 / 1000) * N53)) + IF(VLOOKUP(B53, AmmoTypeFactors, 9, FALSE) = ""Steel"", ROUNDUP(('Ammo Input'!H53 -'Ammo Input'!M53) * MAX(IF('Ammo Input'!J53 &gt;"&amp;" 0, 'Ammo Input'!J53, 1), 1) * N53 / 1000))) / 'Ingredient stats'!$C$2) * IF(ISBLANK(VLOOKUP(B53,AmmoTypeFactors,15,False)),1,VLOOKUP(B53,AmmoTypeFactors,15,False))"),34)</f>
        <v>34</v>
      </c>
      <c r="R53">
        <f>IFERROR(__xludf.DUMMYFUNCTION("ROUNDUP((IF(REGEXMATCH(B53, ""Arrow"") + (B53 = ""Javelin""), 'Ammo Input'!E53) + IF(VLOOKUP(B53, AmmoTypeFactors, 9, FALSE) = ""Wood"", 'Ammo Input'!H53) + IF(B53 = ""Stick bomb"", 'Ammo Input'!E53)) * N53 / 'Ingredient stats'!$C$12 / 1000)"),0)</f>
        <v>0</v>
      </c>
      <c r="S53">
        <v>0</v>
      </c>
      <c r="T53">
        <v>0</v>
      </c>
      <c r="U53">
        <f>IF(VLOOKUP(B53,AmmoTypeFactors,9,FALSE)="Plasteel",ROUNDUP(('Ammo Input'!H53*MAX(IF('Ammo Input'!J53&gt;0,'Ammo Input'!J53,1)*N53/1000/'Ingredient stats'!$C$4)),0),0)</f>
        <v>0</v>
      </c>
      <c r="V53">
        <f>IFERROR(__xludf.DUMMYFUNCTION("ROUNDUP(IF(ISBLANK(VLOOKUP(B53,AmmoTypeFactors,16,False)),1,VLOOKUP(B53,AmmoTypeFactors,16,False)) * (IFS(REGEXMATCH(B53, ""EMP""), 'Ammo Input'!M53 * N53 / 'Ingredient stats'!$C$5, REGEXMATCH(B53, ""Charge""), (U53^0.75), true, 0) + (IF(VLOOKUP(B53, Ammo"&amp;"TypeFactors, 10, false), 2,0) + IF('Ammo Input'!P53, 2,0) + IF('Ammo Input'!Q53,MIN(ROUNDUP(0.2*('Ammo Input'!H53/1000)*'Ammo Input'!O53,0),20),0))))"),0)</f>
        <v>0</v>
      </c>
      <c r="W53">
        <v>0</v>
      </c>
      <c r="X53">
        <v>11</v>
      </c>
      <c r="Y53">
        <v>0</v>
      </c>
      <c r="Z53">
        <v>0</v>
      </c>
      <c r="AA53">
        <v>0</v>
      </c>
      <c r="AB53" s="30">
        <f>IF(B53="Sling Bullet (Stone)",ROUNDUP(D53*0.02*E53/'Ingredient stats'!$C$8,0),0)</f>
        <v>0</v>
      </c>
      <c r="AC53" t="str">
        <f t="shared" si="4"/>
        <v>None</v>
      </c>
      <c r="AD53" t="str">
        <f>IF(OR(B53="Buck",B53="Bird",B53="Charge (Scatter)"),'Ammo Input'!J53,"None")</f>
        <v>None</v>
      </c>
      <c r="AE53" t="str">
        <f>_xlfn.IFS(ISTEXT(Calcs!N53),Calcs!N53,Calcs!N53&lt;=40,Calcs!N53,Calcs!N53&gt;41,"40")</f>
        <v>None</v>
      </c>
      <c r="AF53" t="str">
        <f>_xlfn.IFS(ISTEXT(Calcs!O53),Calcs!O53,Calcs!O53&lt;=80,Calcs!O53,Calcs!O53&gt;=81,"80")</f>
        <v>None</v>
      </c>
      <c r="AG53" s="25">
        <f t="shared" si="5"/>
        <v>1</v>
      </c>
      <c r="AH53" s="25">
        <f t="shared" si="6"/>
        <v>1.22</v>
      </c>
      <c r="AI53" s="25">
        <f t="shared" si="7"/>
        <v>1</v>
      </c>
    </row>
    <row r="54" ht="14.4" spans="1:35">
      <c r="A54" s="24" t="str">
        <f>'Ammo Input'!A54</f>
        <v>20x42mm Grenade</v>
      </c>
      <c r="B54" t="str">
        <f>'Ammo Input'!B54</f>
        <v>Frag</v>
      </c>
      <c r="C54">
        <f>ROUNDUP(('Ammo Input'!C54*(MAX('Ammo Input'!D54,'Ammo Input'!F54)*0.5)^2*PI())*3/1000000,2)</f>
        <v>0.1</v>
      </c>
      <c r="D54">
        <f>ROUNDUP(('Ammo Input'!E54+'Ammo Input'!H54*IF('Ammo Input'!J54&lt;&gt;"",MAX('Ammo Input'!J54,1),1))/1000,3)</f>
        <v>0.162</v>
      </c>
      <c r="E54">
        <f>MIN(5000,MAX(25,CEILING(Calcs!L54,_xlfn.IFS(Calcs!L54&lt;100,25,Calcs!L54&lt;250,50,Calcs!L54&lt;1000,250,Calcs!L54&gt;=1000,1000))))</f>
        <v>5000</v>
      </c>
      <c r="F54">
        <f>ROUNDUP('Ammo Input'!G54^(3/4),0)</f>
        <v>74</v>
      </c>
      <c r="G54">
        <f>ROUND((0.5*((IF(OR(B54="HEAT",B54="HEDP"),'Ammo Input'!N54,'Ammo Input'!H54)/1000)*(IF(B54="HEAT",9000,IF(B54="HEDP",1500,'Ammo Input'!G54))^2))),0)</f>
        <v>5286</v>
      </c>
      <c r="H54" s="25" t="str">
        <f>CONCATENATE(IF((B54="Foam")+(B54="Smoke"),"-",ROUND(Calcs!D54,0))," ",VLOOKUP(B54,AmmoTypeFactors,5,FALSE))</f>
        <v>18 Bomb</v>
      </c>
      <c r="I54" s="25" t="str">
        <f>IF(Calcs!E54=0,"None",CONCATENATE(ROUND(Calcs!E54,0)," ",VLOOKUP(B54,AmmoTypeFactors,6,FALSE)))</f>
        <v>None</v>
      </c>
      <c r="J54">
        <f>MROUND(2.42*'Ammo Input'!M54^(1/3)*VLOOKUP(B54,AmmoTypeFactors,3,FALSE),0.5)</f>
        <v>1</v>
      </c>
      <c r="K54" s="25" t="str">
        <f>IF(VLOOKUP(B54,AmmoTypeFactors,12,FALSE),MROUND(J54/3,0.5),"None")</f>
        <v>None</v>
      </c>
      <c r="L54" s="25" t="str">
        <f>IF(VLOOKUP(B54,AmmoTypeFactors,8,FALSE),"None",ROUNDUP(IF(Calcs!I54&gt;0,Calcs!I54,Calcs!H54),3))</f>
        <v>None</v>
      </c>
      <c r="M54" s="25" t="str">
        <f>IF(VLOOKUP(B54,AmmoTypeFactors,8,FALSE),"None",'Ammo Input'!L54)</f>
        <v>None</v>
      </c>
      <c r="N54">
        <f>'Ammo Input'!O54</f>
        <v>100</v>
      </c>
      <c r="O54" t="e">
        <f>ROUND((P54*0.0036+SUMPRODUCT(Q54:AB54,VLOOKUP($Q$1:$AB$1,IngredientStats,2,FALSE)))/N54*IF('Ammo Input'!R54,0.5,1),2)</f>
        <v>#VALUE!</v>
      </c>
      <c r="P54" t="e">
        <f>(SUMPRODUCT(Q54:AB54,VLOOKUP($Q$1:$AB$1,IngredientStats,4,FALSE))*VLOOKUP(B54,AmmoTypeFactors,14,FALSE)*IF('Ammo Input'!R54,1.1,1))</f>
        <v>#VALUE!</v>
      </c>
      <c r="Q54">
        <f>IFERROR(__xludf.DUMMYFUNCTION("((IF(NOT(OR(REGEXMATCH(B54, ""Arrow""), B54 = ""Javelin"", B54 = ""Stick bomb"")), ROUNDUP(('Ammo Input'!E54 / 1000) * N54)) + IF(VLOOKUP(B54, AmmoTypeFactors, 9, FALSE) = ""Steel"", ROUNDUP(('Ammo Input'!H54 -'Ammo Input'!M54) * MAX(IF('Ammo Input'!J54 &gt;"&amp;" 0, 'Ammo Input'!J54, 1), 1) * N54 / 1000))) / 'Ingredient stats'!$C$2) * IF(ISBLANK(VLOOKUP(B54,AmmoTypeFactors,15,False)),1,VLOOKUP(B54,AmmoTypeFactors,15,False))"),34)</f>
        <v>34</v>
      </c>
      <c r="R54">
        <f>IFERROR(__xludf.DUMMYFUNCTION("ROUNDUP((IF(REGEXMATCH(B54, ""Arrow"") + (B54 = ""Javelin""), 'Ammo Input'!E54) + IF(VLOOKUP(B54, AmmoTypeFactors, 9, FALSE) = ""Wood"", 'Ammo Input'!H54) + IF(B54 = ""Stick bomb"", 'Ammo Input'!E54)) * N54 / 'Ingredient stats'!$C$12 / 1000)"),0)</f>
        <v>0</v>
      </c>
      <c r="S54">
        <v>0</v>
      </c>
      <c r="T54">
        <v>0</v>
      </c>
      <c r="U54">
        <f>IF(VLOOKUP(B54,AmmoTypeFactors,9,FALSE)="Plasteel",ROUNDUP(('Ammo Input'!H54*MAX(IF('Ammo Input'!J54&gt;0,'Ammo Input'!J54,1)*N54/1000/'Ingredient stats'!$C$4)),0),0)</f>
        <v>0</v>
      </c>
      <c r="V54">
        <f>IFERROR(__xludf.DUMMYFUNCTION("ROUNDUP(IF(ISBLANK(VLOOKUP(B54,AmmoTypeFactors,16,False)),1,VLOOKUP(B54,AmmoTypeFactors,16,False)) * (IFS(REGEXMATCH(B54, ""EMP""), 'Ammo Input'!M54 * N54 / 'Ingredient stats'!$C$5, REGEXMATCH(B54, ""Charge""), (U54^0.75), true, 0) + (IF(VLOOKUP(B54, Ammo"&amp;"TypeFactors, 10, false), 2,0) + IF('Ammo Input'!P54, 2,0) + IF('Ammo Input'!Q54,MIN(ROUNDUP(0.2*('Ammo Input'!H54/1000)*'Ammo Input'!O54,0),20),0))))"),2)</f>
        <v>2</v>
      </c>
      <c r="W54">
        <v>0</v>
      </c>
      <c r="X54">
        <v>6</v>
      </c>
      <c r="Y54">
        <v>0</v>
      </c>
      <c r="Z54">
        <v>0</v>
      </c>
      <c r="AA54">
        <v>0</v>
      </c>
      <c r="AB54" s="30">
        <f>IF(B54="Sling Bullet (Stone)",ROUNDUP(D54*0.02*E54/'Ingredient stats'!$C$8,0),0)</f>
        <v>0</v>
      </c>
      <c r="AC54" t="str">
        <f t="shared" si="4"/>
        <v>None</v>
      </c>
      <c r="AD54" t="str">
        <f>IF(OR(B54="Buck",B54="Bird",B54="Charge (Scatter)"),'Ammo Input'!J54,"None")</f>
        <v>None</v>
      </c>
      <c r="AE54">
        <f>_xlfn.IFS(ISTEXT(Calcs!N54),Calcs!N54,Calcs!N54&lt;=40,Calcs!N54,Calcs!N54&gt;41,"40")</f>
        <v>0</v>
      </c>
      <c r="AF54">
        <f>_xlfn.IFS(ISTEXT(Calcs!O54),Calcs!O54,Calcs!O54&lt;=80,Calcs!O54,Calcs!O54&gt;=81,"80")</f>
        <v>11</v>
      </c>
      <c r="AG54" s="25">
        <f t="shared" si="5"/>
        <v>3</v>
      </c>
      <c r="AH54" s="25">
        <f t="shared" si="6"/>
        <v>1.22</v>
      </c>
      <c r="AI54" s="25">
        <f t="shared" si="7"/>
        <v>2</v>
      </c>
    </row>
    <row r="55" ht="14.4" spans="1:35">
      <c r="A55" s="24" t="str">
        <f>'Ammo Input'!A55</f>
        <v>20x42mm Grenade</v>
      </c>
      <c r="B55" t="str">
        <f>'Ammo Input'!B55</f>
        <v>EMP</v>
      </c>
      <c r="C55">
        <f>ROUNDUP(('Ammo Input'!C55*(MAX('Ammo Input'!D55,'Ammo Input'!F55)*0.5)^2*PI())*3/1000000,2)</f>
        <v>0.1</v>
      </c>
      <c r="D55">
        <f>ROUNDUP(('Ammo Input'!E55+'Ammo Input'!H55*IF('Ammo Input'!J55&lt;&gt;"",MAX('Ammo Input'!J55,1),1))/1000,3)</f>
        <v>0.162</v>
      </c>
      <c r="E55">
        <f>MIN(5000,MAX(25,CEILING(Calcs!L55,_xlfn.IFS(Calcs!L55&lt;100,25,Calcs!L55&lt;250,50,Calcs!L55&lt;1000,250,Calcs!L55&gt;=1000,1000))))</f>
        <v>5000</v>
      </c>
      <c r="F55">
        <f>ROUNDUP('Ammo Input'!G55^(3/4),0)</f>
        <v>74</v>
      </c>
      <c r="G55">
        <f>ROUND((0.5*((IF(OR(B55="HEAT",B55="HEDP"),'Ammo Input'!N55,'Ammo Input'!H55)/1000)*(IF(B55="HEAT",9000,IF(B55="HEDP",1500,'Ammo Input'!G55))^2))),0)</f>
        <v>5286</v>
      </c>
      <c r="H55" s="25" t="str">
        <f>CONCATENATE(IF((B55="Foam")+(B55="Smoke"),"-",ROUND(Calcs!D55,0))," ",VLOOKUP(B55,AmmoTypeFactors,5,FALSE))</f>
        <v>18 EMP</v>
      </c>
      <c r="I55" s="25" t="str">
        <f>IF(Calcs!E55=0,"None",CONCATENATE(ROUND(Calcs!E55,0)," ",VLOOKUP(B55,AmmoTypeFactors,6,FALSE)))</f>
        <v>None</v>
      </c>
      <c r="J55">
        <f>MROUND(2.42*'Ammo Input'!M55^(1/3)*VLOOKUP(B55,AmmoTypeFactors,3,FALSE),0.5)</f>
        <v>1.5</v>
      </c>
      <c r="K55" s="25" t="str">
        <f>IF(VLOOKUP(B55,AmmoTypeFactors,12,FALSE),MROUND(J55/3,0.5),"None")</f>
        <v>None</v>
      </c>
      <c r="L55" s="25" t="str">
        <f>IF(VLOOKUP(B55,AmmoTypeFactors,8,FALSE),"None",ROUNDUP(IF(Calcs!I55&gt;0,Calcs!I55,Calcs!H55),3))</f>
        <v>None</v>
      </c>
      <c r="M55" s="25" t="str">
        <f>IF(VLOOKUP(B55,AmmoTypeFactors,8,FALSE),"None",'Ammo Input'!L55)</f>
        <v>None</v>
      </c>
      <c r="N55">
        <f>'Ammo Input'!O55</f>
        <v>100</v>
      </c>
      <c r="O55" t="e">
        <f>ROUND((P55*0.0036+SUMPRODUCT(Q55:AB55,VLOOKUP($Q$1:$AB$1,IngredientStats,2,FALSE)))/N55*IF('Ammo Input'!R55,0.5,1),2)</f>
        <v>#VALUE!</v>
      </c>
      <c r="P55" t="e">
        <f>(SUMPRODUCT(Q55:AB55,VLOOKUP($Q$1:$AB$1,IngredientStats,4,FALSE))*VLOOKUP(B55,AmmoTypeFactors,14,FALSE)*IF('Ammo Input'!R55,1.1,1))</f>
        <v>#VALUE!</v>
      </c>
      <c r="Q55">
        <f>IFERROR(__xludf.DUMMYFUNCTION("((IF(NOT(OR(REGEXMATCH(B55, ""Arrow""), B55 = ""Javelin"", B55 = ""Stick bomb"")), ROUNDUP(('Ammo Input'!E55 / 1000) * N55)) + IF(VLOOKUP(B55, AmmoTypeFactors, 9, FALSE) = ""Steel"", ROUNDUP(('Ammo Input'!H55 -'Ammo Input'!M55) * MAX(IF('Ammo Input'!J55 &gt;"&amp;" 0, 'Ammo Input'!J55, 1), 1) * N55 / 1000))) / 'Ingredient stats'!$C$2) * IF(ISBLANK(VLOOKUP(B55,AmmoTypeFactors,15,False)),1,VLOOKUP(B55,AmmoTypeFactors,15,False))"),34)</f>
        <v>34</v>
      </c>
      <c r="R55">
        <f>IFERROR(__xludf.DUMMYFUNCTION("ROUNDUP((IF(REGEXMATCH(B55, ""Arrow"") + (B55 = ""Javelin""), 'Ammo Input'!E55) + IF(VLOOKUP(B55, AmmoTypeFactors, 9, FALSE) = ""Wood"", 'Ammo Input'!H55) + IF(B55 = ""Stick bomb"", 'Ammo Input'!E55)) * N55 / 'Ingredient stats'!$C$12 / 1000)"),0)</f>
        <v>0</v>
      </c>
      <c r="S55">
        <v>0</v>
      </c>
      <c r="T55">
        <v>0</v>
      </c>
      <c r="U55">
        <f>IF(VLOOKUP(B55,AmmoTypeFactors,9,FALSE)="Plasteel",ROUNDUP(('Ammo Input'!H55*MAX(IF('Ammo Input'!J55&gt;0,'Ammo Input'!J55,1)*N55/1000/'Ingredient stats'!$C$4)),0),0)</f>
        <v>0</v>
      </c>
      <c r="V55">
        <f>IFERROR(__xludf.DUMMYFUNCTION("ROUNDUP(IF(ISBLANK(VLOOKUP(B55,AmmoTypeFactors,16,False)),1,VLOOKUP(B55,AmmoTypeFactors,16,False)) * (IFS(REGEXMATCH(B55, ""EMP""), 'Ammo Input'!M55 * N55 / 'Ingredient stats'!$C$5, REGEXMATCH(B55, ""Charge""), (U55^0.75), true, 0) + (IF(VLOOKUP(B55, Ammo"&amp;"TypeFactors, 10, false), 2,0) + IF('Ammo Input'!P55, 2,0) + IF('Ammo Input'!Q55,MIN(ROUNDUP(0.2*('Ammo Input'!H55/1000)*'Ammo Input'!O55,0),20),0))))"),9)</f>
        <v>9</v>
      </c>
      <c r="W55">
        <v>0</v>
      </c>
      <c r="X55">
        <v>0</v>
      </c>
      <c r="Y55">
        <v>0</v>
      </c>
      <c r="Z55">
        <v>0</v>
      </c>
      <c r="AA55">
        <v>0</v>
      </c>
      <c r="AB55" s="30">
        <f>IF(B55="Sling Bullet (Stone)",ROUNDUP(D55*0.02*E55/'Ingredient stats'!$C$8,0),0)</f>
        <v>0</v>
      </c>
      <c r="AC55" t="str">
        <f t="shared" si="4"/>
        <v>None</v>
      </c>
      <c r="AD55" t="str">
        <f>IF(OR(B55="Buck",B55="Bird",B55="Charge (Scatter)"),'Ammo Input'!J55,"None")</f>
        <v>None</v>
      </c>
      <c r="AE55" t="str">
        <f>_xlfn.IFS(ISTEXT(Calcs!N55),Calcs!N55,Calcs!N55&lt;=40,Calcs!N55,Calcs!N55&gt;41,"40")</f>
        <v>None</v>
      </c>
      <c r="AF55" t="str">
        <f>_xlfn.IFS(ISTEXT(Calcs!O55),Calcs!O55,Calcs!O55&lt;=80,Calcs!O55,Calcs!O55&gt;=81,"80")</f>
        <v>None</v>
      </c>
      <c r="AG55" s="25">
        <f t="shared" si="5"/>
        <v>3</v>
      </c>
      <c r="AH55" s="25">
        <f t="shared" si="6"/>
        <v>1.22</v>
      </c>
      <c r="AI55" s="25">
        <f t="shared" si="7"/>
        <v>2</v>
      </c>
    </row>
    <row r="56" ht="14.4" spans="1:35">
      <c r="A56" s="24" t="str">
        <f>'Ammo Input'!A56</f>
        <v>20x42mm Grenade</v>
      </c>
      <c r="B56" t="str">
        <f>'Ammo Input'!B56</f>
        <v>Smoke</v>
      </c>
      <c r="C56">
        <f>ROUNDUP(('Ammo Input'!C56*(MAX('Ammo Input'!D56,'Ammo Input'!F56)*0.5)^2*PI())*3/1000000,2)</f>
        <v>0.1</v>
      </c>
      <c r="D56">
        <f>ROUNDUP(('Ammo Input'!E56+'Ammo Input'!H56*IF('Ammo Input'!J56&lt;&gt;"",MAX('Ammo Input'!J56,1),1))/1000,3)</f>
        <v>0.162</v>
      </c>
      <c r="E56">
        <f>MIN(5000,MAX(25,CEILING(Calcs!L56,_xlfn.IFS(Calcs!L56&lt;100,25,Calcs!L56&lt;250,50,Calcs!L56&lt;1000,250,Calcs!L56&gt;=1000,1000))))</f>
        <v>5000</v>
      </c>
      <c r="F56">
        <f>ROUNDUP('Ammo Input'!G56^(3/4),0)</f>
        <v>74</v>
      </c>
      <c r="G56">
        <f>ROUND((0.5*((IF(OR(B56="HEAT",B56="HEDP"),'Ammo Input'!N56,'Ammo Input'!H56)/1000)*(IF(B56="HEAT",9000,IF(B56="HEDP",1500,'Ammo Input'!G56))^2))),0)</f>
        <v>5286</v>
      </c>
      <c r="H56" s="25" t="str">
        <f>CONCATENATE(IF((B56="Foam")+(B56="Smoke"),"-",ROUND(Calcs!D56,0))," ",VLOOKUP(B56,AmmoTypeFactors,5,FALSE))</f>
        <v>- Smoke</v>
      </c>
      <c r="I56" s="25" t="str">
        <f>IF(Calcs!E56=0,"None",CONCATENATE(ROUND(Calcs!E56,0)," ",VLOOKUP(B56,AmmoTypeFactors,6,FALSE)))</f>
        <v>None</v>
      </c>
      <c r="J56">
        <f>MROUND(2.42*'Ammo Input'!M56^(1/3)*VLOOKUP(B56,AmmoTypeFactors,3,FALSE),0.5)</f>
        <v>2</v>
      </c>
      <c r="K56" s="25" t="str">
        <f>IF(VLOOKUP(B56,AmmoTypeFactors,12,FALSE),MROUND(J56/3,0.5),"None")</f>
        <v>None</v>
      </c>
      <c r="L56" s="25" t="str">
        <f>IF(VLOOKUP(B56,AmmoTypeFactors,8,FALSE),"None",ROUNDUP(IF(Calcs!I56&gt;0,Calcs!I56,Calcs!H56),3))</f>
        <v>None</v>
      </c>
      <c r="M56" s="25" t="str">
        <f>IF(VLOOKUP(B56,AmmoTypeFactors,8,FALSE),"None",'Ammo Input'!L56)</f>
        <v>None</v>
      </c>
      <c r="N56">
        <f>'Ammo Input'!O56</f>
        <v>100</v>
      </c>
      <c r="O56" t="e">
        <f>ROUND((P56*0.0036+SUMPRODUCT(Q56:AB56,VLOOKUP($Q$1:$AB$1,IngredientStats,2,FALSE)))/N56*IF('Ammo Input'!R56,0.5,1),2)</f>
        <v>#VALUE!</v>
      </c>
      <c r="P56" t="e">
        <f>(SUMPRODUCT(Q56:AB56,VLOOKUP($Q$1:$AB$1,IngredientStats,4,FALSE))*VLOOKUP(B56,AmmoTypeFactors,14,FALSE)*IF('Ammo Input'!R56,1.1,1))</f>
        <v>#VALUE!</v>
      </c>
      <c r="Q56">
        <f>IFERROR(__xludf.DUMMYFUNCTION("((IF(NOT(OR(REGEXMATCH(B56, ""Arrow""), B56 = ""Javelin"", B56 = ""Stick bomb"")), ROUNDUP(('Ammo Input'!E56 / 1000) * N56)) + IF(VLOOKUP(B56, AmmoTypeFactors, 9, FALSE) = ""Steel"", ROUNDUP(('Ammo Input'!H56 -'Ammo Input'!M56) * MAX(IF('Ammo Input'!J56 &gt;"&amp;" 0, 'Ammo Input'!J56, 1), 1) * N56 / 1000))) / 'Ingredient stats'!$C$2) * IF(ISBLANK(VLOOKUP(B56,AmmoTypeFactors,15,False)),1,VLOOKUP(B56,AmmoTypeFactors,15,False))"),34)</f>
        <v>34</v>
      </c>
      <c r="R56">
        <f>IFERROR(__xludf.DUMMYFUNCTION("ROUNDUP((IF(REGEXMATCH(B56, ""Arrow"") + (B56 = ""Javelin""), 'Ammo Input'!E56) + IF(VLOOKUP(B56, AmmoTypeFactors, 9, FALSE) = ""Wood"", 'Ammo Input'!H56) + IF(B56 = ""Stick bomb"", 'Ammo Input'!E56)) * N56 / 'Ingredient stats'!$C$12 / 1000)"),0)</f>
        <v>0</v>
      </c>
      <c r="S56">
        <v>0</v>
      </c>
      <c r="T56">
        <v>0</v>
      </c>
      <c r="U56">
        <f>IF(VLOOKUP(B56,AmmoTypeFactors,9,FALSE)="Plasteel",ROUNDUP(('Ammo Input'!H56*MAX(IF('Ammo Input'!J56&gt;0,'Ammo Input'!J56,1)*N56/1000/'Ingredient stats'!$C$4)),0),0)</f>
        <v>0</v>
      </c>
      <c r="V56">
        <f>IFERROR(__xludf.DUMMYFUNCTION("ROUNDUP(IF(ISBLANK(VLOOKUP(B56,AmmoTypeFactors,16,False)),1,VLOOKUP(B56,AmmoTypeFactors,16,False)) * (IFS(REGEXMATCH(B56, ""EMP""), 'Ammo Input'!M56 * N56 / 'Ingredient stats'!$C$5, REGEXMATCH(B56, ""Charge""), (U56^0.75), true, 0) + (IF(VLOOKUP(B56, Ammo"&amp;"TypeFactors, 10, false), 2,0) + IF('Ammo Input'!P56, 2,0) + IF('Ammo Input'!Q56,MIN(ROUNDUP(0.2*('Ammo Input'!H56/1000)*'Ammo Input'!O56,0),20),0))))"),2)</f>
        <v>2</v>
      </c>
      <c r="W56">
        <v>2</v>
      </c>
      <c r="X56">
        <v>0</v>
      </c>
      <c r="Y56">
        <v>0</v>
      </c>
      <c r="Z56">
        <v>0</v>
      </c>
      <c r="AA56">
        <v>0</v>
      </c>
      <c r="AB56" s="30">
        <f>IF(B56="Sling Bullet (Stone)",ROUNDUP(D56*0.02*E56/'Ingredient stats'!$C$8,0),0)</f>
        <v>0</v>
      </c>
      <c r="AC56" t="str">
        <f t="shared" si="4"/>
        <v>None</v>
      </c>
      <c r="AD56" t="str">
        <f>IF(OR(B56="Buck",B56="Bird",B56="Charge (Scatter)"),'Ammo Input'!J56,"None")</f>
        <v>None</v>
      </c>
      <c r="AE56" t="str">
        <f>_xlfn.IFS(ISTEXT(Calcs!N56),Calcs!N56,Calcs!N56&lt;=40,Calcs!N56,Calcs!N56&gt;41,"40")</f>
        <v>None</v>
      </c>
      <c r="AF56" t="str">
        <f>_xlfn.IFS(ISTEXT(Calcs!O56),Calcs!O56,Calcs!O56&lt;=80,Calcs!O56,Calcs!O56&gt;=81,"80")</f>
        <v>None</v>
      </c>
      <c r="AG56" s="25">
        <f t="shared" si="5"/>
        <v>0</v>
      </c>
      <c r="AH56" s="25">
        <f t="shared" si="6"/>
        <v>1.22</v>
      </c>
      <c r="AI56" s="25">
        <f t="shared" si="7"/>
        <v>0</v>
      </c>
    </row>
    <row r="57" ht="14.4" spans="1:35">
      <c r="A57" s="24" t="str">
        <f>'Ammo Input'!A57</f>
        <v>25x40mm Grenade</v>
      </c>
      <c r="B57" t="str">
        <f>'Ammo Input'!B57</f>
        <v>Frag</v>
      </c>
      <c r="C57">
        <f>ROUNDUP(('Ammo Input'!C57*(MAX('Ammo Input'!D57,'Ammo Input'!F57)*0.5)^2*PI())*3/1000000,2)</f>
        <v>0.15</v>
      </c>
      <c r="D57">
        <f>ROUNDUP(('Ammo Input'!E57+'Ammo Input'!H57*IF('Ammo Input'!J57&lt;&gt;"",MAX('Ammo Input'!J57,1),1))/1000,3)</f>
        <v>0.144</v>
      </c>
      <c r="E57">
        <f>MIN(5000,MAX(25,CEILING(Calcs!L57,_xlfn.IFS(Calcs!L57&lt;100,25,Calcs!L57&lt;250,50,Calcs!L57&lt;1000,250,Calcs!L57&gt;=1000,1000))))</f>
        <v>3000</v>
      </c>
      <c r="F57">
        <f>ROUNDUP('Ammo Input'!G57^(3/4),0)</f>
        <v>56</v>
      </c>
      <c r="G57">
        <f>ROUND((0.5*((IF(OR(B57="HEAT",B57="HEDP"),'Ammo Input'!N57,'Ammo Input'!H57)/1000)*(IF(B57="HEAT",9000,IF(B57="HEDP",1500,'Ammo Input'!G57))^2))),0)</f>
        <v>2712</v>
      </c>
      <c r="H57" s="25" t="str">
        <f>CONCATENATE(IF((B57="Foam")+(B57="Smoke"),"-",ROUND(Calcs!D57,0))," ",VLOOKUP(B57,AmmoTypeFactors,5,FALSE))</f>
        <v>18 Bomb</v>
      </c>
      <c r="I57" s="25" t="str">
        <f>IF(Calcs!E57=0,"None",CONCATENATE(ROUND(Calcs!E57,0)," ",VLOOKUP(B57,AmmoTypeFactors,6,FALSE)))</f>
        <v>None</v>
      </c>
      <c r="J57">
        <f>MROUND(2.42*'Ammo Input'!M57^(1/3)*VLOOKUP(B57,AmmoTypeFactors,3,FALSE),0.5)</f>
        <v>1</v>
      </c>
      <c r="K57" s="25" t="str">
        <f>IF(VLOOKUP(B57,AmmoTypeFactors,12,FALSE),MROUND(J57/3,0.5),"None")</f>
        <v>None</v>
      </c>
      <c r="L57" s="25" t="str">
        <f>IF(VLOOKUP(B57,AmmoTypeFactors,8,FALSE),"None",ROUNDUP(IF(Calcs!I57&gt;0,Calcs!I57,Calcs!H57),3))</f>
        <v>None</v>
      </c>
      <c r="M57" s="25" t="str">
        <f>IF(VLOOKUP(B57,AmmoTypeFactors,8,FALSE),"None",'Ammo Input'!L57)</f>
        <v>None</v>
      </c>
      <c r="N57">
        <f>'Ammo Input'!O57</f>
        <v>100</v>
      </c>
      <c r="O57" t="e">
        <f>ROUND((P57*0.0036+SUMPRODUCT(Q57:AB57,VLOOKUP($Q$1:$AB$1,IngredientStats,2,FALSE)))/N57*IF('Ammo Input'!R57,0.5,1),2)</f>
        <v>#VALUE!</v>
      </c>
      <c r="P57" t="e">
        <f>(SUMPRODUCT(Q57:AB57,VLOOKUP($Q$1:$AB$1,IngredientStats,4,FALSE))*VLOOKUP(B57,AmmoTypeFactors,14,FALSE)*IF('Ammo Input'!R57,1.1,1))</f>
        <v>#VALUE!</v>
      </c>
      <c r="Q57">
        <f>IFERROR(__xludf.DUMMYFUNCTION("((IF(NOT(OR(REGEXMATCH(B57, ""Arrow""), B57 = ""Javelin"", B57 = ""Stick bomb"")), ROUNDUP(('Ammo Input'!E57 / 1000) * N57)) + IF(VLOOKUP(B57, AmmoTypeFactors, 9, FALSE) = ""Steel"", ROUNDUP(('Ammo Input'!H57 -'Ammo Input'!M57) * MAX(IF('Ammo Input'!J57 &gt;"&amp;" 0, 'Ammo Input'!J57, 1), 1) * N57 / 1000))) / 'Ingredient stats'!$C$2) * IF(ISBLANK(VLOOKUP(B57,AmmoTypeFactors,15,False)),1,VLOOKUP(B57,AmmoTypeFactors,15,False))"),32)</f>
        <v>32</v>
      </c>
      <c r="R57">
        <f>IFERROR(__xludf.DUMMYFUNCTION("ROUNDUP((IF(REGEXMATCH(B57, ""Arrow"") + (B57 = ""Javelin""), 'Ammo Input'!E57) + IF(VLOOKUP(B57, AmmoTypeFactors, 9, FALSE) = ""Wood"", 'Ammo Input'!H57) + IF(B57 = ""Stick bomb"", 'Ammo Input'!E57)) * N57 / 'Ingredient stats'!$C$12 / 1000)"),0)</f>
        <v>0</v>
      </c>
      <c r="S57">
        <v>0</v>
      </c>
      <c r="T57">
        <v>0</v>
      </c>
      <c r="U57">
        <f>IF(VLOOKUP(B57,AmmoTypeFactors,9,FALSE)="Plasteel",ROUNDUP(('Ammo Input'!H57*MAX(IF('Ammo Input'!J57&gt;0,'Ammo Input'!J57,1)*N57/1000/'Ingredient stats'!$C$4)),0),0)</f>
        <v>0</v>
      </c>
      <c r="V57">
        <f>IFERROR(__xludf.DUMMYFUNCTION("ROUNDUP(IF(ISBLANK(VLOOKUP(B57,AmmoTypeFactors,16,False)),1,VLOOKUP(B57,AmmoTypeFactors,16,False)) * (IFS(REGEXMATCH(B57, ""EMP""), 'Ammo Input'!M57 * N57 / 'Ingredient stats'!$C$5, REGEXMATCH(B57, ""Charge""), (U57^0.75), true, 0) + (IF(VLOOKUP(B57, Ammo"&amp;"TypeFactors, 10, false), 2,0) + IF('Ammo Input'!P57, 2,0) + IF('Ammo Input'!Q57,MIN(ROUNDUP(0.2*('Ammo Input'!H57/1000)*'Ammo Input'!O57,0),20),0))))"),2)</f>
        <v>2</v>
      </c>
      <c r="W57">
        <v>0</v>
      </c>
      <c r="X57">
        <v>6</v>
      </c>
      <c r="Y57">
        <v>0</v>
      </c>
      <c r="Z57">
        <v>0</v>
      </c>
      <c r="AA57">
        <v>0</v>
      </c>
      <c r="AB57" s="30">
        <f>IF(B57="Sling Bullet (Stone)",ROUNDUP(D57*0.02*E57/'Ingredient stats'!$C$8,0),0)</f>
        <v>0</v>
      </c>
      <c r="AC57" t="str">
        <f t="shared" si="4"/>
        <v>None</v>
      </c>
      <c r="AD57" t="str">
        <f>IF(OR(B57="Buck",B57="Bird",B57="Charge (Scatter)"),'Ammo Input'!J57,"None")</f>
        <v>None</v>
      </c>
      <c r="AE57">
        <f>_xlfn.IFS(ISTEXT(Calcs!N57),Calcs!N57,Calcs!N57&lt;=40,Calcs!N57,Calcs!N57&gt;41,"40")</f>
        <v>0</v>
      </c>
      <c r="AF57">
        <f>_xlfn.IFS(ISTEXT(Calcs!O57),Calcs!O57,Calcs!O57&lt;=80,Calcs!O57,Calcs!O57&gt;=81,"80")</f>
        <v>13</v>
      </c>
      <c r="AG57" s="25">
        <f t="shared" si="5"/>
        <v>3</v>
      </c>
      <c r="AH57" s="25">
        <f t="shared" si="6"/>
        <v>0.93</v>
      </c>
      <c r="AI57" s="25">
        <f t="shared" si="7"/>
        <v>2</v>
      </c>
    </row>
    <row r="58" ht="14.4" spans="1:35">
      <c r="A58" s="24" t="str">
        <f>'Ammo Input'!A58</f>
        <v>25x40mm Grenade</v>
      </c>
      <c r="B58" t="str">
        <f>'Ammo Input'!B58</f>
        <v>EMP</v>
      </c>
      <c r="C58">
        <f>ROUNDUP(('Ammo Input'!C58*(MAX('Ammo Input'!D58,'Ammo Input'!F58)*0.5)^2*PI())*3/1000000,2)</f>
        <v>0.15</v>
      </c>
      <c r="D58">
        <f>ROUNDUP(('Ammo Input'!E58+'Ammo Input'!H58*IF('Ammo Input'!J58&lt;&gt;"",MAX('Ammo Input'!J58,1),1))/1000,3)</f>
        <v>0.144</v>
      </c>
      <c r="E58">
        <f>MIN(5000,MAX(25,CEILING(Calcs!L58,_xlfn.IFS(Calcs!L58&lt;100,25,Calcs!L58&lt;250,50,Calcs!L58&lt;1000,250,Calcs!L58&gt;=1000,1000))))</f>
        <v>3000</v>
      </c>
      <c r="F58">
        <f>ROUNDUP('Ammo Input'!G58^(3/4),0)</f>
        <v>56</v>
      </c>
      <c r="G58">
        <f>ROUND((0.5*((IF(OR(B58="HEAT",B58="HEDP"),'Ammo Input'!N58,'Ammo Input'!H58)/1000)*(IF(B58="HEAT",9000,IF(B58="HEDP",1500,'Ammo Input'!G58))^2))),0)</f>
        <v>2712</v>
      </c>
      <c r="H58" s="25" t="str">
        <f>CONCATENATE(IF((B58="Foam")+(B58="Smoke"),"-",ROUND(Calcs!D58,0))," ",VLOOKUP(B58,AmmoTypeFactors,5,FALSE))</f>
        <v>18 EMP</v>
      </c>
      <c r="I58" s="25" t="str">
        <f>IF(Calcs!E58=0,"None",CONCATENATE(ROUND(Calcs!E58,0)," ",VLOOKUP(B58,AmmoTypeFactors,6,FALSE)))</f>
        <v>None</v>
      </c>
      <c r="J58">
        <f>MROUND(2.42*'Ammo Input'!M58^(1/3)*VLOOKUP(B58,AmmoTypeFactors,3,FALSE),0.5)</f>
        <v>1.5</v>
      </c>
      <c r="K58" s="25" t="str">
        <f>IF(VLOOKUP(B58,AmmoTypeFactors,12,FALSE),MROUND(J58/3,0.5),"None")</f>
        <v>None</v>
      </c>
      <c r="L58" s="25" t="str">
        <f>IF(VLOOKUP(B58,AmmoTypeFactors,8,FALSE),"None",ROUNDUP(IF(Calcs!I58&gt;0,Calcs!I58,Calcs!H58),3))</f>
        <v>None</v>
      </c>
      <c r="M58" s="25" t="str">
        <f>IF(VLOOKUP(B58,AmmoTypeFactors,8,FALSE),"None",'Ammo Input'!L58)</f>
        <v>None</v>
      </c>
      <c r="N58">
        <f>'Ammo Input'!O58</f>
        <v>100</v>
      </c>
      <c r="O58" t="e">
        <f>ROUND((P58*0.0036+SUMPRODUCT(Q58:AB58,VLOOKUP($Q$1:$AB$1,IngredientStats,2,FALSE)))/N58*IF('Ammo Input'!R58,0.5,1),2)</f>
        <v>#VALUE!</v>
      </c>
      <c r="P58" t="e">
        <f>(SUMPRODUCT(Q58:AB58,VLOOKUP($Q$1:$AB$1,IngredientStats,4,FALSE))*VLOOKUP(B58,AmmoTypeFactors,14,FALSE)*IF('Ammo Input'!R58,1.1,1))</f>
        <v>#VALUE!</v>
      </c>
      <c r="Q58">
        <f>IFERROR(__xludf.DUMMYFUNCTION("((IF(NOT(OR(REGEXMATCH(B58, ""Arrow""), B58 = ""Javelin"", B58 = ""Stick bomb"")), ROUNDUP(('Ammo Input'!E58 / 1000) * N58)) + IF(VLOOKUP(B58, AmmoTypeFactors, 9, FALSE) = ""Steel"", ROUNDUP(('Ammo Input'!H58 -'Ammo Input'!M58) * MAX(IF('Ammo Input'!J58 &gt;"&amp;" 0, 'Ammo Input'!J58, 1), 1) * N58 / 1000))) / 'Ingredient stats'!$C$2) * IF(ISBLANK(VLOOKUP(B58,AmmoTypeFactors,15,False)),1,VLOOKUP(B58,AmmoTypeFactors,15,False))"),32)</f>
        <v>32</v>
      </c>
      <c r="R58">
        <f>IFERROR(__xludf.DUMMYFUNCTION("ROUNDUP((IF(REGEXMATCH(B58, ""Arrow"") + (B58 = ""Javelin""), 'Ammo Input'!E58) + IF(VLOOKUP(B58, AmmoTypeFactors, 9, FALSE) = ""Wood"", 'Ammo Input'!H58) + IF(B58 = ""Stick bomb"", 'Ammo Input'!E58)) * N58 / 'Ingredient stats'!$C$12 / 1000)"),0)</f>
        <v>0</v>
      </c>
      <c r="S58">
        <v>0</v>
      </c>
      <c r="T58">
        <v>0</v>
      </c>
      <c r="U58">
        <f>IF(VLOOKUP(B58,AmmoTypeFactors,9,FALSE)="Plasteel",ROUNDUP(('Ammo Input'!H58*MAX(IF('Ammo Input'!J58&gt;0,'Ammo Input'!J58,1)*N58/1000/'Ingredient stats'!$C$4)),0),0)</f>
        <v>0</v>
      </c>
      <c r="V58">
        <f>IFERROR(__xludf.DUMMYFUNCTION("ROUNDUP(IF(ISBLANK(VLOOKUP(B58,AmmoTypeFactors,16,False)),1,VLOOKUP(B58,AmmoTypeFactors,16,False)) * (IFS(REGEXMATCH(B58, ""EMP""), 'Ammo Input'!M58 * N58 / 'Ingredient stats'!$C$5, REGEXMATCH(B58, ""Charge""), (U58^0.75), true, 0) + (IF(VLOOKUP(B58, Ammo"&amp;"TypeFactors, 10, false), 2,0) + IF('Ammo Input'!P58, 2,0) + IF('Ammo Input'!Q58,MIN(ROUNDUP(0.2*('Ammo Input'!H58/1000)*'Ammo Input'!O58,0),20),0))))"),8)</f>
        <v>8</v>
      </c>
      <c r="W58">
        <v>0</v>
      </c>
      <c r="X58">
        <v>0</v>
      </c>
      <c r="Y58">
        <v>0</v>
      </c>
      <c r="Z58">
        <v>0</v>
      </c>
      <c r="AA58">
        <v>0</v>
      </c>
      <c r="AB58" s="30">
        <f>IF(B58="Sling Bullet (Stone)",ROUNDUP(D58*0.02*E58/'Ingredient stats'!$C$8,0),0)</f>
        <v>0</v>
      </c>
      <c r="AC58" t="str">
        <f t="shared" si="4"/>
        <v>None</v>
      </c>
      <c r="AD58" t="str">
        <f>IF(OR(B58="Buck",B58="Bird",B58="Charge (Scatter)"),'Ammo Input'!J58,"None")</f>
        <v>None</v>
      </c>
      <c r="AE58" t="str">
        <f>_xlfn.IFS(ISTEXT(Calcs!N58),Calcs!N58,Calcs!N58&lt;=40,Calcs!N58,Calcs!N58&gt;41,"40")</f>
        <v>None</v>
      </c>
      <c r="AF58" t="str">
        <f>_xlfn.IFS(ISTEXT(Calcs!O58),Calcs!O58,Calcs!O58&lt;=80,Calcs!O58,Calcs!O58&gt;=81,"80")</f>
        <v>None</v>
      </c>
      <c r="AG58" s="25">
        <f t="shared" si="5"/>
        <v>3</v>
      </c>
      <c r="AH58" s="25">
        <f t="shared" si="6"/>
        <v>0.93</v>
      </c>
      <c r="AI58" s="25">
        <f t="shared" si="7"/>
        <v>2</v>
      </c>
    </row>
    <row r="59" ht="14.4" spans="1:35">
      <c r="A59" s="24" t="str">
        <f>'Ammo Input'!A59</f>
        <v>25x40mm Grenade</v>
      </c>
      <c r="B59" t="str">
        <f>'Ammo Input'!B59</f>
        <v>Smoke</v>
      </c>
      <c r="C59">
        <f>ROUNDUP(('Ammo Input'!C59*(MAX('Ammo Input'!D59,'Ammo Input'!F59)*0.5)^2*PI())*3/1000000,2)</f>
        <v>0.15</v>
      </c>
      <c r="D59">
        <f>ROUNDUP(('Ammo Input'!E59+'Ammo Input'!H59*IF('Ammo Input'!J59&lt;&gt;"",MAX('Ammo Input'!J59,1),1))/1000,3)</f>
        <v>0.144</v>
      </c>
      <c r="E59">
        <f>MIN(5000,MAX(25,CEILING(Calcs!L59,_xlfn.IFS(Calcs!L59&lt;100,25,Calcs!L59&lt;250,50,Calcs!L59&lt;1000,250,Calcs!L59&gt;=1000,1000))))</f>
        <v>3000</v>
      </c>
      <c r="F59">
        <f>ROUNDUP('Ammo Input'!G59^(3/4),0)</f>
        <v>56</v>
      </c>
      <c r="G59">
        <f>ROUND((0.5*((IF(OR(B59="HEAT",B59="HEDP"),'Ammo Input'!N59,'Ammo Input'!H59)/1000)*(IF(B59="HEAT",9000,IF(B59="HEDP",1500,'Ammo Input'!G59))^2))),0)</f>
        <v>2712</v>
      </c>
      <c r="H59" s="25" t="str">
        <f>CONCATENATE(IF((B59="Foam")+(B59="Smoke"),"-",ROUND(Calcs!D59,0))," ",VLOOKUP(B59,AmmoTypeFactors,5,FALSE))</f>
        <v>- Smoke</v>
      </c>
      <c r="I59" s="25" t="str">
        <f>IF(Calcs!E59=0,"None",CONCATENATE(ROUND(Calcs!E59,0)," ",VLOOKUP(B59,AmmoTypeFactors,6,FALSE)))</f>
        <v>None</v>
      </c>
      <c r="J59">
        <f>MROUND(2.42*'Ammo Input'!M59^(1/3)*VLOOKUP(B59,AmmoTypeFactors,3,FALSE),0.5)</f>
        <v>2</v>
      </c>
      <c r="K59" s="25" t="str">
        <f>IF(VLOOKUP(B59,AmmoTypeFactors,12,FALSE),MROUND(J59/3,0.5),"None")</f>
        <v>None</v>
      </c>
      <c r="L59" s="25" t="str">
        <f>IF(VLOOKUP(B59,AmmoTypeFactors,8,FALSE),"None",ROUNDUP(IF(Calcs!I59&gt;0,Calcs!I59,Calcs!H59),3))</f>
        <v>None</v>
      </c>
      <c r="M59" s="25" t="str">
        <f>IF(VLOOKUP(B59,AmmoTypeFactors,8,FALSE),"None",'Ammo Input'!L59)</f>
        <v>None</v>
      </c>
      <c r="N59">
        <f>'Ammo Input'!O59</f>
        <v>100</v>
      </c>
      <c r="O59" t="e">
        <f>ROUND((P59*0.0036+SUMPRODUCT(Q59:AB59,VLOOKUP($Q$1:$AB$1,IngredientStats,2,FALSE)))/N59*IF('Ammo Input'!R59,0.5,1),2)</f>
        <v>#VALUE!</v>
      </c>
      <c r="P59" t="e">
        <f>(SUMPRODUCT(Q59:AB59,VLOOKUP($Q$1:$AB$1,IngredientStats,4,FALSE))*VLOOKUP(B59,AmmoTypeFactors,14,FALSE)*IF('Ammo Input'!R59,1.1,1))</f>
        <v>#VALUE!</v>
      </c>
      <c r="Q59">
        <f>IFERROR(__xludf.DUMMYFUNCTION("((IF(NOT(OR(REGEXMATCH(B59, ""Arrow""), B59 = ""Javelin"", B59 = ""Stick bomb"")), ROUNDUP(('Ammo Input'!E59 / 1000) * N59)) + IF(VLOOKUP(B59, AmmoTypeFactors, 9, FALSE) = ""Steel"", ROUNDUP(('Ammo Input'!H59 -'Ammo Input'!M59) * MAX(IF('Ammo Input'!J59 &gt;"&amp;" 0, 'Ammo Input'!J59, 1), 1) * N59 / 1000))) / 'Ingredient stats'!$C$2) * IF(ISBLANK(VLOOKUP(B59,AmmoTypeFactors,15,False)),1,VLOOKUP(B59,AmmoTypeFactors,15,False))"),32)</f>
        <v>32</v>
      </c>
      <c r="R59">
        <f>IFERROR(__xludf.DUMMYFUNCTION("ROUNDUP((IF(REGEXMATCH(B59, ""Arrow"") + (B59 = ""Javelin""), 'Ammo Input'!E59) + IF(VLOOKUP(B59, AmmoTypeFactors, 9, FALSE) = ""Wood"", 'Ammo Input'!H59) + IF(B59 = ""Stick bomb"", 'Ammo Input'!E59)) * N59 / 'Ingredient stats'!$C$12 / 1000)"),0)</f>
        <v>0</v>
      </c>
      <c r="S59">
        <v>0</v>
      </c>
      <c r="T59">
        <v>0</v>
      </c>
      <c r="U59">
        <f>IF(VLOOKUP(B59,AmmoTypeFactors,9,FALSE)="Plasteel",ROUNDUP(('Ammo Input'!H59*MAX(IF('Ammo Input'!J59&gt;0,'Ammo Input'!J59,1)*N59/1000/'Ingredient stats'!$C$4)),0),0)</f>
        <v>0</v>
      </c>
      <c r="V59">
        <f>IFERROR(__xludf.DUMMYFUNCTION("ROUNDUP(IF(ISBLANK(VLOOKUP(B59,AmmoTypeFactors,16,False)),1,VLOOKUP(B59,AmmoTypeFactors,16,False)) * (IFS(REGEXMATCH(B59, ""EMP""), 'Ammo Input'!M59 * N59 / 'Ingredient stats'!$C$5, REGEXMATCH(B59, ""Charge""), (U59^0.75), true, 0) + (IF(VLOOKUP(B59, Ammo"&amp;"TypeFactors, 10, false), 2,0) + IF('Ammo Input'!P59, 2,0) + IF('Ammo Input'!Q59,MIN(ROUNDUP(0.2*('Ammo Input'!H59/1000)*'Ammo Input'!O59,0),20),0))))"),2)</f>
        <v>2</v>
      </c>
      <c r="W59">
        <v>2</v>
      </c>
      <c r="X59">
        <v>0</v>
      </c>
      <c r="Y59">
        <v>0</v>
      </c>
      <c r="Z59">
        <v>0</v>
      </c>
      <c r="AA59">
        <v>0</v>
      </c>
      <c r="AB59" s="30">
        <f>IF(B59="Sling Bullet (Stone)",ROUNDUP(D59*0.02*E59/'Ingredient stats'!$C$8,0),0)</f>
        <v>0</v>
      </c>
      <c r="AC59" t="str">
        <f t="shared" si="4"/>
        <v>None</v>
      </c>
      <c r="AD59" t="str">
        <f>IF(OR(B59="Buck",B59="Bird",B59="Charge (Scatter)"),'Ammo Input'!J59,"None")</f>
        <v>None</v>
      </c>
      <c r="AE59" t="str">
        <f>_xlfn.IFS(ISTEXT(Calcs!N59),Calcs!N59,Calcs!N59&lt;=40,Calcs!N59,Calcs!N59&gt;41,"40")</f>
        <v>None</v>
      </c>
      <c r="AF59" t="str">
        <f>_xlfn.IFS(ISTEXT(Calcs!O59),Calcs!O59,Calcs!O59&lt;=80,Calcs!O59,Calcs!O59&gt;=81,"80")</f>
        <v>None</v>
      </c>
      <c r="AG59" s="25">
        <f t="shared" si="5"/>
        <v>0</v>
      </c>
      <c r="AH59" s="25">
        <f t="shared" si="6"/>
        <v>0.93</v>
      </c>
      <c r="AI59" s="25">
        <f t="shared" si="7"/>
        <v>0</v>
      </c>
    </row>
    <row r="60" ht="14.4" spans="1:35">
      <c r="A60" s="24" t="str">
        <f>'Ammo Input'!A60</f>
        <v>25x59mm Grenade</v>
      </c>
      <c r="B60" t="str">
        <f>'Ammo Input'!B60</f>
        <v>Frag</v>
      </c>
      <c r="C60">
        <f>ROUNDUP(('Ammo Input'!C60*(MAX('Ammo Input'!D60,'Ammo Input'!F60)*0.5)^2*PI())*3/1000000,2)</f>
        <v>0.2</v>
      </c>
      <c r="D60">
        <f>ROUNDUP(('Ammo Input'!E60+'Ammo Input'!H60*IF('Ammo Input'!J60&lt;&gt;"",MAX('Ammo Input'!J60,1),1))/1000,3)</f>
        <v>0.29</v>
      </c>
      <c r="E60">
        <f>MIN(5000,MAX(25,CEILING(Calcs!L60,_xlfn.IFS(Calcs!L60&lt;100,25,Calcs!L60&lt;250,50,Calcs!L60&lt;1000,250,Calcs!L60&gt;=1000,1000))))</f>
        <v>2000</v>
      </c>
      <c r="F60">
        <f>ROUNDUP('Ammo Input'!G60^(3/4),0)</f>
        <v>94</v>
      </c>
      <c r="G60">
        <f>ROUND((0.5*((IF(OR(B60="HEAT",B60="HEDP"),'Ammo Input'!N60,'Ammo Input'!H60)/1000)*(IF(B60="HEAT",9000,IF(B60="HEDP",1500,'Ammo Input'!G60))^2))),0)</f>
        <v>21675</v>
      </c>
      <c r="H60" s="25" t="str">
        <f>CONCATENATE(IF((B60="Foam")+(B60="Smoke"),"-",ROUND(Calcs!D60,0))," ",VLOOKUP(B60,AmmoTypeFactors,5,FALSE))</f>
        <v>19 Bomb</v>
      </c>
      <c r="I60" s="25" t="str">
        <f>IF(Calcs!E60=0,"None",CONCATENATE(ROUND(Calcs!E60,0)," ",VLOOKUP(B60,AmmoTypeFactors,6,FALSE)))</f>
        <v>None</v>
      </c>
      <c r="J60">
        <f>MROUND(2.42*'Ammo Input'!M60^(1/3)*VLOOKUP(B60,AmmoTypeFactors,3,FALSE),0.5)</f>
        <v>1</v>
      </c>
      <c r="K60" s="25" t="str">
        <f>IF(VLOOKUP(B60,AmmoTypeFactors,12,FALSE),MROUND(J60/3,0.5),"None")</f>
        <v>None</v>
      </c>
      <c r="L60" s="25" t="str">
        <f>IF(VLOOKUP(B60,AmmoTypeFactors,8,FALSE),"None",ROUNDUP(IF(Calcs!I60&gt;0,Calcs!I60,Calcs!H60),3))</f>
        <v>None</v>
      </c>
      <c r="M60" s="25" t="str">
        <f>IF(VLOOKUP(B60,AmmoTypeFactors,8,FALSE),"None",'Ammo Input'!L60)</f>
        <v>None</v>
      </c>
      <c r="N60">
        <f>'Ammo Input'!O60</f>
        <v>100</v>
      </c>
      <c r="O60" t="e">
        <f>ROUND((P60*0.0036+SUMPRODUCT(Q60:AB60,VLOOKUP($Q$1:$AB$1,IngredientStats,2,FALSE)))/N60*IF('Ammo Input'!R60,0.5,1),2)</f>
        <v>#VALUE!</v>
      </c>
      <c r="P60" t="e">
        <f>(SUMPRODUCT(Q60:AB60,VLOOKUP($Q$1:$AB$1,IngredientStats,4,FALSE))*VLOOKUP(B60,AmmoTypeFactors,14,FALSE)*IF('Ammo Input'!R60,1.1,1))</f>
        <v>#VALUE!</v>
      </c>
      <c r="Q60">
        <f>IFERROR(__xludf.DUMMYFUNCTION("((IF(NOT(OR(REGEXMATCH(B60, ""Arrow""), B60 = ""Javelin"", B60 = ""Stick bomb"")), ROUNDUP(('Ammo Input'!E60 / 1000) * N60)) + IF(VLOOKUP(B60, AmmoTypeFactors, 9, FALSE) = ""Steel"", ROUNDUP(('Ammo Input'!H60 -'Ammo Input'!M60) * MAX(IF('Ammo Input'!J60 &gt;"&amp;" 0, 'Ammo Input'!J60, 1), 1) * N60 / 1000))) / 'Ingredient stats'!$C$2) * IF(ISBLANK(VLOOKUP(B60,AmmoTypeFactors,15,False)),1,VLOOKUP(B60,AmmoTypeFactors,15,False))"),58)</f>
        <v>58</v>
      </c>
      <c r="R60">
        <f>IFERROR(__xludf.DUMMYFUNCTION("ROUNDUP((IF(REGEXMATCH(B60, ""Arrow"") + (B60 = ""Javelin""), 'Ammo Input'!E60) + IF(VLOOKUP(B60, AmmoTypeFactors, 9, FALSE) = ""Wood"", 'Ammo Input'!H60) + IF(B60 = ""Stick bomb"", 'Ammo Input'!E60)) * N60 / 'Ingredient stats'!$C$12 / 1000)"),0)</f>
        <v>0</v>
      </c>
      <c r="S60">
        <v>0</v>
      </c>
      <c r="T60">
        <v>0</v>
      </c>
      <c r="U60">
        <f>IF(VLOOKUP(B60,AmmoTypeFactors,9,FALSE)="Plasteel",ROUNDUP(('Ammo Input'!H60*MAX(IF('Ammo Input'!J60&gt;0,'Ammo Input'!J60,1)*N60/1000/'Ingredient stats'!$C$4)),0),0)</f>
        <v>0</v>
      </c>
      <c r="V60">
        <f>IFERROR(__xludf.DUMMYFUNCTION("ROUNDUP(IF(ISBLANK(VLOOKUP(B60,AmmoTypeFactors,16,False)),1,VLOOKUP(B60,AmmoTypeFactors,16,False)) * (IFS(REGEXMATCH(B60, ""EMP""), 'Ammo Input'!M60 * N60 / 'Ingredient stats'!$C$5, REGEXMATCH(B60, ""Charge""), (U60^0.75), true, 0) + (IF(VLOOKUP(B60, Ammo"&amp;"TypeFactors, 10, false), 2,0) + IF('Ammo Input'!P60, 2,0) + IF('Ammo Input'!Q60,MIN(ROUNDUP(0.2*('Ammo Input'!H60/1000)*'Ammo Input'!O60,0),20),0))))"),2)</f>
        <v>2</v>
      </c>
      <c r="W60">
        <v>0</v>
      </c>
      <c r="X60">
        <v>7</v>
      </c>
      <c r="Y60">
        <v>0</v>
      </c>
      <c r="Z60">
        <v>0</v>
      </c>
      <c r="AA60">
        <v>0</v>
      </c>
      <c r="AB60" s="30">
        <f>IF(B60="Sling Bullet (Stone)",ROUNDUP(D60*0.02*E60/'Ingredient stats'!$C$8,0),0)</f>
        <v>0</v>
      </c>
      <c r="AC60" t="str">
        <f t="shared" si="4"/>
        <v>None</v>
      </c>
      <c r="AD60" t="str">
        <f>IF(OR(B60="Buck",B60="Bird",B60="Charge (Scatter)"),'Ammo Input'!J60,"None")</f>
        <v>None</v>
      </c>
      <c r="AE60">
        <f>_xlfn.IFS(ISTEXT(Calcs!N60),Calcs!N60,Calcs!N60&lt;=40,Calcs!N60,Calcs!N60&gt;41,"40")</f>
        <v>0</v>
      </c>
      <c r="AF60">
        <f>_xlfn.IFS(ISTEXT(Calcs!O60),Calcs!O60,Calcs!O60&lt;=80,Calcs!O60,Calcs!O60&gt;=81,"80")</f>
        <v>24</v>
      </c>
      <c r="AG60" s="25">
        <f t="shared" si="5"/>
        <v>3</v>
      </c>
      <c r="AH60" s="25">
        <f t="shared" si="6"/>
        <v>1.55</v>
      </c>
      <c r="AI60" s="25">
        <f t="shared" si="7"/>
        <v>2</v>
      </c>
    </row>
    <row r="61" ht="14.4" spans="1:35">
      <c r="A61" s="24" t="str">
        <f>'Ammo Input'!A61</f>
        <v>25x59mm Grenade</v>
      </c>
      <c r="B61" t="str">
        <f>'Ammo Input'!B61</f>
        <v>HEDP</v>
      </c>
      <c r="C61">
        <f>ROUNDUP(('Ammo Input'!C61*(MAX('Ammo Input'!D61,'Ammo Input'!F61)*0.5)^2*PI())*3/1000000,2)</f>
        <v>0.2</v>
      </c>
      <c r="D61">
        <f>ROUNDUP(('Ammo Input'!E61+'Ammo Input'!H61*IF('Ammo Input'!J61&lt;&gt;"",MAX('Ammo Input'!J61,1),1))/1000,3)</f>
        <v>0.29</v>
      </c>
      <c r="E61">
        <f>MIN(5000,MAX(25,CEILING(Calcs!L61,_xlfn.IFS(Calcs!L61&lt;100,25,Calcs!L61&lt;250,50,Calcs!L61&lt;1000,250,Calcs!L61&gt;=1000,1000))))</f>
        <v>2000</v>
      </c>
      <c r="F61">
        <f>ROUNDUP('Ammo Input'!G61^(3/4),0)</f>
        <v>94</v>
      </c>
      <c r="G61">
        <f>ROUND((0.5*((IF(OR(B61="HEAT",B61="HEDP"),'Ammo Input'!N61,'Ammo Input'!H61)/1000)*(IF(B61="HEAT",9000,IF(B61="HEDP",1500,'Ammo Input'!G61))^2))),0)</f>
        <v>11250</v>
      </c>
      <c r="H61" s="25" t="str">
        <f>CONCATENATE(IF((B61="Foam")+(B61="Smoke"),"-",ROUND(Calcs!D61,0))," ",VLOOKUP(B61,AmmoTypeFactors,5,FALSE))</f>
        <v>30 Bullet</v>
      </c>
      <c r="I61" s="25" t="str">
        <f>IF(Calcs!E61=0,"None",CONCATENATE(ROUND(Calcs!E61,0)," ",VLOOKUP(B61,AmmoTypeFactors,6,FALSE)))</f>
        <v>16 Bomb</v>
      </c>
      <c r="J61">
        <f>MROUND(2.42*'Ammo Input'!M61^(1/3)*VLOOKUP(B61,AmmoTypeFactors,3,FALSE),0.5)</f>
        <v>0.5</v>
      </c>
      <c r="K61" s="25" t="str">
        <f>IF(VLOOKUP(B61,AmmoTypeFactors,12,FALSE),MROUND(J61/3,0.5),"None")</f>
        <v>None</v>
      </c>
      <c r="L61" s="25">
        <f>IF(VLOOKUP(B61,AmmoTypeFactors,8,FALSE),"None",ROUNDUP(IF(Calcs!I61&gt;0,Calcs!I61,Calcs!H61),3))</f>
        <v>4.818</v>
      </c>
      <c r="M61" s="25">
        <f>IF(VLOOKUP(B61,AmmoTypeFactors,8,FALSE),"None",'Ammo Input'!L61)</f>
        <v>50</v>
      </c>
      <c r="N61">
        <f>'Ammo Input'!O61</f>
        <v>100</v>
      </c>
      <c r="O61" t="e">
        <f>ROUND((P61*0.0036+SUMPRODUCT(Q61:AB61,VLOOKUP($Q$1:$AB$1,IngredientStats,2,FALSE)))/N61*IF('Ammo Input'!R61,0.5,1),2)</f>
        <v>#VALUE!</v>
      </c>
      <c r="P61" t="e">
        <f>(SUMPRODUCT(Q61:AB61,VLOOKUP($Q$1:$AB$1,IngredientStats,4,FALSE))*VLOOKUP(B61,AmmoTypeFactors,14,FALSE)*IF('Ammo Input'!R61,1.1,1))</f>
        <v>#VALUE!</v>
      </c>
      <c r="Q61">
        <f>IFERROR(__xludf.DUMMYFUNCTION("((IF(NOT(OR(REGEXMATCH(B61, ""Arrow""), B61 = ""Javelin"", B61 = ""Stick bomb"")), ROUNDUP(('Ammo Input'!E61 / 1000) * N61)) + IF(VLOOKUP(B61, AmmoTypeFactors, 9, FALSE) = ""Steel"", ROUNDUP(('Ammo Input'!H61 -'Ammo Input'!M61) * MAX(IF('Ammo Input'!J61 &gt;"&amp;" 0, 'Ammo Input'!J61, 1), 1) * N61 / 1000))) / 'Ingredient stats'!$C$2) * IF(ISBLANK(VLOOKUP(B61,AmmoTypeFactors,15,False)),1,VLOOKUP(B61,AmmoTypeFactors,15,False))"),58)</f>
        <v>58</v>
      </c>
      <c r="R61">
        <f>IFERROR(__xludf.DUMMYFUNCTION("ROUNDUP((IF(REGEXMATCH(B61, ""Arrow"") + (B61 = ""Javelin""), 'Ammo Input'!E61) + IF(VLOOKUP(B61, AmmoTypeFactors, 9, FALSE) = ""Wood"", 'Ammo Input'!H61) + IF(B61 = ""Stick bomb"", 'Ammo Input'!E61)) * N61 / 'Ingredient stats'!$C$12 / 1000)"),0)</f>
        <v>0</v>
      </c>
      <c r="S61">
        <v>0</v>
      </c>
      <c r="T61">
        <v>0</v>
      </c>
      <c r="U61">
        <f>IF(VLOOKUP(B61,AmmoTypeFactors,9,FALSE)="Plasteel",ROUNDUP(('Ammo Input'!H61*MAX(IF('Ammo Input'!J61&gt;0,'Ammo Input'!J61,1)*N61/1000/'Ingredient stats'!$C$4)),0),0)</f>
        <v>0</v>
      </c>
      <c r="V61">
        <f>IFERROR(__xludf.DUMMYFUNCTION("ROUNDUP(IF(ISBLANK(VLOOKUP(B61,AmmoTypeFactors,16,False)),1,VLOOKUP(B61,AmmoTypeFactors,16,False)) * (IFS(REGEXMATCH(B61, ""EMP""), 'Ammo Input'!M61 * N61 / 'Ingredient stats'!$C$5, REGEXMATCH(B61, ""Charge""), (U61^0.75), true, 0) + (IF(VLOOKUP(B61, Ammo"&amp;"TypeFactors, 10, false), 2,0) + IF('Ammo Input'!P61, 2,0) + IF('Ammo Input'!Q61,MIN(ROUNDUP(0.2*('Ammo Input'!H61/1000)*'Ammo Input'!O61,0),20),0))))"),2)</f>
        <v>2</v>
      </c>
      <c r="W61">
        <v>0</v>
      </c>
      <c r="X61">
        <v>5</v>
      </c>
      <c r="Y61">
        <v>0</v>
      </c>
      <c r="Z61">
        <v>0</v>
      </c>
      <c r="AA61">
        <v>0</v>
      </c>
      <c r="AB61" s="30">
        <f>IF(B61="Sling Bullet (Stone)",ROUNDUP(D61*0.02*E61/'Ingredient stats'!$C$8,0),0)</f>
        <v>0</v>
      </c>
      <c r="AC61" t="str">
        <f t="shared" si="4"/>
        <v>None</v>
      </c>
      <c r="AD61" t="str">
        <f>IF(OR(B61="Buck",B61="Bird",B61="Charge (Scatter)"),'Ammo Input'!J61,"None")</f>
        <v>None</v>
      </c>
      <c r="AE61">
        <f>_xlfn.IFS(ISTEXT(Calcs!N61),Calcs!N61,Calcs!N61&lt;=40,Calcs!N61,Calcs!N61&gt;41,"40")</f>
        <v>2</v>
      </c>
      <c r="AF61">
        <f>_xlfn.IFS(ISTEXT(Calcs!O61),Calcs!O61,Calcs!O61&lt;=80,Calcs!O61,Calcs!O61&gt;=81,"80")</f>
        <v>1</v>
      </c>
      <c r="AG61" s="25">
        <f t="shared" si="5"/>
        <v>3</v>
      </c>
      <c r="AH61" s="25">
        <f t="shared" si="6"/>
        <v>1.55</v>
      </c>
      <c r="AI61" s="25">
        <f t="shared" si="7"/>
        <v>2</v>
      </c>
    </row>
    <row r="62" ht="14.4" spans="1:35">
      <c r="A62" s="24" t="str">
        <f>'Ammo Input'!A62</f>
        <v>25x59mm Grenade</v>
      </c>
      <c r="B62" t="str">
        <f>'Ammo Input'!B62</f>
        <v>EMP</v>
      </c>
      <c r="C62">
        <f>ROUNDUP(('Ammo Input'!C62*(MAX('Ammo Input'!D62,'Ammo Input'!F62)*0.5)^2*PI())*3/1000000,2)</f>
        <v>0.2</v>
      </c>
      <c r="D62">
        <f>ROUNDUP(('Ammo Input'!E62+'Ammo Input'!H62*IF('Ammo Input'!J62&lt;&gt;"",MAX('Ammo Input'!J62,1),1))/1000,3)</f>
        <v>0.29</v>
      </c>
      <c r="E62">
        <f>MIN(5000,MAX(25,CEILING(Calcs!L62,_xlfn.IFS(Calcs!L62&lt;100,25,Calcs!L62&lt;250,50,Calcs!L62&lt;1000,250,Calcs!L62&gt;=1000,1000))))</f>
        <v>2000</v>
      </c>
      <c r="F62">
        <f>ROUNDUP('Ammo Input'!G62^(3/4),0)</f>
        <v>94</v>
      </c>
      <c r="G62">
        <f>ROUND((0.5*((IF(OR(B62="HEAT",B62="HEDP"),'Ammo Input'!N62,'Ammo Input'!H62)/1000)*(IF(B62="HEAT",9000,IF(B62="HEDP",1500,'Ammo Input'!G62))^2))),0)</f>
        <v>21675</v>
      </c>
      <c r="H62" s="25" t="str">
        <f>CONCATENATE(IF((B62="Foam")+(B62="Smoke"),"-",ROUND(Calcs!D62,0))," ",VLOOKUP(B62,AmmoTypeFactors,5,FALSE))</f>
        <v>19 EMP</v>
      </c>
      <c r="I62" s="25" t="str">
        <f>IF(Calcs!E62=0,"None",CONCATENATE(ROUND(Calcs!E62,0)," ",VLOOKUP(B62,AmmoTypeFactors,6,FALSE)))</f>
        <v>None</v>
      </c>
      <c r="J62">
        <f>MROUND(2.42*'Ammo Input'!M62^(1/3)*VLOOKUP(B62,AmmoTypeFactors,3,FALSE),0.5)</f>
        <v>1.5</v>
      </c>
      <c r="K62" s="25" t="str">
        <f>IF(VLOOKUP(B62,AmmoTypeFactors,12,FALSE),MROUND(J62/3,0.5),"None")</f>
        <v>None</v>
      </c>
      <c r="L62" s="25" t="str">
        <f>IF(VLOOKUP(B62,AmmoTypeFactors,8,FALSE),"None",ROUNDUP(IF(Calcs!I62&gt;0,Calcs!I62,Calcs!H62),3))</f>
        <v>None</v>
      </c>
      <c r="M62" s="25" t="str">
        <f>IF(VLOOKUP(B62,AmmoTypeFactors,8,FALSE),"None",'Ammo Input'!L62)</f>
        <v>None</v>
      </c>
      <c r="N62">
        <f>'Ammo Input'!O62</f>
        <v>100</v>
      </c>
      <c r="O62" t="e">
        <f>ROUND((P62*0.0036+SUMPRODUCT(Q62:AB62,VLOOKUP($Q$1:$AB$1,IngredientStats,2,FALSE)))/N62*IF('Ammo Input'!R62,0.5,1),2)</f>
        <v>#VALUE!</v>
      </c>
      <c r="P62" t="e">
        <f>(SUMPRODUCT(Q62:AB62,VLOOKUP($Q$1:$AB$1,IngredientStats,4,FALSE))*VLOOKUP(B62,AmmoTypeFactors,14,FALSE)*IF('Ammo Input'!R62,1.1,1))</f>
        <v>#VALUE!</v>
      </c>
      <c r="Q62">
        <f>IFERROR(__xludf.DUMMYFUNCTION("((IF(NOT(OR(REGEXMATCH(B62, ""Arrow""), B62 = ""Javelin"", B62 = ""Stick bomb"")), ROUNDUP(('Ammo Input'!E62 / 1000) * N62)) + IF(VLOOKUP(B62, AmmoTypeFactors, 9, FALSE) = ""Steel"", ROUNDUP(('Ammo Input'!H62 -'Ammo Input'!M62) * MAX(IF('Ammo Input'!J62 &gt;"&amp;" 0, 'Ammo Input'!J62, 1), 1) * N62 / 1000))) / 'Ingredient stats'!$C$2) * IF(ISBLANK(VLOOKUP(B62,AmmoTypeFactors,15,False)),1,VLOOKUP(B62,AmmoTypeFactors,15,False))"),58)</f>
        <v>58</v>
      </c>
      <c r="R62">
        <f>IFERROR(__xludf.DUMMYFUNCTION("ROUNDUP((IF(REGEXMATCH(B62, ""Arrow"") + (B62 = ""Javelin""), 'Ammo Input'!E62) + IF(VLOOKUP(B62, AmmoTypeFactors, 9, FALSE) = ""Wood"", 'Ammo Input'!H62) + IF(B62 = ""Stick bomb"", 'Ammo Input'!E62)) * N62 / 'Ingredient stats'!$C$12 / 1000)"),0)</f>
        <v>0</v>
      </c>
      <c r="S62">
        <v>0</v>
      </c>
      <c r="T62">
        <v>0</v>
      </c>
      <c r="U62">
        <f>IF(VLOOKUP(B62,AmmoTypeFactors,9,FALSE)="Plasteel",ROUNDUP(('Ammo Input'!H62*MAX(IF('Ammo Input'!J62&gt;0,'Ammo Input'!J62,1)*N62/1000/'Ingredient stats'!$C$4)),0),0)</f>
        <v>0</v>
      </c>
      <c r="V62">
        <f>IFERROR(__xludf.DUMMYFUNCTION("ROUNDUP(IF(ISBLANK(VLOOKUP(B62,AmmoTypeFactors,16,False)),1,VLOOKUP(B62,AmmoTypeFactors,16,False)) * (IFS(REGEXMATCH(B62, ""EMP""), 'Ammo Input'!M62 * N62 / 'Ingredient stats'!$C$5, REGEXMATCH(B62, ""Charge""), (U62^0.75), true, 0) + (IF(VLOOKUP(B62, Ammo"&amp;"TypeFactors, 10, false), 2,0) + IF('Ammo Input'!P62, 2,0) + IF('Ammo Input'!Q62,MIN(ROUNDUP(0.2*('Ammo Input'!H62/1000)*'Ammo Input'!O62,0),20),0))))"),9)</f>
        <v>9</v>
      </c>
      <c r="W62">
        <v>0</v>
      </c>
      <c r="X62">
        <v>0</v>
      </c>
      <c r="Y62">
        <v>0</v>
      </c>
      <c r="Z62">
        <v>0</v>
      </c>
      <c r="AA62">
        <v>0</v>
      </c>
      <c r="AB62" s="30">
        <f>IF(B62="Sling Bullet (Stone)",ROUNDUP(D62*0.02*E62/'Ingredient stats'!$C$8,0),0)</f>
        <v>0</v>
      </c>
      <c r="AC62" t="str">
        <f t="shared" si="4"/>
        <v>None</v>
      </c>
      <c r="AD62" t="str">
        <f>IF(OR(B62="Buck",B62="Bird",B62="Charge (Scatter)"),'Ammo Input'!J62,"None")</f>
        <v>None</v>
      </c>
      <c r="AE62" t="str">
        <f>_xlfn.IFS(ISTEXT(Calcs!N62),Calcs!N62,Calcs!N62&lt;=40,Calcs!N62,Calcs!N62&gt;41,"40")</f>
        <v>None</v>
      </c>
      <c r="AF62" t="str">
        <f>_xlfn.IFS(ISTEXT(Calcs!O62),Calcs!O62,Calcs!O62&lt;=80,Calcs!O62,Calcs!O62&gt;=81,"80")</f>
        <v>None</v>
      </c>
      <c r="AG62" s="25">
        <f t="shared" si="5"/>
        <v>3</v>
      </c>
      <c r="AH62" s="25">
        <f t="shared" si="6"/>
        <v>1.55</v>
      </c>
      <c r="AI62" s="25">
        <f t="shared" si="7"/>
        <v>2</v>
      </c>
    </row>
    <row r="63" ht="14.4" spans="1:35">
      <c r="A63" s="24" t="str">
        <f>'Ammo Input'!A63</f>
        <v>25x59mm Grenade</v>
      </c>
      <c r="B63" t="str">
        <f>'Ammo Input'!B63</f>
        <v>Smoke</v>
      </c>
      <c r="C63">
        <f>ROUNDUP(('Ammo Input'!C63*(MAX('Ammo Input'!D63,'Ammo Input'!F63)*0.5)^2*PI())*3/1000000,2)</f>
        <v>0.2</v>
      </c>
      <c r="D63">
        <f>ROUNDUP(('Ammo Input'!E63+'Ammo Input'!H63*IF('Ammo Input'!J63&lt;&gt;"",MAX('Ammo Input'!J63,1),1))/1000,3)</f>
        <v>0.29</v>
      </c>
      <c r="E63">
        <f>MIN(5000,MAX(25,CEILING(Calcs!L63,_xlfn.IFS(Calcs!L63&lt;100,25,Calcs!L63&lt;250,50,Calcs!L63&lt;1000,250,Calcs!L63&gt;=1000,1000))))</f>
        <v>2000</v>
      </c>
      <c r="F63">
        <f>ROUNDUP('Ammo Input'!G63^(3/4),0)</f>
        <v>94</v>
      </c>
      <c r="G63">
        <f>ROUND((0.5*((IF(OR(B63="HEAT",B63="HEDP"),'Ammo Input'!N63,'Ammo Input'!H63)/1000)*(IF(B63="HEAT",9000,IF(B63="HEDP",1500,'Ammo Input'!G63))^2))),0)</f>
        <v>21675</v>
      </c>
      <c r="H63" s="25" t="str">
        <f>CONCATENATE(IF((B63="Foam")+(B63="Smoke"),"-",ROUND(Calcs!D63,0))," ",VLOOKUP(B63,AmmoTypeFactors,5,FALSE))</f>
        <v>- Smoke</v>
      </c>
      <c r="I63" s="25" t="str">
        <f>IF(Calcs!E63=0,"None",CONCATENATE(ROUND(Calcs!E63,0)," ",VLOOKUP(B63,AmmoTypeFactors,6,FALSE)))</f>
        <v>None</v>
      </c>
      <c r="J63">
        <f>MROUND(2.42*'Ammo Input'!M63^(1/3)*VLOOKUP(B63,AmmoTypeFactors,3,FALSE),0.5)</f>
        <v>2</v>
      </c>
      <c r="K63" s="25" t="str">
        <f>IF(VLOOKUP(B63,AmmoTypeFactors,12,FALSE),MROUND(J63/3,0.5),"None")</f>
        <v>None</v>
      </c>
      <c r="L63" s="25" t="str">
        <f>IF(VLOOKUP(B63,AmmoTypeFactors,8,FALSE),"None",ROUNDUP(IF(Calcs!I63&gt;0,Calcs!I63,Calcs!H63),3))</f>
        <v>None</v>
      </c>
      <c r="M63" s="25" t="str">
        <f>IF(VLOOKUP(B63,AmmoTypeFactors,8,FALSE),"None",'Ammo Input'!L63)</f>
        <v>None</v>
      </c>
      <c r="N63">
        <f>'Ammo Input'!O63</f>
        <v>100</v>
      </c>
      <c r="O63" t="e">
        <f>ROUND((P63*0.0036+SUMPRODUCT(Q63:AB63,VLOOKUP($Q$1:$AB$1,IngredientStats,2,FALSE)))/N63*IF('Ammo Input'!R63,0.5,1),2)</f>
        <v>#VALUE!</v>
      </c>
      <c r="P63" t="e">
        <f>(SUMPRODUCT(Q63:AB63,VLOOKUP($Q$1:$AB$1,IngredientStats,4,FALSE))*VLOOKUP(B63,AmmoTypeFactors,14,FALSE)*IF('Ammo Input'!R63,1.1,1))</f>
        <v>#VALUE!</v>
      </c>
      <c r="Q63">
        <f>IFERROR(__xludf.DUMMYFUNCTION("((IF(NOT(OR(REGEXMATCH(B63, ""Arrow""), B63 = ""Javelin"", B63 = ""Stick bomb"")), ROUNDUP(('Ammo Input'!E63 / 1000) * N63)) + IF(VLOOKUP(B63, AmmoTypeFactors, 9, FALSE) = ""Steel"", ROUNDUP(('Ammo Input'!H63 -'Ammo Input'!M63) * MAX(IF('Ammo Input'!J63 &gt;"&amp;" 0, 'Ammo Input'!J63, 1), 1) * N63 / 1000))) / 'Ingredient stats'!$C$2) * IF(ISBLANK(VLOOKUP(B63,AmmoTypeFactors,15,False)),1,VLOOKUP(B63,AmmoTypeFactors,15,False))"),58)</f>
        <v>58</v>
      </c>
      <c r="R63">
        <f>IFERROR(__xludf.DUMMYFUNCTION("ROUNDUP((IF(REGEXMATCH(B63, ""Arrow"") + (B63 = ""Javelin""), 'Ammo Input'!E63) + IF(VLOOKUP(B63, AmmoTypeFactors, 9, FALSE) = ""Wood"", 'Ammo Input'!H63) + IF(B63 = ""Stick bomb"", 'Ammo Input'!E63)) * N63 / 'Ingredient stats'!$C$12 / 1000)"),0)</f>
        <v>0</v>
      </c>
      <c r="S63">
        <v>0</v>
      </c>
      <c r="T63">
        <v>0</v>
      </c>
      <c r="U63">
        <f>IF(VLOOKUP(B63,AmmoTypeFactors,9,FALSE)="Plasteel",ROUNDUP(('Ammo Input'!H63*MAX(IF('Ammo Input'!J63&gt;0,'Ammo Input'!J63,1)*N63/1000/'Ingredient stats'!$C$4)),0),0)</f>
        <v>0</v>
      </c>
      <c r="V63">
        <f>IFERROR(__xludf.DUMMYFUNCTION("ROUNDUP(IF(ISBLANK(VLOOKUP(B63,AmmoTypeFactors,16,False)),1,VLOOKUP(B63,AmmoTypeFactors,16,False)) * (IFS(REGEXMATCH(B63, ""EMP""), 'Ammo Input'!M63 * N63 / 'Ingredient stats'!$C$5, REGEXMATCH(B63, ""Charge""), (U63^0.75), true, 0) + (IF(VLOOKUP(B63, Ammo"&amp;"TypeFactors, 10, false), 2,0) + IF('Ammo Input'!P63, 2,0) + IF('Ammo Input'!Q63,MIN(ROUNDUP(0.2*('Ammo Input'!H63/1000)*'Ammo Input'!O63,0),20),0))))"),2)</f>
        <v>2</v>
      </c>
      <c r="W63">
        <v>2</v>
      </c>
      <c r="X63">
        <v>0</v>
      </c>
      <c r="Y63">
        <v>0</v>
      </c>
      <c r="Z63">
        <v>0</v>
      </c>
      <c r="AA63">
        <v>0</v>
      </c>
      <c r="AB63" s="30">
        <f>IF(B63="Sling Bullet (Stone)",ROUNDUP(D63*0.02*E63/'Ingredient stats'!$C$8,0),0)</f>
        <v>0</v>
      </c>
      <c r="AC63" t="str">
        <f t="shared" si="4"/>
        <v>None</v>
      </c>
      <c r="AD63" t="str">
        <f>IF(OR(B63="Buck",B63="Bird",B63="Charge (Scatter)"),'Ammo Input'!J63,"None")</f>
        <v>None</v>
      </c>
      <c r="AE63" t="str">
        <f>_xlfn.IFS(ISTEXT(Calcs!N63),Calcs!N63,Calcs!N63&lt;=40,Calcs!N63,Calcs!N63&gt;41,"40")</f>
        <v>None</v>
      </c>
      <c r="AF63" t="str">
        <f>_xlfn.IFS(ISTEXT(Calcs!O63),Calcs!O63,Calcs!O63&lt;=80,Calcs!O63,Calcs!O63&gt;=81,"80")</f>
        <v>None</v>
      </c>
      <c r="AG63" s="25">
        <f t="shared" si="5"/>
        <v>0</v>
      </c>
      <c r="AH63" s="25">
        <f t="shared" si="6"/>
        <v>1.55</v>
      </c>
      <c r="AI63" s="25">
        <f t="shared" si="7"/>
        <v>0</v>
      </c>
    </row>
    <row r="64" ht="14.4" spans="1:35">
      <c r="A64" s="24" t="str">
        <f>'Ammo Input'!A64</f>
        <v>30x29mm Grenade</v>
      </c>
      <c r="B64" t="str">
        <f>'Ammo Input'!B64</f>
        <v>Frag</v>
      </c>
      <c r="C64">
        <f>ROUNDUP(('Ammo Input'!C64*(MAX('Ammo Input'!D64,'Ammo Input'!F64)*0.5)^2*PI())*3/1000000,2)</f>
        <v>0.28</v>
      </c>
      <c r="D64">
        <f>ROUNDUP(('Ammo Input'!E64+'Ammo Input'!H64*IF('Ammo Input'!J64&lt;&gt;"",MAX('Ammo Input'!J64,1),1))/1000,3)</f>
        <v>0.36</v>
      </c>
      <c r="E64">
        <f>MIN(5000,MAX(25,CEILING(Calcs!L64,_xlfn.IFS(Calcs!L64&lt;100,25,Calcs!L64&lt;250,50,Calcs!L64&lt;1000,250,Calcs!L64&gt;=1000,1000))))</f>
        <v>2000</v>
      </c>
      <c r="F64">
        <f>ROUNDUP('Ammo Input'!G64^(3/4),0)</f>
        <v>51</v>
      </c>
      <c r="G64">
        <f>ROUND((0.5*((IF(OR(B64="HEAT",B64="HEDP"),'Ammo Input'!N64,'Ammo Input'!H64)/1000)*(IF(B64="HEAT",9000,IF(B64="HEDP",1500,'Ammo Input'!G64))^2))),0)</f>
        <v>4672</v>
      </c>
      <c r="H64" s="25" t="str">
        <f>CONCATENATE(IF((B64="Foam")+(B64="Smoke"),"-",ROUND(Calcs!D64,0))," ",VLOOKUP(B64,AmmoTypeFactors,5,FALSE))</f>
        <v>22 Bomb</v>
      </c>
      <c r="I64" s="25" t="str">
        <f>IF(Calcs!E64=0,"None",CONCATENATE(ROUND(Calcs!E64,0)," ",VLOOKUP(B64,AmmoTypeFactors,6,FALSE)))</f>
        <v>None</v>
      </c>
      <c r="J64">
        <f>MROUND(2.42*'Ammo Input'!M64^(1/3)*VLOOKUP(B64,AmmoTypeFactors,3,FALSE),0.5)</f>
        <v>1</v>
      </c>
      <c r="K64" s="25" t="str">
        <f>IF(VLOOKUP(B64,AmmoTypeFactors,12,FALSE),MROUND(J64/3,0.5),"None")</f>
        <v>None</v>
      </c>
      <c r="L64" s="25" t="str">
        <f>IF(VLOOKUP(B64,AmmoTypeFactors,8,FALSE),"None",ROUNDUP(IF(Calcs!I64&gt;0,Calcs!I64,Calcs!H64),3))</f>
        <v>None</v>
      </c>
      <c r="M64" s="25" t="str">
        <f>IF(VLOOKUP(B64,AmmoTypeFactors,8,FALSE),"None",'Ammo Input'!L64)</f>
        <v>None</v>
      </c>
      <c r="N64">
        <f>'Ammo Input'!O64</f>
        <v>100</v>
      </c>
      <c r="O64" t="e">
        <f>ROUND((P64*0.0036+SUMPRODUCT(Q64:AB64,VLOOKUP($Q$1:$AB$1,IngredientStats,2,FALSE)))/N64*IF('Ammo Input'!R64,0.5,1),2)</f>
        <v>#VALUE!</v>
      </c>
      <c r="P64" t="e">
        <f>(SUMPRODUCT(Q64:AB64,VLOOKUP($Q$1:$AB$1,IngredientStats,4,FALSE))*VLOOKUP(B64,AmmoTypeFactors,14,FALSE)*IF('Ammo Input'!R64,1.1,1))</f>
        <v>#VALUE!</v>
      </c>
      <c r="Q64">
        <f>IFERROR(__xludf.DUMMYFUNCTION("((IF(NOT(OR(REGEXMATCH(B64, ""Arrow""), B64 = ""Javelin"", B64 = ""Stick bomb"")), ROUNDUP(('Ammo Input'!E64 / 1000) * N64)) + IF(VLOOKUP(B64, AmmoTypeFactors, 9, FALSE) = ""Steel"", ROUNDUP(('Ammo Input'!H64 -'Ammo Input'!M64) * MAX(IF('Ammo Input'!J64 &gt;"&amp;" 0, 'Ammo Input'!J64, 1), 1) * N64 / 1000))) / 'Ingredient stats'!$C$2) * IF(ISBLANK(VLOOKUP(B64,AmmoTypeFactors,15,False)),1,VLOOKUP(B64,AmmoTypeFactors,15,False))"),74)</f>
        <v>74</v>
      </c>
      <c r="R64">
        <f>IFERROR(__xludf.DUMMYFUNCTION("ROUNDUP((IF(REGEXMATCH(B64, ""Arrow"") + (B64 = ""Javelin""), 'Ammo Input'!E64) + IF(VLOOKUP(B64, AmmoTypeFactors, 9, FALSE) = ""Wood"", 'Ammo Input'!H64) + IF(B64 = ""Stick bomb"", 'Ammo Input'!E64)) * N64 / 'Ingredient stats'!$C$12 / 1000)"),0)</f>
        <v>0</v>
      </c>
      <c r="S64">
        <v>0</v>
      </c>
      <c r="T64">
        <v>0</v>
      </c>
      <c r="U64">
        <f>IF(VLOOKUP(B64,AmmoTypeFactors,9,FALSE)="Plasteel",ROUNDUP(('Ammo Input'!H64*MAX(IF('Ammo Input'!J64&gt;0,'Ammo Input'!J64,1)*N64/1000/'Ingredient stats'!$C$4)),0),0)</f>
        <v>0</v>
      </c>
      <c r="V64">
        <f>IFERROR(__xludf.DUMMYFUNCTION("ROUNDUP(IF(ISBLANK(VLOOKUP(B64,AmmoTypeFactors,16,False)),1,VLOOKUP(B64,AmmoTypeFactors,16,False)) * (IFS(REGEXMATCH(B64, ""EMP""), 'Ammo Input'!M64 * N64 / 'Ingredient stats'!$C$5, REGEXMATCH(B64, ""Charge""), (U64^0.75), true, 0) + (IF(VLOOKUP(B64, Ammo"&amp;"TypeFactors, 10, false), 2,0) + IF('Ammo Input'!P64, 2,0) + IF('Ammo Input'!Q64,MIN(ROUNDUP(0.2*('Ammo Input'!H64/1000)*'Ammo Input'!O64,0),20),0))))"),2)</f>
        <v>2</v>
      </c>
      <c r="W64">
        <v>0</v>
      </c>
      <c r="X64">
        <v>8</v>
      </c>
      <c r="Y64">
        <v>0</v>
      </c>
      <c r="Z64">
        <v>0</v>
      </c>
      <c r="AA64">
        <v>0</v>
      </c>
      <c r="AB64" s="30">
        <f>IF(B64="Sling Bullet (Stone)",ROUNDUP(D64*0.02*E64/'Ingredient stats'!$C$8,0),0)</f>
        <v>0</v>
      </c>
      <c r="AC64" t="str">
        <f t="shared" si="4"/>
        <v>None</v>
      </c>
      <c r="AD64" t="str">
        <f>IF(OR(B64="Buck",B64="Bird",B64="Charge (Scatter)"),'Ammo Input'!J64,"None")</f>
        <v>None</v>
      </c>
      <c r="AE64">
        <f>_xlfn.IFS(ISTEXT(Calcs!N64),Calcs!N64,Calcs!N64&lt;=40,Calcs!N64,Calcs!N64&gt;41,"40")</f>
        <v>0</v>
      </c>
      <c r="AF64">
        <f>_xlfn.IFS(ISTEXT(Calcs!O64),Calcs!O64,Calcs!O64&lt;=80,Calcs!O64,Calcs!O64&gt;=81,"80")</f>
        <v>28</v>
      </c>
      <c r="AG64" s="25">
        <f t="shared" si="5"/>
        <v>3</v>
      </c>
      <c r="AH64" s="25">
        <f t="shared" si="6"/>
        <v>0.84</v>
      </c>
      <c r="AI64" s="25">
        <f t="shared" si="7"/>
        <v>2</v>
      </c>
    </row>
    <row r="65" ht="14.4" spans="1:35">
      <c r="A65" s="24" t="str">
        <f>'Ammo Input'!A65</f>
        <v>30x29mm Grenade</v>
      </c>
      <c r="B65" t="str">
        <f>'Ammo Input'!B65</f>
        <v>HEDP</v>
      </c>
      <c r="C65">
        <f>ROUNDUP(('Ammo Input'!C65*(MAX('Ammo Input'!D65,'Ammo Input'!F65)*0.5)^2*PI())*3/1000000,2)</f>
        <v>0.28</v>
      </c>
      <c r="D65">
        <f>ROUNDUP(('Ammo Input'!E65+'Ammo Input'!H65*IF('Ammo Input'!J65&lt;&gt;"",MAX('Ammo Input'!J65,1),1))/1000,3)</f>
        <v>0.36</v>
      </c>
      <c r="E65">
        <f>MIN(5000,MAX(25,CEILING(Calcs!L65,_xlfn.IFS(Calcs!L65&lt;100,25,Calcs!L65&lt;250,50,Calcs!L65&lt;1000,250,Calcs!L65&gt;=1000,1000))))</f>
        <v>2000</v>
      </c>
      <c r="F65">
        <f>ROUNDUP('Ammo Input'!G65^(3/4),0)</f>
        <v>51</v>
      </c>
      <c r="G65">
        <f>ROUND((0.5*((IF(OR(B65="HEAT",B65="HEDP"),'Ammo Input'!N65,'Ammo Input'!H65)/1000)*(IF(B65="HEAT",9000,IF(B65="HEDP",1500,'Ammo Input'!G65))^2))),0)</f>
        <v>14400</v>
      </c>
      <c r="H65" s="25" t="str">
        <f>CONCATENATE(IF((B65="Foam")+(B65="Smoke"),"-",ROUND(Calcs!D65,0))," ",VLOOKUP(B65,AmmoTypeFactors,5,FALSE))</f>
        <v>36 Bullet</v>
      </c>
      <c r="I65" s="25" t="str">
        <f>IF(Calcs!E65=0,"None",CONCATENATE(ROUND(Calcs!E65,0)," ",VLOOKUP(B65,AmmoTypeFactors,6,FALSE)))</f>
        <v>19 Bomb</v>
      </c>
      <c r="J65">
        <f>MROUND(2.42*'Ammo Input'!M65^(1/3)*VLOOKUP(B65,AmmoTypeFactors,3,FALSE),0.5)</f>
        <v>0.5</v>
      </c>
      <c r="K65" s="25" t="str">
        <f>IF(VLOOKUP(B65,AmmoTypeFactors,12,FALSE),MROUND(J65/3,0.5),"None")</f>
        <v>None</v>
      </c>
      <c r="L65" s="25">
        <f>IF(VLOOKUP(B65,AmmoTypeFactors,8,FALSE),"None",ROUNDUP(IF(Calcs!I65&gt;0,Calcs!I65,Calcs!H65),3))</f>
        <v>5.569</v>
      </c>
      <c r="M65" s="25">
        <f>IF(VLOOKUP(B65,AmmoTypeFactors,8,FALSE),"None",'Ammo Input'!L65)</f>
        <v>45</v>
      </c>
      <c r="N65">
        <f>'Ammo Input'!O65</f>
        <v>100</v>
      </c>
      <c r="O65" t="e">
        <f>ROUND((P65*0.0036+SUMPRODUCT(Q65:AB65,VLOOKUP($Q$1:$AB$1,IngredientStats,2,FALSE)))/N65*IF('Ammo Input'!R65,0.5,1),2)</f>
        <v>#VALUE!</v>
      </c>
      <c r="P65" t="e">
        <f>(SUMPRODUCT(Q65:AB65,VLOOKUP($Q$1:$AB$1,IngredientStats,4,FALSE))*VLOOKUP(B65,AmmoTypeFactors,14,FALSE)*IF('Ammo Input'!R65,1.1,1))</f>
        <v>#VALUE!</v>
      </c>
      <c r="Q65">
        <f>IFERROR(__xludf.DUMMYFUNCTION("((IF(NOT(OR(REGEXMATCH(B65, ""Arrow""), B65 = ""Javelin"", B65 = ""Stick bomb"")), ROUNDUP(('Ammo Input'!E65 / 1000) * N65)) + IF(VLOOKUP(B65, AmmoTypeFactors, 9, FALSE) = ""Steel"", ROUNDUP(('Ammo Input'!H65 -'Ammo Input'!M65) * MAX(IF('Ammo Input'!J65 &gt;"&amp;" 0, 'Ammo Input'!J65, 1), 1) * N65 / 1000))) / 'Ingredient stats'!$C$2) * IF(ISBLANK(VLOOKUP(B65,AmmoTypeFactors,15,False)),1,VLOOKUP(B65,AmmoTypeFactors,15,False))"),74)</f>
        <v>74</v>
      </c>
      <c r="R65">
        <f>IFERROR(__xludf.DUMMYFUNCTION("ROUNDUP((IF(REGEXMATCH(B65, ""Arrow"") + (B65 = ""Javelin""), 'Ammo Input'!E65) + IF(VLOOKUP(B65, AmmoTypeFactors, 9, FALSE) = ""Wood"", 'Ammo Input'!H65) + IF(B65 = ""Stick bomb"", 'Ammo Input'!E65)) * N65 / 'Ingredient stats'!$C$12 / 1000)"),0)</f>
        <v>0</v>
      </c>
      <c r="S65">
        <v>0</v>
      </c>
      <c r="T65">
        <v>0</v>
      </c>
      <c r="U65">
        <f>IF(VLOOKUP(B65,AmmoTypeFactors,9,FALSE)="Plasteel",ROUNDUP(('Ammo Input'!H65*MAX(IF('Ammo Input'!J65&gt;0,'Ammo Input'!J65,1)*N65/1000/'Ingredient stats'!$C$4)),0),0)</f>
        <v>0</v>
      </c>
      <c r="V65">
        <f>IFERROR(__xludf.DUMMYFUNCTION("ROUNDUP(IF(ISBLANK(VLOOKUP(B65,AmmoTypeFactors,16,False)),1,VLOOKUP(B65,AmmoTypeFactors,16,False)) * (IFS(REGEXMATCH(B65, ""EMP""), 'Ammo Input'!M65 * N65 / 'Ingredient stats'!$C$5, REGEXMATCH(B65, ""Charge""), (U65^0.75), true, 0) + (IF(VLOOKUP(B65, Ammo"&amp;"TypeFactors, 10, false), 2,0) + IF('Ammo Input'!P65, 2,0) + IF('Ammo Input'!Q65,MIN(ROUNDUP(0.2*('Ammo Input'!H65/1000)*'Ammo Input'!O65,0),20),0))))"),2)</f>
        <v>2</v>
      </c>
      <c r="W65">
        <v>0</v>
      </c>
      <c r="X65">
        <v>6</v>
      </c>
      <c r="Y65">
        <v>0</v>
      </c>
      <c r="Z65">
        <v>0</v>
      </c>
      <c r="AA65">
        <v>0</v>
      </c>
      <c r="AB65" s="30">
        <f>IF(B65="Sling Bullet (Stone)",ROUNDUP(D65*0.02*E65/'Ingredient stats'!$C$8,0),0)</f>
        <v>0</v>
      </c>
      <c r="AC65" t="str">
        <f t="shared" si="4"/>
        <v>None</v>
      </c>
      <c r="AD65" t="str">
        <f>IF(OR(B65="Buck",B65="Bird",B65="Charge (Scatter)"),'Ammo Input'!J65,"None")</f>
        <v>None</v>
      </c>
      <c r="AE65">
        <f>_xlfn.IFS(ISTEXT(Calcs!N65),Calcs!N65,Calcs!N65&lt;=40,Calcs!N65,Calcs!N65&gt;41,"40")</f>
        <v>2</v>
      </c>
      <c r="AF65">
        <f>_xlfn.IFS(ISTEXT(Calcs!O65),Calcs!O65,Calcs!O65&lt;=80,Calcs!O65,Calcs!O65&gt;=81,"80")</f>
        <v>2</v>
      </c>
      <c r="AG65" s="25">
        <f t="shared" si="5"/>
        <v>3</v>
      </c>
      <c r="AH65" s="25">
        <f t="shared" si="6"/>
        <v>0.84</v>
      </c>
      <c r="AI65" s="25">
        <f t="shared" si="7"/>
        <v>2</v>
      </c>
    </row>
    <row r="66" ht="14.4" spans="1:35">
      <c r="A66" s="24" t="str">
        <f>'Ammo Input'!A66</f>
        <v>30x29mm Grenade</v>
      </c>
      <c r="B66" t="str">
        <f>'Ammo Input'!B66</f>
        <v>EMP</v>
      </c>
      <c r="C66">
        <f>ROUNDUP(('Ammo Input'!C66*(MAX('Ammo Input'!D66,'Ammo Input'!F66)*0.5)^2*PI())*3/1000000,2)</f>
        <v>0.28</v>
      </c>
      <c r="D66">
        <f>ROUNDUP(('Ammo Input'!E66+'Ammo Input'!H66*IF('Ammo Input'!J66&lt;&gt;"",MAX('Ammo Input'!J66,1),1))/1000,3)</f>
        <v>0.36</v>
      </c>
      <c r="E66">
        <f>MIN(5000,MAX(25,CEILING(Calcs!L66,_xlfn.IFS(Calcs!L66&lt;100,25,Calcs!L66&lt;250,50,Calcs!L66&lt;1000,250,Calcs!L66&gt;=1000,1000))))</f>
        <v>2000</v>
      </c>
      <c r="F66">
        <f>ROUNDUP('Ammo Input'!G66^(3/4),0)</f>
        <v>51</v>
      </c>
      <c r="G66">
        <f>ROUND((0.5*((IF(OR(B66="HEAT",B66="HEDP"),'Ammo Input'!N66,'Ammo Input'!H66)/1000)*(IF(B66="HEAT",9000,IF(B66="HEDP",1500,'Ammo Input'!G66))^2))),0)</f>
        <v>4672</v>
      </c>
      <c r="H66" s="25" t="str">
        <f>CONCATENATE(IF((B66="Foam")+(B66="Smoke"),"-",ROUND(Calcs!D66,0))," ",VLOOKUP(B66,AmmoTypeFactors,5,FALSE))</f>
        <v>22 EMP</v>
      </c>
      <c r="I66" s="25" t="str">
        <f>IF(Calcs!E66=0,"None",CONCATENATE(ROUND(Calcs!E66,0)," ",VLOOKUP(B66,AmmoTypeFactors,6,FALSE)))</f>
        <v>None</v>
      </c>
      <c r="J66">
        <f>MROUND(2.42*'Ammo Input'!M66^(1/3)*VLOOKUP(B66,AmmoTypeFactors,3,FALSE),0.5)</f>
        <v>2</v>
      </c>
      <c r="K66" s="25" t="str">
        <f>IF(VLOOKUP(B66,AmmoTypeFactors,12,FALSE),MROUND(J66/3,0.5),"None")</f>
        <v>None</v>
      </c>
      <c r="L66" s="25" t="str">
        <f>IF(VLOOKUP(B66,AmmoTypeFactors,8,FALSE),"None",ROUNDUP(IF(Calcs!I66&gt;0,Calcs!I66,Calcs!H66),3))</f>
        <v>None</v>
      </c>
      <c r="M66" s="25" t="str">
        <f>IF(VLOOKUP(B66,AmmoTypeFactors,8,FALSE),"None",'Ammo Input'!L66)</f>
        <v>None</v>
      </c>
      <c r="N66">
        <f>'Ammo Input'!O66</f>
        <v>100</v>
      </c>
      <c r="O66" t="e">
        <f>ROUND((P66*0.0036+SUMPRODUCT(Q66:AB66,VLOOKUP($Q$1:$AB$1,IngredientStats,2,FALSE)))/N66*IF('Ammo Input'!R66,0.5,1),2)</f>
        <v>#VALUE!</v>
      </c>
      <c r="P66" t="e">
        <f>(SUMPRODUCT(Q66:AB66,VLOOKUP($Q$1:$AB$1,IngredientStats,4,FALSE))*VLOOKUP(B66,AmmoTypeFactors,14,FALSE)*IF('Ammo Input'!R66,1.1,1))</f>
        <v>#VALUE!</v>
      </c>
      <c r="Q66">
        <f>IFERROR(__xludf.DUMMYFUNCTION("((IF(NOT(OR(REGEXMATCH(B66, ""Arrow""), B66 = ""Javelin"", B66 = ""Stick bomb"")), ROUNDUP(('Ammo Input'!E66 / 1000) * N66)) + IF(VLOOKUP(B66, AmmoTypeFactors, 9, FALSE) = ""Steel"", ROUNDUP(('Ammo Input'!H66 -'Ammo Input'!M66) * MAX(IF('Ammo Input'!J66 &gt;"&amp;" 0, 'Ammo Input'!J66, 1), 1) * N66 / 1000))) / 'Ingredient stats'!$C$2) * IF(ISBLANK(VLOOKUP(B66,AmmoTypeFactors,15,False)),1,VLOOKUP(B66,AmmoTypeFactors,15,False))"),74)</f>
        <v>74</v>
      </c>
      <c r="R66">
        <f>IFERROR(__xludf.DUMMYFUNCTION("ROUNDUP((IF(REGEXMATCH(B66, ""Arrow"") + (B66 = ""Javelin""), 'Ammo Input'!E66) + IF(VLOOKUP(B66, AmmoTypeFactors, 9, FALSE) = ""Wood"", 'Ammo Input'!H66) + IF(B66 = ""Stick bomb"", 'Ammo Input'!E66)) * N66 / 'Ingredient stats'!$C$12 / 1000)"),0)</f>
        <v>0</v>
      </c>
      <c r="S66">
        <v>0</v>
      </c>
      <c r="T66">
        <v>0</v>
      </c>
      <c r="U66">
        <f>IF(VLOOKUP(B66,AmmoTypeFactors,9,FALSE)="Plasteel",ROUNDUP(('Ammo Input'!H66*MAX(IF('Ammo Input'!J66&gt;0,'Ammo Input'!J66,1)*N66/1000/'Ingredient stats'!$C$4)),0),0)</f>
        <v>0</v>
      </c>
      <c r="V66">
        <f>IFERROR(__xludf.DUMMYFUNCTION("ROUNDUP(IF(ISBLANK(VLOOKUP(B66,AmmoTypeFactors,16,False)),1,VLOOKUP(B66,AmmoTypeFactors,16,False)) * (IFS(REGEXMATCH(B66, ""EMP""), 'Ammo Input'!M66 * N66 / 'Ingredient stats'!$C$5, REGEXMATCH(B66, ""Charge""), (U66^0.75), true, 0) + (IF(VLOOKUP(B66, Ammo"&amp;"TypeFactors, 10, false), 2,0) + IF('Ammo Input'!P66, 2,0) + IF('Ammo Input'!Q66,MIN(ROUNDUP(0.2*('Ammo Input'!H66/1000)*'Ammo Input'!O66,0),20),0))))"),11)</f>
        <v>11</v>
      </c>
      <c r="W66">
        <v>0</v>
      </c>
      <c r="X66">
        <v>0</v>
      </c>
      <c r="Y66">
        <v>0</v>
      </c>
      <c r="Z66">
        <v>0</v>
      </c>
      <c r="AA66">
        <v>0</v>
      </c>
      <c r="AB66" s="30">
        <f>IF(B66="Sling Bullet (Stone)",ROUNDUP(D66*0.02*E66/'Ingredient stats'!$C$8,0),0)</f>
        <v>0</v>
      </c>
      <c r="AC66" t="str">
        <f t="shared" si="4"/>
        <v>None</v>
      </c>
      <c r="AD66" t="str">
        <f>IF(OR(B66="Buck",B66="Bird",B66="Charge (Scatter)"),'Ammo Input'!J66,"None")</f>
        <v>None</v>
      </c>
      <c r="AE66" t="str">
        <f>_xlfn.IFS(ISTEXT(Calcs!N66),Calcs!N66,Calcs!N66&lt;=40,Calcs!N66,Calcs!N66&gt;41,"40")</f>
        <v>None</v>
      </c>
      <c r="AF66" t="str">
        <f>_xlfn.IFS(ISTEXT(Calcs!O66),Calcs!O66,Calcs!O66&lt;=80,Calcs!O66,Calcs!O66&gt;=81,"80")</f>
        <v>None</v>
      </c>
      <c r="AG66" s="25">
        <f t="shared" si="5"/>
        <v>3</v>
      </c>
      <c r="AH66" s="25">
        <f t="shared" si="6"/>
        <v>0.84</v>
      </c>
      <c r="AI66" s="25">
        <f t="shared" si="7"/>
        <v>2</v>
      </c>
    </row>
    <row r="67" ht="14.4" spans="1:35">
      <c r="A67" s="24" t="str">
        <f>'Ammo Input'!A67</f>
        <v>30x29mm Grenade</v>
      </c>
      <c r="B67" t="str">
        <f>'Ammo Input'!B67</f>
        <v>Smoke</v>
      </c>
      <c r="C67">
        <f>ROUNDUP(('Ammo Input'!C67*(MAX('Ammo Input'!D67,'Ammo Input'!F67)*0.5)^2*PI())*3/1000000,2)</f>
        <v>0.28</v>
      </c>
      <c r="D67">
        <f>ROUNDUP(('Ammo Input'!E67+'Ammo Input'!H67*IF('Ammo Input'!J67&lt;&gt;"",MAX('Ammo Input'!J67,1),1))/1000,3)</f>
        <v>0.36</v>
      </c>
      <c r="E67">
        <f>MIN(5000,MAX(25,CEILING(Calcs!L67,_xlfn.IFS(Calcs!L67&lt;100,25,Calcs!L67&lt;250,50,Calcs!L67&lt;1000,250,Calcs!L67&gt;=1000,1000))))</f>
        <v>2000</v>
      </c>
      <c r="F67">
        <f>ROUNDUP('Ammo Input'!G67^(3/4),0)</f>
        <v>51</v>
      </c>
      <c r="G67">
        <f>ROUND((0.5*((IF(OR(B67="HEAT",B67="HEDP"),'Ammo Input'!N67,'Ammo Input'!H67)/1000)*(IF(B67="HEAT",9000,IF(B67="HEDP",1500,'Ammo Input'!G67))^2))),0)</f>
        <v>4672</v>
      </c>
      <c r="H67" s="25" t="str">
        <f>CONCATENATE(IF((B67="Foam")+(B67="Smoke"),"-",ROUND(Calcs!D67,0))," ",VLOOKUP(B67,AmmoTypeFactors,5,FALSE))</f>
        <v>- Smoke</v>
      </c>
      <c r="I67" s="25" t="str">
        <f>IF(Calcs!E67=0,"None",CONCATENATE(ROUND(Calcs!E67,0)," ",VLOOKUP(B67,AmmoTypeFactors,6,FALSE)))</f>
        <v>None</v>
      </c>
      <c r="J67">
        <f>MROUND(2.42*'Ammo Input'!M67^(1/3)*VLOOKUP(B67,AmmoTypeFactors,3,FALSE),0.5)</f>
        <v>2</v>
      </c>
      <c r="K67" s="25" t="str">
        <f>IF(VLOOKUP(B67,AmmoTypeFactors,12,FALSE),MROUND(J67/3,0.5),"None")</f>
        <v>None</v>
      </c>
      <c r="L67" s="25" t="str">
        <f>IF(VLOOKUP(B67,AmmoTypeFactors,8,FALSE),"None",ROUNDUP(IF(Calcs!I67&gt;0,Calcs!I67,Calcs!H67),3))</f>
        <v>None</v>
      </c>
      <c r="M67" s="25" t="str">
        <f>IF(VLOOKUP(B67,AmmoTypeFactors,8,FALSE),"None",'Ammo Input'!L67)</f>
        <v>None</v>
      </c>
      <c r="N67">
        <f>'Ammo Input'!O67</f>
        <v>100</v>
      </c>
      <c r="O67" t="e">
        <f>ROUND((P67*0.0036+SUMPRODUCT(Q67:AB67,VLOOKUP($Q$1:$AB$1,IngredientStats,2,FALSE)))/N67*IF('Ammo Input'!R67,0.5,1),2)</f>
        <v>#VALUE!</v>
      </c>
      <c r="P67" t="e">
        <f>(SUMPRODUCT(Q67:AB67,VLOOKUP($Q$1:$AB$1,IngredientStats,4,FALSE))*VLOOKUP(B67,AmmoTypeFactors,14,FALSE)*IF('Ammo Input'!R67,1.1,1))</f>
        <v>#VALUE!</v>
      </c>
      <c r="Q67">
        <f>IFERROR(__xludf.DUMMYFUNCTION("((IF(NOT(OR(REGEXMATCH(B67, ""Arrow""), B67 = ""Javelin"", B67 = ""Stick bomb"")), ROUNDUP(('Ammo Input'!E67 / 1000) * N67)) + IF(VLOOKUP(B67, AmmoTypeFactors, 9, FALSE) = ""Steel"", ROUNDUP(('Ammo Input'!H67 -'Ammo Input'!M67) * MAX(IF('Ammo Input'!J67 &gt;"&amp;" 0, 'Ammo Input'!J67, 1), 1) * N67 / 1000))) / 'Ingredient stats'!$C$2) * IF(ISBLANK(VLOOKUP(B67,AmmoTypeFactors,15,False)),1,VLOOKUP(B67,AmmoTypeFactors,15,False))"),74)</f>
        <v>74</v>
      </c>
      <c r="R67">
        <f>IFERROR(__xludf.DUMMYFUNCTION("ROUNDUP((IF(REGEXMATCH(B67, ""Arrow"") + (B67 = ""Javelin""), 'Ammo Input'!E67) + IF(VLOOKUP(B67, AmmoTypeFactors, 9, FALSE) = ""Wood"", 'Ammo Input'!H67) + IF(B67 = ""Stick bomb"", 'Ammo Input'!E67)) * N67 / 'Ingredient stats'!$C$12 / 1000)"),0)</f>
        <v>0</v>
      </c>
      <c r="S67">
        <v>0</v>
      </c>
      <c r="T67">
        <v>0</v>
      </c>
      <c r="U67">
        <f>IF(VLOOKUP(B67,AmmoTypeFactors,9,FALSE)="Plasteel",ROUNDUP(('Ammo Input'!H67*MAX(IF('Ammo Input'!J67&gt;0,'Ammo Input'!J67,1)*N67/1000/'Ingredient stats'!$C$4)),0),0)</f>
        <v>0</v>
      </c>
      <c r="V67">
        <f>IFERROR(__xludf.DUMMYFUNCTION("ROUNDUP(IF(ISBLANK(VLOOKUP(B67,AmmoTypeFactors,16,False)),1,VLOOKUP(B67,AmmoTypeFactors,16,False)) * (IFS(REGEXMATCH(B67, ""EMP""), 'Ammo Input'!M67 * N67 / 'Ingredient stats'!$C$5, REGEXMATCH(B67, ""Charge""), (U67^0.75), true, 0) + (IF(VLOOKUP(B67, Ammo"&amp;"TypeFactors, 10, false), 2,0) + IF('Ammo Input'!P67, 2,0) + IF('Ammo Input'!Q67,MIN(ROUNDUP(0.2*('Ammo Input'!H67/1000)*'Ammo Input'!O67,0),20),0))))"),2)</f>
        <v>2</v>
      </c>
      <c r="W67">
        <v>3</v>
      </c>
      <c r="X67">
        <v>0</v>
      </c>
      <c r="Y67">
        <v>0</v>
      </c>
      <c r="Z67">
        <v>0</v>
      </c>
      <c r="AA67">
        <v>0</v>
      </c>
      <c r="AB67" s="30">
        <f>IF(B67="Sling Bullet (Stone)",ROUNDUP(D67*0.02*E67/'Ingredient stats'!$C$8,0),0)</f>
        <v>0</v>
      </c>
      <c r="AC67" t="str">
        <f t="shared" si="4"/>
        <v>None</v>
      </c>
      <c r="AD67" t="str">
        <f>IF(OR(B67="Buck",B67="Bird",B67="Charge (Scatter)"),'Ammo Input'!J67,"None")</f>
        <v>None</v>
      </c>
      <c r="AE67" t="str">
        <f>_xlfn.IFS(ISTEXT(Calcs!N67),Calcs!N67,Calcs!N67&lt;=40,Calcs!N67,Calcs!N67&gt;41,"40")</f>
        <v>None</v>
      </c>
      <c r="AF67" t="str">
        <f>_xlfn.IFS(ISTEXT(Calcs!O67),Calcs!O67,Calcs!O67&lt;=80,Calcs!O67,Calcs!O67&gt;=81,"80")</f>
        <v>None</v>
      </c>
      <c r="AG67" s="25">
        <f t="shared" si="5"/>
        <v>0</v>
      </c>
      <c r="AH67" s="25">
        <f t="shared" si="6"/>
        <v>0.84</v>
      </c>
      <c r="AI67" s="25">
        <f t="shared" si="7"/>
        <v>0</v>
      </c>
    </row>
    <row r="68" ht="15.75" customHeight="1" spans="1:35">
      <c r="A68" s="24" t="str">
        <f>'Ammo Input'!A68</f>
        <v>35x32mmSR Grenade</v>
      </c>
      <c r="B68" t="str">
        <f>'Ammo Input'!B68</f>
        <v>Frag</v>
      </c>
      <c r="C68">
        <f>ROUNDUP(('Ammo Input'!C68*(MAX('Ammo Input'!D68,'Ammo Input'!F68)*0.5)^2*PI())*3/1000000,2)</f>
        <v>0.35</v>
      </c>
      <c r="D68">
        <f>ROUNDUP(('Ammo Input'!E68+'Ammo Input'!H68*IF('Ammo Input'!J68&lt;&gt;"",MAX('Ammo Input'!J68,1),1))/1000,3)</f>
        <v>0.25</v>
      </c>
      <c r="E68">
        <f>MIN(5000,MAX(25,CEILING(Calcs!L68,_xlfn.IFS(Calcs!L68&lt;100,25,Calcs!L68&lt;250,50,Calcs!L68&lt;1000,250,Calcs!L68&gt;=1000,1000))))</f>
        <v>750</v>
      </c>
      <c r="F68">
        <f>ROUNDUP('Ammo Input'!G68^(3/4),0)</f>
        <v>52</v>
      </c>
      <c r="G68">
        <f>ROUND((0.5*((IF(OR(B68="HEAT",B68="HEDP"),'Ammo Input'!N68,'Ammo Input'!H68)/1000)*(IF(B68="HEAT",9000,IF(B68="HEDP",1500,'Ammo Input'!G68))^2))),0)</f>
        <v>3610</v>
      </c>
      <c r="H68" s="25" t="str">
        <f>CONCATENATE(IF((B68="Foam")+(B68="Smoke"),"-",ROUND(Calcs!D68,0))," ",VLOOKUP(B68,AmmoTypeFactors,5,FALSE))</f>
        <v>20 Bomb</v>
      </c>
      <c r="I68" s="25" t="str">
        <f>IF(Calcs!E68=0,"None",CONCATENATE(ROUND(Calcs!E68,0)," ",VLOOKUP(B68,AmmoTypeFactors,6,FALSE)))</f>
        <v>None</v>
      </c>
      <c r="J68">
        <f>MROUND(2.42*'Ammo Input'!M68^(1/3)*VLOOKUP(B68,AmmoTypeFactors,3,FALSE),0.5)</f>
        <v>1</v>
      </c>
      <c r="K68" s="25" t="str">
        <f>IF(VLOOKUP(B68,AmmoTypeFactors,12,FALSE),MROUND(J68/3,0.5),"None")</f>
        <v>None</v>
      </c>
      <c r="L68" s="25" t="str">
        <f>IF(VLOOKUP(B68,AmmoTypeFactors,8,FALSE),"None",ROUNDUP(IF(Calcs!I68&gt;0,Calcs!I68,Calcs!H68),3))</f>
        <v>None</v>
      </c>
      <c r="M68" s="25" t="str">
        <f>IF(VLOOKUP(B68,AmmoTypeFactors,8,FALSE),"None",'Ammo Input'!L68)</f>
        <v>None</v>
      </c>
      <c r="N68">
        <f>'Ammo Input'!O68</f>
        <v>100</v>
      </c>
      <c r="O68" t="e">
        <f>ROUND((P68*0.0036+SUMPRODUCT(Q68:AB68,VLOOKUP($Q$1:$AB$1,IngredientStats,2,FALSE)))/N68*IF('Ammo Input'!R68,0.5,1),2)</f>
        <v>#VALUE!</v>
      </c>
      <c r="P68" t="e">
        <f>(SUMPRODUCT(Q68:AB68,VLOOKUP($Q$1:$AB$1,IngredientStats,4,FALSE))*VLOOKUP(B68,AmmoTypeFactors,14,FALSE)*IF('Ammo Input'!R68,1.1,1))</f>
        <v>#VALUE!</v>
      </c>
      <c r="Q68">
        <f>IFERROR(__xludf.DUMMYFUNCTION("((IF(NOT(OR(REGEXMATCH(B68, ""Arrow""), B68 = ""Javelin"", B68 = ""Stick bomb"")), ROUNDUP(('Ammo Input'!E68 / 1000) * N68)) + IF(VLOOKUP(B68, AmmoTypeFactors, 9, FALSE) = ""Steel"", ROUNDUP(('Ammo Input'!H68 -'Ammo Input'!M68) * MAX(IF('Ammo Input'!J68 &gt;"&amp;" 0, 'Ammo Input'!J68, 1), 1) * N68 / 1000))) / 'Ingredient stats'!$C$2) * IF(ISBLANK(VLOOKUP(B68,AmmoTypeFactors,15,False)),1,VLOOKUP(B68,AmmoTypeFactors,15,False))"),50)</f>
        <v>50</v>
      </c>
      <c r="R68">
        <f>IFERROR(__xludf.DUMMYFUNCTION("ROUNDUP((IF(REGEXMATCH(B68, ""Arrow"") + (B68 = ""Javelin""), 'Ammo Input'!E68) + IF(VLOOKUP(B68, AmmoTypeFactors, 9, FALSE) = ""Wood"", 'Ammo Input'!H68) + IF(B68 = ""Stick bomb"", 'Ammo Input'!E68)) * N68 / 'Ingredient stats'!$C$12 / 1000)"),0)</f>
        <v>0</v>
      </c>
      <c r="S68">
        <v>0</v>
      </c>
      <c r="T68">
        <v>0</v>
      </c>
      <c r="U68">
        <f>IF(VLOOKUP(B68,AmmoTypeFactors,9,FALSE)="Plasteel",ROUNDUP(('Ammo Input'!H68*MAX(IF('Ammo Input'!J68&gt;0,'Ammo Input'!J68,1)*N68/1000/'Ingredient stats'!$C$4)),0),0)</f>
        <v>0</v>
      </c>
      <c r="V68">
        <f>IFERROR(__xludf.DUMMYFUNCTION("ROUNDUP(IF(ISBLANK(VLOOKUP(B68,AmmoTypeFactors,16,False)),1,VLOOKUP(B68,AmmoTypeFactors,16,False)) * (IFS(REGEXMATCH(B68, ""EMP""), 'Ammo Input'!M68 * N68 / 'Ingredient stats'!$C$5, REGEXMATCH(B68, ""Charge""), (U68^0.75), true, 0) + (IF(VLOOKUP(B68, Ammo"&amp;"TypeFactors, 10, false), 2,0) + IF('Ammo Input'!P68, 2,0) + IF('Ammo Input'!Q68,MIN(ROUNDUP(0.2*('Ammo Input'!H68/1000)*'Ammo Input'!O68,0),20),0))))"),2)</f>
        <v>2</v>
      </c>
      <c r="W68">
        <v>0</v>
      </c>
      <c r="X68">
        <v>7</v>
      </c>
      <c r="Y68">
        <v>0</v>
      </c>
      <c r="Z68">
        <v>0</v>
      </c>
      <c r="AA68">
        <v>0</v>
      </c>
      <c r="AB68" s="30">
        <f>IF(B68="Sling Bullet (Stone)",ROUNDUP(D68*0.02*E68/'Ingredient stats'!$C$8,0),0)</f>
        <v>0</v>
      </c>
      <c r="AC68" t="str">
        <f t="shared" si="4"/>
        <v>None</v>
      </c>
      <c r="AD68" t="str">
        <f>IF(OR(B68="Buck",B68="Bird",B68="Charge (Scatter)"),'Ammo Input'!J68,"None")</f>
        <v>None</v>
      </c>
      <c r="AE68">
        <f>_xlfn.IFS(ISTEXT(Calcs!N68),Calcs!N68,Calcs!N68&lt;=40,Calcs!N68,Calcs!N68&gt;41,"40")</f>
        <v>0</v>
      </c>
      <c r="AF68">
        <f>_xlfn.IFS(ISTEXT(Calcs!O68),Calcs!O68,Calcs!O68&lt;=80,Calcs!O68,Calcs!O68&gt;=81,"80")</f>
        <v>20</v>
      </c>
      <c r="AG68" s="25">
        <f t="shared" si="5"/>
        <v>3</v>
      </c>
      <c r="AH68" s="25">
        <f t="shared" si="6"/>
        <v>0.86</v>
      </c>
      <c r="AI68" s="25">
        <f t="shared" si="7"/>
        <v>2</v>
      </c>
    </row>
    <row r="69" ht="14.4" spans="1:35">
      <c r="A69" s="24" t="str">
        <f>'Ammo Input'!A69</f>
        <v>35x32mmSR Grenade</v>
      </c>
      <c r="B69" t="str">
        <f>'Ammo Input'!B69</f>
        <v>HEDP</v>
      </c>
      <c r="C69">
        <f>ROUNDUP(('Ammo Input'!C69*(MAX('Ammo Input'!D69,'Ammo Input'!F69)*0.5)^2*PI())*3/1000000,2)</f>
        <v>0.35</v>
      </c>
      <c r="D69">
        <f>ROUNDUP(('Ammo Input'!E69+'Ammo Input'!H69*IF('Ammo Input'!J69&lt;&gt;"",MAX('Ammo Input'!J69,1),1))/1000,3)</f>
        <v>0.25</v>
      </c>
      <c r="E69">
        <f>MIN(5000,MAX(25,CEILING(Calcs!L69,_xlfn.IFS(Calcs!L69&lt;100,25,Calcs!L69&lt;250,50,Calcs!L69&lt;1000,250,Calcs!L69&gt;=1000,1000))))</f>
        <v>750</v>
      </c>
      <c r="F69">
        <f>ROUNDUP('Ammo Input'!G69^(3/4),0)</f>
        <v>52</v>
      </c>
      <c r="G69">
        <f>ROUND((0.5*((IF(OR(B69="HEAT",B69="HEDP"),'Ammo Input'!N69,'Ammo Input'!H69)/1000)*(IF(B69="HEAT",9000,IF(B69="HEDP",1500,'Ammo Input'!G69))^2))),0)</f>
        <v>11813</v>
      </c>
      <c r="H69" s="25" t="str">
        <f>CONCATENATE(IF((B69="Foam")+(B69="Smoke"),"-",ROUND(Calcs!D69,0))," ",VLOOKUP(B69,AmmoTypeFactors,5,FALSE))</f>
        <v>31 Bullet</v>
      </c>
      <c r="I69" s="25" t="str">
        <f>IF(Calcs!E69=0,"None",CONCATENATE(ROUND(Calcs!E69,0)," ",VLOOKUP(B69,AmmoTypeFactors,6,FALSE)))</f>
        <v>17 Bomb</v>
      </c>
      <c r="J69">
        <f>MROUND(2.42*'Ammo Input'!M69^(1/3)*VLOOKUP(B69,AmmoTypeFactors,3,FALSE),0.5)</f>
        <v>0.5</v>
      </c>
      <c r="K69" s="25" t="str">
        <f>IF(VLOOKUP(B69,AmmoTypeFactors,12,FALSE),MROUND(J69/3,0.5),"None")</f>
        <v>None</v>
      </c>
      <c r="L69" s="25">
        <f>IF(VLOOKUP(B69,AmmoTypeFactors,8,FALSE),"None",ROUNDUP(IF(Calcs!I69&gt;0,Calcs!I69,Calcs!H69),3))</f>
        <v>4.961</v>
      </c>
      <c r="M69" s="25">
        <f>IF(VLOOKUP(B69,AmmoTypeFactors,8,FALSE),"None",'Ammo Input'!L69)</f>
        <v>55</v>
      </c>
      <c r="N69">
        <f>'Ammo Input'!O69</f>
        <v>100</v>
      </c>
      <c r="O69" t="e">
        <f>ROUND((P69*0.0036+SUMPRODUCT(Q69:AB69,VLOOKUP($Q$1:$AB$1,IngredientStats,2,FALSE)))/N69*IF('Ammo Input'!R69,0.5,1),2)</f>
        <v>#VALUE!</v>
      </c>
      <c r="P69" t="e">
        <f>(SUMPRODUCT(Q69:AB69,VLOOKUP($Q$1:$AB$1,IngredientStats,4,FALSE))*VLOOKUP(B69,AmmoTypeFactors,14,FALSE)*IF('Ammo Input'!R69,1.1,1))</f>
        <v>#VALUE!</v>
      </c>
      <c r="Q69">
        <f>IFERROR(__xludf.DUMMYFUNCTION("((IF(NOT(OR(REGEXMATCH(B69, ""Arrow""), B69 = ""Javelin"", B69 = ""Stick bomb"")), ROUNDUP(('Ammo Input'!E69 / 1000) * N69)) + IF(VLOOKUP(B69, AmmoTypeFactors, 9, FALSE) = ""Steel"", ROUNDUP(('Ammo Input'!H69 -'Ammo Input'!M69) * MAX(IF('Ammo Input'!J69 &gt;"&amp;" 0, 'Ammo Input'!J69, 1), 1) * N69 / 1000))) / 'Ingredient stats'!$C$2) * IF(ISBLANK(VLOOKUP(B69,AmmoTypeFactors,15,False)),1,VLOOKUP(B69,AmmoTypeFactors,15,False))"),50)</f>
        <v>50</v>
      </c>
      <c r="R69">
        <f>IFERROR(__xludf.DUMMYFUNCTION("ROUNDUP((IF(REGEXMATCH(B69, ""Arrow"") + (B69 = ""Javelin""), 'Ammo Input'!E69) + IF(VLOOKUP(B69, AmmoTypeFactors, 9, FALSE) = ""Wood"", 'Ammo Input'!H69) + IF(B69 = ""Stick bomb"", 'Ammo Input'!E69)) * N69 / 'Ingredient stats'!$C$12 / 1000)"),0)</f>
        <v>0</v>
      </c>
      <c r="S69">
        <v>0</v>
      </c>
      <c r="T69">
        <v>0</v>
      </c>
      <c r="U69">
        <f>IF(VLOOKUP(B69,AmmoTypeFactors,9,FALSE)="Plasteel",ROUNDUP(('Ammo Input'!H69*MAX(IF('Ammo Input'!J69&gt;0,'Ammo Input'!J69,1)*N69/1000/'Ingredient stats'!$C$4)),0),0)</f>
        <v>0</v>
      </c>
      <c r="V69">
        <f>IFERROR(__xludf.DUMMYFUNCTION("ROUNDUP(IF(ISBLANK(VLOOKUP(B69,AmmoTypeFactors,16,False)),1,VLOOKUP(B69,AmmoTypeFactors,16,False)) * (IFS(REGEXMATCH(B69, ""EMP""), 'Ammo Input'!M69 * N69 / 'Ingredient stats'!$C$5, REGEXMATCH(B69, ""Charge""), (U69^0.75), true, 0) + (IF(VLOOKUP(B69, Ammo"&amp;"TypeFactors, 10, false), 2,0) + IF('Ammo Input'!P69, 2,0) + IF('Ammo Input'!Q69,MIN(ROUNDUP(0.2*('Ammo Input'!H69/1000)*'Ammo Input'!O69,0),20),0))))"),2)</f>
        <v>2</v>
      </c>
      <c r="W69">
        <v>0</v>
      </c>
      <c r="X69">
        <v>5</v>
      </c>
      <c r="Y69">
        <v>0</v>
      </c>
      <c r="Z69">
        <v>0</v>
      </c>
      <c r="AA69">
        <v>0</v>
      </c>
      <c r="AB69" s="30">
        <f>IF(B69="Sling Bullet (Stone)",ROUNDUP(D69*0.02*E69/'Ingredient stats'!$C$8,0),0)</f>
        <v>0</v>
      </c>
      <c r="AC69" t="str">
        <f t="shared" si="4"/>
        <v>None</v>
      </c>
      <c r="AD69" t="str">
        <f>IF(OR(B69="Buck",B69="Bird",B69="Charge (Scatter)"),'Ammo Input'!J69,"None")</f>
        <v>None</v>
      </c>
      <c r="AE69">
        <f>_xlfn.IFS(ISTEXT(Calcs!N69),Calcs!N69,Calcs!N69&lt;=40,Calcs!N69,Calcs!N69&gt;41,"40")</f>
        <v>1</v>
      </c>
      <c r="AF69">
        <f>_xlfn.IFS(ISTEXT(Calcs!O69),Calcs!O69,Calcs!O69&lt;=80,Calcs!O69,Calcs!O69&gt;=81,"80")</f>
        <v>1</v>
      </c>
      <c r="AG69" s="25">
        <f t="shared" si="5"/>
        <v>3</v>
      </c>
      <c r="AH69" s="25">
        <f t="shared" si="6"/>
        <v>0.86</v>
      </c>
      <c r="AI69" s="25">
        <f t="shared" si="7"/>
        <v>2</v>
      </c>
    </row>
    <row r="70" ht="14.4" spans="1:35">
      <c r="A70" s="24" t="str">
        <f>'Ammo Input'!A70</f>
        <v>35x32mmSR Grenade</v>
      </c>
      <c r="B70" t="str">
        <f>'Ammo Input'!B70</f>
        <v>EMP</v>
      </c>
      <c r="C70">
        <f>ROUNDUP(('Ammo Input'!C70*(MAX('Ammo Input'!D70,'Ammo Input'!F70)*0.5)^2*PI())*3/1000000,2)</f>
        <v>0.35</v>
      </c>
      <c r="D70">
        <f>ROUNDUP(('Ammo Input'!E70+'Ammo Input'!H70*IF('Ammo Input'!J70&lt;&gt;"",MAX('Ammo Input'!J70,1),1))/1000,3)</f>
        <v>0.25</v>
      </c>
      <c r="E70">
        <f>MIN(5000,MAX(25,CEILING(Calcs!L70,_xlfn.IFS(Calcs!L70&lt;100,25,Calcs!L70&lt;250,50,Calcs!L70&lt;1000,250,Calcs!L70&gt;=1000,1000))))</f>
        <v>750</v>
      </c>
      <c r="F70">
        <f>ROUNDUP('Ammo Input'!G70^(3/4),0)</f>
        <v>52</v>
      </c>
      <c r="G70">
        <f>ROUND((0.5*((IF(OR(B70="HEAT",B70="HEDP"),'Ammo Input'!N70,'Ammo Input'!H70)/1000)*(IF(B70="HEAT",9000,IF(B70="HEDP",1500,'Ammo Input'!G70))^2))),0)</f>
        <v>3610</v>
      </c>
      <c r="H70" s="25" t="str">
        <f>CONCATENATE(IF((B70="Foam")+(B70="Smoke"),"-",ROUND(Calcs!D70,0))," ",VLOOKUP(B70,AmmoTypeFactors,5,FALSE))</f>
        <v>20 EMP</v>
      </c>
      <c r="I70" s="25" t="str">
        <f>IF(Calcs!E70=0,"None",CONCATENATE(ROUND(Calcs!E70,0)," ",VLOOKUP(B70,AmmoTypeFactors,6,FALSE)))</f>
        <v>None</v>
      </c>
      <c r="J70">
        <f>MROUND(2.42*'Ammo Input'!M70^(1/3)*VLOOKUP(B70,AmmoTypeFactors,3,FALSE),0.5)</f>
        <v>1.5</v>
      </c>
      <c r="K70" s="25" t="str">
        <f>IF(VLOOKUP(B70,AmmoTypeFactors,12,FALSE),MROUND(J70/3,0.5),"None")</f>
        <v>None</v>
      </c>
      <c r="L70" s="25" t="str">
        <f>IF(VLOOKUP(B70,AmmoTypeFactors,8,FALSE),"None",ROUNDUP(IF(Calcs!I70&gt;0,Calcs!I70,Calcs!H70),3))</f>
        <v>None</v>
      </c>
      <c r="M70" s="25" t="str">
        <f>IF(VLOOKUP(B70,AmmoTypeFactors,8,FALSE),"None",'Ammo Input'!L70)</f>
        <v>None</v>
      </c>
      <c r="N70">
        <f>'Ammo Input'!O70</f>
        <v>100</v>
      </c>
      <c r="O70" t="e">
        <f>ROUND((P70*0.0036+SUMPRODUCT(Q70:AB70,VLOOKUP($Q$1:$AB$1,IngredientStats,2,FALSE)))/N70*IF('Ammo Input'!R70,0.5,1),2)</f>
        <v>#VALUE!</v>
      </c>
      <c r="P70" t="e">
        <f>(SUMPRODUCT(Q70:AB70,VLOOKUP($Q$1:$AB$1,IngredientStats,4,FALSE))*VLOOKUP(B70,AmmoTypeFactors,14,FALSE)*IF('Ammo Input'!R70,1.1,1))</f>
        <v>#VALUE!</v>
      </c>
      <c r="Q70">
        <f>IFERROR(__xludf.DUMMYFUNCTION("((IF(NOT(OR(REGEXMATCH(B70, ""Arrow""), B70 = ""Javelin"", B70 = ""Stick bomb"")), ROUNDUP(('Ammo Input'!E70 / 1000) * N70)) + IF(VLOOKUP(B70, AmmoTypeFactors, 9, FALSE) = ""Steel"", ROUNDUP(('Ammo Input'!H70 -'Ammo Input'!M70) * MAX(IF('Ammo Input'!J70 &gt;"&amp;" 0, 'Ammo Input'!J70, 1), 1) * N70 / 1000))) / 'Ingredient stats'!$C$2) * IF(ISBLANK(VLOOKUP(B70,AmmoTypeFactors,15,False)),1,VLOOKUP(B70,AmmoTypeFactors,15,False))"),50)</f>
        <v>50</v>
      </c>
      <c r="R70">
        <f>IFERROR(__xludf.DUMMYFUNCTION("ROUNDUP((IF(REGEXMATCH(B70, ""Arrow"") + (B70 = ""Javelin""), 'Ammo Input'!E70) + IF(VLOOKUP(B70, AmmoTypeFactors, 9, FALSE) = ""Wood"", 'Ammo Input'!H70) + IF(B70 = ""Stick bomb"", 'Ammo Input'!E70)) * N70 / 'Ingredient stats'!$C$12 / 1000)"),0)</f>
        <v>0</v>
      </c>
      <c r="S70">
        <v>0</v>
      </c>
      <c r="T70">
        <v>0</v>
      </c>
      <c r="U70">
        <f>IF(VLOOKUP(B70,AmmoTypeFactors,9,FALSE)="Plasteel",ROUNDUP(('Ammo Input'!H70*MAX(IF('Ammo Input'!J70&gt;0,'Ammo Input'!J70,1)*N70/1000/'Ingredient stats'!$C$4)),0),0)</f>
        <v>0</v>
      </c>
      <c r="V70">
        <f>IFERROR(__xludf.DUMMYFUNCTION("ROUNDUP(IF(ISBLANK(VLOOKUP(B70,AmmoTypeFactors,16,False)),1,VLOOKUP(B70,AmmoTypeFactors,16,False)) * (IFS(REGEXMATCH(B70, ""EMP""), 'Ammo Input'!M70 * N70 / 'Ingredient stats'!$C$5, REGEXMATCH(B70, ""Charge""), (U70^0.75), true, 0) + (IF(VLOOKUP(B70, Ammo"&amp;"TypeFactors, 10, false), 2,0) + IF('Ammo Input'!P70, 2,0) + IF('Ammo Input'!Q70,MIN(ROUNDUP(0.2*('Ammo Input'!H70/1000)*'Ammo Input'!O70,0),20),0))))"),9)</f>
        <v>9</v>
      </c>
      <c r="W70">
        <v>0</v>
      </c>
      <c r="X70">
        <v>0</v>
      </c>
      <c r="Y70">
        <v>0</v>
      </c>
      <c r="Z70">
        <v>0</v>
      </c>
      <c r="AA70">
        <v>0</v>
      </c>
      <c r="AB70" s="30">
        <f>IF(B70="Sling Bullet (Stone)",ROUNDUP(D70*0.02*E70/'Ingredient stats'!$C$8,0),0)</f>
        <v>0</v>
      </c>
      <c r="AC70" t="str">
        <f t="shared" si="4"/>
        <v>None</v>
      </c>
      <c r="AD70" t="str">
        <f>IF(OR(B70="Buck",B70="Bird",B70="Charge (Scatter)"),'Ammo Input'!J70,"None")</f>
        <v>None</v>
      </c>
      <c r="AE70" t="str">
        <f>_xlfn.IFS(ISTEXT(Calcs!N70),Calcs!N70,Calcs!N70&lt;=40,Calcs!N70,Calcs!N70&gt;41,"40")</f>
        <v>None</v>
      </c>
      <c r="AF70" t="str">
        <f>_xlfn.IFS(ISTEXT(Calcs!O70),Calcs!O70,Calcs!O70&lt;=80,Calcs!O70,Calcs!O70&gt;=81,"80")</f>
        <v>None</v>
      </c>
      <c r="AG70" s="25">
        <f t="shared" si="5"/>
        <v>3</v>
      </c>
      <c r="AH70" s="25">
        <f t="shared" si="6"/>
        <v>0.86</v>
      </c>
      <c r="AI70" s="25">
        <f t="shared" si="7"/>
        <v>2</v>
      </c>
    </row>
    <row r="71" ht="14.4" spans="1:35">
      <c r="A71" s="24" t="str">
        <f>'Ammo Input'!A71</f>
        <v>35x32mmSR Grenade</v>
      </c>
      <c r="B71" t="str">
        <f>'Ammo Input'!B71</f>
        <v>Smoke</v>
      </c>
      <c r="C71">
        <f>ROUNDUP(('Ammo Input'!C71*(MAX('Ammo Input'!D71,'Ammo Input'!F71)*0.5)^2*PI())*3/1000000,2)</f>
        <v>0.35</v>
      </c>
      <c r="D71">
        <f>ROUNDUP(('Ammo Input'!E71+'Ammo Input'!H71*IF('Ammo Input'!J71&lt;&gt;"",MAX('Ammo Input'!J71,1),1))/1000,3)</f>
        <v>0.25</v>
      </c>
      <c r="E71">
        <f>MIN(5000,MAX(25,CEILING(Calcs!L71,_xlfn.IFS(Calcs!L71&lt;100,25,Calcs!L71&lt;250,50,Calcs!L71&lt;1000,250,Calcs!L71&gt;=1000,1000))))</f>
        <v>750</v>
      </c>
      <c r="F71">
        <f>ROUNDUP('Ammo Input'!G71^(3/4),0)</f>
        <v>52</v>
      </c>
      <c r="G71">
        <f>ROUND((0.5*((IF(OR(B71="HEAT",B71="HEDP"),'Ammo Input'!N71,'Ammo Input'!H71)/1000)*(IF(B71="HEAT",9000,IF(B71="HEDP",1500,'Ammo Input'!G71))^2))),0)</f>
        <v>3610</v>
      </c>
      <c r="H71" s="25" t="str">
        <f>CONCATENATE(IF((B71="Foam")+(B71="Smoke"),"-",ROUND(Calcs!D71,0))," ",VLOOKUP(B71,AmmoTypeFactors,5,FALSE))</f>
        <v>- Smoke</v>
      </c>
      <c r="I71" s="25" t="str">
        <f>IF(Calcs!E71=0,"None",CONCATENATE(ROUND(Calcs!E71,0)," ",VLOOKUP(B71,AmmoTypeFactors,6,FALSE)))</f>
        <v>None</v>
      </c>
      <c r="J71">
        <f>MROUND(2.42*'Ammo Input'!M71^(1/3)*VLOOKUP(B71,AmmoTypeFactors,3,FALSE),0.5)</f>
        <v>2</v>
      </c>
      <c r="K71" s="25" t="str">
        <f>IF(VLOOKUP(B71,AmmoTypeFactors,12,FALSE),MROUND(J71/3,0.5),"None")</f>
        <v>None</v>
      </c>
      <c r="L71" s="25" t="str">
        <f>IF(VLOOKUP(B71,AmmoTypeFactors,8,FALSE),"None",ROUNDUP(IF(Calcs!I71&gt;0,Calcs!I71,Calcs!H71),3))</f>
        <v>None</v>
      </c>
      <c r="M71" s="25" t="str">
        <f>IF(VLOOKUP(B71,AmmoTypeFactors,8,FALSE),"None",'Ammo Input'!L71)</f>
        <v>None</v>
      </c>
      <c r="N71">
        <f>'Ammo Input'!O71</f>
        <v>100</v>
      </c>
      <c r="O71" t="e">
        <f>ROUND((P71*0.0036+SUMPRODUCT(Q71:AB71,VLOOKUP($Q$1:$AB$1,IngredientStats,2,FALSE)))/N71*IF('Ammo Input'!R71,0.5,1),2)</f>
        <v>#VALUE!</v>
      </c>
      <c r="P71" t="e">
        <f>(SUMPRODUCT(Q71:AB71,VLOOKUP($Q$1:$AB$1,IngredientStats,4,FALSE))*VLOOKUP(B71,AmmoTypeFactors,14,FALSE)*IF('Ammo Input'!R71,1.1,1))</f>
        <v>#VALUE!</v>
      </c>
      <c r="Q71">
        <f>IFERROR(__xludf.DUMMYFUNCTION("((IF(NOT(OR(REGEXMATCH(B71, ""Arrow""), B71 = ""Javelin"", B71 = ""Stick bomb"")), ROUNDUP(('Ammo Input'!E71 / 1000) * N71)) + IF(VLOOKUP(B71, AmmoTypeFactors, 9, FALSE) = ""Steel"", ROUNDUP(('Ammo Input'!H71 -'Ammo Input'!M71) * MAX(IF('Ammo Input'!J71 &gt;"&amp;" 0, 'Ammo Input'!J71, 1), 1) * N71 / 1000))) / 'Ingredient stats'!$C$2) * IF(ISBLANK(VLOOKUP(B71,AmmoTypeFactors,15,False)),1,VLOOKUP(B71,AmmoTypeFactors,15,False))"),50)</f>
        <v>50</v>
      </c>
      <c r="R71">
        <f>IFERROR(__xludf.DUMMYFUNCTION("ROUNDUP((IF(REGEXMATCH(B71, ""Arrow"") + (B71 = ""Javelin""), 'Ammo Input'!E71) + IF(VLOOKUP(B71, AmmoTypeFactors, 9, FALSE) = ""Wood"", 'Ammo Input'!H71) + IF(B71 = ""Stick bomb"", 'Ammo Input'!E71)) * N71 / 'Ingredient stats'!$C$12 / 1000)"),0)</f>
        <v>0</v>
      </c>
      <c r="S71">
        <v>0</v>
      </c>
      <c r="T71">
        <v>0</v>
      </c>
      <c r="U71">
        <f>IF(VLOOKUP(B71,AmmoTypeFactors,9,FALSE)="Plasteel",ROUNDUP(('Ammo Input'!H71*MAX(IF('Ammo Input'!J71&gt;0,'Ammo Input'!J71,1)*N71/1000/'Ingredient stats'!$C$4)),0),0)</f>
        <v>0</v>
      </c>
      <c r="V71">
        <f>IFERROR(__xludf.DUMMYFUNCTION("ROUNDUP(IF(ISBLANK(VLOOKUP(B71,AmmoTypeFactors,16,False)),1,VLOOKUP(B71,AmmoTypeFactors,16,False)) * (IFS(REGEXMATCH(B71, ""EMP""), 'Ammo Input'!M71 * N71 / 'Ingredient stats'!$C$5, REGEXMATCH(B71, ""Charge""), (U71^0.75), true, 0) + (IF(VLOOKUP(B71, Ammo"&amp;"TypeFactors, 10, false), 2,0) + IF('Ammo Input'!P71, 2,0) + IF('Ammo Input'!Q71,MIN(ROUNDUP(0.2*('Ammo Input'!H71/1000)*'Ammo Input'!O71,0),20),0))))"),2)</f>
        <v>2</v>
      </c>
      <c r="W71">
        <v>3</v>
      </c>
      <c r="X71">
        <v>0</v>
      </c>
      <c r="Y71">
        <v>0</v>
      </c>
      <c r="Z71">
        <v>0</v>
      </c>
      <c r="AA71">
        <v>0</v>
      </c>
      <c r="AB71" s="30">
        <f>IF(B71="Sling Bullet (Stone)",ROUNDUP(D71*0.02*E71/'Ingredient stats'!$C$8,0),0)</f>
        <v>0</v>
      </c>
      <c r="AC71" t="str">
        <f t="shared" si="4"/>
        <v>None</v>
      </c>
      <c r="AD71" t="str">
        <f>IF(OR(B71="Buck",B71="Bird",B71="Charge (Scatter)"),'Ammo Input'!J71,"None")</f>
        <v>None</v>
      </c>
      <c r="AE71" t="str">
        <f>_xlfn.IFS(ISTEXT(Calcs!N71),Calcs!N71,Calcs!N71&lt;=40,Calcs!N71,Calcs!N71&gt;41,"40")</f>
        <v>None</v>
      </c>
      <c r="AF71" t="str">
        <f>_xlfn.IFS(ISTEXT(Calcs!O71),Calcs!O71,Calcs!O71&lt;=80,Calcs!O71,Calcs!O71&gt;=81,"80")</f>
        <v>None</v>
      </c>
      <c r="AG71" s="25">
        <f t="shared" si="5"/>
        <v>0</v>
      </c>
      <c r="AH71" s="25">
        <f t="shared" si="6"/>
        <v>0.86</v>
      </c>
      <c r="AI71" s="25">
        <f t="shared" si="7"/>
        <v>0</v>
      </c>
    </row>
    <row r="72" ht="14.4" spans="1:35">
      <c r="A72" s="24" t="str">
        <f>'Ammo Input'!A72</f>
        <v>40x46mm Grenade</v>
      </c>
      <c r="B72" t="str">
        <f>'Ammo Input'!B72</f>
        <v>Frag</v>
      </c>
      <c r="C72">
        <f>ROUNDUP(('Ammo Input'!C72*(MAX('Ammo Input'!D72,'Ammo Input'!F72)*0.5)^2*PI())*3/1000000,2)</f>
        <v>0.4</v>
      </c>
      <c r="D72">
        <f>ROUNDUP(('Ammo Input'!E72+'Ammo Input'!H72*IF('Ammo Input'!J72&lt;&gt;"",MAX('Ammo Input'!J72,1),1))/1000,3)</f>
        <v>0.239</v>
      </c>
      <c r="E72">
        <f>MIN(5000,MAX(25,CEILING(Calcs!L72,_xlfn.IFS(Calcs!L72&lt;100,25,Calcs!L72&lt;250,50,Calcs!L72&lt;1000,250,Calcs!L72&gt;=1000,1000))))</f>
        <v>500</v>
      </c>
      <c r="F72">
        <f>ROUNDUP('Ammo Input'!G72^(3/4),0)</f>
        <v>27</v>
      </c>
      <c r="G72">
        <f>ROUND((0.5*((IF(OR(B72="HEAT",B72="HEDP"),'Ammo Input'!N72,'Ammo Input'!H72)/1000)*(IF(B72="HEAT",9000,IF(B72="HEDP",1500,'Ammo Input'!G72))^2))),0)</f>
        <v>566</v>
      </c>
      <c r="H72" s="25" t="str">
        <f>CONCATENATE(IF((B72="Foam")+(B72="Smoke"),"-",ROUND(Calcs!D72,0))," ",VLOOKUP(B72,AmmoTypeFactors,5,FALSE))</f>
        <v>22 Bomb</v>
      </c>
      <c r="I72" s="25" t="str">
        <f>IF(Calcs!E72=0,"None",CONCATENATE(ROUND(Calcs!E72,0)," ",VLOOKUP(B72,AmmoTypeFactors,6,FALSE)))</f>
        <v>None</v>
      </c>
      <c r="J72">
        <f>MROUND(2.42*'Ammo Input'!M72^(1/3)*VLOOKUP(B72,AmmoTypeFactors,3,FALSE),0.5)</f>
        <v>1</v>
      </c>
      <c r="K72" s="25" t="str">
        <f>IF(VLOOKUP(B72,AmmoTypeFactors,12,FALSE),MROUND(J72/3,0.5),"None")</f>
        <v>None</v>
      </c>
      <c r="L72" s="25" t="str">
        <f>IF(VLOOKUP(B72,AmmoTypeFactors,8,FALSE),"None",ROUNDUP(IF(Calcs!I72&gt;0,Calcs!I72,Calcs!H72),3))</f>
        <v>None</v>
      </c>
      <c r="M72" s="25" t="str">
        <f>IF(VLOOKUP(B72,AmmoTypeFactors,8,FALSE),"None",'Ammo Input'!L72)</f>
        <v>None</v>
      </c>
      <c r="N72">
        <f>'Ammo Input'!O72</f>
        <v>100</v>
      </c>
      <c r="O72" t="e">
        <f>ROUND((P72*0.0036+SUMPRODUCT(Q72:AB72,VLOOKUP($Q$1:$AB$1,IngredientStats,2,FALSE)))/N72*IF('Ammo Input'!R72,0.5,1),2)</f>
        <v>#VALUE!</v>
      </c>
      <c r="P72" t="e">
        <f>(SUMPRODUCT(Q72:AB72,VLOOKUP($Q$1:$AB$1,IngredientStats,4,FALSE))*VLOOKUP(B72,AmmoTypeFactors,14,FALSE)*IF('Ammo Input'!R72,1.1,1))</f>
        <v>#VALUE!</v>
      </c>
      <c r="Q72">
        <f>IFERROR(__xludf.DUMMYFUNCTION("((IF(NOT(OR(REGEXMATCH(B72, ""Arrow""), B72 = ""Javelin"", B72 = ""Stick bomb"")), ROUNDUP(('Ammo Input'!E72 / 1000) * N72)) + IF(VLOOKUP(B72, AmmoTypeFactors, 9, FALSE) = ""Steel"", ROUNDUP(('Ammo Input'!H72 -'Ammo Input'!M72) * MAX(IF('Ammo Input'!J72 &gt;"&amp;" 0, 'Ammo Input'!J72, 1), 1) * N72 / 1000))) / 'Ingredient stats'!$C$2) * IF(ISBLANK(VLOOKUP(B72,AmmoTypeFactors,15,False)),1,VLOOKUP(B72,AmmoTypeFactors,15,False))"),50)</f>
        <v>50</v>
      </c>
      <c r="R72">
        <f>IFERROR(__xludf.DUMMYFUNCTION("ROUNDUP((IF(REGEXMATCH(B72, ""Arrow"") + (B72 = ""Javelin""), 'Ammo Input'!E72) + IF(VLOOKUP(B72, AmmoTypeFactors, 9, FALSE) = ""Wood"", 'Ammo Input'!H72) + IF(B72 = ""Stick bomb"", 'Ammo Input'!E72)) * N72 / 'Ingredient stats'!$C$12 / 1000)"),0)</f>
        <v>0</v>
      </c>
      <c r="S72">
        <v>0</v>
      </c>
      <c r="T72">
        <v>0</v>
      </c>
      <c r="U72">
        <f>IF(VLOOKUP(B72,AmmoTypeFactors,9,FALSE)="Plasteel",ROUNDUP(('Ammo Input'!H72*MAX(IF('Ammo Input'!J72&gt;0,'Ammo Input'!J72,1)*N72/1000/'Ingredient stats'!$C$4)),0),0)</f>
        <v>0</v>
      </c>
      <c r="V72">
        <f>IFERROR(__xludf.DUMMYFUNCTION("ROUNDUP(IF(ISBLANK(VLOOKUP(B72,AmmoTypeFactors,16,False)),1,VLOOKUP(B72,AmmoTypeFactors,16,False)) * (IFS(REGEXMATCH(B72, ""EMP""), 'Ammo Input'!M72 * N72 / 'Ingredient stats'!$C$5, REGEXMATCH(B72, ""Charge""), (U72^0.75), true, 0) + (IF(VLOOKUP(B72, Ammo"&amp;"TypeFactors, 10, false), 2,0) + IF('Ammo Input'!P72, 2,0) + IF('Ammo Input'!Q72,MIN(ROUNDUP(0.2*('Ammo Input'!H72/1000)*'Ammo Input'!O72,0),20),0))))"),2)</f>
        <v>2</v>
      </c>
      <c r="W72">
        <v>0</v>
      </c>
      <c r="X72">
        <v>8</v>
      </c>
      <c r="Y72">
        <v>0</v>
      </c>
      <c r="Z72">
        <v>0</v>
      </c>
      <c r="AA72">
        <v>0</v>
      </c>
      <c r="AB72" s="30">
        <f>IF(B72="Sling Bullet (Stone)",ROUNDUP(D72*0.02*E72/'Ingredient stats'!$C$8,0),0)</f>
        <v>0</v>
      </c>
      <c r="AC72" t="str">
        <f t="shared" si="4"/>
        <v>None</v>
      </c>
      <c r="AD72" t="str">
        <f>IF(OR(B72="Buck",B72="Bird",B72="Charge (Scatter)"),'Ammo Input'!J72,"None")</f>
        <v>None</v>
      </c>
      <c r="AE72">
        <f>_xlfn.IFS(ISTEXT(Calcs!N72),Calcs!N72,Calcs!N72&lt;=40,Calcs!N72,Calcs!N72&gt;41,"40")</f>
        <v>0</v>
      </c>
      <c r="AF72">
        <f>_xlfn.IFS(ISTEXT(Calcs!O72),Calcs!O72,Calcs!O72&lt;=80,Calcs!O72,Calcs!O72&gt;=81,"80")</f>
        <v>19</v>
      </c>
      <c r="AG72" s="25">
        <f t="shared" si="5"/>
        <v>3</v>
      </c>
      <c r="AH72" s="25">
        <f t="shared" si="6"/>
        <v>0.45</v>
      </c>
      <c r="AI72" s="25">
        <f t="shared" si="7"/>
        <v>2</v>
      </c>
    </row>
    <row r="73" ht="14.4" spans="1:35">
      <c r="A73" s="24" t="str">
        <f>'Ammo Input'!A73</f>
        <v>40x46mm Grenade</v>
      </c>
      <c r="B73" t="str">
        <f>'Ammo Input'!B73</f>
        <v>HEDP</v>
      </c>
      <c r="C73">
        <f>ROUNDUP(('Ammo Input'!C73*(MAX('Ammo Input'!D73,'Ammo Input'!F73)*0.5)^2*PI())*3/1000000,2)</f>
        <v>0.4</v>
      </c>
      <c r="D73">
        <f>ROUNDUP(('Ammo Input'!E73+'Ammo Input'!H73*IF('Ammo Input'!J73&lt;&gt;"",MAX('Ammo Input'!J73,1),1))/1000,3)</f>
        <v>0.239</v>
      </c>
      <c r="E73">
        <f>MIN(5000,MAX(25,CEILING(Calcs!L73,_xlfn.IFS(Calcs!L73&lt;100,25,Calcs!L73&lt;250,50,Calcs!L73&lt;1000,250,Calcs!L73&gt;=1000,1000))))</f>
        <v>500</v>
      </c>
      <c r="F73">
        <f>ROUNDUP('Ammo Input'!G73^(3/4),0)</f>
        <v>27</v>
      </c>
      <c r="G73">
        <f>ROUND((0.5*((IF(OR(B73="HEAT",B73="HEDP"),'Ammo Input'!N73,'Ammo Input'!H73)/1000)*(IF(B73="HEAT",9000,IF(B73="HEDP",1500,'Ammo Input'!G73))^2))),0)</f>
        <v>14175</v>
      </c>
      <c r="H73" s="25" t="str">
        <f>CONCATENATE(IF((B73="Foam")+(B73="Smoke"),"-",ROUND(Calcs!D73,0))," ",VLOOKUP(B73,AmmoTypeFactors,5,FALSE))</f>
        <v>35 Bullet</v>
      </c>
      <c r="I73" s="25" t="str">
        <f>IF(Calcs!E73=0,"None",CONCATENATE(ROUND(Calcs!E73,0)," ",VLOOKUP(B73,AmmoTypeFactors,6,FALSE)))</f>
        <v>18 Bomb</v>
      </c>
      <c r="J73">
        <f>MROUND(2.42*'Ammo Input'!M73^(1/3)*VLOOKUP(B73,AmmoTypeFactors,3,FALSE),0.5)</f>
        <v>0.5</v>
      </c>
      <c r="K73" s="25" t="str">
        <f>IF(VLOOKUP(B73,AmmoTypeFactors,12,FALSE),MROUND(J73/3,0.5),"None")</f>
        <v>None</v>
      </c>
      <c r="L73" s="25">
        <f>IF(VLOOKUP(B73,AmmoTypeFactors,8,FALSE),"None",ROUNDUP(IF(Calcs!I73&gt;0,Calcs!I73,Calcs!H73),3))</f>
        <v>5.543</v>
      </c>
      <c r="M73" s="25">
        <f>IF(VLOOKUP(B73,AmmoTypeFactors,8,FALSE),"None",'Ammo Input'!L73)</f>
        <v>63</v>
      </c>
      <c r="N73">
        <f>'Ammo Input'!O73</f>
        <v>100</v>
      </c>
      <c r="O73" t="e">
        <f>ROUND((P73*0.0036+SUMPRODUCT(Q73:AB73,VLOOKUP($Q$1:$AB$1,IngredientStats,2,FALSE)))/N73*IF('Ammo Input'!R73,0.5,1),2)</f>
        <v>#VALUE!</v>
      </c>
      <c r="P73" t="e">
        <f>(SUMPRODUCT(Q73:AB73,VLOOKUP($Q$1:$AB$1,IngredientStats,4,FALSE))*VLOOKUP(B73,AmmoTypeFactors,14,FALSE)*IF('Ammo Input'!R73,1.1,1))</f>
        <v>#VALUE!</v>
      </c>
      <c r="Q73">
        <f>IFERROR(__xludf.DUMMYFUNCTION("((IF(NOT(OR(REGEXMATCH(B73, ""Arrow""), B73 = ""Javelin"", B73 = ""Stick bomb"")), ROUNDUP(('Ammo Input'!E73 / 1000) * N73)) + IF(VLOOKUP(B73, AmmoTypeFactors, 9, FALSE) = ""Steel"", ROUNDUP(('Ammo Input'!H73 -'Ammo Input'!M73) * MAX(IF('Ammo Input'!J73 &gt;"&amp;" 0, 'Ammo Input'!J73, 1), 1) * N73 / 1000))) / 'Ingredient stats'!$C$2) * IF(ISBLANK(VLOOKUP(B73,AmmoTypeFactors,15,False)),1,VLOOKUP(B73,AmmoTypeFactors,15,False))"),50)</f>
        <v>50</v>
      </c>
      <c r="R73">
        <f>IFERROR(__xludf.DUMMYFUNCTION("ROUNDUP((IF(REGEXMATCH(B73, ""Arrow"") + (B73 = ""Javelin""), 'Ammo Input'!E73) + IF(VLOOKUP(B73, AmmoTypeFactors, 9, FALSE) = ""Wood"", 'Ammo Input'!H73) + IF(B73 = ""Stick bomb"", 'Ammo Input'!E73)) * N73 / 'Ingredient stats'!$C$12 / 1000)"),0)</f>
        <v>0</v>
      </c>
      <c r="S73">
        <v>0</v>
      </c>
      <c r="T73">
        <v>0</v>
      </c>
      <c r="U73">
        <f>IF(VLOOKUP(B73,AmmoTypeFactors,9,FALSE)="Plasteel",ROUNDUP(('Ammo Input'!H73*MAX(IF('Ammo Input'!J73&gt;0,'Ammo Input'!J73,1)*N73/1000/'Ingredient stats'!$C$4)),0),0)</f>
        <v>0</v>
      </c>
      <c r="V73">
        <f>IFERROR(__xludf.DUMMYFUNCTION("ROUNDUP(IF(ISBLANK(VLOOKUP(B73,AmmoTypeFactors,16,False)),1,VLOOKUP(B73,AmmoTypeFactors,16,False)) * (IFS(REGEXMATCH(B73, ""EMP""), 'Ammo Input'!M73 * N73 / 'Ingredient stats'!$C$5, REGEXMATCH(B73, ""Charge""), (U73^0.75), true, 0) + (IF(VLOOKUP(B73, Ammo"&amp;"TypeFactors, 10, false), 2,0) + IF('Ammo Input'!P73, 2,0) + IF('Ammo Input'!Q73,MIN(ROUNDUP(0.2*('Ammo Input'!H73/1000)*'Ammo Input'!O73,0),20),0))))"),2)</f>
        <v>2</v>
      </c>
      <c r="W73">
        <v>0</v>
      </c>
      <c r="X73">
        <v>6</v>
      </c>
      <c r="Y73">
        <v>0</v>
      </c>
      <c r="Z73">
        <v>0</v>
      </c>
      <c r="AA73">
        <v>0</v>
      </c>
      <c r="AB73" s="30">
        <f>IF(B73="Sling Bullet (Stone)",ROUNDUP(D73*0.02*E73/'Ingredient stats'!$C$8,0),0)</f>
        <v>0</v>
      </c>
      <c r="AC73" t="str">
        <f t="shared" si="4"/>
        <v>None</v>
      </c>
      <c r="AD73" t="str">
        <f>IF(OR(B73="Buck",B73="Bird",B73="Charge (Scatter)"),'Ammo Input'!J73,"None")</f>
        <v>None</v>
      </c>
      <c r="AE73">
        <f>_xlfn.IFS(ISTEXT(Calcs!N73),Calcs!N73,Calcs!N73&lt;=40,Calcs!N73,Calcs!N73&gt;41,"40")</f>
        <v>1</v>
      </c>
      <c r="AF73">
        <f>_xlfn.IFS(ISTEXT(Calcs!O73),Calcs!O73,Calcs!O73&lt;=80,Calcs!O73,Calcs!O73&gt;=81,"80")</f>
        <v>2</v>
      </c>
      <c r="AG73" s="25">
        <f t="shared" si="5"/>
        <v>3</v>
      </c>
      <c r="AH73" s="25">
        <f t="shared" si="6"/>
        <v>0.45</v>
      </c>
      <c r="AI73" s="25">
        <f t="shared" si="7"/>
        <v>2</v>
      </c>
    </row>
    <row r="74" ht="14.4" spans="1:35">
      <c r="A74" s="24" t="str">
        <f>'Ammo Input'!A74</f>
        <v>40x46mm Grenade</v>
      </c>
      <c r="B74" t="str">
        <f>'Ammo Input'!B74</f>
        <v>EMP</v>
      </c>
      <c r="C74">
        <f>ROUNDUP(('Ammo Input'!C74*(MAX('Ammo Input'!D74,'Ammo Input'!F74)*0.5)^2*PI())*3/1000000,2)</f>
        <v>0.4</v>
      </c>
      <c r="D74">
        <f>ROUNDUP(('Ammo Input'!E74+'Ammo Input'!H74*IF('Ammo Input'!J74&lt;&gt;"",MAX('Ammo Input'!J74,1),1))/1000,3)</f>
        <v>0.239</v>
      </c>
      <c r="E74">
        <f>MIN(5000,MAX(25,CEILING(Calcs!L74,_xlfn.IFS(Calcs!L74&lt;100,25,Calcs!L74&lt;250,50,Calcs!L74&lt;1000,250,Calcs!L74&gt;=1000,1000))))</f>
        <v>500</v>
      </c>
      <c r="F74">
        <f>ROUNDUP('Ammo Input'!G74^(3/4),0)</f>
        <v>27</v>
      </c>
      <c r="G74">
        <f>ROUND((0.5*((IF(OR(B74="HEAT",B74="HEDP"),'Ammo Input'!N74,'Ammo Input'!H74)/1000)*(IF(B74="HEAT",9000,IF(B74="HEDP",1500,'Ammo Input'!G74))^2))),0)</f>
        <v>566</v>
      </c>
      <c r="H74" s="25" t="str">
        <f>CONCATENATE(IF((B74="Foam")+(B74="Smoke"),"-",ROUND(Calcs!D74,0))," ",VLOOKUP(B74,AmmoTypeFactors,5,FALSE))</f>
        <v>22 EMP</v>
      </c>
      <c r="I74" s="25" t="str">
        <f>IF(Calcs!E74=0,"None",CONCATENATE(ROUND(Calcs!E74,0)," ",VLOOKUP(B74,AmmoTypeFactors,6,FALSE)))</f>
        <v>None</v>
      </c>
      <c r="J74">
        <f>MROUND(2.42*'Ammo Input'!M74^(1/3)*VLOOKUP(B74,AmmoTypeFactors,3,FALSE),0.5)</f>
        <v>2</v>
      </c>
      <c r="K74" s="25" t="str">
        <f>IF(VLOOKUP(B74,AmmoTypeFactors,12,FALSE),MROUND(J74/3,0.5),"None")</f>
        <v>None</v>
      </c>
      <c r="L74" s="25" t="str">
        <f>IF(VLOOKUP(B74,AmmoTypeFactors,8,FALSE),"None",ROUNDUP(IF(Calcs!I74&gt;0,Calcs!I74,Calcs!H74),3))</f>
        <v>None</v>
      </c>
      <c r="M74" s="25" t="str">
        <f>IF(VLOOKUP(B74,AmmoTypeFactors,8,FALSE),"None",'Ammo Input'!L74)</f>
        <v>None</v>
      </c>
      <c r="N74">
        <f>'Ammo Input'!O74</f>
        <v>100</v>
      </c>
      <c r="O74" t="e">
        <f>ROUND((P74*0.0036+SUMPRODUCT(Q74:AB74,VLOOKUP($Q$1:$AB$1,IngredientStats,2,FALSE)))/N74*IF('Ammo Input'!R74,0.5,1),2)</f>
        <v>#VALUE!</v>
      </c>
      <c r="P74" t="e">
        <f>(SUMPRODUCT(Q74:AB74,VLOOKUP($Q$1:$AB$1,IngredientStats,4,FALSE))*VLOOKUP(B74,AmmoTypeFactors,14,FALSE)*IF('Ammo Input'!R74,1.1,1))</f>
        <v>#VALUE!</v>
      </c>
      <c r="Q74">
        <f>IFERROR(__xludf.DUMMYFUNCTION("((IF(NOT(OR(REGEXMATCH(B74, ""Arrow""), B74 = ""Javelin"", B74 = ""Stick bomb"")), ROUNDUP(('Ammo Input'!E74 / 1000) * N74)) + IF(VLOOKUP(B74, AmmoTypeFactors, 9, FALSE) = ""Steel"", ROUNDUP(('Ammo Input'!H74 -'Ammo Input'!M74) * MAX(IF('Ammo Input'!J74 &gt;"&amp;" 0, 'Ammo Input'!J74, 1), 1) * N74 / 1000))) / 'Ingredient stats'!$C$2) * IF(ISBLANK(VLOOKUP(B74,AmmoTypeFactors,15,False)),1,VLOOKUP(B74,AmmoTypeFactors,15,False))"),50)</f>
        <v>50</v>
      </c>
      <c r="R74">
        <f>IFERROR(__xludf.DUMMYFUNCTION("ROUNDUP((IF(REGEXMATCH(B74, ""Arrow"") + (B74 = ""Javelin""), 'Ammo Input'!E74) + IF(VLOOKUP(B74, AmmoTypeFactors, 9, FALSE) = ""Wood"", 'Ammo Input'!H74) + IF(B74 = ""Stick bomb"", 'Ammo Input'!E74)) * N74 / 'Ingredient stats'!$C$12 / 1000)"),0)</f>
        <v>0</v>
      </c>
      <c r="S74">
        <v>0</v>
      </c>
      <c r="T74">
        <v>0</v>
      </c>
      <c r="U74">
        <f>IF(VLOOKUP(B74,AmmoTypeFactors,9,FALSE)="Plasteel",ROUNDUP(('Ammo Input'!H74*MAX(IF('Ammo Input'!J74&gt;0,'Ammo Input'!J74,1)*N74/1000/'Ingredient stats'!$C$4)),0),0)</f>
        <v>0</v>
      </c>
      <c r="V74">
        <f>IFERROR(__xludf.DUMMYFUNCTION("ROUNDUP(IF(ISBLANK(VLOOKUP(B74,AmmoTypeFactors,16,False)),1,VLOOKUP(B74,AmmoTypeFactors,16,False)) * (IFS(REGEXMATCH(B74, ""EMP""), 'Ammo Input'!M74 * N74 / 'Ingredient stats'!$C$5, REGEXMATCH(B74, ""Charge""), (U74^0.75), true, 0) + (IF(VLOOKUP(B74, Ammo"&amp;"TypeFactors, 10, false), 2,0) + IF('Ammo Input'!P74, 2,0) + IF('Ammo Input'!Q74,MIN(ROUNDUP(0.2*('Ammo Input'!H74/1000)*'Ammo Input'!O74,0),20),0))))"),11)</f>
        <v>11</v>
      </c>
      <c r="W74">
        <v>0</v>
      </c>
      <c r="X74">
        <v>0</v>
      </c>
      <c r="Y74">
        <v>0</v>
      </c>
      <c r="Z74">
        <v>0</v>
      </c>
      <c r="AA74">
        <v>0</v>
      </c>
      <c r="AB74" s="30">
        <f>IF(B74="Sling Bullet (Stone)",ROUNDUP(D74*0.02*E74/'Ingredient stats'!$C$8,0),0)</f>
        <v>0</v>
      </c>
      <c r="AC74" t="str">
        <f t="shared" si="4"/>
        <v>None</v>
      </c>
      <c r="AD74" t="str">
        <f>IF(OR(B74="Buck",B74="Bird",B74="Charge (Scatter)"),'Ammo Input'!J74,"None")</f>
        <v>None</v>
      </c>
      <c r="AE74" t="str">
        <f>_xlfn.IFS(ISTEXT(Calcs!N74),Calcs!N74,Calcs!N74&lt;=40,Calcs!N74,Calcs!N74&gt;41,"40")</f>
        <v>None</v>
      </c>
      <c r="AF74" t="str">
        <f>_xlfn.IFS(ISTEXT(Calcs!O74),Calcs!O74,Calcs!O74&lt;=80,Calcs!O74,Calcs!O74&gt;=81,"80")</f>
        <v>None</v>
      </c>
      <c r="AG74" s="25">
        <f t="shared" si="5"/>
        <v>3</v>
      </c>
      <c r="AH74" s="25">
        <f t="shared" si="6"/>
        <v>0.45</v>
      </c>
      <c r="AI74" s="25">
        <f t="shared" si="7"/>
        <v>2</v>
      </c>
    </row>
    <row r="75" ht="14.4" spans="1:35">
      <c r="A75" s="24" t="str">
        <f>'Ammo Input'!A75</f>
        <v>40x46mm Grenade</v>
      </c>
      <c r="B75" t="str">
        <f>'Ammo Input'!B75</f>
        <v>Smoke</v>
      </c>
      <c r="C75">
        <f>ROUNDUP(('Ammo Input'!C75*(MAX('Ammo Input'!D75,'Ammo Input'!F75)*0.5)^2*PI())*3/1000000,2)</f>
        <v>0.4</v>
      </c>
      <c r="D75">
        <f>ROUNDUP(('Ammo Input'!E75+'Ammo Input'!H75*IF('Ammo Input'!J75&lt;&gt;"",MAX('Ammo Input'!J75,1),1))/1000,3)</f>
        <v>0.239</v>
      </c>
      <c r="E75">
        <f>MIN(5000,MAX(25,CEILING(Calcs!L75,_xlfn.IFS(Calcs!L75&lt;100,25,Calcs!L75&lt;250,50,Calcs!L75&lt;1000,250,Calcs!L75&gt;=1000,1000))))</f>
        <v>500</v>
      </c>
      <c r="F75">
        <f>ROUNDUP('Ammo Input'!G75^(3/4),0)</f>
        <v>27</v>
      </c>
      <c r="G75">
        <f>ROUND((0.5*((IF(OR(B75="HEAT",B75="HEDP"),'Ammo Input'!N75,'Ammo Input'!H75)/1000)*(IF(B75="HEAT",9000,IF(B75="HEDP",1500,'Ammo Input'!G75))^2))),0)</f>
        <v>566</v>
      </c>
      <c r="H75" s="25" t="str">
        <f>CONCATENATE(IF((B75="Foam")+(B75="Smoke"),"-",ROUND(Calcs!D75,0))," ",VLOOKUP(B75,AmmoTypeFactors,5,FALSE))</f>
        <v>- Smoke</v>
      </c>
      <c r="I75" s="25" t="str">
        <f>IF(Calcs!E75=0,"None",CONCATENATE(ROUND(Calcs!E75,0)," ",VLOOKUP(B75,AmmoTypeFactors,6,FALSE)))</f>
        <v>None</v>
      </c>
      <c r="J75">
        <f>MROUND(2.42*'Ammo Input'!M75^(1/3)*VLOOKUP(B75,AmmoTypeFactors,3,FALSE),0.5)</f>
        <v>2</v>
      </c>
      <c r="K75" s="25" t="str">
        <f>IF(VLOOKUP(B75,AmmoTypeFactors,12,FALSE),MROUND(J75/3,0.5),"None")</f>
        <v>None</v>
      </c>
      <c r="L75" s="25" t="str">
        <f>IF(VLOOKUP(B75,AmmoTypeFactors,8,FALSE),"None",ROUNDUP(IF(Calcs!I75&gt;0,Calcs!I75,Calcs!H75),3))</f>
        <v>None</v>
      </c>
      <c r="M75" s="25" t="str">
        <f>IF(VLOOKUP(B75,AmmoTypeFactors,8,FALSE),"None",'Ammo Input'!L75)</f>
        <v>None</v>
      </c>
      <c r="N75">
        <f>'Ammo Input'!O75</f>
        <v>100</v>
      </c>
      <c r="O75" t="e">
        <f>ROUND((P75*0.0036+SUMPRODUCT(Q75:AB75,VLOOKUP($Q$1:$AB$1,IngredientStats,2,FALSE)))/N75*IF('Ammo Input'!R75,0.5,1),2)</f>
        <v>#VALUE!</v>
      </c>
      <c r="P75" t="e">
        <f>(SUMPRODUCT(Q75:AB75,VLOOKUP($Q$1:$AB$1,IngredientStats,4,FALSE))*VLOOKUP(B75,AmmoTypeFactors,14,FALSE)*IF('Ammo Input'!R75,1.1,1))</f>
        <v>#VALUE!</v>
      </c>
      <c r="Q75">
        <f>IFERROR(__xludf.DUMMYFUNCTION("((IF(NOT(OR(REGEXMATCH(B75, ""Arrow""), B75 = ""Javelin"", B75 = ""Stick bomb"")), ROUNDUP(('Ammo Input'!E75 / 1000) * N75)) + IF(VLOOKUP(B75, AmmoTypeFactors, 9, FALSE) = ""Steel"", ROUNDUP(('Ammo Input'!H75 -'Ammo Input'!M75) * MAX(IF('Ammo Input'!J75 &gt;"&amp;" 0, 'Ammo Input'!J75, 1), 1) * N75 / 1000))) / 'Ingredient stats'!$C$2) * IF(ISBLANK(VLOOKUP(B75,AmmoTypeFactors,15,False)),1,VLOOKUP(B75,AmmoTypeFactors,15,False))"),50)</f>
        <v>50</v>
      </c>
      <c r="R75">
        <f>IFERROR(__xludf.DUMMYFUNCTION("ROUNDUP((IF(REGEXMATCH(B75, ""Arrow"") + (B75 = ""Javelin""), 'Ammo Input'!E75) + IF(VLOOKUP(B75, AmmoTypeFactors, 9, FALSE) = ""Wood"", 'Ammo Input'!H75) + IF(B75 = ""Stick bomb"", 'Ammo Input'!E75)) * N75 / 'Ingredient stats'!$C$12 / 1000)"),0)</f>
        <v>0</v>
      </c>
      <c r="S75">
        <v>0</v>
      </c>
      <c r="T75">
        <v>0</v>
      </c>
      <c r="U75">
        <f>IF(VLOOKUP(B75,AmmoTypeFactors,9,FALSE)="Plasteel",ROUNDUP(('Ammo Input'!H75*MAX(IF('Ammo Input'!J75&gt;0,'Ammo Input'!J75,1)*N75/1000/'Ingredient stats'!$C$4)),0),0)</f>
        <v>0</v>
      </c>
      <c r="V75">
        <f>IFERROR(__xludf.DUMMYFUNCTION("ROUNDUP(IF(ISBLANK(VLOOKUP(B75,AmmoTypeFactors,16,False)),1,VLOOKUP(B75,AmmoTypeFactors,16,False)) * (IFS(REGEXMATCH(B75, ""EMP""), 'Ammo Input'!M75 * N75 / 'Ingredient stats'!$C$5, REGEXMATCH(B75, ""Charge""), (U75^0.75), true, 0) + (IF(VLOOKUP(B75, Ammo"&amp;"TypeFactors, 10, false), 2,0) + IF('Ammo Input'!P75, 2,0) + IF('Ammo Input'!Q75,MIN(ROUNDUP(0.2*('Ammo Input'!H75/1000)*'Ammo Input'!O75,0),20),0))))"),2)</f>
        <v>2</v>
      </c>
      <c r="W75">
        <v>3</v>
      </c>
      <c r="X75">
        <v>0</v>
      </c>
      <c r="Y75">
        <v>0</v>
      </c>
      <c r="Z75">
        <v>0</v>
      </c>
      <c r="AA75">
        <v>0</v>
      </c>
      <c r="AB75" s="30">
        <f>IF(B75="Sling Bullet (Stone)",ROUNDUP(D75*0.02*E75/'Ingredient stats'!$C$8,0),0)</f>
        <v>0</v>
      </c>
      <c r="AC75" t="str">
        <f t="shared" si="4"/>
        <v>None</v>
      </c>
      <c r="AD75" t="str">
        <f>IF(OR(B75="Buck",B75="Bird",B75="Charge (Scatter)"),'Ammo Input'!J75,"None")</f>
        <v>None</v>
      </c>
      <c r="AE75" t="str">
        <f>_xlfn.IFS(ISTEXT(Calcs!N75),Calcs!N75,Calcs!N75&lt;=40,Calcs!N75,Calcs!N75&gt;41,"40")</f>
        <v>None</v>
      </c>
      <c r="AF75" t="str">
        <f>_xlfn.IFS(ISTEXT(Calcs!O75),Calcs!O75,Calcs!O75&lt;=80,Calcs!O75,Calcs!O75&gt;=81,"80")</f>
        <v>None</v>
      </c>
      <c r="AG75" s="25">
        <f t="shared" si="5"/>
        <v>0</v>
      </c>
      <c r="AH75" s="25">
        <f t="shared" si="6"/>
        <v>0.45</v>
      </c>
      <c r="AI75" s="25">
        <f t="shared" si="7"/>
        <v>0</v>
      </c>
    </row>
    <row r="76" ht="14.4" spans="1:35">
      <c r="A76" s="24" t="str">
        <f>'Ammo Input'!A76</f>
        <v>40x47mm Grenade</v>
      </c>
      <c r="B76" t="str">
        <f>'Ammo Input'!B76</f>
        <v>Frag</v>
      </c>
      <c r="C76">
        <f>ROUNDUP(('Ammo Input'!C76*(MAX('Ammo Input'!D76,'Ammo Input'!F76)*0.5)^2*PI())*3/1000000,2)</f>
        <v>0.43</v>
      </c>
      <c r="D76">
        <f>ROUNDUP(('Ammo Input'!E76+'Ammo Input'!H76*IF('Ammo Input'!J76&lt;&gt;"",MAX('Ammo Input'!J76,1),1))/1000,3)</f>
        <v>0.26</v>
      </c>
      <c r="E76">
        <f>MIN(5000,MAX(25,CEILING(Calcs!L76,_xlfn.IFS(Calcs!L76&lt;100,25,Calcs!L76&lt;250,50,Calcs!L76&lt;1000,250,Calcs!L76&gt;=1000,1000))))</f>
        <v>500</v>
      </c>
      <c r="F76">
        <f>ROUNDUP('Ammo Input'!G76^(3/4),0)</f>
        <v>26</v>
      </c>
      <c r="G76">
        <f>ROUND((0.5*((IF(OR(B76="HEAT",B76="HEDP"),'Ammo Input'!N76,'Ammo Input'!H76)/1000)*(IF(B76="HEAT",9000,IF(B76="HEDP",1500,'Ammo Input'!G76))^2))),0)</f>
        <v>593</v>
      </c>
      <c r="H76" s="25" t="str">
        <f>CONCATENATE(IF((B76="Foam")+(B76="Smoke"),"-",ROUND(Calcs!D76,0))," ",VLOOKUP(B76,AmmoTypeFactors,5,FALSE))</f>
        <v>22 Bomb</v>
      </c>
      <c r="I76" s="25" t="str">
        <f>IF(Calcs!E76=0,"None",CONCATENATE(ROUND(Calcs!E76,0)," ",VLOOKUP(B76,AmmoTypeFactors,6,FALSE)))</f>
        <v>None</v>
      </c>
      <c r="J76">
        <f>MROUND(2.42*'Ammo Input'!M76^(1/3)*VLOOKUP(B76,AmmoTypeFactors,3,FALSE),0.5)</f>
        <v>1</v>
      </c>
      <c r="K76" s="25" t="str">
        <f>IF(VLOOKUP(B76,AmmoTypeFactors,12,FALSE),MROUND(J76/3,0.5),"None")</f>
        <v>None</v>
      </c>
      <c r="L76" s="25" t="str">
        <f>IF(VLOOKUP(B76,AmmoTypeFactors,8,FALSE),"None",ROUNDUP(IF(Calcs!I76&gt;0,Calcs!I76,Calcs!H76),3))</f>
        <v>None</v>
      </c>
      <c r="M76" s="25" t="str">
        <f>IF(VLOOKUP(B76,AmmoTypeFactors,8,FALSE),"None",'Ammo Input'!L76)</f>
        <v>None</v>
      </c>
      <c r="N76">
        <f>'Ammo Input'!O76</f>
        <v>100</v>
      </c>
      <c r="O76" t="e">
        <f>ROUND((P76*0.0036+SUMPRODUCT(Q76:AB76,VLOOKUP($Q$1:$AB$1,IngredientStats,2,FALSE)))/N76*IF('Ammo Input'!R76,0.5,1),2)</f>
        <v>#VALUE!</v>
      </c>
      <c r="P76" t="e">
        <f>(SUMPRODUCT(Q76:AB76,VLOOKUP($Q$1:$AB$1,IngredientStats,4,FALSE))*VLOOKUP(B76,AmmoTypeFactors,14,FALSE)*IF('Ammo Input'!R76,1.1,1))</f>
        <v>#VALUE!</v>
      </c>
      <c r="Q76">
        <f>IFERROR(__xludf.DUMMYFUNCTION("((IF(NOT(OR(REGEXMATCH(B76, ""Arrow""), B76 = ""Javelin"", B76 = ""Stick bomb"")), ROUNDUP(('Ammo Input'!E76 / 1000) * N76)) + IF(VLOOKUP(B76, AmmoTypeFactors, 9, FALSE) = ""Steel"", ROUNDUP(('Ammo Input'!H76 -'Ammo Input'!M76) * MAX(IF('Ammo Input'!J76 &gt;"&amp;" 0, 'Ammo Input'!J76, 1), 1) * N76 / 1000))) / 'Ingredient stats'!$C$2) * IF(ISBLANK(VLOOKUP(B76,AmmoTypeFactors,15,False)),1,VLOOKUP(B76,AmmoTypeFactors,15,False))"),52)</f>
        <v>52</v>
      </c>
      <c r="R76">
        <f>IFERROR(__xludf.DUMMYFUNCTION("ROUNDUP((IF(REGEXMATCH(B76, ""Arrow"") + (B76 = ""Javelin""), 'Ammo Input'!E76) + IF(VLOOKUP(B76, AmmoTypeFactors, 9, FALSE) = ""Wood"", 'Ammo Input'!H76) + IF(B76 = ""Stick bomb"", 'Ammo Input'!E76)) * N76 / 'Ingredient stats'!$C$12 / 1000)"),0)</f>
        <v>0</v>
      </c>
      <c r="S76">
        <v>0</v>
      </c>
      <c r="T76">
        <v>0</v>
      </c>
      <c r="U76">
        <f>IF(VLOOKUP(B76,AmmoTypeFactors,9,FALSE)="Plasteel",ROUNDUP(('Ammo Input'!H76*MAX(IF('Ammo Input'!J76&gt;0,'Ammo Input'!J76,1)*N76/1000/'Ingredient stats'!$C$4)),0),0)</f>
        <v>0</v>
      </c>
      <c r="V76">
        <f>IFERROR(__xludf.DUMMYFUNCTION("ROUNDUP(IF(ISBLANK(VLOOKUP(B76,AmmoTypeFactors,16,False)),1,VLOOKUP(B76,AmmoTypeFactors,16,False)) * (IFS(REGEXMATCH(B76, ""EMP""), 'Ammo Input'!M76 * N76 / 'Ingredient stats'!$C$5, REGEXMATCH(B76, ""Charge""), (U76^0.75), true, 0) + (IF(VLOOKUP(B76, Ammo"&amp;"TypeFactors, 10, false), 2,0) + IF('Ammo Input'!P76, 2,0) + IF('Ammo Input'!Q76,MIN(ROUNDUP(0.2*('Ammo Input'!H76/1000)*'Ammo Input'!O76,0),20),0))))"),2)</f>
        <v>2</v>
      </c>
      <c r="W76">
        <v>0</v>
      </c>
      <c r="X76">
        <v>8</v>
      </c>
      <c r="Y76">
        <v>0</v>
      </c>
      <c r="Z76">
        <v>0</v>
      </c>
      <c r="AA76">
        <v>0</v>
      </c>
      <c r="AB76" s="30">
        <f>IF(B76="Sling Bullet (Stone)",ROUNDUP(D76*0.02*E76/'Ingredient stats'!$C$8,0),0)</f>
        <v>0</v>
      </c>
      <c r="AC76" t="str">
        <f t="shared" si="4"/>
        <v>None</v>
      </c>
      <c r="AD76" t="str">
        <f>IF(OR(B76="Buck",B76="Bird",B76="Charge (Scatter)"),'Ammo Input'!J76,"None")</f>
        <v>None</v>
      </c>
      <c r="AE76">
        <f>_xlfn.IFS(ISTEXT(Calcs!N76),Calcs!N76,Calcs!N76&lt;=40,Calcs!N76,Calcs!N76&gt;41,"40")</f>
        <v>0</v>
      </c>
      <c r="AF76">
        <f>_xlfn.IFS(ISTEXT(Calcs!O76),Calcs!O76,Calcs!O76&lt;=80,Calcs!O76,Calcs!O76&gt;=81,"80")</f>
        <v>20</v>
      </c>
      <c r="AG76" s="25">
        <f t="shared" si="5"/>
        <v>3</v>
      </c>
      <c r="AH76" s="25">
        <f t="shared" si="6"/>
        <v>0.43</v>
      </c>
      <c r="AI76" s="25">
        <f t="shared" si="7"/>
        <v>2</v>
      </c>
    </row>
    <row r="77" ht="14.4" spans="1:35">
      <c r="A77" s="24" t="str">
        <f>'Ammo Input'!A77</f>
        <v>40x47mm Grenade</v>
      </c>
      <c r="B77" t="str">
        <f>'Ammo Input'!B77</f>
        <v>EMP</v>
      </c>
      <c r="C77">
        <f>ROUNDUP(('Ammo Input'!C77*(MAX('Ammo Input'!D77,'Ammo Input'!F77)*0.5)^2*PI())*3/1000000,2)</f>
        <v>0.43</v>
      </c>
      <c r="D77">
        <f>ROUNDUP(('Ammo Input'!E77+'Ammo Input'!H77*IF('Ammo Input'!J77&lt;&gt;"",MAX('Ammo Input'!J77,1),1))/1000,3)</f>
        <v>0.26</v>
      </c>
      <c r="E77">
        <f>MIN(5000,MAX(25,CEILING(Calcs!L77,_xlfn.IFS(Calcs!L77&lt;100,25,Calcs!L77&lt;250,50,Calcs!L77&lt;1000,250,Calcs!L77&gt;=1000,1000))))</f>
        <v>500</v>
      </c>
      <c r="F77">
        <f>ROUNDUP('Ammo Input'!G77^(3/4),0)</f>
        <v>26</v>
      </c>
      <c r="G77">
        <f>ROUND((0.5*((IF(OR(B77="HEAT",B77="HEDP"),'Ammo Input'!N77,'Ammo Input'!H77)/1000)*(IF(B77="HEAT",9000,IF(B77="HEDP",1500,'Ammo Input'!G77))^2))),0)</f>
        <v>593</v>
      </c>
      <c r="H77" s="25" t="str">
        <f>CONCATENATE(IF((B77="Foam")+(B77="Smoke"),"-",ROUND(Calcs!D77,0))," ",VLOOKUP(B77,AmmoTypeFactors,5,FALSE))</f>
        <v>22 EMP</v>
      </c>
      <c r="I77" s="25" t="str">
        <f>IF(Calcs!E77=0,"None",CONCATENATE(ROUND(Calcs!E77,0)," ",VLOOKUP(B77,AmmoTypeFactors,6,FALSE)))</f>
        <v>None</v>
      </c>
      <c r="J77">
        <f>MROUND(2.42*'Ammo Input'!M77^(1/3)*VLOOKUP(B77,AmmoTypeFactors,3,FALSE),0.5)</f>
        <v>2</v>
      </c>
      <c r="K77" s="25" t="str">
        <f>IF(VLOOKUP(B77,AmmoTypeFactors,12,FALSE),MROUND(J77/3,0.5),"None")</f>
        <v>None</v>
      </c>
      <c r="L77" s="25" t="str">
        <f>IF(VLOOKUP(B77,AmmoTypeFactors,8,FALSE),"None",ROUNDUP(IF(Calcs!I77&gt;0,Calcs!I77,Calcs!H77),3))</f>
        <v>None</v>
      </c>
      <c r="M77" s="25" t="str">
        <f>IF(VLOOKUP(B77,AmmoTypeFactors,8,FALSE),"None",'Ammo Input'!L77)</f>
        <v>None</v>
      </c>
      <c r="N77">
        <f>'Ammo Input'!O77</f>
        <v>100</v>
      </c>
      <c r="O77" t="e">
        <f>ROUND((P77*0.0036+SUMPRODUCT(Q77:AB77,VLOOKUP($Q$1:$AB$1,IngredientStats,2,FALSE)))/N77*IF('Ammo Input'!R77,0.5,1),2)</f>
        <v>#VALUE!</v>
      </c>
      <c r="P77" t="e">
        <f>(SUMPRODUCT(Q77:AB77,VLOOKUP($Q$1:$AB$1,IngredientStats,4,FALSE))*VLOOKUP(B77,AmmoTypeFactors,14,FALSE)*IF('Ammo Input'!R77,1.1,1))</f>
        <v>#VALUE!</v>
      </c>
      <c r="Q77">
        <f>IFERROR(__xludf.DUMMYFUNCTION("((IF(NOT(OR(REGEXMATCH(B77, ""Arrow""), B77 = ""Javelin"", B77 = ""Stick bomb"")), ROUNDUP(('Ammo Input'!E77 / 1000) * N77)) + IF(VLOOKUP(B77, AmmoTypeFactors, 9, FALSE) = ""Steel"", ROUNDUP(('Ammo Input'!H77 -'Ammo Input'!M77) * MAX(IF('Ammo Input'!J77 &gt;"&amp;" 0, 'Ammo Input'!J77, 1), 1) * N77 / 1000))) / 'Ingredient stats'!$C$2) * IF(ISBLANK(VLOOKUP(B77,AmmoTypeFactors,15,False)),1,VLOOKUP(B77,AmmoTypeFactors,15,False))"),52)</f>
        <v>52</v>
      </c>
      <c r="R77">
        <f>IFERROR(__xludf.DUMMYFUNCTION("ROUNDUP((IF(REGEXMATCH(B77, ""Arrow"") + (B77 = ""Javelin""), 'Ammo Input'!E77) + IF(VLOOKUP(B77, AmmoTypeFactors, 9, FALSE) = ""Wood"", 'Ammo Input'!H77) + IF(B77 = ""Stick bomb"", 'Ammo Input'!E77)) * N77 / 'Ingredient stats'!$C$12 / 1000)"),0)</f>
        <v>0</v>
      </c>
      <c r="S77">
        <v>0</v>
      </c>
      <c r="T77">
        <v>0</v>
      </c>
      <c r="U77">
        <f>IF(VLOOKUP(B77,AmmoTypeFactors,9,FALSE)="Plasteel",ROUNDUP(('Ammo Input'!H77*MAX(IF('Ammo Input'!J77&gt;0,'Ammo Input'!J77,1)*N77/1000/'Ingredient stats'!$C$4)),0),0)</f>
        <v>0</v>
      </c>
      <c r="V77">
        <f>IFERROR(__xludf.DUMMYFUNCTION("ROUNDUP(IF(ISBLANK(VLOOKUP(B77,AmmoTypeFactors,16,False)),1,VLOOKUP(B77,AmmoTypeFactors,16,False)) * (IFS(REGEXMATCH(B77, ""EMP""), 'Ammo Input'!M77 * N77 / 'Ingredient stats'!$C$5, REGEXMATCH(B77, ""Charge""), (U77^0.75), true, 0) + (IF(VLOOKUP(B77, Ammo"&amp;"TypeFactors, 10, false), 2,0) + IF('Ammo Input'!P77, 2,0) + IF('Ammo Input'!Q77,MIN(ROUNDUP(0.2*('Ammo Input'!H77/1000)*'Ammo Input'!O77,0),20),0))))"),11)</f>
        <v>11</v>
      </c>
      <c r="W77">
        <v>0</v>
      </c>
      <c r="X77">
        <v>0</v>
      </c>
      <c r="Y77">
        <v>0</v>
      </c>
      <c r="Z77">
        <v>0</v>
      </c>
      <c r="AA77">
        <v>0</v>
      </c>
      <c r="AB77" s="30">
        <f>IF(B77="Sling Bullet (Stone)",ROUNDUP(D77*0.02*E77/'Ingredient stats'!$C$8,0),0)</f>
        <v>0</v>
      </c>
      <c r="AC77" t="str">
        <f t="shared" si="4"/>
        <v>None</v>
      </c>
      <c r="AD77" t="str">
        <f>IF(OR(B77="Buck",B77="Bird",B77="Charge (Scatter)"),'Ammo Input'!J77,"None")</f>
        <v>None</v>
      </c>
      <c r="AE77" t="str">
        <f>_xlfn.IFS(ISTEXT(Calcs!N77),Calcs!N77,Calcs!N77&lt;=40,Calcs!N77,Calcs!N77&gt;41,"40")</f>
        <v>None</v>
      </c>
      <c r="AF77" t="str">
        <f>_xlfn.IFS(ISTEXT(Calcs!O77),Calcs!O77,Calcs!O77&lt;=80,Calcs!O77,Calcs!O77&gt;=81,"80")</f>
        <v>None</v>
      </c>
      <c r="AG77" s="25">
        <f t="shared" si="5"/>
        <v>3</v>
      </c>
      <c r="AH77" s="25">
        <f t="shared" si="6"/>
        <v>0.43</v>
      </c>
      <c r="AI77" s="25">
        <f t="shared" si="7"/>
        <v>2</v>
      </c>
    </row>
    <row r="78" ht="14.4" spans="1:35">
      <c r="A78" s="24" t="str">
        <f>'Ammo Input'!A78</f>
        <v>40x47mm Grenade</v>
      </c>
      <c r="B78" t="str">
        <f>'Ammo Input'!B78</f>
        <v>Smoke</v>
      </c>
      <c r="C78">
        <f>ROUNDUP(('Ammo Input'!C78*(MAX('Ammo Input'!D78,'Ammo Input'!F78)*0.5)^2*PI())*3/1000000,2)</f>
        <v>0.43</v>
      </c>
      <c r="D78">
        <f>ROUNDUP(('Ammo Input'!E78+'Ammo Input'!H78*IF('Ammo Input'!J78&lt;&gt;"",MAX('Ammo Input'!J78,1),1))/1000,3)</f>
        <v>0.26</v>
      </c>
      <c r="E78">
        <f>MIN(5000,MAX(25,CEILING(Calcs!L78,_xlfn.IFS(Calcs!L78&lt;100,25,Calcs!L78&lt;250,50,Calcs!L78&lt;1000,250,Calcs!L78&gt;=1000,1000))))</f>
        <v>500</v>
      </c>
      <c r="F78">
        <f>ROUNDUP('Ammo Input'!G78^(3/4),0)</f>
        <v>26</v>
      </c>
      <c r="G78">
        <f>ROUND((0.5*((IF(OR(B78="HEAT",B78="HEDP"),'Ammo Input'!N78,'Ammo Input'!H78)/1000)*(IF(B78="HEAT",9000,IF(B78="HEDP",1500,'Ammo Input'!G78))^2))),0)</f>
        <v>593</v>
      </c>
      <c r="H78" s="25" t="str">
        <f>CONCATENATE(IF((B78="Foam")+(B78="Smoke"),"-",ROUND(Calcs!D78,0))," ",VLOOKUP(B78,AmmoTypeFactors,5,FALSE))</f>
        <v>- Smoke</v>
      </c>
      <c r="I78" s="25" t="str">
        <f>IF(Calcs!E78=0,"None",CONCATENATE(ROUND(Calcs!E78,0)," ",VLOOKUP(B78,AmmoTypeFactors,6,FALSE)))</f>
        <v>None</v>
      </c>
      <c r="J78">
        <f>MROUND(2.42*'Ammo Input'!M78^(1/3)*VLOOKUP(B78,AmmoTypeFactors,3,FALSE),0.5)</f>
        <v>2</v>
      </c>
      <c r="K78" s="25" t="str">
        <f>IF(VLOOKUP(B78,AmmoTypeFactors,12,FALSE),MROUND(J78/3,0.5),"None")</f>
        <v>None</v>
      </c>
      <c r="L78" s="25" t="str">
        <f>IF(VLOOKUP(B78,AmmoTypeFactors,8,FALSE),"None",ROUNDUP(IF(Calcs!I78&gt;0,Calcs!I78,Calcs!H78),3))</f>
        <v>None</v>
      </c>
      <c r="M78" s="25" t="str">
        <f>IF(VLOOKUP(B78,AmmoTypeFactors,8,FALSE),"None",'Ammo Input'!L78)</f>
        <v>None</v>
      </c>
      <c r="N78">
        <f>'Ammo Input'!O78</f>
        <v>100</v>
      </c>
      <c r="O78" t="e">
        <f>ROUND((P78*0.0036+SUMPRODUCT(Q78:AB78,VLOOKUP($Q$1:$AB$1,IngredientStats,2,FALSE)))/N78*IF('Ammo Input'!R78,0.5,1),2)</f>
        <v>#VALUE!</v>
      </c>
      <c r="P78" t="e">
        <f>(SUMPRODUCT(Q78:AB78,VLOOKUP($Q$1:$AB$1,IngredientStats,4,FALSE))*VLOOKUP(B78,AmmoTypeFactors,14,FALSE)*IF('Ammo Input'!R78,1.1,1))</f>
        <v>#VALUE!</v>
      </c>
      <c r="Q78">
        <f>IFERROR(__xludf.DUMMYFUNCTION("((IF(NOT(OR(REGEXMATCH(B78, ""Arrow""), B78 = ""Javelin"", B78 = ""Stick bomb"")), ROUNDUP(('Ammo Input'!E78 / 1000) * N78)) + IF(VLOOKUP(B78, AmmoTypeFactors, 9, FALSE) = ""Steel"", ROUNDUP(('Ammo Input'!H78 -'Ammo Input'!M78) * MAX(IF('Ammo Input'!J78 &gt;"&amp;" 0, 'Ammo Input'!J78, 1), 1) * N78 / 1000))) / 'Ingredient stats'!$C$2) * IF(ISBLANK(VLOOKUP(B78,AmmoTypeFactors,15,False)),1,VLOOKUP(B78,AmmoTypeFactors,15,False))"),52)</f>
        <v>52</v>
      </c>
      <c r="R78">
        <f>IFERROR(__xludf.DUMMYFUNCTION("ROUNDUP((IF(REGEXMATCH(B78, ""Arrow"") + (B78 = ""Javelin""), 'Ammo Input'!E78) + IF(VLOOKUP(B78, AmmoTypeFactors, 9, FALSE) = ""Wood"", 'Ammo Input'!H78) + IF(B78 = ""Stick bomb"", 'Ammo Input'!E78)) * N78 / 'Ingredient stats'!$C$12 / 1000)"),0)</f>
        <v>0</v>
      </c>
      <c r="S78">
        <v>0</v>
      </c>
      <c r="T78">
        <v>0</v>
      </c>
      <c r="U78">
        <f>IF(VLOOKUP(B78,AmmoTypeFactors,9,FALSE)="Plasteel",ROUNDUP(('Ammo Input'!H78*MAX(IF('Ammo Input'!J78&gt;0,'Ammo Input'!J78,1)*N78/1000/'Ingredient stats'!$C$4)),0),0)</f>
        <v>0</v>
      </c>
      <c r="V78">
        <f>IFERROR(__xludf.DUMMYFUNCTION("ROUNDUP(IF(ISBLANK(VLOOKUP(B78,AmmoTypeFactors,16,False)),1,VLOOKUP(B78,AmmoTypeFactors,16,False)) * (IFS(REGEXMATCH(B78, ""EMP""), 'Ammo Input'!M78 * N78 / 'Ingredient stats'!$C$5, REGEXMATCH(B78, ""Charge""), (U78^0.75), true, 0) + (IF(VLOOKUP(B78, Ammo"&amp;"TypeFactors, 10, false), 2,0) + IF('Ammo Input'!P78, 2,0) + IF('Ammo Input'!Q78,MIN(ROUNDUP(0.2*('Ammo Input'!H78/1000)*'Ammo Input'!O78,0),20),0))))"),2)</f>
        <v>2</v>
      </c>
      <c r="W78">
        <v>3</v>
      </c>
      <c r="X78">
        <v>0</v>
      </c>
      <c r="Y78">
        <v>0</v>
      </c>
      <c r="Z78">
        <v>0</v>
      </c>
      <c r="AA78">
        <v>0</v>
      </c>
      <c r="AB78" s="30">
        <f>IF(B78="Sling Bullet (Stone)",ROUNDUP(D78*0.02*E78/'Ingredient stats'!$C$8,0),0)</f>
        <v>0</v>
      </c>
      <c r="AC78" t="str">
        <f t="shared" si="4"/>
        <v>None</v>
      </c>
      <c r="AD78" t="str">
        <f>IF(OR(B78="Buck",B78="Bird",B78="Charge (Scatter)"),'Ammo Input'!J78,"None")</f>
        <v>None</v>
      </c>
      <c r="AE78" t="str">
        <f>_xlfn.IFS(ISTEXT(Calcs!N78),Calcs!N78,Calcs!N78&lt;=40,Calcs!N78,Calcs!N78&gt;41,"40")</f>
        <v>None</v>
      </c>
      <c r="AF78" t="str">
        <f>_xlfn.IFS(ISTEXT(Calcs!O78),Calcs!O78,Calcs!O78&lt;=80,Calcs!O78,Calcs!O78&gt;=81,"80")</f>
        <v>None</v>
      </c>
      <c r="AG78" s="25">
        <f t="shared" si="5"/>
        <v>0</v>
      </c>
      <c r="AH78" s="25">
        <f t="shared" si="6"/>
        <v>0.43</v>
      </c>
      <c r="AI78" s="25">
        <f t="shared" si="7"/>
        <v>0</v>
      </c>
    </row>
    <row r="79" ht="14.4" spans="1:35">
      <c r="A79" s="24" t="str">
        <f>'Ammo Input'!A79</f>
        <v>40x53mm Grenade</v>
      </c>
      <c r="B79" t="str">
        <f>'Ammo Input'!B79</f>
        <v>Frag</v>
      </c>
      <c r="C79">
        <f>ROUNDUP(('Ammo Input'!C79*(MAX('Ammo Input'!D79,'Ammo Input'!F79)*0.5)^2*PI())*3/1000000,2)</f>
        <v>0.43</v>
      </c>
      <c r="D79">
        <f>ROUNDUP(('Ammo Input'!E79+'Ammo Input'!H79*IF('Ammo Input'!J79&lt;&gt;"",MAX('Ammo Input'!J79,1),1))/1000,3)</f>
        <v>0.375</v>
      </c>
      <c r="E79">
        <f>MIN(5000,MAX(25,CEILING(Calcs!L79,_xlfn.IFS(Calcs!L79&lt;100,25,Calcs!L79&lt;250,50,Calcs!L79&lt;1000,250,Calcs!L79&gt;=1000,1000))))</f>
        <v>500</v>
      </c>
      <c r="F79">
        <f>ROUNDUP('Ammo Input'!G79^(3/4),0)</f>
        <v>62</v>
      </c>
      <c r="G79">
        <f>ROUND((0.5*((IF(OR(B79="HEAT",B79="HEDP"),'Ammo Input'!N79,'Ammo Input'!H79)/1000)*(IF(B79="HEAT",9000,IF(B79="HEDP",1500,'Ammo Input'!G79))^2))),0)</f>
        <v>10102</v>
      </c>
      <c r="H79" s="25" t="str">
        <f>CONCATENATE(IF((B79="Foam")+(B79="Smoke"),"-",ROUND(Calcs!D79,0))," ",VLOOKUP(B79,AmmoTypeFactors,5,FALSE))</f>
        <v>23 Bomb</v>
      </c>
      <c r="I79" s="25" t="str">
        <f>IF(Calcs!E79=0,"None",CONCATENATE(ROUND(Calcs!E79,0)," ",VLOOKUP(B79,AmmoTypeFactors,6,FALSE)))</f>
        <v>None</v>
      </c>
      <c r="J79">
        <f>MROUND(2.42*'Ammo Input'!M79^(1/3)*VLOOKUP(B79,AmmoTypeFactors,3,FALSE),0.5)</f>
        <v>1</v>
      </c>
      <c r="K79" s="25" t="str">
        <f>IF(VLOOKUP(B79,AmmoTypeFactors,12,FALSE),MROUND(J79/3,0.5),"None")</f>
        <v>None</v>
      </c>
      <c r="L79" s="25" t="str">
        <f>IF(VLOOKUP(B79,AmmoTypeFactors,8,FALSE),"None",ROUNDUP(IF(Calcs!I79&gt;0,Calcs!I79,Calcs!H79),3))</f>
        <v>None</v>
      </c>
      <c r="M79" s="25" t="str">
        <f>IF(VLOOKUP(B79,AmmoTypeFactors,8,FALSE),"None",'Ammo Input'!L79)</f>
        <v>None</v>
      </c>
      <c r="N79">
        <f>'Ammo Input'!O79</f>
        <v>100</v>
      </c>
      <c r="O79" t="e">
        <f>ROUND((P79*0.0036+SUMPRODUCT(Q79:AB79,VLOOKUP($Q$1:$AB$1,IngredientStats,2,FALSE)))/N79*IF('Ammo Input'!R79,0.5,1),2)</f>
        <v>#VALUE!</v>
      </c>
      <c r="P79" t="e">
        <f>(SUMPRODUCT(Q79:AB79,VLOOKUP($Q$1:$AB$1,IngredientStats,4,FALSE))*VLOOKUP(B79,AmmoTypeFactors,14,FALSE)*IF('Ammo Input'!R79,1.1,1))</f>
        <v>#VALUE!</v>
      </c>
      <c r="Q79">
        <f>IFERROR(__xludf.DUMMYFUNCTION("((IF(NOT(OR(REGEXMATCH(B79, ""Arrow""), B79 = ""Javelin"", B79 = ""Stick bomb"")), ROUNDUP(('Ammo Input'!E79 / 1000) * N79)) + IF(VLOOKUP(B79, AmmoTypeFactors, 9, FALSE) = ""Steel"", ROUNDUP(('Ammo Input'!H79 -'Ammo Input'!M79) * MAX(IF('Ammo Input'!J79 &gt;"&amp;" 0, 'Ammo Input'!J79, 1), 1) * N79 / 1000))) / 'Ingredient stats'!$C$2) * IF(ISBLANK(VLOOKUP(B79,AmmoTypeFactors,15,False)),1,VLOOKUP(B79,AmmoTypeFactors,15,False))"),76)</f>
        <v>76</v>
      </c>
      <c r="R79">
        <f>IFERROR(__xludf.DUMMYFUNCTION("ROUNDUP((IF(REGEXMATCH(B79, ""Arrow"") + (B79 = ""Javelin""), 'Ammo Input'!E79) + IF(VLOOKUP(B79, AmmoTypeFactors, 9, FALSE) = ""Wood"", 'Ammo Input'!H79) + IF(B79 = ""Stick bomb"", 'Ammo Input'!E79)) * N79 / 'Ingredient stats'!$C$12 / 1000)"),0)</f>
        <v>0</v>
      </c>
      <c r="S79">
        <v>0</v>
      </c>
      <c r="T79">
        <v>0</v>
      </c>
      <c r="U79">
        <f>IF(VLOOKUP(B79,AmmoTypeFactors,9,FALSE)="Plasteel",ROUNDUP(('Ammo Input'!H79*MAX(IF('Ammo Input'!J79&gt;0,'Ammo Input'!J79,1)*N79/1000/'Ingredient stats'!$C$4)),0),0)</f>
        <v>0</v>
      </c>
      <c r="V79">
        <f>IFERROR(__xludf.DUMMYFUNCTION("ROUNDUP(IF(ISBLANK(VLOOKUP(B79,AmmoTypeFactors,16,False)),1,VLOOKUP(B79,AmmoTypeFactors,16,False)) * (IFS(REGEXMATCH(B79, ""EMP""), 'Ammo Input'!M79 * N79 / 'Ingredient stats'!$C$5, REGEXMATCH(B79, ""Charge""), (U79^0.75), true, 0) + (IF(VLOOKUP(B79, Ammo"&amp;"TypeFactors, 10, false), 2,0) + IF('Ammo Input'!P79, 2,0) + IF('Ammo Input'!Q79,MIN(ROUNDUP(0.2*('Ammo Input'!H79/1000)*'Ammo Input'!O79,0),20),0))))"),2)</f>
        <v>2</v>
      </c>
      <c r="W79">
        <v>0</v>
      </c>
      <c r="X79">
        <v>9</v>
      </c>
      <c r="Y79">
        <v>0</v>
      </c>
      <c r="Z79">
        <v>0</v>
      </c>
      <c r="AA79">
        <v>0</v>
      </c>
      <c r="AB79" s="30">
        <f>IF(B79="Sling Bullet (Stone)",ROUNDUP(D79*0.02*E79/'Ingredient stats'!$C$8,0),0)</f>
        <v>0</v>
      </c>
      <c r="AC79" t="str">
        <f t="shared" si="4"/>
        <v>None</v>
      </c>
      <c r="AD79" t="str">
        <f>IF(OR(B79="Buck",B79="Bird",B79="Charge (Scatter)"),'Ammo Input'!J79,"None")</f>
        <v>None</v>
      </c>
      <c r="AE79">
        <f>_xlfn.IFS(ISTEXT(Calcs!N79),Calcs!N79,Calcs!N79&lt;=40,Calcs!N79,Calcs!N79&gt;41,"40")</f>
        <v>0</v>
      </c>
      <c r="AF79">
        <f>_xlfn.IFS(ISTEXT(Calcs!O79),Calcs!O79,Calcs!O79&lt;=80,Calcs!O79,Calcs!O79&gt;=81,"80")</f>
        <v>35</v>
      </c>
      <c r="AG79" s="25">
        <f t="shared" si="5"/>
        <v>3</v>
      </c>
      <c r="AH79" s="25">
        <f t="shared" si="6"/>
        <v>1.03</v>
      </c>
      <c r="AI79" s="25">
        <f t="shared" si="7"/>
        <v>2</v>
      </c>
    </row>
    <row r="80" ht="14.4" spans="1:35">
      <c r="A80" s="24" t="str">
        <f>'Ammo Input'!A80</f>
        <v>40x53mm Grenade</v>
      </c>
      <c r="B80" t="str">
        <f>'Ammo Input'!B80</f>
        <v>HEDP</v>
      </c>
      <c r="C80">
        <f>ROUNDUP(('Ammo Input'!C80*(MAX('Ammo Input'!D80,'Ammo Input'!F80)*0.5)^2*PI())*3/1000000,2)</f>
        <v>0.43</v>
      </c>
      <c r="D80">
        <f>ROUNDUP(('Ammo Input'!E80+'Ammo Input'!H80*IF('Ammo Input'!J80&lt;&gt;"",MAX('Ammo Input'!J80,1),1))/1000,3)</f>
        <v>0.375</v>
      </c>
      <c r="E80">
        <f>MIN(5000,MAX(25,CEILING(Calcs!L80,_xlfn.IFS(Calcs!L80&lt;100,25,Calcs!L80&lt;250,50,Calcs!L80&lt;1000,250,Calcs!L80&gt;=1000,1000))))</f>
        <v>500</v>
      </c>
      <c r="F80">
        <f>ROUNDUP('Ammo Input'!G80^(3/4),0)</f>
        <v>62</v>
      </c>
      <c r="G80">
        <f>ROUND((0.5*((IF(OR(B80="HEAT",B80="HEDP"),'Ammo Input'!N80,'Ammo Input'!H80)/1000)*(IF(B80="HEAT",9000,IF(B80="HEDP",1500,'Ammo Input'!G80))^2))),0)</f>
        <v>15188</v>
      </c>
      <c r="H80" s="25" t="str">
        <f>CONCATENATE(IF((B80="Foam")+(B80="Smoke"),"-",ROUND(Calcs!D80,0))," ",VLOOKUP(B80,AmmoTypeFactors,5,FALSE))</f>
        <v>37 Bullet</v>
      </c>
      <c r="I80" s="25" t="str">
        <f>IF(Calcs!E80=0,"None",CONCATENATE(ROUND(Calcs!E80,0)," ",VLOOKUP(B80,AmmoTypeFactors,6,FALSE)))</f>
        <v>19 Bomb</v>
      </c>
      <c r="J80">
        <f>MROUND(2.42*'Ammo Input'!M80^(1/3)*VLOOKUP(B80,AmmoTypeFactors,3,FALSE),0.5)</f>
        <v>0.5</v>
      </c>
      <c r="K80" s="25" t="str">
        <f>IF(VLOOKUP(B80,AmmoTypeFactors,12,FALSE),MROUND(J80/3,0.5),"None")</f>
        <v>None</v>
      </c>
      <c r="L80" s="25">
        <f>IF(VLOOKUP(B80,AmmoTypeFactors,8,FALSE),"None",ROUNDUP(IF(Calcs!I80&gt;0,Calcs!I80,Calcs!H80),3))</f>
        <v>5.768</v>
      </c>
      <c r="M80" s="25">
        <f>IF(VLOOKUP(B80,AmmoTypeFactors,8,FALSE),"None",'Ammo Input'!L80)</f>
        <v>76</v>
      </c>
      <c r="N80">
        <f>'Ammo Input'!O80</f>
        <v>100</v>
      </c>
      <c r="O80" t="e">
        <f>ROUND((P80*0.0036+SUMPRODUCT(Q80:AB80,VLOOKUP($Q$1:$AB$1,IngredientStats,2,FALSE)))/N80*IF('Ammo Input'!R80,0.5,1),2)</f>
        <v>#VALUE!</v>
      </c>
      <c r="P80" t="e">
        <f>(SUMPRODUCT(Q80:AB80,VLOOKUP($Q$1:$AB$1,IngredientStats,4,FALSE))*VLOOKUP(B80,AmmoTypeFactors,14,FALSE)*IF('Ammo Input'!R80,1.1,1))</f>
        <v>#VALUE!</v>
      </c>
      <c r="Q80">
        <f>IFERROR(__xludf.DUMMYFUNCTION("((IF(NOT(OR(REGEXMATCH(B80, ""Arrow""), B80 = ""Javelin"", B80 = ""Stick bomb"")), ROUNDUP(('Ammo Input'!E80 / 1000) * N80)) + IF(VLOOKUP(B80, AmmoTypeFactors, 9, FALSE) = ""Steel"", ROUNDUP(('Ammo Input'!H80 -'Ammo Input'!M80) * MAX(IF('Ammo Input'!J80 &gt;"&amp;" 0, 'Ammo Input'!J80, 1), 1) * N80 / 1000))) / 'Ingredient stats'!$C$2) * IF(ISBLANK(VLOOKUP(B80,AmmoTypeFactors,15,False)),1,VLOOKUP(B80,AmmoTypeFactors,15,False))"),76)</f>
        <v>76</v>
      </c>
      <c r="R80">
        <f>IFERROR(__xludf.DUMMYFUNCTION("ROUNDUP((IF(REGEXMATCH(B80, ""Arrow"") + (B80 = ""Javelin""), 'Ammo Input'!E80) + IF(VLOOKUP(B80, AmmoTypeFactors, 9, FALSE) = ""Wood"", 'Ammo Input'!H80) + IF(B80 = ""Stick bomb"", 'Ammo Input'!E80)) * N80 / 'Ingredient stats'!$C$12 / 1000)"),0)</f>
        <v>0</v>
      </c>
      <c r="S80">
        <v>0</v>
      </c>
      <c r="T80">
        <v>0</v>
      </c>
      <c r="U80">
        <f>IF(VLOOKUP(B80,AmmoTypeFactors,9,FALSE)="Plasteel",ROUNDUP(('Ammo Input'!H80*MAX(IF('Ammo Input'!J80&gt;0,'Ammo Input'!J80,1)*N80/1000/'Ingredient stats'!$C$4)),0),0)</f>
        <v>0</v>
      </c>
      <c r="V80">
        <f>IFERROR(__xludf.DUMMYFUNCTION("ROUNDUP(IF(ISBLANK(VLOOKUP(B80,AmmoTypeFactors,16,False)),1,VLOOKUP(B80,AmmoTypeFactors,16,False)) * (IFS(REGEXMATCH(B80, ""EMP""), 'Ammo Input'!M80 * N80 / 'Ingredient stats'!$C$5, REGEXMATCH(B80, ""Charge""), (U80^0.75), true, 0) + (IF(VLOOKUP(B80, Ammo"&amp;"TypeFactors, 10, false), 2,0) + IF('Ammo Input'!P80, 2,0) + IF('Ammo Input'!Q80,MIN(ROUNDUP(0.2*('Ammo Input'!H80/1000)*'Ammo Input'!O80,0),20),0))))"),2)</f>
        <v>2</v>
      </c>
      <c r="W80">
        <v>0</v>
      </c>
      <c r="X80">
        <v>7</v>
      </c>
      <c r="Y80">
        <v>0</v>
      </c>
      <c r="Z80">
        <v>0</v>
      </c>
      <c r="AA80">
        <v>0</v>
      </c>
      <c r="AB80" s="30">
        <f>IF(B80="Sling Bullet (Stone)",ROUNDUP(D80*0.02*E80/'Ingredient stats'!$C$8,0),0)</f>
        <v>0</v>
      </c>
      <c r="AC80" t="str">
        <f t="shared" si="4"/>
        <v>None</v>
      </c>
      <c r="AD80" t="str">
        <f>IF(OR(B80="Buck",B80="Bird",B80="Charge (Scatter)"),'Ammo Input'!J80,"None")</f>
        <v>None</v>
      </c>
      <c r="AE80">
        <f>_xlfn.IFS(ISTEXT(Calcs!N80),Calcs!N80,Calcs!N80&lt;=40,Calcs!N80,Calcs!N80&gt;41,"40")</f>
        <v>2</v>
      </c>
      <c r="AF80">
        <f>_xlfn.IFS(ISTEXT(Calcs!O80),Calcs!O80,Calcs!O80&lt;=80,Calcs!O80,Calcs!O80&gt;=81,"80")</f>
        <v>2</v>
      </c>
      <c r="AG80" s="25">
        <f t="shared" si="5"/>
        <v>3</v>
      </c>
      <c r="AH80" s="25">
        <f t="shared" si="6"/>
        <v>1.03</v>
      </c>
      <c r="AI80" s="25">
        <f t="shared" si="7"/>
        <v>2</v>
      </c>
    </row>
    <row r="81" ht="14.4" spans="1:35">
      <c r="A81" s="24" t="str">
        <f>'Ammo Input'!A81</f>
        <v>40x53mm Grenade</v>
      </c>
      <c r="B81" t="str">
        <f>'Ammo Input'!B81</f>
        <v>EMP</v>
      </c>
      <c r="C81">
        <f>ROUNDUP(('Ammo Input'!C81*(MAX('Ammo Input'!D81,'Ammo Input'!F81)*0.5)^2*PI())*3/1000000,2)</f>
        <v>0.43</v>
      </c>
      <c r="D81">
        <f>ROUNDUP(('Ammo Input'!E81+'Ammo Input'!H81*IF('Ammo Input'!J81&lt;&gt;"",MAX('Ammo Input'!J81,1),1))/1000,3)</f>
        <v>0.375</v>
      </c>
      <c r="E81">
        <f>MIN(5000,MAX(25,CEILING(Calcs!L81,_xlfn.IFS(Calcs!L81&lt;100,25,Calcs!L81&lt;250,50,Calcs!L81&lt;1000,250,Calcs!L81&gt;=1000,1000))))</f>
        <v>500</v>
      </c>
      <c r="F81">
        <f>ROUNDUP('Ammo Input'!G81^(3/4),0)</f>
        <v>62</v>
      </c>
      <c r="G81">
        <f>ROUND((0.5*((IF(OR(B81="HEAT",B81="HEDP"),'Ammo Input'!N81,'Ammo Input'!H81)/1000)*(IF(B81="HEAT",9000,IF(B81="HEDP",1500,'Ammo Input'!G81))^2))),0)</f>
        <v>10102</v>
      </c>
      <c r="H81" s="25" t="str">
        <f>CONCATENATE(IF((B81="Foam")+(B81="Smoke"),"-",ROUND(Calcs!D81,0))," ",VLOOKUP(B81,AmmoTypeFactors,5,FALSE))</f>
        <v>23 EMP</v>
      </c>
      <c r="I81" s="25" t="str">
        <f>IF(Calcs!E81=0,"None",CONCATENATE(ROUND(Calcs!E81,0)," ",VLOOKUP(B81,AmmoTypeFactors,6,FALSE)))</f>
        <v>None</v>
      </c>
      <c r="J81">
        <f>MROUND(2.42*'Ammo Input'!M81^(1/3)*VLOOKUP(B81,AmmoTypeFactors,3,FALSE),0.5)</f>
        <v>2</v>
      </c>
      <c r="K81" s="25" t="str">
        <f>IF(VLOOKUP(B81,AmmoTypeFactors,12,FALSE),MROUND(J81/3,0.5),"None")</f>
        <v>None</v>
      </c>
      <c r="L81" s="25" t="str">
        <f>IF(VLOOKUP(B81,AmmoTypeFactors,8,FALSE),"None",ROUNDUP(IF(Calcs!I81&gt;0,Calcs!I81,Calcs!H81),3))</f>
        <v>None</v>
      </c>
      <c r="M81" s="25" t="str">
        <f>IF(VLOOKUP(B81,AmmoTypeFactors,8,FALSE),"None",'Ammo Input'!L81)</f>
        <v>None</v>
      </c>
      <c r="N81">
        <f>'Ammo Input'!O81</f>
        <v>100</v>
      </c>
      <c r="O81" t="e">
        <f>ROUND((P81*0.0036+SUMPRODUCT(Q81:AB81,VLOOKUP($Q$1:$AB$1,IngredientStats,2,FALSE)))/N81*IF('Ammo Input'!R81,0.5,1),2)</f>
        <v>#VALUE!</v>
      </c>
      <c r="P81" t="e">
        <f>(SUMPRODUCT(Q81:AB81,VLOOKUP($Q$1:$AB$1,IngredientStats,4,FALSE))*VLOOKUP(B81,AmmoTypeFactors,14,FALSE)*IF('Ammo Input'!R81,1.1,1))</f>
        <v>#VALUE!</v>
      </c>
      <c r="Q81">
        <f>IFERROR(__xludf.DUMMYFUNCTION("((IF(NOT(OR(REGEXMATCH(B81, ""Arrow""), B81 = ""Javelin"", B81 = ""Stick bomb"")), ROUNDUP(('Ammo Input'!E81 / 1000) * N81)) + IF(VLOOKUP(B81, AmmoTypeFactors, 9, FALSE) = ""Steel"", ROUNDUP(('Ammo Input'!H81 -'Ammo Input'!M81) * MAX(IF('Ammo Input'!J81 &gt;"&amp;" 0, 'Ammo Input'!J81, 1), 1) * N81 / 1000))) / 'Ingredient stats'!$C$2) * IF(ISBLANK(VLOOKUP(B81,AmmoTypeFactors,15,False)),1,VLOOKUP(B81,AmmoTypeFactors,15,False))"),76)</f>
        <v>76</v>
      </c>
      <c r="R81">
        <f>IFERROR(__xludf.DUMMYFUNCTION("ROUNDUP((IF(REGEXMATCH(B81, ""Arrow"") + (B81 = ""Javelin""), 'Ammo Input'!E81) + IF(VLOOKUP(B81, AmmoTypeFactors, 9, FALSE) = ""Wood"", 'Ammo Input'!H81) + IF(B81 = ""Stick bomb"", 'Ammo Input'!E81)) * N81 / 'Ingredient stats'!$C$12 / 1000)"),0)</f>
        <v>0</v>
      </c>
      <c r="S81">
        <v>0</v>
      </c>
      <c r="T81">
        <v>0</v>
      </c>
      <c r="U81">
        <f>IF(VLOOKUP(B81,AmmoTypeFactors,9,FALSE)="Plasteel",ROUNDUP(('Ammo Input'!H81*MAX(IF('Ammo Input'!J81&gt;0,'Ammo Input'!J81,1)*N81/1000/'Ingredient stats'!$C$4)),0),0)</f>
        <v>0</v>
      </c>
      <c r="V81">
        <f>IFERROR(__xludf.DUMMYFUNCTION("ROUNDUP(IF(ISBLANK(VLOOKUP(B81,AmmoTypeFactors,16,False)),1,VLOOKUP(B81,AmmoTypeFactors,16,False)) * (IFS(REGEXMATCH(B81, ""EMP""), 'Ammo Input'!M81 * N81 / 'Ingredient stats'!$C$5, REGEXMATCH(B81, ""Charge""), (U81^0.75), true, 0) + (IF(VLOOKUP(B81, Ammo"&amp;"TypeFactors, 10, false), 2,0) + IF('Ammo Input'!P81, 2,0) + IF('Ammo Input'!Q81,MIN(ROUNDUP(0.2*('Ammo Input'!H81/1000)*'Ammo Input'!O81,0),20),0))))"),11)</f>
        <v>11</v>
      </c>
      <c r="W81">
        <v>0</v>
      </c>
      <c r="X81">
        <v>0</v>
      </c>
      <c r="Y81">
        <v>0</v>
      </c>
      <c r="Z81">
        <v>0</v>
      </c>
      <c r="AA81">
        <v>0</v>
      </c>
      <c r="AB81" s="30">
        <f>IF(B81="Sling Bullet (Stone)",ROUNDUP(D81*0.02*E81/'Ingredient stats'!$C$8,0),0)</f>
        <v>0</v>
      </c>
      <c r="AC81" t="str">
        <f t="shared" si="4"/>
        <v>None</v>
      </c>
      <c r="AD81" t="str">
        <f>IF(OR(B81="Buck",B81="Bird",B81="Charge (Scatter)"),'Ammo Input'!J81,"None")</f>
        <v>None</v>
      </c>
      <c r="AE81" t="str">
        <f>_xlfn.IFS(ISTEXT(Calcs!N81),Calcs!N81,Calcs!N81&lt;=40,Calcs!N81,Calcs!N81&gt;41,"40")</f>
        <v>None</v>
      </c>
      <c r="AF81" t="str">
        <f>_xlfn.IFS(ISTEXT(Calcs!O81),Calcs!O81,Calcs!O81&lt;=80,Calcs!O81,Calcs!O81&gt;=81,"80")</f>
        <v>None</v>
      </c>
      <c r="AG81" s="25">
        <f t="shared" si="5"/>
        <v>3</v>
      </c>
      <c r="AH81" s="25">
        <f t="shared" si="6"/>
        <v>1.03</v>
      </c>
      <c r="AI81" s="25">
        <f t="shared" si="7"/>
        <v>2</v>
      </c>
    </row>
    <row r="82" ht="14.4" spans="1:35">
      <c r="A82" s="24" t="str">
        <f>'Ammo Input'!A82</f>
        <v>40x53mm Grenade</v>
      </c>
      <c r="B82" t="str">
        <f>'Ammo Input'!B82</f>
        <v>Smoke</v>
      </c>
      <c r="C82">
        <f>ROUNDUP(('Ammo Input'!C82*(MAX('Ammo Input'!D82,'Ammo Input'!F82)*0.5)^2*PI())*3/1000000,2)</f>
        <v>0.43</v>
      </c>
      <c r="D82">
        <f>ROUNDUP(('Ammo Input'!E82+'Ammo Input'!H82*IF('Ammo Input'!J82&lt;&gt;"",MAX('Ammo Input'!J82,1),1))/1000,3)</f>
        <v>0.375</v>
      </c>
      <c r="E82">
        <f>MIN(5000,MAX(25,CEILING(Calcs!L82,_xlfn.IFS(Calcs!L82&lt;100,25,Calcs!L82&lt;250,50,Calcs!L82&lt;1000,250,Calcs!L82&gt;=1000,1000))))</f>
        <v>500</v>
      </c>
      <c r="F82">
        <f>ROUNDUP('Ammo Input'!G82^(3/4),0)</f>
        <v>62</v>
      </c>
      <c r="G82">
        <f>ROUND((0.5*((IF(OR(B82="HEAT",B82="HEDP"),'Ammo Input'!N82,'Ammo Input'!H82)/1000)*(IF(B82="HEAT",9000,IF(B82="HEDP",1500,'Ammo Input'!G82))^2))),0)</f>
        <v>10102</v>
      </c>
      <c r="H82" s="25" t="str">
        <f>CONCATENATE(IF((B82="Foam")+(B82="Smoke"),"-",ROUND(Calcs!D82,0))," ",VLOOKUP(B82,AmmoTypeFactors,5,FALSE))</f>
        <v>- Smoke</v>
      </c>
      <c r="I82" s="25" t="str">
        <f>IF(Calcs!E82=0,"None",CONCATENATE(ROUND(Calcs!E82,0)," ",VLOOKUP(B82,AmmoTypeFactors,6,FALSE)))</f>
        <v>None</v>
      </c>
      <c r="J82">
        <f>MROUND(2.42*'Ammo Input'!M82^(1/3)*VLOOKUP(B82,AmmoTypeFactors,3,FALSE),0.5)</f>
        <v>2.5</v>
      </c>
      <c r="K82" s="25" t="str">
        <f>IF(VLOOKUP(B82,AmmoTypeFactors,12,FALSE),MROUND(J82/3,0.5),"None")</f>
        <v>None</v>
      </c>
      <c r="L82" s="25" t="str">
        <f>IF(VLOOKUP(B82,AmmoTypeFactors,8,FALSE),"None",ROUNDUP(IF(Calcs!I82&gt;0,Calcs!I82,Calcs!H82),3))</f>
        <v>None</v>
      </c>
      <c r="M82" s="25" t="str">
        <f>IF(VLOOKUP(B82,AmmoTypeFactors,8,FALSE),"None",'Ammo Input'!L82)</f>
        <v>None</v>
      </c>
      <c r="N82">
        <f>'Ammo Input'!O82</f>
        <v>100</v>
      </c>
      <c r="O82" t="e">
        <f>ROUND((P82*0.0036+SUMPRODUCT(Q82:AB82,VLOOKUP($Q$1:$AB$1,IngredientStats,2,FALSE)))/N82*IF('Ammo Input'!R82,0.5,1),2)</f>
        <v>#VALUE!</v>
      </c>
      <c r="P82" t="e">
        <f>(SUMPRODUCT(Q82:AB82,VLOOKUP($Q$1:$AB$1,IngredientStats,4,FALSE))*VLOOKUP(B82,AmmoTypeFactors,14,FALSE)*IF('Ammo Input'!R82,1.1,1))</f>
        <v>#VALUE!</v>
      </c>
      <c r="Q82">
        <f>IFERROR(__xludf.DUMMYFUNCTION("((IF(NOT(OR(REGEXMATCH(B82, ""Arrow""), B82 = ""Javelin"", B82 = ""Stick bomb"")), ROUNDUP(('Ammo Input'!E82 / 1000) * N82)) + IF(VLOOKUP(B82, AmmoTypeFactors, 9, FALSE) = ""Steel"", ROUNDUP(('Ammo Input'!H82 -'Ammo Input'!M82) * MAX(IF('Ammo Input'!J82 &gt;"&amp;" 0, 'Ammo Input'!J82, 1), 1) * N82 / 1000))) / 'Ingredient stats'!$C$2) * IF(ISBLANK(VLOOKUP(B82,AmmoTypeFactors,15,False)),1,VLOOKUP(B82,AmmoTypeFactors,15,False))"),76)</f>
        <v>76</v>
      </c>
      <c r="R82">
        <f>IFERROR(__xludf.DUMMYFUNCTION("ROUNDUP((IF(REGEXMATCH(B82, ""Arrow"") + (B82 = ""Javelin""), 'Ammo Input'!E82) + IF(VLOOKUP(B82, AmmoTypeFactors, 9, FALSE) = ""Wood"", 'Ammo Input'!H82) + IF(B82 = ""Stick bomb"", 'Ammo Input'!E82)) * N82 / 'Ingredient stats'!$C$12 / 1000)"),0)</f>
        <v>0</v>
      </c>
      <c r="S82">
        <v>0</v>
      </c>
      <c r="T82">
        <v>0</v>
      </c>
      <c r="U82">
        <f>IF(VLOOKUP(B82,AmmoTypeFactors,9,FALSE)="Plasteel",ROUNDUP(('Ammo Input'!H82*MAX(IF('Ammo Input'!J82&gt;0,'Ammo Input'!J82,1)*N82/1000/'Ingredient stats'!$C$4)),0),0)</f>
        <v>0</v>
      </c>
      <c r="V82">
        <f>IFERROR(__xludf.DUMMYFUNCTION("ROUNDUP(IF(ISBLANK(VLOOKUP(B82,AmmoTypeFactors,16,False)),1,VLOOKUP(B82,AmmoTypeFactors,16,False)) * (IFS(REGEXMATCH(B82, ""EMP""), 'Ammo Input'!M82 * N82 / 'Ingredient stats'!$C$5, REGEXMATCH(B82, ""Charge""), (U82^0.75), true, 0) + (IF(VLOOKUP(B82, Ammo"&amp;"TypeFactors, 10, false), 2,0) + IF('Ammo Input'!P82, 2,0) + IF('Ammo Input'!Q82,MIN(ROUNDUP(0.2*('Ammo Input'!H82/1000)*'Ammo Input'!O82,0),20),0))))"),2)</f>
        <v>2</v>
      </c>
      <c r="W82">
        <v>3</v>
      </c>
      <c r="X82">
        <v>0</v>
      </c>
      <c r="Y82">
        <v>0</v>
      </c>
      <c r="Z82">
        <v>0</v>
      </c>
      <c r="AA82">
        <v>0</v>
      </c>
      <c r="AB82" s="30">
        <f>IF(B82="Sling Bullet (Stone)",ROUNDUP(D82*0.02*E82/'Ingredient stats'!$C$8,0),0)</f>
        <v>0</v>
      </c>
      <c r="AC82" t="str">
        <f t="shared" si="4"/>
        <v>None</v>
      </c>
      <c r="AD82" t="str">
        <f>IF(OR(B82="Buck",B82="Bird",B82="Charge (Scatter)"),'Ammo Input'!J82,"None")</f>
        <v>None</v>
      </c>
      <c r="AE82" t="str">
        <f>_xlfn.IFS(ISTEXT(Calcs!N82),Calcs!N82,Calcs!N82&lt;=40,Calcs!N82,Calcs!N82&gt;41,"40")</f>
        <v>None</v>
      </c>
      <c r="AF82" t="str">
        <f>_xlfn.IFS(ISTEXT(Calcs!O82),Calcs!O82,Calcs!O82&lt;=80,Calcs!O82,Calcs!O82&gt;=81,"80")</f>
        <v>None</v>
      </c>
      <c r="AG82" s="25">
        <f t="shared" si="5"/>
        <v>0</v>
      </c>
      <c r="AH82" s="25">
        <f t="shared" si="6"/>
        <v>1.03</v>
      </c>
      <c r="AI82" s="25">
        <f t="shared" si="7"/>
        <v>0</v>
      </c>
    </row>
    <row r="83" ht="14.4" spans="1:35">
      <c r="A83" s="24" t="str">
        <f>'Ammo Input'!A83</f>
        <v>40x53mm VOG25 Grenade</v>
      </c>
      <c r="B83" t="str">
        <f>'Ammo Input'!B83</f>
        <v>Frag</v>
      </c>
      <c r="C83">
        <f>ROUNDUP(('Ammo Input'!C83*(MAX('Ammo Input'!D83,'Ammo Input'!F83)*0.5)^2*PI())*3/1000000,2)</f>
        <v>0.39</v>
      </c>
      <c r="D83">
        <f>ROUNDUP(('Ammo Input'!E83+'Ammo Input'!H83*IF('Ammo Input'!J83&lt;&gt;"",MAX('Ammo Input'!J83,1),1))/1000,3)</f>
        <v>0.25</v>
      </c>
      <c r="E83">
        <f>MIN(5000,MAX(25,CEILING(Calcs!L83,_xlfn.IFS(Calcs!L83&lt;100,25,Calcs!L83&lt;250,50,Calcs!L83&lt;1000,250,Calcs!L83&gt;=1000,1000))))</f>
        <v>500</v>
      </c>
      <c r="F83">
        <f>ROUNDUP('Ammo Input'!G83^(3/4),0)</f>
        <v>26</v>
      </c>
      <c r="G83">
        <f>ROUND((0.5*((IF(OR(B83="HEAT",B83="HEDP"),'Ammo Input'!N83,'Ammo Input'!H83)/1000)*(IF(B83="HEAT",9000,IF(B83="HEDP",1500,'Ammo Input'!G83))^2))),0)</f>
        <v>644</v>
      </c>
      <c r="H83" s="25" t="str">
        <f>CONCATENATE(IF((B83="Foam")+(B83="Smoke"),"-",ROUND(Calcs!D83,0))," ",VLOOKUP(B83,AmmoTypeFactors,5,FALSE))</f>
        <v>26 Bomb</v>
      </c>
      <c r="I83" s="25" t="str">
        <f>IF(Calcs!E83=0,"None",CONCATENATE(ROUND(Calcs!E83,0)," ",VLOOKUP(B83,AmmoTypeFactors,6,FALSE)))</f>
        <v>None</v>
      </c>
      <c r="J83">
        <f>MROUND(2.42*'Ammo Input'!M83^(1/3)*VLOOKUP(B83,AmmoTypeFactors,3,FALSE),0.5)</f>
        <v>1</v>
      </c>
      <c r="K83" s="25" t="str">
        <f>IF(VLOOKUP(B83,AmmoTypeFactors,12,FALSE),MROUND(J83/3,0.5),"None")</f>
        <v>None</v>
      </c>
      <c r="L83" s="25" t="str">
        <f>IF(VLOOKUP(B83,AmmoTypeFactors,8,FALSE),"None",ROUNDUP(IF(Calcs!I83&gt;0,Calcs!I83,Calcs!H83),3))</f>
        <v>None</v>
      </c>
      <c r="M83" s="25" t="str">
        <f>IF(VLOOKUP(B83,AmmoTypeFactors,8,FALSE),"None",'Ammo Input'!L83)</f>
        <v>None</v>
      </c>
      <c r="N83">
        <f>'Ammo Input'!O83</f>
        <v>100</v>
      </c>
      <c r="O83" t="e">
        <f>ROUND((P83*0.0036+SUMPRODUCT(Q83:AB83,VLOOKUP($Q$1:$AB$1,IngredientStats,2,FALSE)))/N83*IF('Ammo Input'!R83,0.5,1),2)</f>
        <v>#VALUE!</v>
      </c>
      <c r="P83" t="e">
        <f>(SUMPRODUCT(Q83:AB83,VLOOKUP($Q$1:$AB$1,IngredientStats,4,FALSE))*VLOOKUP(B83,AmmoTypeFactors,14,FALSE)*IF('Ammo Input'!R83,1.1,1))</f>
        <v>#VALUE!</v>
      </c>
      <c r="Q83">
        <f>IFERROR(__xludf.DUMMYFUNCTION("((IF(NOT(OR(REGEXMATCH(B83, ""Arrow""), B83 = ""Javelin"", B83 = ""Stick bomb"")), ROUNDUP(('Ammo Input'!E83 / 1000) * N83)) + IF(VLOOKUP(B83, AmmoTypeFactors, 9, FALSE) = ""Steel"", ROUNDUP(('Ammo Input'!H83 -'Ammo Input'!M83) * MAX(IF('Ammo Input'!J83 &gt;"&amp;" 0, 'Ammo Input'!J83, 1), 1) * N83 / 1000))) / 'Ingredient stats'!$C$2) * IF(ISBLANK(VLOOKUP(B83,AmmoTypeFactors,15,False)),1,VLOOKUP(B83,AmmoTypeFactors,15,False))"),50)</f>
        <v>50</v>
      </c>
      <c r="R83">
        <f>IFERROR(__xludf.DUMMYFUNCTION("ROUNDUP((IF(REGEXMATCH(B83, ""Arrow"") + (B83 = ""Javelin""), 'Ammo Input'!E83) + IF(VLOOKUP(B83, AmmoTypeFactors, 9, FALSE) = ""Wood"", 'Ammo Input'!H83) + IF(B83 = ""Stick bomb"", 'Ammo Input'!E83)) * N83 / 'Ingredient stats'!$C$12 / 1000)"),0)</f>
        <v>0</v>
      </c>
      <c r="S83">
        <v>0</v>
      </c>
      <c r="T83">
        <v>0</v>
      </c>
      <c r="U83">
        <f>IF(VLOOKUP(B83,AmmoTypeFactors,9,FALSE)="Plasteel",ROUNDUP(('Ammo Input'!H83*MAX(IF('Ammo Input'!J83&gt;0,'Ammo Input'!J83,1)*N83/1000/'Ingredient stats'!$C$4)),0),0)</f>
        <v>0</v>
      </c>
      <c r="V83">
        <f>IFERROR(__xludf.DUMMYFUNCTION("ROUNDUP(IF(ISBLANK(VLOOKUP(B83,AmmoTypeFactors,16,False)),1,VLOOKUP(B83,AmmoTypeFactors,16,False)) * (IFS(REGEXMATCH(B83, ""EMP""), 'Ammo Input'!M83 * N83 / 'Ingredient stats'!$C$5, REGEXMATCH(B83, ""Charge""), (U83^0.75), true, 0) + (IF(VLOOKUP(B83, Ammo"&amp;"TypeFactors, 10, false), 2,0) + IF('Ammo Input'!P83, 2,0) + IF('Ammo Input'!Q83,MIN(ROUNDUP(0.2*('Ammo Input'!H83/1000)*'Ammo Input'!O83,0),20),0))))"),2)</f>
        <v>2</v>
      </c>
      <c r="W83">
        <v>0</v>
      </c>
      <c r="X83">
        <v>10</v>
      </c>
      <c r="Y83">
        <v>0</v>
      </c>
      <c r="Z83">
        <v>0</v>
      </c>
      <c r="AA83">
        <v>0</v>
      </c>
      <c r="AB83" s="30">
        <f>IF(B83="Sling Bullet (Stone)",ROUNDUP(D83*0.02*E83/'Ingredient stats'!$C$8,0),0)</f>
        <v>0</v>
      </c>
      <c r="AC83" t="str">
        <f t="shared" si="4"/>
        <v>None</v>
      </c>
      <c r="AD83" t="str">
        <f>IF(OR(B83="Buck",B83="Bird",B83="Charge (Scatter)"),'Ammo Input'!J83,"None")</f>
        <v>None</v>
      </c>
      <c r="AE83">
        <f>_xlfn.IFS(ISTEXT(Calcs!N83),Calcs!N83,Calcs!N83&lt;=40,Calcs!N83,Calcs!N83&gt;41,"40")</f>
        <v>0</v>
      </c>
      <c r="AF83">
        <f>_xlfn.IFS(ISTEXT(Calcs!O83),Calcs!O83,Calcs!O83&lt;=80,Calcs!O83,Calcs!O83&gt;=81,"80")</f>
        <v>22</v>
      </c>
      <c r="AG83" s="25">
        <f t="shared" si="5"/>
        <v>3</v>
      </c>
      <c r="AH83" s="25">
        <f t="shared" si="6"/>
        <v>0.43</v>
      </c>
      <c r="AI83" s="25">
        <f t="shared" si="7"/>
        <v>2</v>
      </c>
    </row>
    <row r="84" ht="14.4" spans="1:35">
      <c r="A84" s="24" t="str">
        <f>'Ammo Input'!A84</f>
        <v>40x53mm VOG25 Grenade</v>
      </c>
      <c r="B84" t="str">
        <f>'Ammo Input'!B84</f>
        <v>EMP</v>
      </c>
      <c r="C84">
        <f>ROUNDUP(('Ammo Input'!C84*(MAX('Ammo Input'!D84,'Ammo Input'!F84)*0.5)^2*PI())*3/1000000,2)</f>
        <v>0.39</v>
      </c>
      <c r="D84">
        <f>ROUNDUP(('Ammo Input'!E84+'Ammo Input'!H84*IF('Ammo Input'!J84&lt;&gt;"",MAX('Ammo Input'!J84,1),1))/1000,3)</f>
        <v>0.25</v>
      </c>
      <c r="E84">
        <f>MIN(5000,MAX(25,CEILING(Calcs!L84,_xlfn.IFS(Calcs!L84&lt;100,25,Calcs!L84&lt;250,50,Calcs!L84&lt;1000,250,Calcs!L84&gt;=1000,1000))))</f>
        <v>500</v>
      </c>
      <c r="F84">
        <f>ROUNDUP('Ammo Input'!G84^(3/4),0)</f>
        <v>26</v>
      </c>
      <c r="G84">
        <f>ROUND((0.5*((IF(OR(B84="HEAT",B84="HEDP"),'Ammo Input'!N84,'Ammo Input'!H84)/1000)*(IF(B84="HEAT",9000,IF(B84="HEDP",1500,'Ammo Input'!G84))^2))),0)</f>
        <v>644</v>
      </c>
      <c r="H84" s="25" t="str">
        <f>CONCATENATE(IF((B84="Foam")+(B84="Smoke"),"-",ROUND(Calcs!D84,0))," ",VLOOKUP(B84,AmmoTypeFactors,5,FALSE))</f>
        <v>26 EMP</v>
      </c>
      <c r="I84" s="25" t="str">
        <f>IF(Calcs!E84=0,"None",CONCATENATE(ROUND(Calcs!E84,0)," ",VLOOKUP(B84,AmmoTypeFactors,6,FALSE)))</f>
        <v>None</v>
      </c>
      <c r="J84">
        <f>MROUND(2.42*'Ammo Input'!M84^(1/3)*VLOOKUP(B84,AmmoTypeFactors,3,FALSE),0.5)</f>
        <v>2</v>
      </c>
      <c r="K84" s="25" t="str">
        <f>IF(VLOOKUP(B84,AmmoTypeFactors,12,FALSE),MROUND(J84/3,0.5),"None")</f>
        <v>None</v>
      </c>
      <c r="L84" s="25" t="str">
        <f>IF(VLOOKUP(B84,AmmoTypeFactors,8,FALSE),"None",ROUNDUP(IF(Calcs!I84&gt;0,Calcs!I84,Calcs!H84),3))</f>
        <v>None</v>
      </c>
      <c r="M84" s="25" t="str">
        <f>IF(VLOOKUP(B84,AmmoTypeFactors,8,FALSE),"None",'Ammo Input'!L84)</f>
        <v>None</v>
      </c>
      <c r="N84">
        <f>'Ammo Input'!O84</f>
        <v>100</v>
      </c>
      <c r="O84" t="e">
        <f>ROUND((P84*0.0036+SUMPRODUCT(Q84:AB84,VLOOKUP($Q$1:$AB$1,IngredientStats,2,FALSE)))/N84*IF('Ammo Input'!R84,0.5,1),2)</f>
        <v>#VALUE!</v>
      </c>
      <c r="P84" t="e">
        <f>(SUMPRODUCT(Q84:AB84,VLOOKUP($Q$1:$AB$1,IngredientStats,4,FALSE))*VLOOKUP(B84,AmmoTypeFactors,14,FALSE)*IF('Ammo Input'!R84,1.1,1))</f>
        <v>#VALUE!</v>
      </c>
      <c r="Q84">
        <f>IFERROR(__xludf.DUMMYFUNCTION("((IF(NOT(OR(REGEXMATCH(B84, ""Arrow""), B84 = ""Javelin"", B84 = ""Stick bomb"")), ROUNDUP(('Ammo Input'!E84 / 1000) * N84)) + IF(VLOOKUP(B84, AmmoTypeFactors, 9, FALSE) = ""Steel"", ROUNDUP(('Ammo Input'!H84 -'Ammo Input'!M84) * MAX(IF('Ammo Input'!J84 &gt;"&amp;" 0, 'Ammo Input'!J84, 1), 1) * N84 / 1000))) / 'Ingredient stats'!$C$2) * IF(ISBLANK(VLOOKUP(B84,AmmoTypeFactors,15,False)),1,VLOOKUP(B84,AmmoTypeFactors,15,False))"),50)</f>
        <v>50</v>
      </c>
      <c r="R84">
        <f>IFERROR(__xludf.DUMMYFUNCTION("ROUNDUP((IF(REGEXMATCH(B84, ""Arrow"") + (B84 = ""Javelin""), 'Ammo Input'!E84) + IF(VLOOKUP(B84, AmmoTypeFactors, 9, FALSE) = ""Wood"", 'Ammo Input'!H84) + IF(B84 = ""Stick bomb"", 'Ammo Input'!E84)) * N84 / 'Ingredient stats'!$C$12 / 1000)"),0)</f>
        <v>0</v>
      </c>
      <c r="S84">
        <v>0</v>
      </c>
      <c r="T84">
        <v>0</v>
      </c>
      <c r="U84">
        <f>IF(VLOOKUP(B84,AmmoTypeFactors,9,FALSE)="Plasteel",ROUNDUP(('Ammo Input'!H84*MAX(IF('Ammo Input'!J84&gt;0,'Ammo Input'!J84,1)*N84/1000/'Ingredient stats'!$C$4)),0),0)</f>
        <v>0</v>
      </c>
      <c r="V84">
        <f>IFERROR(__xludf.DUMMYFUNCTION("ROUNDUP(IF(ISBLANK(VLOOKUP(B84,AmmoTypeFactors,16,False)),1,VLOOKUP(B84,AmmoTypeFactors,16,False)) * (IFS(REGEXMATCH(B84, ""EMP""), 'Ammo Input'!M84 * N84 / 'Ingredient stats'!$C$5, REGEXMATCH(B84, ""Charge""), (U84^0.75), true, 0) + (IF(VLOOKUP(B84, Ammo"&amp;"TypeFactors, 10, false), 2,0) + IF('Ammo Input'!P84, 2,0) + IF('Ammo Input'!Q84,MIN(ROUNDUP(0.2*('Ammo Input'!H84/1000)*'Ammo Input'!O84,0),20),0))))"),13)</f>
        <v>13</v>
      </c>
      <c r="W84">
        <v>0</v>
      </c>
      <c r="X84">
        <v>0</v>
      </c>
      <c r="Y84">
        <v>0</v>
      </c>
      <c r="Z84">
        <v>0</v>
      </c>
      <c r="AA84">
        <v>0</v>
      </c>
      <c r="AB84" s="30">
        <f>IF(B84="Sling Bullet (Stone)",ROUNDUP(D84*0.02*E84/'Ingredient stats'!$C$8,0),0)</f>
        <v>0</v>
      </c>
      <c r="AC84" t="str">
        <f t="shared" si="4"/>
        <v>None</v>
      </c>
      <c r="AD84" t="str">
        <f>IF(OR(B84="Buck",B84="Bird",B84="Charge (Scatter)"),'Ammo Input'!J84,"None")</f>
        <v>None</v>
      </c>
      <c r="AE84" t="str">
        <f>_xlfn.IFS(ISTEXT(Calcs!N84),Calcs!N84,Calcs!N84&lt;=40,Calcs!N84,Calcs!N84&gt;41,"40")</f>
        <v>None</v>
      </c>
      <c r="AF84" t="str">
        <f>_xlfn.IFS(ISTEXT(Calcs!O84),Calcs!O84,Calcs!O84&lt;=80,Calcs!O84,Calcs!O84&gt;=81,"80")</f>
        <v>None</v>
      </c>
      <c r="AG84" s="25">
        <f t="shared" si="5"/>
        <v>3</v>
      </c>
      <c r="AH84" s="25">
        <f t="shared" si="6"/>
        <v>0.43</v>
      </c>
      <c r="AI84" s="25">
        <f t="shared" si="7"/>
        <v>2</v>
      </c>
    </row>
    <row r="85" ht="14.4" spans="1:35">
      <c r="A85" s="24" t="str">
        <f>'Ammo Input'!A85</f>
        <v>40x53mm VOG25 Grenade</v>
      </c>
      <c r="B85" t="str">
        <f>'Ammo Input'!B85</f>
        <v>Smoke</v>
      </c>
      <c r="C85">
        <f>ROUNDUP(('Ammo Input'!C85*(MAX('Ammo Input'!D85,'Ammo Input'!F85)*0.5)^2*PI())*3/1000000,2)</f>
        <v>0.39</v>
      </c>
      <c r="D85">
        <f>ROUNDUP(('Ammo Input'!E85+'Ammo Input'!H85*IF('Ammo Input'!J85&lt;&gt;"",MAX('Ammo Input'!J85,1),1))/1000,3)</f>
        <v>0.25</v>
      </c>
      <c r="E85">
        <f>MIN(5000,MAX(25,CEILING(Calcs!L85,_xlfn.IFS(Calcs!L85&lt;100,25,Calcs!L85&lt;250,50,Calcs!L85&lt;1000,250,Calcs!L85&gt;=1000,1000))))</f>
        <v>500</v>
      </c>
      <c r="F85">
        <f>ROUNDUP('Ammo Input'!G85^(3/4),0)</f>
        <v>26</v>
      </c>
      <c r="G85">
        <f>ROUND((0.5*((IF(OR(B85="HEAT",B85="HEDP"),'Ammo Input'!N85,'Ammo Input'!H85)/1000)*(IF(B85="HEAT",9000,IF(B85="HEDP",1500,'Ammo Input'!G85))^2))),0)</f>
        <v>644</v>
      </c>
      <c r="H85" s="25" t="str">
        <f>CONCATENATE(IF((B85="Foam")+(B85="Smoke"),"-",ROUND(Calcs!D85,0))," ",VLOOKUP(B85,AmmoTypeFactors,5,FALSE))</f>
        <v>- Smoke</v>
      </c>
      <c r="I85" s="25" t="str">
        <f>IF(Calcs!E85=0,"None",CONCATENATE(ROUND(Calcs!E85,0)," ",VLOOKUP(B85,AmmoTypeFactors,6,FALSE)))</f>
        <v>None</v>
      </c>
      <c r="J85">
        <f>MROUND(2.42*'Ammo Input'!M85^(1/3)*VLOOKUP(B85,AmmoTypeFactors,3,FALSE),0.5)</f>
        <v>2.5</v>
      </c>
      <c r="K85" s="25" t="str">
        <f>IF(VLOOKUP(B85,AmmoTypeFactors,12,FALSE),MROUND(J85/3,0.5),"None")</f>
        <v>None</v>
      </c>
      <c r="L85" s="25" t="str">
        <f>IF(VLOOKUP(B85,AmmoTypeFactors,8,FALSE),"None",ROUNDUP(IF(Calcs!I85&gt;0,Calcs!I85,Calcs!H85),3))</f>
        <v>None</v>
      </c>
      <c r="M85" s="25" t="str">
        <f>IF(VLOOKUP(B85,AmmoTypeFactors,8,FALSE),"None",'Ammo Input'!L85)</f>
        <v>None</v>
      </c>
      <c r="N85">
        <f>'Ammo Input'!O85</f>
        <v>100</v>
      </c>
      <c r="O85" t="e">
        <f>ROUND((P85*0.0036+SUMPRODUCT(Q85:AB85,VLOOKUP($Q$1:$AB$1,IngredientStats,2,FALSE)))/N85*IF('Ammo Input'!R85,0.5,1),2)</f>
        <v>#VALUE!</v>
      </c>
      <c r="P85" t="e">
        <f>(SUMPRODUCT(Q85:AB85,VLOOKUP($Q$1:$AB$1,IngredientStats,4,FALSE))*VLOOKUP(B85,AmmoTypeFactors,14,FALSE)*IF('Ammo Input'!R85,1.1,1))</f>
        <v>#VALUE!</v>
      </c>
      <c r="Q85">
        <f>IFERROR(__xludf.DUMMYFUNCTION("((IF(NOT(OR(REGEXMATCH(B85, ""Arrow""), B85 = ""Javelin"", B85 = ""Stick bomb"")), ROUNDUP(('Ammo Input'!E85 / 1000) * N85)) + IF(VLOOKUP(B85, AmmoTypeFactors, 9, FALSE) = ""Steel"", ROUNDUP(('Ammo Input'!H85 -'Ammo Input'!M85) * MAX(IF('Ammo Input'!J85 &gt;"&amp;" 0, 'Ammo Input'!J85, 1), 1) * N85 / 1000))) / 'Ingredient stats'!$C$2) * IF(ISBLANK(VLOOKUP(B85,AmmoTypeFactors,15,False)),1,VLOOKUP(B85,AmmoTypeFactors,15,False))"),50)</f>
        <v>50</v>
      </c>
      <c r="R85">
        <f>IFERROR(__xludf.DUMMYFUNCTION("ROUNDUP((IF(REGEXMATCH(B85, ""Arrow"") + (B85 = ""Javelin""), 'Ammo Input'!E85) + IF(VLOOKUP(B85, AmmoTypeFactors, 9, FALSE) = ""Wood"", 'Ammo Input'!H85) + IF(B85 = ""Stick bomb"", 'Ammo Input'!E85)) * N85 / 'Ingredient stats'!$C$12 / 1000)"),0)</f>
        <v>0</v>
      </c>
      <c r="S85">
        <v>0</v>
      </c>
      <c r="T85">
        <v>0</v>
      </c>
      <c r="U85">
        <f>IF(VLOOKUP(B85,AmmoTypeFactors,9,FALSE)="Plasteel",ROUNDUP(('Ammo Input'!H85*MAX(IF('Ammo Input'!J85&gt;0,'Ammo Input'!J85,1)*N85/1000/'Ingredient stats'!$C$4)),0),0)</f>
        <v>0</v>
      </c>
      <c r="V85">
        <f>IFERROR(__xludf.DUMMYFUNCTION("ROUNDUP(IF(ISBLANK(VLOOKUP(B85,AmmoTypeFactors,16,False)),1,VLOOKUP(B85,AmmoTypeFactors,16,False)) * (IFS(REGEXMATCH(B85, ""EMP""), 'Ammo Input'!M85 * N85 / 'Ingredient stats'!$C$5, REGEXMATCH(B85, ""Charge""), (U85^0.75), true, 0) + (IF(VLOOKUP(B85, Ammo"&amp;"TypeFactors, 10, false), 2,0) + IF('Ammo Input'!P85, 2,0) + IF('Ammo Input'!Q85,MIN(ROUNDUP(0.2*('Ammo Input'!H85/1000)*'Ammo Input'!O85,0),20),0))))"),2)</f>
        <v>2</v>
      </c>
      <c r="W85">
        <v>4</v>
      </c>
      <c r="X85">
        <v>0</v>
      </c>
      <c r="Y85">
        <v>0</v>
      </c>
      <c r="Z85">
        <v>0</v>
      </c>
      <c r="AA85">
        <v>0</v>
      </c>
      <c r="AB85" s="30">
        <f>IF(B85="Sling Bullet (Stone)",ROUNDUP(D85*0.02*E85/'Ingredient stats'!$C$8,0),0)</f>
        <v>0</v>
      </c>
      <c r="AC85" t="str">
        <f t="shared" si="4"/>
        <v>None</v>
      </c>
      <c r="AD85" t="str">
        <f>IF(OR(B85="Buck",B85="Bird",B85="Charge (Scatter)"),'Ammo Input'!J85,"None")</f>
        <v>None</v>
      </c>
      <c r="AE85" t="str">
        <f>_xlfn.IFS(ISTEXT(Calcs!N85),Calcs!N85,Calcs!N85&lt;=40,Calcs!N85,Calcs!N85&gt;41,"40")</f>
        <v>None</v>
      </c>
      <c r="AF85" t="str">
        <f>_xlfn.IFS(ISTEXT(Calcs!O85),Calcs!O85,Calcs!O85&lt;=80,Calcs!O85,Calcs!O85&gt;=81,"80")</f>
        <v>None</v>
      </c>
      <c r="AG85" s="25">
        <f t="shared" si="5"/>
        <v>0</v>
      </c>
      <c r="AH85" s="25">
        <f t="shared" si="6"/>
        <v>0.43</v>
      </c>
      <c r="AI85" s="25">
        <f t="shared" si="7"/>
        <v>0</v>
      </c>
    </row>
    <row r="86" ht="14.4" spans="1:35">
      <c r="A86" s="24" t="str">
        <f>'Ammo Input'!A86</f>
        <v>50mm GS50 Grenade</v>
      </c>
      <c r="B86" t="str">
        <f>'Ammo Input'!B86</f>
        <v>Frag</v>
      </c>
      <c r="C86">
        <f>ROUNDUP(('Ammo Input'!C86*(MAX('Ammo Input'!D86,'Ammo Input'!F86)*0.5)^2*PI())*3/1000000,2)</f>
        <v>2.11</v>
      </c>
      <c r="D86">
        <f>ROUNDUP(('Ammo Input'!E86+'Ammo Input'!H86*IF('Ammo Input'!J86&lt;&gt;"",MAX('Ammo Input'!J86,1),1))/1000,3)</f>
        <v>0.44</v>
      </c>
      <c r="E86">
        <f>MIN(5000,MAX(25,CEILING(Calcs!L86,_xlfn.IFS(Calcs!L86&lt;100,25,Calcs!L86&lt;250,50,Calcs!L86&lt;1000,250,Calcs!L86&gt;=1000,1000))))</f>
        <v>50</v>
      </c>
      <c r="F86">
        <f>ROUNDUP('Ammo Input'!G86^(3/4),0)</f>
        <v>30</v>
      </c>
      <c r="G86">
        <f>ROUND((0.5*((IF(OR(B86="HEAT",B86="HEDP"),'Ammo Input'!N86,'Ammo Input'!H86)/1000)*(IF(B86="HEAT",9000,IF(B86="HEDP",1500,'Ammo Input'!G86))^2))),0)</f>
        <v>1672</v>
      </c>
      <c r="H86" s="25" t="str">
        <f>CONCATENATE(IF((B86="Foam")+(B86="Smoke"),"-",ROUND(Calcs!D86,0))," ",VLOOKUP(B86,AmmoTypeFactors,5,FALSE))</f>
        <v>25 Bomb</v>
      </c>
      <c r="I86" s="25" t="str">
        <f>IF(Calcs!E86=0,"None",CONCATENATE(ROUND(Calcs!E86,0)," ",VLOOKUP(B86,AmmoTypeFactors,6,FALSE)))</f>
        <v>None</v>
      </c>
      <c r="J86">
        <f>MROUND(2.42*'Ammo Input'!M86^(1/3)*VLOOKUP(B86,AmmoTypeFactors,3,FALSE),0.5)</f>
        <v>1</v>
      </c>
      <c r="K86" s="25" t="str">
        <f>IF(VLOOKUP(B86,AmmoTypeFactors,12,FALSE),MROUND(J86/3,0.5),"None")</f>
        <v>None</v>
      </c>
      <c r="L86" s="25" t="str">
        <f>IF(VLOOKUP(B86,AmmoTypeFactors,8,FALSE),"None",ROUNDUP(IF(Calcs!I86&gt;0,Calcs!I86,Calcs!H86),3))</f>
        <v>None</v>
      </c>
      <c r="M86" s="25" t="str">
        <f>IF(VLOOKUP(B86,AmmoTypeFactors,8,FALSE),"None",'Ammo Input'!L86)</f>
        <v>None</v>
      </c>
      <c r="N86">
        <f>'Ammo Input'!O86</f>
        <v>50</v>
      </c>
      <c r="O86" t="e">
        <f>ROUND((P86*0.0036+SUMPRODUCT(Q86:AB86,VLOOKUP($Q$1:$AB$1,IngredientStats,2,FALSE)))/N86*IF('Ammo Input'!R86,0.5,1),2)</f>
        <v>#VALUE!</v>
      </c>
      <c r="P86" t="e">
        <f>(SUMPRODUCT(Q86:AB86,VLOOKUP($Q$1:$AB$1,IngredientStats,4,FALSE))*VLOOKUP(B86,AmmoTypeFactors,14,FALSE)*IF('Ammo Input'!R86,1.1,1))</f>
        <v>#VALUE!</v>
      </c>
      <c r="Q86">
        <f>IFERROR(__xludf.DUMMYFUNCTION("((IF(NOT(OR(REGEXMATCH(B86, ""Arrow""), B86 = ""Javelin"", B86 = ""Stick bomb"")), ROUNDUP(('Ammo Input'!E86 / 1000) * N86)) + IF(VLOOKUP(B86, AmmoTypeFactors, 9, FALSE) = ""Steel"", ROUNDUP(('Ammo Input'!H86 -'Ammo Input'!M86) * MAX(IF('Ammo Input'!J86 &gt;"&amp;" 0, 'Ammo Input'!J86, 1), 1) * N86 / 1000))) / 'Ingredient stats'!$C$2) * IF(ISBLANK(VLOOKUP(B86,AmmoTypeFactors,15,False)),1,VLOOKUP(B86,AmmoTypeFactors,15,False))"),46)</f>
        <v>46</v>
      </c>
      <c r="R86">
        <f>IFERROR(__xludf.DUMMYFUNCTION("ROUNDUP((IF(REGEXMATCH(B86, ""Arrow"") + (B86 = ""Javelin""), 'Ammo Input'!E86) + IF(VLOOKUP(B86, AmmoTypeFactors, 9, FALSE) = ""Wood"", 'Ammo Input'!H86) + IF(B86 = ""Stick bomb"", 'Ammo Input'!E86)) * N86 / 'Ingredient stats'!$C$12 / 1000)"),0)</f>
        <v>0</v>
      </c>
      <c r="S86">
        <v>0</v>
      </c>
      <c r="T86">
        <v>0</v>
      </c>
      <c r="U86">
        <f>IF(VLOOKUP(B86,AmmoTypeFactors,9,FALSE)="Plasteel",ROUNDUP(('Ammo Input'!H86*MAX(IF('Ammo Input'!J86&gt;0,'Ammo Input'!J86,1)*N86/1000/'Ingredient stats'!$C$4)),0),0)</f>
        <v>0</v>
      </c>
      <c r="V86">
        <f>IFERROR(__xludf.DUMMYFUNCTION("ROUNDUP(IF(ISBLANK(VLOOKUP(B86,AmmoTypeFactors,16,False)),1,VLOOKUP(B86,AmmoTypeFactors,16,False)) * (IFS(REGEXMATCH(B86, ""EMP""), 'Ammo Input'!M86 * N86 / 'Ingredient stats'!$C$5, REGEXMATCH(B86, ""Charge""), (U86^0.75), true, 0) + (IF(VLOOKUP(B86, Ammo"&amp;"TypeFactors, 10, false), 2,0) + IF('Ammo Input'!P86, 2,0) + IF('Ammo Input'!Q86,MIN(ROUNDUP(0.2*('Ammo Input'!H86/1000)*'Ammo Input'!O86,0),20),0))))"),2)</f>
        <v>2</v>
      </c>
      <c r="W86">
        <v>0</v>
      </c>
      <c r="X86">
        <v>5</v>
      </c>
      <c r="Y86">
        <v>0</v>
      </c>
      <c r="Z86">
        <v>0</v>
      </c>
      <c r="AA86">
        <v>0</v>
      </c>
      <c r="AB86" s="30">
        <f>IF(B86="Sling Bullet (Stone)",ROUNDUP(D86*0.02*E86/'Ingredient stats'!$C$8,0),0)</f>
        <v>0</v>
      </c>
      <c r="AC86" t="str">
        <f t="shared" si="4"/>
        <v>None</v>
      </c>
      <c r="AD86" t="str">
        <f>IF(OR(B86="Buck",B86="Bird",B86="Charge (Scatter)"),'Ammo Input'!J86,"None")</f>
        <v>None</v>
      </c>
      <c r="AE86">
        <f>_xlfn.IFS(ISTEXT(Calcs!N86),Calcs!N86,Calcs!N86&lt;=40,Calcs!N86,Calcs!N86&gt;41,"40")</f>
        <v>0</v>
      </c>
      <c r="AF86">
        <f>_xlfn.IFS(ISTEXT(Calcs!O86),Calcs!O86,Calcs!O86&lt;=80,Calcs!O86,Calcs!O86&gt;=81,"80")</f>
        <v>40</v>
      </c>
      <c r="AG86" s="25">
        <f t="shared" si="5"/>
        <v>3</v>
      </c>
      <c r="AH86" s="25">
        <f t="shared" si="6"/>
        <v>0.5</v>
      </c>
      <c r="AI86" s="25">
        <f t="shared" si="7"/>
        <v>2</v>
      </c>
    </row>
    <row r="87" ht="14.4" spans="1:35">
      <c r="A87" s="24" t="str">
        <f>'Ammo Input'!A87</f>
        <v>50mm GS50 Grenade</v>
      </c>
      <c r="B87" t="str">
        <f>'Ammo Input'!B87</f>
        <v>EMP</v>
      </c>
      <c r="C87">
        <f>ROUNDUP(('Ammo Input'!C87*(MAX('Ammo Input'!D87,'Ammo Input'!F87)*0.5)^2*PI())*3/1000000,2)</f>
        <v>2.11</v>
      </c>
      <c r="D87">
        <f>ROUNDUP(('Ammo Input'!E87+'Ammo Input'!H87*IF('Ammo Input'!J87&lt;&gt;"",MAX('Ammo Input'!J87,1),1))/1000,3)</f>
        <v>0.44</v>
      </c>
      <c r="E87">
        <f>MIN(5000,MAX(25,CEILING(Calcs!L87,_xlfn.IFS(Calcs!L87&lt;100,25,Calcs!L87&lt;250,50,Calcs!L87&lt;1000,250,Calcs!L87&gt;=1000,1000))))</f>
        <v>50</v>
      </c>
      <c r="F87">
        <f>ROUNDUP('Ammo Input'!G87^(3/4),0)</f>
        <v>30</v>
      </c>
      <c r="G87">
        <f>ROUND((0.5*((IF(OR(B87="HEAT",B87="HEDP"),'Ammo Input'!N87,'Ammo Input'!H87)/1000)*(IF(B87="HEAT",9000,IF(B87="HEDP",1500,'Ammo Input'!G87))^2))),0)</f>
        <v>1672</v>
      </c>
      <c r="H87" s="25" t="str">
        <f>CONCATENATE(IF((B87="Foam")+(B87="Smoke"),"-",ROUND(Calcs!D87,0))," ",VLOOKUP(B87,AmmoTypeFactors,5,FALSE))</f>
        <v>25 EMP</v>
      </c>
      <c r="I87" s="25" t="str">
        <f>IF(Calcs!E87=0,"None",CONCATENATE(ROUND(Calcs!E87,0)," ",VLOOKUP(B87,AmmoTypeFactors,6,FALSE)))</f>
        <v>None</v>
      </c>
      <c r="J87">
        <f>MROUND(2.42*'Ammo Input'!M87^(1/3)*VLOOKUP(B87,AmmoTypeFactors,3,FALSE),0.5)</f>
        <v>2</v>
      </c>
      <c r="K87" s="25" t="str">
        <f>IF(VLOOKUP(B87,AmmoTypeFactors,12,FALSE),MROUND(J87/3,0.5),"None")</f>
        <v>None</v>
      </c>
      <c r="L87" s="25" t="str">
        <f>IF(VLOOKUP(B87,AmmoTypeFactors,8,FALSE),"None",ROUNDUP(IF(Calcs!I87&gt;0,Calcs!I87,Calcs!H87),3))</f>
        <v>None</v>
      </c>
      <c r="M87" s="25" t="str">
        <f>IF(VLOOKUP(B87,AmmoTypeFactors,8,FALSE),"None",'Ammo Input'!L87)</f>
        <v>None</v>
      </c>
      <c r="N87">
        <f>'Ammo Input'!O87</f>
        <v>50</v>
      </c>
      <c r="O87" t="e">
        <f>ROUND((P87*0.0036+SUMPRODUCT(Q87:AB87,VLOOKUP($Q$1:$AB$1,IngredientStats,2,FALSE)))/N87*IF('Ammo Input'!R87,0.5,1),2)</f>
        <v>#VALUE!</v>
      </c>
      <c r="P87" t="e">
        <f>(SUMPRODUCT(Q87:AB87,VLOOKUP($Q$1:$AB$1,IngredientStats,4,FALSE))*VLOOKUP(B87,AmmoTypeFactors,14,FALSE)*IF('Ammo Input'!R87,1.1,1))</f>
        <v>#VALUE!</v>
      </c>
      <c r="Q87">
        <f>IFERROR(__xludf.DUMMYFUNCTION("((IF(NOT(OR(REGEXMATCH(B87, ""Arrow""), B87 = ""Javelin"", B87 = ""Stick bomb"")), ROUNDUP(('Ammo Input'!E87 / 1000) * N87)) + IF(VLOOKUP(B87, AmmoTypeFactors, 9, FALSE) = ""Steel"", ROUNDUP(('Ammo Input'!H87 -'Ammo Input'!M87) * MAX(IF('Ammo Input'!J87 &gt;"&amp;" 0, 'Ammo Input'!J87, 1), 1) * N87 / 1000))) / 'Ingredient stats'!$C$2) * IF(ISBLANK(VLOOKUP(B87,AmmoTypeFactors,15,False)),1,VLOOKUP(B87,AmmoTypeFactors,15,False))"),46)</f>
        <v>46</v>
      </c>
      <c r="R87">
        <f>IFERROR(__xludf.DUMMYFUNCTION("ROUNDUP((IF(REGEXMATCH(B87, ""Arrow"") + (B87 = ""Javelin""), 'Ammo Input'!E87) + IF(VLOOKUP(B87, AmmoTypeFactors, 9, FALSE) = ""Wood"", 'Ammo Input'!H87) + IF(B87 = ""Stick bomb"", 'Ammo Input'!E87)) * N87 / 'Ingredient stats'!$C$12 / 1000)"),0)</f>
        <v>0</v>
      </c>
      <c r="S87">
        <v>0</v>
      </c>
      <c r="T87">
        <v>0</v>
      </c>
      <c r="U87">
        <f>IF(VLOOKUP(B87,AmmoTypeFactors,9,FALSE)="Plasteel",ROUNDUP(('Ammo Input'!H87*MAX(IF('Ammo Input'!J87&gt;0,'Ammo Input'!J87,1)*N87/1000/'Ingredient stats'!$C$4)),0),0)</f>
        <v>0</v>
      </c>
      <c r="V87">
        <f>IFERROR(__xludf.DUMMYFUNCTION("ROUNDUP(IF(ISBLANK(VLOOKUP(B87,AmmoTypeFactors,16,False)),1,VLOOKUP(B87,AmmoTypeFactors,16,False)) * (IFS(REGEXMATCH(B87, ""EMP""), 'Ammo Input'!M87 * N87 / 'Ingredient stats'!$C$5, REGEXMATCH(B87, ""Charge""), (U87^0.75), true, 0) + (IF(VLOOKUP(B87, Ammo"&amp;"TypeFactors, 10, false), 2,0) + IF('Ammo Input'!P87, 2,0) + IF('Ammo Input'!Q87,MIN(ROUNDUP(0.2*('Ammo Input'!H87/1000)*'Ammo Input'!O87,0),20),0))))"),8)</f>
        <v>8</v>
      </c>
      <c r="W87">
        <v>0</v>
      </c>
      <c r="X87">
        <v>0</v>
      </c>
      <c r="Y87">
        <v>0</v>
      </c>
      <c r="Z87">
        <v>0</v>
      </c>
      <c r="AA87">
        <v>0</v>
      </c>
      <c r="AB87" s="30">
        <f>IF(B87="Sling Bullet (Stone)",ROUNDUP(D87*0.02*E87/'Ingredient stats'!$C$8,0),0)</f>
        <v>0</v>
      </c>
      <c r="AC87" t="str">
        <f t="shared" si="4"/>
        <v>None</v>
      </c>
      <c r="AD87" t="str">
        <f>IF(OR(B87="Buck",B87="Bird",B87="Charge (Scatter)"),'Ammo Input'!J87,"None")</f>
        <v>None</v>
      </c>
      <c r="AE87" t="str">
        <f>_xlfn.IFS(ISTEXT(Calcs!N87),Calcs!N87,Calcs!N87&lt;=40,Calcs!N87,Calcs!N87&gt;41,"40")</f>
        <v>None</v>
      </c>
      <c r="AF87" t="str">
        <f>_xlfn.IFS(ISTEXT(Calcs!O87),Calcs!O87,Calcs!O87&lt;=80,Calcs!O87,Calcs!O87&gt;=81,"80")</f>
        <v>None</v>
      </c>
      <c r="AG87" s="25">
        <f t="shared" si="5"/>
        <v>3</v>
      </c>
      <c r="AH87" s="25">
        <f t="shared" si="6"/>
        <v>0.5</v>
      </c>
      <c r="AI87" s="25">
        <f t="shared" si="7"/>
        <v>2</v>
      </c>
    </row>
    <row r="88" ht="14.4" spans="1:35">
      <c r="A88" s="24" t="str">
        <f>'Ammo Input'!A88</f>
        <v>50mm GS50 Grenade</v>
      </c>
      <c r="B88" t="str">
        <f>'Ammo Input'!B88</f>
        <v>Smoke</v>
      </c>
      <c r="C88">
        <f>ROUNDUP(('Ammo Input'!C88*(MAX('Ammo Input'!D88,'Ammo Input'!F88)*0.5)^2*PI())*3/1000000,2)</f>
        <v>2.11</v>
      </c>
      <c r="D88">
        <f>ROUNDUP(('Ammo Input'!E88+'Ammo Input'!H88*IF('Ammo Input'!J88&lt;&gt;"",MAX('Ammo Input'!J88,1),1))/1000,3)</f>
        <v>0.44</v>
      </c>
      <c r="E88">
        <f>MIN(5000,MAX(25,CEILING(Calcs!L88,_xlfn.IFS(Calcs!L88&lt;100,25,Calcs!L88&lt;250,50,Calcs!L88&lt;1000,250,Calcs!L88&gt;=1000,1000))))</f>
        <v>50</v>
      </c>
      <c r="F88">
        <f>ROUNDUP('Ammo Input'!G88^(3/4),0)</f>
        <v>30</v>
      </c>
      <c r="G88">
        <f>ROUND((0.5*((IF(OR(B88="HEAT",B88="HEDP"),'Ammo Input'!N88,'Ammo Input'!H88)/1000)*(IF(B88="HEAT",9000,IF(B88="HEDP",1500,'Ammo Input'!G88))^2))),0)</f>
        <v>1672</v>
      </c>
      <c r="H88" s="25" t="str">
        <f>CONCATENATE(IF((B88="Foam")+(B88="Smoke"),"-",ROUND(Calcs!D88,0))," ",VLOOKUP(B88,AmmoTypeFactors,5,FALSE))</f>
        <v>- Smoke</v>
      </c>
      <c r="I88" s="25" t="str">
        <f>IF(Calcs!E88=0,"None",CONCATENATE(ROUND(Calcs!E88,0)," ",VLOOKUP(B88,AmmoTypeFactors,6,FALSE)))</f>
        <v>None</v>
      </c>
      <c r="J88">
        <f>MROUND(2.42*'Ammo Input'!M88^(1/3)*VLOOKUP(B88,AmmoTypeFactors,3,FALSE),0.5)</f>
        <v>2.5</v>
      </c>
      <c r="K88" s="25" t="str">
        <f>IF(VLOOKUP(B88,AmmoTypeFactors,12,FALSE),MROUND(J88/3,0.5),"None")</f>
        <v>None</v>
      </c>
      <c r="L88" s="25" t="str">
        <f>IF(VLOOKUP(B88,AmmoTypeFactors,8,FALSE),"None",ROUNDUP(IF(Calcs!I88&gt;0,Calcs!I88,Calcs!H88),3))</f>
        <v>None</v>
      </c>
      <c r="M88" s="25" t="str">
        <f>IF(VLOOKUP(B88,AmmoTypeFactors,8,FALSE),"None",'Ammo Input'!L88)</f>
        <v>None</v>
      </c>
      <c r="N88">
        <f>'Ammo Input'!O88</f>
        <v>50</v>
      </c>
      <c r="O88" t="e">
        <f>ROUND((P88*0.0036+SUMPRODUCT(Q88:AB88,VLOOKUP($Q$1:$AB$1,IngredientStats,2,FALSE)))/N88*IF('Ammo Input'!R88,0.5,1),2)</f>
        <v>#VALUE!</v>
      </c>
      <c r="P88" t="e">
        <f>(SUMPRODUCT(Q88:AB88,VLOOKUP($Q$1:$AB$1,IngredientStats,4,FALSE))*VLOOKUP(B88,AmmoTypeFactors,14,FALSE)*IF('Ammo Input'!R88,1.1,1))</f>
        <v>#VALUE!</v>
      </c>
      <c r="Q88">
        <f>IFERROR(__xludf.DUMMYFUNCTION("((IF(NOT(OR(REGEXMATCH(B88, ""Arrow""), B88 = ""Javelin"", B88 = ""Stick bomb"")), ROUNDUP(('Ammo Input'!E88 / 1000) * N88)) + IF(VLOOKUP(B88, AmmoTypeFactors, 9, FALSE) = ""Steel"", ROUNDUP(('Ammo Input'!H88 -'Ammo Input'!M88) * MAX(IF('Ammo Input'!J88 &gt;"&amp;" 0, 'Ammo Input'!J88, 1), 1) * N88 / 1000))) / 'Ingredient stats'!$C$2) * IF(ISBLANK(VLOOKUP(B88,AmmoTypeFactors,15,False)),1,VLOOKUP(B88,AmmoTypeFactors,15,False))"),46)</f>
        <v>46</v>
      </c>
      <c r="R88">
        <f>IFERROR(__xludf.DUMMYFUNCTION("ROUNDUP((IF(REGEXMATCH(B88, ""Arrow"") + (B88 = ""Javelin""), 'Ammo Input'!E88) + IF(VLOOKUP(B88, AmmoTypeFactors, 9, FALSE) = ""Wood"", 'Ammo Input'!H88) + IF(B88 = ""Stick bomb"", 'Ammo Input'!E88)) * N88 / 'Ingredient stats'!$C$12 / 1000)"),0)</f>
        <v>0</v>
      </c>
      <c r="S88">
        <v>0</v>
      </c>
      <c r="T88">
        <v>0</v>
      </c>
      <c r="U88">
        <f>IF(VLOOKUP(B88,AmmoTypeFactors,9,FALSE)="Plasteel",ROUNDUP(('Ammo Input'!H88*MAX(IF('Ammo Input'!J88&gt;0,'Ammo Input'!J88,1)*N88/1000/'Ingredient stats'!$C$4)),0),0)</f>
        <v>0</v>
      </c>
      <c r="V88">
        <f>IFERROR(__xludf.DUMMYFUNCTION("ROUNDUP(IF(ISBLANK(VLOOKUP(B88,AmmoTypeFactors,16,False)),1,VLOOKUP(B88,AmmoTypeFactors,16,False)) * (IFS(REGEXMATCH(B88, ""EMP""), 'Ammo Input'!M88 * N88 / 'Ingredient stats'!$C$5, REGEXMATCH(B88, ""Charge""), (U88^0.75), true, 0) + (IF(VLOOKUP(B88, Ammo"&amp;"TypeFactors, 10, false), 2,0) + IF('Ammo Input'!P88, 2,0) + IF('Ammo Input'!Q88,MIN(ROUNDUP(0.2*('Ammo Input'!H88/1000)*'Ammo Input'!O88,0),20),0))))"),2)</f>
        <v>2</v>
      </c>
      <c r="W88">
        <v>2</v>
      </c>
      <c r="X88">
        <v>0</v>
      </c>
      <c r="Y88">
        <v>0</v>
      </c>
      <c r="Z88">
        <v>0</v>
      </c>
      <c r="AA88">
        <v>0</v>
      </c>
      <c r="AB88" s="30">
        <f>IF(B88="Sling Bullet (Stone)",ROUNDUP(D88*0.02*E88/'Ingredient stats'!$C$8,0),0)</f>
        <v>0</v>
      </c>
      <c r="AC88" t="str">
        <f t="shared" si="4"/>
        <v>None</v>
      </c>
      <c r="AD88" t="str">
        <f>IF(OR(B88="Buck",B88="Bird",B88="Charge (Scatter)"),'Ammo Input'!J88,"None")</f>
        <v>None</v>
      </c>
      <c r="AE88" t="str">
        <f>_xlfn.IFS(ISTEXT(Calcs!N88),Calcs!N88,Calcs!N88&lt;=40,Calcs!N88,Calcs!N88&gt;41,"40")</f>
        <v>None</v>
      </c>
      <c r="AF88" t="str">
        <f>_xlfn.IFS(ISTEXT(Calcs!O88),Calcs!O88,Calcs!O88&lt;=80,Calcs!O88,Calcs!O88&gt;=81,"80")</f>
        <v>None</v>
      </c>
      <c r="AG88" s="25">
        <f t="shared" si="5"/>
        <v>0</v>
      </c>
      <c r="AH88" s="25">
        <f t="shared" si="6"/>
        <v>0.5</v>
      </c>
      <c r="AI88" s="25">
        <f t="shared" si="7"/>
        <v>0</v>
      </c>
    </row>
    <row r="89" ht="14.4" spans="1:35">
      <c r="A89" s="24" t="str">
        <f>'Ammo Input'!A89</f>
        <v>83mm PIAT Grenade</v>
      </c>
      <c r="B89" t="str">
        <f>'Ammo Input'!B89</f>
        <v>HEAT</v>
      </c>
      <c r="C89">
        <f>ROUNDUP(('Ammo Input'!C89*(MAX('Ammo Input'!D89,'Ammo Input'!F89)*0.5)^2*PI())*3/1000000,2)</f>
        <v>6.5</v>
      </c>
      <c r="D89">
        <f>ROUNDUP(('Ammo Input'!E89+'Ammo Input'!H89*IF('Ammo Input'!J89&lt;&gt;"",MAX('Ammo Input'!J89,1),1))/1000,3)</f>
        <v>3.176</v>
      </c>
      <c r="E89">
        <f>MIN(5000,MAX(25,CEILING(Calcs!L89,_xlfn.IFS(Calcs!L89&lt;100,25,Calcs!L89&lt;250,50,Calcs!L89&lt;1000,250,Calcs!L89&gt;=1000,1000))))</f>
        <v>25</v>
      </c>
      <c r="F89">
        <f>ROUNDUP('Ammo Input'!G89^(3/4),0)</f>
        <v>26</v>
      </c>
      <c r="G89">
        <f>ROUND((0.5*((IF(OR(B89="HEAT",B89="HEDP"),'Ammo Input'!N89,'Ammo Input'!H89)/1000)*(IF(B89="HEAT",9000,IF(B89="HEDP",1500,'Ammo Input'!G89))^2))),0)</f>
        <v>5062500</v>
      </c>
      <c r="H89" s="25" t="str">
        <f>CONCATENATE(IF((B89="Foam")+(B89="Smoke"),"-",ROUND(Calcs!D89,0))," ",VLOOKUP(B89,AmmoTypeFactors,5,FALSE))</f>
        <v>268 Bullet</v>
      </c>
      <c r="I89" s="25" t="str">
        <f>IF(Calcs!E89=0,"None",CONCATENATE(ROUND(Calcs!E89,0)," ",VLOOKUP(B89,AmmoTypeFactors,6,FALSE)))</f>
        <v>None</v>
      </c>
      <c r="J89">
        <f>MROUND(2.42*'Ammo Input'!M89^(1/3)*VLOOKUP(B89,AmmoTypeFactors,3,FALSE),0.5)</f>
        <v>1</v>
      </c>
      <c r="K89" s="25" t="str">
        <f>IF(VLOOKUP(B89,AmmoTypeFactors,12,FALSE),MROUND(J89/3,0.5),"None")</f>
        <v>None</v>
      </c>
      <c r="L89" s="25">
        <f>IF(VLOOKUP(B89,AmmoTypeFactors,8,FALSE),"None",ROUNDUP(IF(Calcs!I89&gt;0,Calcs!I89,Calcs!H89),3))</f>
        <v>41.818</v>
      </c>
      <c r="M89" s="25">
        <f>IF(VLOOKUP(B89,AmmoTypeFactors,8,FALSE),"None",'Ammo Input'!L89)</f>
        <v>100</v>
      </c>
      <c r="N89">
        <f>'Ammo Input'!O89</f>
        <v>5</v>
      </c>
      <c r="O89" t="e">
        <f>ROUND((P89*0.0036+SUMPRODUCT(Q89:AB89,VLOOKUP($Q$1:$AB$1,IngredientStats,2,FALSE)))/N89*IF('Ammo Input'!R89,0.5,1),2)</f>
        <v>#VALUE!</v>
      </c>
      <c r="P89" t="e">
        <f>(SUMPRODUCT(Q89:AB89,VLOOKUP($Q$1:$AB$1,IngredientStats,4,FALSE))*VLOOKUP(B89,AmmoTypeFactors,14,FALSE)*IF('Ammo Input'!R89,1.1,1))</f>
        <v>#VALUE!</v>
      </c>
      <c r="Q89">
        <f>IFERROR(__xludf.DUMMYFUNCTION("((IF(NOT(OR(REGEXMATCH(B89, ""Arrow""), B89 = ""Javelin"", B89 = ""Stick bomb"")), ROUNDUP(('Ammo Input'!E89 / 1000) * N89)) + IF(VLOOKUP(B89, AmmoTypeFactors, 9, FALSE) = ""Steel"", ROUNDUP(('Ammo Input'!H89 -'Ammo Input'!M89) * MAX(IF('Ammo Input'!J89 &gt;"&amp;" 0, 'Ammo Input'!J89, 1), 1) * N89 / 1000))) / 'Ingredient stats'!$C$2) * IF(ISBLANK(VLOOKUP(B89,AmmoTypeFactors,15,False)),1,VLOOKUP(B89,AmmoTypeFactors,15,False))"),32)</f>
        <v>32</v>
      </c>
      <c r="R89">
        <f>IFERROR(__xludf.DUMMYFUNCTION("ROUNDUP((IF(REGEXMATCH(B89, ""Arrow"") + (B89 = ""Javelin""), 'Ammo Input'!E89) + IF(VLOOKUP(B89, AmmoTypeFactors, 9, FALSE) = ""Wood"", 'Ammo Input'!H89) + IF(B89 = ""Stick bomb"", 'Ammo Input'!E89)) * N89 / 'Ingredient stats'!$C$12 / 1000)"),0)</f>
        <v>0</v>
      </c>
      <c r="S89">
        <v>0</v>
      </c>
      <c r="T89">
        <v>0</v>
      </c>
      <c r="U89">
        <f>IF(VLOOKUP(B89,AmmoTypeFactors,9,FALSE)="Plasteel",ROUNDUP(('Ammo Input'!H89*MAX(IF('Ammo Input'!J89&gt;0,'Ammo Input'!J89,1)*N89/1000/'Ingredient stats'!$C$4)),0),0)</f>
        <v>0</v>
      </c>
      <c r="V89">
        <f>IFERROR(__xludf.DUMMYFUNCTION("ROUNDUP(IF(ISBLANK(VLOOKUP(B89,AmmoTypeFactors,16,False)),1,VLOOKUP(B89,AmmoTypeFactors,16,False)) * (IFS(REGEXMATCH(B89, ""EMP""), 'Ammo Input'!M89 * N89 / 'Ingredient stats'!$C$5, REGEXMATCH(B89, ""Charge""), (U89^0.75), true, 0) + (IF(VLOOKUP(B89, Ammo"&amp;"TypeFactors, 10, false), 2,0) + IF('Ammo Input'!P89, 2,0) + IF('Ammo Input'!Q89,MIN(ROUNDUP(0.2*('Ammo Input'!H89/1000)*'Ammo Input'!O89,0),20),0))))"),2)</f>
        <v>2</v>
      </c>
      <c r="W89">
        <v>0</v>
      </c>
      <c r="X89">
        <v>9</v>
      </c>
      <c r="Y89">
        <v>0</v>
      </c>
      <c r="Z89">
        <v>0</v>
      </c>
      <c r="AA89">
        <v>0</v>
      </c>
      <c r="AB89" s="30">
        <f>IF(B89="Sling Bullet (Stone)",ROUNDUP(D89*0.02*E89/'Ingredient stats'!$C$8,0),0)</f>
        <v>0</v>
      </c>
      <c r="AC89" t="str">
        <f t="shared" si="4"/>
        <v>None</v>
      </c>
      <c r="AD89" t="str">
        <f>IF(OR(B89="Buck",B89="Bird",B89="Charge (Scatter)"),'Ammo Input'!J89,"None")</f>
        <v>None</v>
      </c>
      <c r="AE89">
        <f>_xlfn.IFS(ISTEXT(Calcs!N89),Calcs!N89,Calcs!N89&lt;=40,Calcs!N89,Calcs!N89&gt;41,"40")</f>
        <v>1</v>
      </c>
      <c r="AF89">
        <f>_xlfn.IFS(ISTEXT(Calcs!O89),Calcs!O89,Calcs!O89&lt;=80,Calcs!O89,Calcs!O89&gt;=81,"80")</f>
        <v>11</v>
      </c>
      <c r="AG89" s="25">
        <f t="shared" si="5"/>
        <v>3</v>
      </c>
      <c r="AH89" s="25">
        <f t="shared" si="6"/>
        <v>0.43</v>
      </c>
      <c r="AI89" s="25">
        <f t="shared" si="7"/>
        <v>2</v>
      </c>
    </row>
    <row r="90" ht="14.4" spans="1:35">
      <c r="A90" s="24" t="str">
        <f>'Ammo Input'!A90</f>
        <v>83mm PIAT Grenade</v>
      </c>
      <c r="B90" t="str">
        <f>'Ammo Input'!B90</f>
        <v>Frag</v>
      </c>
      <c r="C90">
        <f>ROUNDUP(('Ammo Input'!C90*(MAX('Ammo Input'!D90,'Ammo Input'!F90)*0.5)^2*PI())*3/1000000,2)</f>
        <v>6.5</v>
      </c>
      <c r="D90">
        <f>ROUNDUP(('Ammo Input'!E90+'Ammo Input'!H90*IF('Ammo Input'!J90&lt;&gt;"",MAX('Ammo Input'!J90,1),1))/1000,3)</f>
        <v>3.176</v>
      </c>
      <c r="E90">
        <f>MIN(5000,MAX(25,CEILING(Calcs!L90,_xlfn.IFS(Calcs!L90&lt;100,25,Calcs!L90&lt;250,50,Calcs!L90&lt;1000,250,Calcs!L90&gt;=1000,1000))))</f>
        <v>25</v>
      </c>
      <c r="F90">
        <f>ROUNDUP('Ammo Input'!G90^(3/4),0)</f>
        <v>26</v>
      </c>
      <c r="G90">
        <f>ROUND((0.5*((IF(OR(B90="HEAT",B90="HEDP"),'Ammo Input'!N90,'Ammo Input'!H90)/1000)*(IF(B90="HEAT",9000,IF(B90="HEDP",1500,'Ammo Input'!G90))^2))),0)</f>
        <v>2888</v>
      </c>
      <c r="H90" s="25" t="str">
        <f>CONCATENATE(IF((B90="Foam")+(B90="Smoke"),"-",ROUND(Calcs!D90,0))," ",VLOOKUP(B90,AmmoTypeFactors,5,FALSE))</f>
        <v>139 Bomb</v>
      </c>
      <c r="I90" s="25" t="str">
        <f>IF(Calcs!E90=0,"None",CONCATENATE(ROUND(Calcs!E90,0)," ",VLOOKUP(B90,AmmoTypeFactors,6,FALSE)))</f>
        <v>None</v>
      </c>
      <c r="J90">
        <f>MROUND(2.42*'Ammo Input'!M90^(1/3)*VLOOKUP(B90,AmmoTypeFactors,3,FALSE),0.5)</f>
        <v>2.5</v>
      </c>
      <c r="K90" s="25" t="str">
        <f>IF(VLOOKUP(B90,AmmoTypeFactors,12,FALSE),MROUND(J90/3,0.5),"None")</f>
        <v>None</v>
      </c>
      <c r="L90" s="25" t="str">
        <f>IF(VLOOKUP(B90,AmmoTypeFactors,8,FALSE),"None",ROUNDUP(IF(Calcs!I90&gt;0,Calcs!I90,Calcs!H90),3))</f>
        <v>None</v>
      </c>
      <c r="M90" s="25" t="str">
        <f>IF(VLOOKUP(B90,AmmoTypeFactors,8,FALSE),"None",'Ammo Input'!L90)</f>
        <v>None</v>
      </c>
      <c r="N90">
        <f>'Ammo Input'!O90</f>
        <v>5</v>
      </c>
      <c r="O90" t="e">
        <f>ROUND((P90*0.0036+SUMPRODUCT(Q90:AB90,VLOOKUP($Q$1:$AB$1,IngredientStats,2,FALSE)))/N90*IF('Ammo Input'!R90,0.5,1),2)</f>
        <v>#VALUE!</v>
      </c>
      <c r="P90" t="e">
        <f>(SUMPRODUCT(Q90:AB90,VLOOKUP($Q$1:$AB$1,IngredientStats,4,FALSE))*VLOOKUP(B90,AmmoTypeFactors,14,FALSE)*IF('Ammo Input'!R90,1.1,1))</f>
        <v>#VALUE!</v>
      </c>
      <c r="Q90">
        <f>IFERROR(__xludf.DUMMYFUNCTION("((IF(NOT(OR(REGEXMATCH(B90, ""Arrow""), B90 = ""Javelin"", B90 = ""Stick bomb"")), ROUNDUP(('Ammo Input'!E90 / 1000) * N90)) + IF(VLOOKUP(B90, AmmoTypeFactors, 9, FALSE) = ""Steel"", ROUNDUP(('Ammo Input'!H90 -'Ammo Input'!M90) * MAX(IF('Ammo Input'!J90 &gt;"&amp;" 0, 'Ammo Input'!J90, 1), 1) * N90 / 1000))) / 'Ingredient stats'!$C$2) * IF(ISBLANK(VLOOKUP(B90,AmmoTypeFactors,15,False)),1,VLOOKUP(B90,AmmoTypeFactors,15,False))"),32)</f>
        <v>32</v>
      </c>
      <c r="R90">
        <f>IFERROR(__xludf.DUMMYFUNCTION("ROUNDUP((IF(REGEXMATCH(B90, ""Arrow"") + (B90 = ""Javelin""), 'Ammo Input'!E90) + IF(VLOOKUP(B90, AmmoTypeFactors, 9, FALSE) = ""Wood"", 'Ammo Input'!H90) + IF(B90 = ""Stick bomb"", 'Ammo Input'!E90)) * N90 / 'Ingredient stats'!$C$12 / 1000)"),0)</f>
        <v>0</v>
      </c>
      <c r="S90">
        <v>0</v>
      </c>
      <c r="T90">
        <v>0</v>
      </c>
      <c r="U90">
        <f>IF(VLOOKUP(B90,AmmoTypeFactors,9,FALSE)="Plasteel",ROUNDUP(('Ammo Input'!H90*MAX(IF('Ammo Input'!J90&gt;0,'Ammo Input'!J90,1)*N90/1000/'Ingredient stats'!$C$4)),0),0)</f>
        <v>0</v>
      </c>
      <c r="V90">
        <f>IFERROR(__xludf.DUMMYFUNCTION("ROUNDUP(IF(ISBLANK(VLOOKUP(B90,AmmoTypeFactors,16,False)),1,VLOOKUP(B90,AmmoTypeFactors,16,False)) * (IFS(REGEXMATCH(B90, ""EMP""), 'Ammo Input'!M90 * N90 / 'Ingredient stats'!$C$5, REGEXMATCH(B90, ""Charge""), (U90^0.75), true, 0) + (IF(VLOOKUP(B90, Ammo"&amp;"TypeFactors, 10, false), 2,0) + IF('Ammo Input'!P90, 2,0) + IF('Ammo Input'!Q90,MIN(ROUNDUP(0.2*('Ammo Input'!H90/1000)*'Ammo Input'!O90,0),20),0))))"),2)</f>
        <v>2</v>
      </c>
      <c r="W90">
        <v>0</v>
      </c>
      <c r="X90">
        <v>9</v>
      </c>
      <c r="Y90">
        <v>0</v>
      </c>
      <c r="Z90">
        <v>0</v>
      </c>
      <c r="AA90">
        <v>0</v>
      </c>
      <c r="AB90" s="30">
        <f>IF(B90="Sling Bullet (Stone)",ROUNDUP(D90*0.02*E90/'Ingredient stats'!$C$8,0),0)</f>
        <v>0</v>
      </c>
      <c r="AC90" t="str">
        <f t="shared" si="4"/>
        <v>None</v>
      </c>
      <c r="AD90" t="str">
        <f>IF(OR(B90="Buck",B90="Bird",B90="Charge (Scatter)"),'Ammo Input'!J90,"None")</f>
        <v>None</v>
      </c>
      <c r="AE90">
        <f>_xlfn.IFS(ISTEXT(Calcs!N90),Calcs!N90,Calcs!N90&lt;=40,Calcs!N90,Calcs!N90&gt;41,"40")</f>
        <v>0</v>
      </c>
      <c r="AF90" t="str">
        <f>_xlfn.IFS(ISTEXT(Calcs!O90),Calcs!O90,Calcs!O90&lt;=80,Calcs!O90,Calcs!O90&gt;=81,"80")</f>
        <v>80</v>
      </c>
      <c r="AG90" s="25">
        <f t="shared" si="5"/>
        <v>3</v>
      </c>
      <c r="AH90" s="25">
        <f t="shared" si="6"/>
        <v>0.43</v>
      </c>
      <c r="AI90" s="25">
        <f t="shared" si="7"/>
        <v>2</v>
      </c>
    </row>
    <row r="91" ht="14.4" spans="1:35">
      <c r="A91" s="24" t="str">
        <f>'Ammo Input'!A91</f>
        <v>83mm PIAT Grenade</v>
      </c>
      <c r="B91" t="str">
        <f>'Ammo Input'!B91</f>
        <v>EMP</v>
      </c>
      <c r="C91">
        <f>ROUNDUP(('Ammo Input'!C91*(MAX('Ammo Input'!D91,'Ammo Input'!F91)*0.5)^2*PI())*3/1000000,2)</f>
        <v>6.5</v>
      </c>
      <c r="D91">
        <f>ROUNDUP(('Ammo Input'!E91+'Ammo Input'!H91*IF('Ammo Input'!J91&lt;&gt;"",MAX('Ammo Input'!J91,1),1))/1000,3)</f>
        <v>3.176</v>
      </c>
      <c r="E91">
        <f>MIN(5000,MAX(25,CEILING(Calcs!L91,_xlfn.IFS(Calcs!L91&lt;100,25,Calcs!L91&lt;250,50,Calcs!L91&lt;1000,250,Calcs!L91&gt;=1000,1000))))</f>
        <v>25</v>
      </c>
      <c r="F91">
        <f>ROUNDUP('Ammo Input'!G91^(3/4),0)</f>
        <v>26</v>
      </c>
      <c r="G91">
        <f>ROUND((0.5*((IF(OR(B91="HEAT",B91="HEDP"),'Ammo Input'!N91,'Ammo Input'!H91)/1000)*(IF(B91="HEAT",9000,IF(B91="HEDP",1500,'Ammo Input'!G91))^2))),0)</f>
        <v>2888</v>
      </c>
      <c r="H91" s="25" t="str">
        <f>CONCATENATE(IF((B91="Foam")+(B91="Smoke"),"-",ROUND(Calcs!D91,0))," ",VLOOKUP(B91,AmmoTypeFactors,5,FALSE))</f>
        <v>139 EMP</v>
      </c>
      <c r="I91" s="25" t="str">
        <f>IF(Calcs!E91=0,"None",CONCATENATE(ROUND(Calcs!E91,0)," ",VLOOKUP(B91,AmmoTypeFactors,6,FALSE)))</f>
        <v>None</v>
      </c>
      <c r="J91">
        <f>MROUND(2.42*'Ammo Input'!M91^(1/3)*VLOOKUP(B91,AmmoTypeFactors,3,FALSE),0.5)</f>
        <v>5</v>
      </c>
      <c r="K91" s="25" t="str">
        <f>IF(VLOOKUP(B91,AmmoTypeFactors,12,FALSE),MROUND(J91/3,0.5),"None")</f>
        <v>None</v>
      </c>
      <c r="L91" s="25" t="str">
        <f>IF(VLOOKUP(B91,AmmoTypeFactors,8,FALSE),"None",ROUNDUP(IF(Calcs!I91&gt;0,Calcs!I91,Calcs!H91),3))</f>
        <v>None</v>
      </c>
      <c r="M91" s="25" t="str">
        <f>IF(VLOOKUP(B91,AmmoTypeFactors,8,FALSE),"None",'Ammo Input'!L91)</f>
        <v>None</v>
      </c>
      <c r="N91">
        <f>'Ammo Input'!O91</f>
        <v>5</v>
      </c>
      <c r="O91" t="e">
        <f>ROUND((P91*0.0036+SUMPRODUCT(Q91:AB91,VLOOKUP($Q$1:$AB$1,IngredientStats,2,FALSE)))/N91*IF('Ammo Input'!R91,0.5,1),2)</f>
        <v>#VALUE!</v>
      </c>
      <c r="P91" t="e">
        <f>(SUMPRODUCT(Q91:AB91,VLOOKUP($Q$1:$AB$1,IngredientStats,4,FALSE))*VLOOKUP(B91,AmmoTypeFactors,14,FALSE)*IF('Ammo Input'!R91,1.1,1))</f>
        <v>#VALUE!</v>
      </c>
      <c r="Q91">
        <f>IFERROR(__xludf.DUMMYFUNCTION("((IF(NOT(OR(REGEXMATCH(B91, ""Arrow""), B91 = ""Javelin"", B91 = ""Stick bomb"")), ROUNDUP(('Ammo Input'!E91 / 1000) * N91)) + IF(VLOOKUP(B91, AmmoTypeFactors, 9, FALSE) = ""Steel"", ROUNDUP(('Ammo Input'!H91 -'Ammo Input'!M91) * MAX(IF('Ammo Input'!J91 &gt;"&amp;" 0, 'Ammo Input'!J91, 1), 1) * N91 / 1000))) / 'Ingredient stats'!$C$2) * IF(ISBLANK(VLOOKUP(B91,AmmoTypeFactors,15,False)),1,VLOOKUP(B91,AmmoTypeFactors,15,False))"),32)</f>
        <v>32</v>
      </c>
      <c r="R91">
        <f>IFERROR(__xludf.DUMMYFUNCTION("ROUNDUP((IF(REGEXMATCH(B91, ""Arrow"") + (B91 = ""Javelin""), 'Ammo Input'!E91) + IF(VLOOKUP(B91, AmmoTypeFactors, 9, FALSE) = ""Wood"", 'Ammo Input'!H91) + IF(B91 = ""Stick bomb"", 'Ammo Input'!E91)) * N91 / 'Ingredient stats'!$C$12 / 1000)"),0)</f>
        <v>0</v>
      </c>
      <c r="S91">
        <v>0</v>
      </c>
      <c r="T91">
        <v>0</v>
      </c>
      <c r="U91">
        <f>IF(VLOOKUP(B91,AmmoTypeFactors,9,FALSE)="Plasteel",ROUNDUP(('Ammo Input'!H91*MAX(IF('Ammo Input'!J91&gt;0,'Ammo Input'!J91,1)*N91/1000/'Ingredient stats'!$C$4)),0),0)</f>
        <v>0</v>
      </c>
      <c r="V91">
        <f>IFERROR(__xludf.DUMMYFUNCTION("ROUNDUP(IF(ISBLANK(VLOOKUP(B91,AmmoTypeFactors,16,False)),1,VLOOKUP(B91,AmmoTypeFactors,16,False)) * (IFS(REGEXMATCH(B91, ""EMP""), 'Ammo Input'!M91 * N91 / 'Ingredient stats'!$C$5, REGEXMATCH(B91, ""Charge""), (U91^0.75), true, 0) + (IF(VLOOKUP(B91, Ammo"&amp;"TypeFactors, 10, false), 2,0) + IF('Ammo Input'!P91, 2,0) + IF('Ammo Input'!Q91,MIN(ROUNDUP(0.2*('Ammo Input'!H91/1000)*'Ammo Input'!O91,0),20),0))))"),12)</f>
        <v>12</v>
      </c>
      <c r="W91">
        <v>0</v>
      </c>
      <c r="X91">
        <v>0</v>
      </c>
      <c r="Y91">
        <v>0</v>
      </c>
      <c r="Z91">
        <v>0</v>
      </c>
      <c r="AA91">
        <v>0</v>
      </c>
      <c r="AB91" s="30">
        <f>IF(B91="Sling Bullet (Stone)",ROUNDUP(D91*0.02*E91/'Ingredient stats'!$C$8,0),0)</f>
        <v>0</v>
      </c>
      <c r="AC91" t="str">
        <f t="shared" si="4"/>
        <v>None</v>
      </c>
      <c r="AD91" t="str">
        <f>IF(OR(B91="Buck",B91="Bird",B91="Charge (Scatter)"),'Ammo Input'!J91,"None")</f>
        <v>None</v>
      </c>
      <c r="AE91" t="str">
        <f>_xlfn.IFS(ISTEXT(Calcs!N91),Calcs!N91,Calcs!N91&lt;=40,Calcs!N91,Calcs!N91&gt;41,"40")</f>
        <v>None</v>
      </c>
      <c r="AF91" t="str">
        <f>_xlfn.IFS(ISTEXT(Calcs!O91),Calcs!O91,Calcs!O91&lt;=80,Calcs!O91,Calcs!O91&gt;=81,"80")</f>
        <v>None</v>
      </c>
      <c r="AG91" s="25">
        <f t="shared" si="5"/>
        <v>3</v>
      </c>
      <c r="AH91" s="25">
        <f t="shared" si="6"/>
        <v>0.43</v>
      </c>
      <c r="AI91" s="25">
        <f t="shared" si="7"/>
        <v>2</v>
      </c>
    </row>
    <row r="92" ht="14.4" spans="1:35">
      <c r="A92" s="14" t="s">
        <v>82</v>
      </c>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row>
    <row r="93" ht="14.4" spans="1:35">
      <c r="A93" s="24" t="str">
        <f>'Ammo Input'!A93</f>
        <v>2 Bore</v>
      </c>
      <c r="B93" t="str">
        <f>'Ammo Input'!B93</f>
        <v>FMJ</v>
      </c>
      <c r="C93">
        <f>ROUNDUP(('Ammo Input'!C93*(MAX('Ammo Input'!D93,'Ammo Input'!F93)*0.5)^2*PI())*3/1000000,2)</f>
        <v>0.36</v>
      </c>
      <c r="D93">
        <f>ROUNDUP(('Ammo Input'!E93+'Ammo Input'!H93*IF('Ammo Input'!J93&lt;&gt;"",MAX('Ammo Input'!J93,1),1))/1000,3)</f>
        <v>0.477</v>
      </c>
      <c r="E93">
        <f>MIN(5000,MAX(25,CEILING(Calcs!L93,_xlfn.IFS(Calcs!L93&lt;100,25,Calcs!L93&lt;250,50,Calcs!L93&lt;1000,250,Calcs!L93&gt;=1000,1000))))</f>
        <v>500</v>
      </c>
      <c r="F93">
        <f>ROUNDUP('Ammo Input'!G93^(3/4),0)</f>
        <v>88</v>
      </c>
      <c r="G93">
        <f>ROUND((0.5*((IF(OR(B93="HEAT",B93="HEDP"),'Ammo Input'!N93,'Ammo Input'!H93)/1000)*(IF(B93="HEAT",9000,IF(B93="HEDP",1500,'Ammo Input'!G93))^2))),0)</f>
        <v>17263</v>
      </c>
      <c r="H93" s="25" t="str">
        <f>CONCATENATE(IF((B93="Foam")+(B93="Smoke"),"-",ROUND(Calcs!D93,0))," ",VLOOKUP(B93,AmmoTypeFactors,5,FALSE))</f>
        <v>57 Bullet</v>
      </c>
      <c r="I93" s="25" t="str">
        <f>IF(Calcs!E93=0,"None",CONCATENATE(ROUND(Calcs!E93,0)," ",VLOOKUP(B93,AmmoTypeFactors,6,FALSE)))</f>
        <v>None</v>
      </c>
      <c r="J93">
        <f>MROUND(2.42*'Ammo Input'!M93^(1/3)*VLOOKUP(B93,AmmoTypeFactors,3,FALSE),0.5)</f>
        <v>0</v>
      </c>
      <c r="K93" s="25" t="str">
        <f>IF(VLOOKUP(B93,AmmoTypeFactors,12,FALSE),MROUND(J93/3,0.5),"None")</f>
        <v>None</v>
      </c>
      <c r="L93" s="25">
        <f>IF(VLOOKUP(B93,AmmoTypeFactors,8,FALSE),"None",ROUNDUP(IF(Calcs!I93&gt;0,Calcs!I93,Calcs!H93),3))</f>
        <v>345.26</v>
      </c>
      <c r="M93" s="25">
        <f>IF(VLOOKUP(B93,AmmoTypeFactors,8,FALSE),"None",'Ammo Input'!L93)</f>
        <v>12</v>
      </c>
      <c r="N93">
        <f>'Ammo Input'!O93</f>
        <v>200</v>
      </c>
      <c r="O93" t="e">
        <f>ROUND((P93*0.0036+SUMPRODUCT(Q93:AB93,VLOOKUP($Q$1:$AB$1,IngredientStats,2,FALSE)))/N93*IF('Ammo Input'!R93,0.5,1),2)</f>
        <v>#VALUE!</v>
      </c>
      <c r="P93" t="e">
        <f>(SUMPRODUCT(Q93:AB93,VLOOKUP($Q$1:$AB$1,IngredientStats,4,FALSE))*VLOOKUP(B93,AmmoTypeFactors,14,FALSE)*IF('Ammo Input'!R93,1.1,1))</f>
        <v>#VALUE!</v>
      </c>
      <c r="Q93">
        <f>IFERROR(__xludf.DUMMYFUNCTION("((IF(NOT(OR(REGEXMATCH(B93, ""Arrow""), B93 = ""Javelin"", B93 = ""Stick bomb"")), ROUNDUP(('Ammo Input'!E93 / 1000) * N93)) + IF(VLOOKUP(B93, AmmoTypeFactors, 9, FALSE) = ""Steel"", ROUNDUP(('Ammo Input'!H93 -'Ammo Input'!M93) * MAX(IF('Ammo Input'!J93 &gt;"&amp;" 0, 'Ammo Input'!J93, 1), 1) * N93 / 1000))) / 'Ingredient stats'!$C$2) * IF(ISBLANK(VLOOKUP(B93,AmmoTypeFactors,15,False)),1,VLOOKUP(B93,AmmoTypeFactors,15,False))"),192)</f>
        <v>192</v>
      </c>
      <c r="R93">
        <f>IFERROR(__xludf.DUMMYFUNCTION("ROUNDUP((IF(REGEXMATCH(B93, ""Arrow"") + (B93 = ""Javelin""), 'Ammo Input'!E93) + IF(VLOOKUP(B93, AmmoTypeFactors, 9, FALSE) = ""Wood"", 'Ammo Input'!H93) + IF(B93 = ""Stick bomb"", 'Ammo Input'!E93)) * N93 / 'Ingredient stats'!$C$12 / 1000)"),0)</f>
        <v>0</v>
      </c>
      <c r="S93">
        <v>0</v>
      </c>
      <c r="T93">
        <v>0</v>
      </c>
      <c r="U93">
        <f>IF(VLOOKUP(B93,AmmoTypeFactors,9,FALSE)="Plasteel",ROUNDUP(('Ammo Input'!H93*MAX(IF('Ammo Input'!J93&gt;0,'Ammo Input'!J93,1)*N93/1000/'Ingredient stats'!$C$4)),0),0)</f>
        <v>0</v>
      </c>
      <c r="V93">
        <f>IFERROR(__xludf.DUMMYFUNCTION("ROUNDUP(IF(ISBLANK(VLOOKUP(B93,AmmoTypeFactors,16,False)),1,VLOOKUP(B93,AmmoTypeFactors,16,False)) * (IFS(REGEXMATCH(B93, ""EMP""), 'Ammo Input'!M93 * N93 / 'Ingredient stats'!$C$5, REGEXMATCH(B93, ""Charge""), (U93^0.75), true, 0) + (IF(VLOOKUP(B93, Ammo"&amp;"TypeFactors, 10, false), 2,0) + IF('Ammo Input'!P93, 2,0) + IF('Ammo Input'!Q93,MIN(ROUNDUP(0.2*('Ammo Input'!H93/1000)*'Ammo Input'!O93,0),20),0))))"),0)</f>
        <v>0</v>
      </c>
      <c r="W93">
        <v>0</v>
      </c>
      <c r="X93">
        <v>0</v>
      </c>
      <c r="Y93">
        <v>0</v>
      </c>
      <c r="Z93">
        <v>0</v>
      </c>
      <c r="AA93" s="30">
        <v>0</v>
      </c>
      <c r="AB93" s="30">
        <f>IF(B93="Sling Bullet (Stone)",ROUNDUP(D93*0.02*E93/'Ingredient stats'!$C$8,0),0)</f>
        <v>0</v>
      </c>
      <c r="AC93" t="str">
        <f t="shared" ref="AC93:AC215" si="8">IF(B93="Buck",8.9,IF(B93="Bird",71.4,IF(B93="Beanbag",2,IF(OR(B93="Charge (Scatter)",B93="Charge (IonScatter)"),8.9,"None"))))</f>
        <v>None</v>
      </c>
      <c r="AD93" t="str">
        <f>IF(OR(B93="Buck",B93="Bird",B93="Charge (Scatter)"),'Ammo Input'!J93,"None")</f>
        <v>None</v>
      </c>
      <c r="AE93" t="str">
        <f>_xlfn.IFS(ISTEXT(Calcs!N93),Calcs!N93,Calcs!N93&lt;=40,Calcs!N93,Calcs!N93&gt;41,"40")</f>
        <v>None</v>
      </c>
      <c r="AF93" t="str">
        <f>_xlfn.IFS(ISTEXT(Calcs!O93),Calcs!O93,Calcs!O93&lt;=80,Calcs!O93,Calcs!O93&gt;=81,"80")</f>
        <v>None</v>
      </c>
      <c r="AG93" s="25">
        <f t="shared" ref="AG93:AG215" si="9">IF(IFERROR(FIND("-",$H93),0),0,IF($J93,3,1))</f>
        <v>1</v>
      </c>
      <c r="AH93" s="25">
        <f t="shared" ref="AH93:AH215" si="10">IFERROR(ROUND(200/(CEILING(200/$F93*60,1)+1),2),"-")</f>
        <v>1.45</v>
      </c>
      <c r="AI93" s="25">
        <f t="shared" ref="AI93:AI215" si="11">IF(IFERROR(FIND("-",$H93),0),0,IF($J93,2,1))</f>
        <v>1</v>
      </c>
    </row>
    <row r="94" ht="14.4" spans="1:35">
      <c r="A94" s="24" t="str">
        <f>'Ammo Input'!A94</f>
        <v>2 Bore</v>
      </c>
      <c r="B94" t="str">
        <f>'Ammo Input'!B94</f>
        <v>AP</v>
      </c>
      <c r="C94">
        <f>ROUNDUP(('Ammo Input'!C94*(MAX('Ammo Input'!D94,'Ammo Input'!F94)*0.5)^2*PI())*3/1000000,2)</f>
        <v>0.36</v>
      </c>
      <c r="D94">
        <f>ROUNDUP(('Ammo Input'!E94+'Ammo Input'!H94*IF('Ammo Input'!J94&lt;&gt;"",MAX('Ammo Input'!J94,1),1))/1000,3)</f>
        <v>0.477</v>
      </c>
      <c r="E94">
        <f>MIN(5000,MAX(25,CEILING(Calcs!L94,_xlfn.IFS(Calcs!L94&lt;100,25,Calcs!L94&lt;250,50,Calcs!L94&lt;1000,250,Calcs!L94&gt;=1000,1000))))</f>
        <v>500</v>
      </c>
      <c r="F94">
        <f>ROUNDUP('Ammo Input'!G94^(3/4),0)</f>
        <v>88</v>
      </c>
      <c r="G94">
        <f>ROUND((0.5*((IF(OR(B94="HEAT",B94="HEDP"),'Ammo Input'!N94,'Ammo Input'!H94)/1000)*(IF(B94="HEAT",9000,IF(B94="HEDP",1500,'Ammo Input'!G94))^2))),0)</f>
        <v>17263</v>
      </c>
      <c r="H94" s="25" t="str">
        <f>CONCATENATE(IF((B94="Foam")+(B94="Smoke"),"-",ROUND(Calcs!D94,0))," ",VLOOKUP(B94,AmmoTypeFactors,5,FALSE))</f>
        <v>36 Bullet</v>
      </c>
      <c r="I94" s="25" t="str">
        <f>IF(Calcs!E94=0,"None",CONCATENATE(ROUND(Calcs!E94,0)," ",VLOOKUP(B94,AmmoTypeFactors,6,FALSE)))</f>
        <v>None</v>
      </c>
      <c r="J94">
        <f>MROUND(2.42*'Ammo Input'!M94^(1/3)*VLOOKUP(B94,AmmoTypeFactors,3,FALSE),0.5)</f>
        <v>0</v>
      </c>
      <c r="K94" s="25" t="str">
        <f>IF(VLOOKUP(B94,AmmoTypeFactors,12,FALSE),MROUND(J94/3,0.5),"None")</f>
        <v>None</v>
      </c>
      <c r="L94" s="25">
        <f>IF(VLOOKUP(B94,AmmoTypeFactors,8,FALSE),"None",ROUNDUP(IF(Calcs!I94&gt;0,Calcs!I94,Calcs!H94),3))</f>
        <v>345.26</v>
      </c>
      <c r="M94" s="25">
        <f>IF(VLOOKUP(B94,AmmoTypeFactors,8,FALSE),"None",'Ammo Input'!L94)</f>
        <v>24</v>
      </c>
      <c r="N94">
        <f>'Ammo Input'!O94</f>
        <v>200</v>
      </c>
      <c r="O94" t="e">
        <f>ROUND((P94*0.0036+SUMPRODUCT(Q94:AB94,VLOOKUP($Q$1:$AB$1,IngredientStats,2,FALSE)))/N94*IF('Ammo Input'!R94,0.5,1),2)</f>
        <v>#VALUE!</v>
      </c>
      <c r="P94" t="e">
        <f>(SUMPRODUCT(Q94:AB94,VLOOKUP($Q$1:$AB$1,IngredientStats,4,FALSE))*VLOOKUP(B94,AmmoTypeFactors,14,FALSE)*IF('Ammo Input'!R94,1.1,1))</f>
        <v>#VALUE!</v>
      </c>
      <c r="Q94">
        <f>IFERROR(__xludf.DUMMYFUNCTION("((IF(NOT(OR(REGEXMATCH(B94, ""Arrow""), B94 = ""Javelin"", B94 = ""Stick bomb"")), ROUNDUP(('Ammo Input'!E94 / 1000) * N94)) + IF(VLOOKUP(B94, AmmoTypeFactors, 9, FALSE) = ""Steel"", ROUNDUP(('Ammo Input'!H94 -'Ammo Input'!M94) * MAX(IF('Ammo Input'!J94 &gt;"&amp;" 0, 'Ammo Input'!J94, 1), 1) * N94 / 1000))) / 'Ingredient stats'!$C$2) * IF(ISBLANK(VLOOKUP(B94,AmmoTypeFactors,15,False)),1,VLOOKUP(B94,AmmoTypeFactors,15,False))"),192)</f>
        <v>192</v>
      </c>
      <c r="R94">
        <f>IFERROR(__xludf.DUMMYFUNCTION("ROUNDUP((IF(REGEXMATCH(B94, ""Arrow"") + (B94 = ""Javelin""), 'Ammo Input'!E94) + IF(VLOOKUP(B94, AmmoTypeFactors, 9, FALSE) = ""Wood"", 'Ammo Input'!H94) + IF(B94 = ""Stick bomb"", 'Ammo Input'!E94)) * N94 / 'Ingredient stats'!$C$12 / 1000)"),0)</f>
        <v>0</v>
      </c>
      <c r="S94">
        <v>0</v>
      </c>
      <c r="T94">
        <v>0</v>
      </c>
      <c r="U94">
        <f>IF(VLOOKUP(B94,AmmoTypeFactors,9,FALSE)="Plasteel",ROUNDUP(('Ammo Input'!H94*MAX(IF('Ammo Input'!J94&gt;0,'Ammo Input'!J94,1)*N94/1000/'Ingredient stats'!$C$4)),0),0)</f>
        <v>0</v>
      </c>
      <c r="V94">
        <f>IFERROR(__xludf.DUMMYFUNCTION("ROUNDUP(IF(ISBLANK(VLOOKUP(B94,AmmoTypeFactors,16,False)),1,VLOOKUP(B94,AmmoTypeFactors,16,False)) * (IFS(REGEXMATCH(B94, ""EMP""), 'Ammo Input'!M94 * N94 / 'Ingredient stats'!$C$5, REGEXMATCH(B94, ""Charge""), (U94^0.75), true, 0) + (IF(VLOOKUP(B94, Ammo"&amp;"TypeFactors, 10, false), 2,0) + IF('Ammo Input'!P94, 2,0) + IF('Ammo Input'!Q94,MIN(ROUNDUP(0.2*('Ammo Input'!H94/1000)*'Ammo Input'!O94,0),20),0))))"),0)</f>
        <v>0</v>
      </c>
      <c r="W94">
        <v>0</v>
      </c>
      <c r="X94">
        <v>0</v>
      </c>
      <c r="Y94">
        <v>0</v>
      </c>
      <c r="Z94">
        <v>0</v>
      </c>
      <c r="AA94">
        <v>0</v>
      </c>
      <c r="AB94" s="30">
        <f>IF(B94="Sling Bullet (Stone)",ROUNDUP(D94*0.02*E94/'Ingredient stats'!$C$8,0),0)</f>
        <v>0</v>
      </c>
      <c r="AC94" t="str">
        <f t="shared" si="8"/>
        <v>None</v>
      </c>
      <c r="AD94" t="str">
        <f>IF(OR(B94="Buck",B94="Bird",B94="Charge (Scatter)"),'Ammo Input'!J94,"None")</f>
        <v>None</v>
      </c>
      <c r="AE94" t="str">
        <f>_xlfn.IFS(ISTEXT(Calcs!N94),Calcs!N94,Calcs!N94&lt;=40,Calcs!N94,Calcs!N94&gt;41,"40")</f>
        <v>None</v>
      </c>
      <c r="AF94" t="str">
        <f>_xlfn.IFS(ISTEXT(Calcs!O94),Calcs!O94,Calcs!O94&lt;=80,Calcs!O94,Calcs!O94&gt;=81,"80")</f>
        <v>None</v>
      </c>
      <c r="AG94" s="25">
        <f t="shared" si="9"/>
        <v>1</v>
      </c>
      <c r="AH94" s="25">
        <f t="shared" si="10"/>
        <v>1.45</v>
      </c>
      <c r="AI94" s="25">
        <f t="shared" si="11"/>
        <v>1</v>
      </c>
    </row>
    <row r="95" ht="14.4" spans="1:35">
      <c r="A95" s="24" t="str">
        <f>'Ammo Input'!A95</f>
        <v>2 Bore</v>
      </c>
      <c r="B95" t="str">
        <f>'Ammo Input'!B95</f>
        <v>AP-I</v>
      </c>
      <c r="C95">
        <f>ROUNDUP(('Ammo Input'!C95*(MAX('Ammo Input'!D95,'Ammo Input'!F95)*0.5)^2*PI())*3/1000000,2)</f>
        <v>0.36</v>
      </c>
      <c r="D95">
        <f>ROUNDUP(('Ammo Input'!E95+'Ammo Input'!H95*IF('Ammo Input'!J95&lt;&gt;"",MAX('Ammo Input'!J95,1),1))/1000,3)</f>
        <v>0.477</v>
      </c>
      <c r="E95">
        <f>MIN(5000,MAX(25,CEILING(Calcs!L95,_xlfn.IFS(Calcs!L95&lt;100,25,Calcs!L95&lt;250,50,Calcs!L95&lt;1000,250,Calcs!L95&gt;=1000,1000))))</f>
        <v>500</v>
      </c>
      <c r="F95">
        <f>ROUNDUP('Ammo Input'!G95^(3/4),0)</f>
        <v>88</v>
      </c>
      <c r="G95">
        <f>ROUND((0.5*((IF(OR(B95="HEAT",B95="HEDP"),'Ammo Input'!N95,'Ammo Input'!H95)/1000)*(IF(B95="HEAT",9000,IF(B95="HEDP",1500,'Ammo Input'!G95))^2))),0)</f>
        <v>17263</v>
      </c>
      <c r="H95" s="25" t="str">
        <f>CONCATENATE(IF((B95="Foam")+(B95="Smoke"),"-",ROUND(Calcs!D95,0))," ",VLOOKUP(B95,AmmoTypeFactors,5,FALSE))</f>
        <v>36 Bullet</v>
      </c>
      <c r="I95" s="25" t="str">
        <f>IF(Calcs!E95=0,"None",CONCATENATE(ROUND(Calcs!E95,0)," ",VLOOKUP(B95,AmmoTypeFactors,6,FALSE)))</f>
        <v>37 Flame_Secondary</v>
      </c>
      <c r="J95">
        <f>MROUND(2.42*'Ammo Input'!M95^(1/3)*VLOOKUP(B95,AmmoTypeFactors,3,FALSE),0.5)</f>
        <v>0</v>
      </c>
      <c r="K95" s="25" t="str">
        <f>IF(VLOOKUP(B95,AmmoTypeFactors,12,FALSE),MROUND(J95/3,0.5),"None")</f>
        <v>None</v>
      </c>
      <c r="L95" s="25">
        <f>IF(VLOOKUP(B95,AmmoTypeFactors,8,FALSE),"None",ROUNDUP(IF(Calcs!I95&gt;0,Calcs!I95,Calcs!H95),3))</f>
        <v>345.26</v>
      </c>
      <c r="M95" s="25">
        <f>IF(VLOOKUP(B95,AmmoTypeFactors,8,FALSE),"None",'Ammo Input'!L95)</f>
        <v>24</v>
      </c>
      <c r="N95">
        <f>'Ammo Input'!O95</f>
        <v>200</v>
      </c>
      <c r="O95" t="e">
        <f>ROUND((P95*0.0036+SUMPRODUCT(Q95:AB95,VLOOKUP($Q$1:$AB$1,IngredientStats,2,FALSE)))/N95*IF('Ammo Input'!R95,0.5,1),2)</f>
        <v>#VALUE!</v>
      </c>
      <c r="P95" t="e">
        <f>(SUMPRODUCT(Q95:AB95,VLOOKUP($Q$1:$AB$1,IngredientStats,4,FALSE))*VLOOKUP(B95,AmmoTypeFactors,14,FALSE)*IF('Ammo Input'!R95,1.1,1))</f>
        <v>#VALUE!</v>
      </c>
      <c r="Q95">
        <f>IFERROR(__xludf.DUMMYFUNCTION("((IF(NOT(OR(REGEXMATCH(B95, ""Arrow""), B95 = ""Javelin"", B95 = ""Stick bomb"")), ROUNDUP(('Ammo Input'!E95 / 1000) * N95)) + IF(VLOOKUP(B95, AmmoTypeFactors, 9, FALSE) = ""Steel"", ROUNDUP(('Ammo Input'!H95 -'Ammo Input'!M95) * MAX(IF('Ammo Input'!J95 &gt;"&amp;" 0, 'Ammo Input'!J95, 1), 1) * N95 / 1000))) / 'Ingredient stats'!$C$2) * IF(ISBLANK(VLOOKUP(B95,AmmoTypeFactors,15,False)),1,VLOOKUP(B95,AmmoTypeFactors,15,False))"),192)</f>
        <v>192</v>
      </c>
      <c r="R95">
        <f>IFERROR(__xludf.DUMMYFUNCTION("ROUNDUP((IF(REGEXMATCH(B95, ""Arrow"") + (B95 = ""Javelin""), 'Ammo Input'!E95) + IF(VLOOKUP(B95, AmmoTypeFactors, 9, FALSE) = ""Wood"", 'Ammo Input'!H95) + IF(B95 = ""Stick bomb"", 'Ammo Input'!E95)) * N95 / 'Ingredient stats'!$C$12 / 1000)"),0)</f>
        <v>0</v>
      </c>
      <c r="S95">
        <v>0</v>
      </c>
      <c r="T95">
        <v>0</v>
      </c>
      <c r="U95">
        <f>IF(VLOOKUP(B95,AmmoTypeFactors,9,FALSE)="Plasteel",ROUNDUP(('Ammo Input'!H95*MAX(IF('Ammo Input'!J95&gt;0,'Ammo Input'!J95,1)*N95/1000/'Ingredient stats'!$C$4)),0),0)</f>
        <v>0</v>
      </c>
      <c r="V95">
        <f>IFERROR(__xludf.DUMMYFUNCTION("ROUNDUP(IF(ISBLANK(VLOOKUP(B95,AmmoTypeFactors,16,False)),1,VLOOKUP(B95,AmmoTypeFactors,16,False)) * (IFS(REGEXMATCH(B95, ""EMP""), 'Ammo Input'!M95 * N95 / 'Ingredient stats'!$C$5, REGEXMATCH(B95, ""Charge""), (U95^0.75), true, 0) + (IF(VLOOKUP(B95, Ammo"&amp;"TypeFactors, 10, false), 2,0) + IF('Ammo Input'!P95, 2,0) + IF('Ammo Input'!Q95,MIN(ROUNDUP(0.2*('Ammo Input'!H95/1000)*'Ammo Input'!O95,0),20),0))))"),0)</f>
        <v>0</v>
      </c>
      <c r="W95">
        <v>22</v>
      </c>
      <c r="X95">
        <v>0</v>
      </c>
      <c r="Y95">
        <v>0</v>
      </c>
      <c r="Z95">
        <v>0</v>
      </c>
      <c r="AA95">
        <v>0</v>
      </c>
      <c r="AB95" s="30">
        <f>IF(B95="Sling Bullet (Stone)",ROUNDUP(D95*0.02*E95/'Ingredient stats'!$C$8,0),0)</f>
        <v>0</v>
      </c>
      <c r="AC95" t="str">
        <f t="shared" si="8"/>
        <v>None</v>
      </c>
      <c r="AD95" t="str">
        <f>IF(OR(B95="Buck",B95="Bird",B95="Charge (Scatter)"),'Ammo Input'!J95,"None")</f>
        <v>None</v>
      </c>
      <c r="AE95" t="str">
        <f>_xlfn.IFS(ISTEXT(Calcs!N95),Calcs!N95,Calcs!N95&lt;=40,Calcs!N95,Calcs!N95&gt;41,"40")</f>
        <v>None</v>
      </c>
      <c r="AF95" t="str">
        <f>_xlfn.IFS(ISTEXT(Calcs!O95),Calcs!O95,Calcs!O95&lt;=80,Calcs!O95,Calcs!O95&gt;=81,"80")</f>
        <v>None</v>
      </c>
      <c r="AG95" s="25">
        <f t="shared" si="9"/>
        <v>1</v>
      </c>
      <c r="AH95" s="25">
        <f t="shared" si="10"/>
        <v>1.45</v>
      </c>
      <c r="AI95" s="25">
        <f t="shared" si="11"/>
        <v>1</v>
      </c>
    </row>
    <row r="96" ht="14.4" spans="1:35">
      <c r="A96" s="24" t="str">
        <f>'Ammo Input'!A96</f>
        <v>2 Bore</v>
      </c>
      <c r="B96" t="str">
        <f>'Ammo Input'!B96</f>
        <v>AP-HE</v>
      </c>
      <c r="C96">
        <f>ROUNDUP(('Ammo Input'!C96*(MAX('Ammo Input'!D96,'Ammo Input'!F96)*0.5)^2*PI())*3/1000000,2)</f>
        <v>0.36</v>
      </c>
      <c r="D96">
        <f>ROUNDUP(('Ammo Input'!E96+'Ammo Input'!H96*IF('Ammo Input'!J96&lt;&gt;"",MAX('Ammo Input'!J96,1),1))/1000,3)</f>
        <v>0.477</v>
      </c>
      <c r="E96">
        <f>MIN(5000,MAX(25,CEILING(Calcs!L96,_xlfn.IFS(Calcs!L96&lt;100,25,Calcs!L96&lt;250,50,Calcs!L96&lt;1000,250,Calcs!L96&gt;=1000,1000))))</f>
        <v>500</v>
      </c>
      <c r="F96">
        <f>ROUNDUP('Ammo Input'!G96^(3/4),0)</f>
        <v>88</v>
      </c>
      <c r="G96">
        <f>ROUND((0.5*((IF(OR(B96="HEAT",B96="HEDP"),'Ammo Input'!N96,'Ammo Input'!H96)/1000)*(IF(B96="HEAT",9000,IF(B96="HEDP",1500,'Ammo Input'!G96))^2))),0)</f>
        <v>17263</v>
      </c>
      <c r="H96" s="25" t="str">
        <f>CONCATENATE(IF((B96="Foam")+(B96="Smoke"),"-",ROUND(Calcs!D96,0))," ",VLOOKUP(B96,AmmoTypeFactors,5,FALSE))</f>
        <v>57 Bullet</v>
      </c>
      <c r="I96" s="25" t="str">
        <f>IF(Calcs!E96=0,"None",CONCATENATE(ROUND(Calcs!E96,0)," ",VLOOKUP(B96,AmmoTypeFactors,6,FALSE)))</f>
        <v>51 Bomb_Secondary</v>
      </c>
      <c r="J96">
        <f>MROUND(2.42*'Ammo Input'!M96^(1/3)*VLOOKUP(B96,AmmoTypeFactors,3,FALSE),0.5)</f>
        <v>0</v>
      </c>
      <c r="K96" s="25" t="str">
        <f>IF(VLOOKUP(B96,AmmoTypeFactors,12,FALSE),MROUND(J96/3,0.5),"None")</f>
        <v>None</v>
      </c>
      <c r="L96" s="25">
        <f>IF(VLOOKUP(B96,AmmoTypeFactors,8,FALSE),"None",ROUNDUP(IF(Calcs!I96&gt;0,Calcs!I96,Calcs!H96),3))</f>
        <v>345.26</v>
      </c>
      <c r="M96" s="25">
        <f>IF(VLOOKUP(B96,AmmoTypeFactors,8,FALSE),"None",'Ammo Input'!L96)</f>
        <v>12</v>
      </c>
      <c r="N96">
        <f>'Ammo Input'!O96</f>
        <v>200</v>
      </c>
      <c r="O96" t="e">
        <f>ROUND((P96*0.0036+SUMPRODUCT(Q96:AB96,VLOOKUP($Q$1:$AB$1,IngredientStats,2,FALSE)))/N96*IF('Ammo Input'!R96,0.5,1),2)</f>
        <v>#VALUE!</v>
      </c>
      <c r="P96" t="e">
        <f>(SUMPRODUCT(Q96:AB96,VLOOKUP($Q$1:$AB$1,IngredientStats,4,FALSE))*VLOOKUP(B96,AmmoTypeFactors,14,FALSE)*IF('Ammo Input'!R96,1.1,1))</f>
        <v>#VALUE!</v>
      </c>
      <c r="Q96">
        <f>IFERROR(__xludf.DUMMYFUNCTION("((IF(NOT(OR(REGEXMATCH(B96, ""Arrow""), B96 = ""Javelin"", B96 = ""Stick bomb"")), ROUNDUP(('Ammo Input'!E96 / 1000) * N96)) + IF(VLOOKUP(B96, AmmoTypeFactors, 9, FALSE) = ""Steel"", ROUNDUP(('Ammo Input'!H96 -'Ammo Input'!M96) * MAX(IF('Ammo Input'!J96 &gt;"&amp;" 0, 'Ammo Input'!J96, 1), 1) * N96 / 1000))) / 'Ingredient stats'!$C$2) * IF(ISBLANK(VLOOKUP(B96,AmmoTypeFactors,15,False)),1,VLOOKUP(B96,AmmoTypeFactors,15,False))"),192)</f>
        <v>192</v>
      </c>
      <c r="R96">
        <f>IFERROR(__xludf.DUMMYFUNCTION("ROUNDUP((IF(REGEXMATCH(B96, ""Arrow"") + (B96 = ""Javelin""), 'Ammo Input'!E96) + IF(VLOOKUP(B96, AmmoTypeFactors, 9, FALSE) = ""Wood"", 'Ammo Input'!H96) + IF(B96 = ""Stick bomb"", 'Ammo Input'!E96)) * N96 / 'Ingredient stats'!$C$12 / 1000)"),0)</f>
        <v>0</v>
      </c>
      <c r="S96">
        <v>0</v>
      </c>
      <c r="T96">
        <v>0</v>
      </c>
      <c r="U96">
        <f>IF(VLOOKUP(B96,AmmoTypeFactors,9,FALSE)="Plasteel",ROUNDUP(('Ammo Input'!H96*MAX(IF('Ammo Input'!J96&gt;0,'Ammo Input'!J96,1)*N96/1000/'Ingredient stats'!$C$4)),0),0)</f>
        <v>0</v>
      </c>
      <c r="V96">
        <f>IFERROR(__xludf.DUMMYFUNCTION("ROUNDUP(IF(ISBLANK(VLOOKUP(B96,AmmoTypeFactors,16,False)),1,VLOOKUP(B96,AmmoTypeFactors,16,False)) * (IFS(REGEXMATCH(B96, ""EMP""), 'Ammo Input'!M96 * N96 / 'Ingredient stats'!$C$5, REGEXMATCH(B96, ""Charge""), (U96^0.75), true, 0) + (IF(VLOOKUP(B96, Ammo"&amp;"TypeFactors, 10, false), 2,0) + IF('Ammo Input'!P96, 2,0) + IF('Ammo Input'!Q96,MIN(ROUNDUP(0.2*('Ammo Input'!H96/1000)*'Ammo Input'!O96,0),20),0))))"),0)</f>
        <v>0</v>
      </c>
      <c r="W96">
        <v>0</v>
      </c>
      <c r="X96">
        <v>43</v>
      </c>
      <c r="Y96">
        <v>0</v>
      </c>
      <c r="Z96">
        <v>0</v>
      </c>
      <c r="AA96">
        <v>0</v>
      </c>
      <c r="AB96" s="30">
        <f>IF(B96="Sling Bullet (Stone)",ROUNDUP(D96*0.02*E96/'Ingredient stats'!$C$8,0),0)</f>
        <v>0</v>
      </c>
      <c r="AC96" t="str">
        <f t="shared" si="8"/>
        <v>None</v>
      </c>
      <c r="AD96" t="str">
        <f>IF(OR(B96="Buck",B96="Bird",B96="Charge (Scatter)"),'Ammo Input'!J96,"None")</f>
        <v>None</v>
      </c>
      <c r="AE96" t="str">
        <f>_xlfn.IFS(ISTEXT(Calcs!N96),Calcs!N96,Calcs!N96&lt;=40,Calcs!N96,Calcs!N96&gt;41,"40")</f>
        <v>None</v>
      </c>
      <c r="AF96" t="str">
        <f>_xlfn.IFS(ISTEXT(Calcs!O96),Calcs!O96,Calcs!O96&lt;=80,Calcs!O96,Calcs!O96&gt;=81,"80")</f>
        <v>None</v>
      </c>
      <c r="AG96" s="25">
        <f t="shared" si="9"/>
        <v>1</v>
      </c>
      <c r="AH96" s="25">
        <f t="shared" si="10"/>
        <v>1.45</v>
      </c>
      <c r="AI96" s="25">
        <f t="shared" si="11"/>
        <v>1</v>
      </c>
    </row>
    <row r="97" ht="14.4" spans="1:35">
      <c r="A97" s="24" t="str">
        <f>'Ammo Input'!A97</f>
        <v>2 Bore</v>
      </c>
      <c r="B97" t="str">
        <f>'Ammo Input'!B97</f>
        <v>Sabot</v>
      </c>
      <c r="C97">
        <f>ROUNDUP(('Ammo Input'!C97*(MAX('Ammo Input'!D97,'Ammo Input'!F97)*0.5)^2*PI())*3/1000000,2)</f>
        <v>0.36</v>
      </c>
      <c r="D97">
        <f>ROUNDUP(('Ammo Input'!E97+'Ammo Input'!H97*IF('Ammo Input'!J97&lt;&gt;"",MAX('Ammo Input'!J97,1),1))/1000,3)</f>
        <v>0.38</v>
      </c>
      <c r="E97">
        <f>MIN(5000,MAX(25,CEILING(Calcs!L97,_xlfn.IFS(Calcs!L97&lt;100,25,Calcs!L97&lt;250,50,Calcs!L97&lt;1000,250,Calcs!L97&gt;=1000,1000))))</f>
        <v>500</v>
      </c>
      <c r="F97">
        <f>ROUNDUP('Ammo Input'!G97^(3/4),0)</f>
        <v>119</v>
      </c>
      <c r="G97">
        <f>ROUND((0.5*((IF(OR(B97="HEAT",B97="HEDP"),'Ammo Input'!N97,'Ammo Input'!H97)/1000)*(IF(B97="HEAT",9000,IF(B97="HEDP",1500,'Ammo Input'!G97))^2))),0)</f>
        <v>22142</v>
      </c>
      <c r="H97" s="25" t="str">
        <f>CONCATENATE(IF((B97="Foam")+(B97="Smoke"),"-",ROUND(Calcs!D97,0))," ",VLOOKUP(B97,AmmoTypeFactors,5,FALSE))</f>
        <v>30 Bullet</v>
      </c>
      <c r="I97" s="25" t="str">
        <f>IF(Calcs!E97=0,"None",CONCATENATE(ROUND(Calcs!E97,0)," ",VLOOKUP(B97,AmmoTypeFactors,6,FALSE)))</f>
        <v>None</v>
      </c>
      <c r="J97">
        <f>MROUND(2.42*'Ammo Input'!M97^(1/3)*VLOOKUP(B97,AmmoTypeFactors,3,FALSE),0.5)</f>
        <v>0</v>
      </c>
      <c r="K97" s="25" t="str">
        <f>IF(VLOOKUP(B97,AmmoTypeFactors,12,FALSE),MROUND(J97/3,0.5),"None")</f>
        <v>None</v>
      </c>
      <c r="L97" s="25">
        <f>IF(VLOOKUP(B97,AmmoTypeFactors,8,FALSE),"None",ROUNDUP(IF(Calcs!I97&gt;0,Calcs!I97,Calcs!H97),3))</f>
        <v>442.84</v>
      </c>
      <c r="M97" s="25">
        <f>IF(VLOOKUP(B97,AmmoTypeFactors,8,FALSE),"None",'Ammo Input'!L97)</f>
        <v>44</v>
      </c>
      <c r="N97">
        <f>'Ammo Input'!O97</f>
        <v>200</v>
      </c>
      <c r="O97" t="e">
        <f>ROUND((P97*0.0036+SUMPRODUCT(Q97:AB97,VLOOKUP($Q$1:$AB$1,IngredientStats,2,FALSE)))/N97*IF('Ammo Input'!R97,0.5,1),2)</f>
        <v>#VALUE!</v>
      </c>
      <c r="P97" t="e">
        <f>(SUMPRODUCT(Q97:AB97,VLOOKUP($Q$1:$AB$1,IngredientStats,4,FALSE))*VLOOKUP(B97,AmmoTypeFactors,14,FALSE)*IF('Ammo Input'!R97,1.1,1))</f>
        <v>#VALUE!</v>
      </c>
      <c r="Q97">
        <f>IFERROR(__xludf.DUMMYFUNCTION("((IF(NOT(OR(REGEXMATCH(B97, ""Arrow""), B97 = ""Javelin"", B97 = ""Stick bomb"")), ROUNDUP(('Ammo Input'!E97 / 1000) * N97)) + IF(VLOOKUP(B97, AmmoTypeFactors, 9, FALSE) = ""Steel"", ROUNDUP(('Ammo Input'!H97 -'Ammo Input'!M97) * MAX(IF('Ammo Input'!J97 &gt;"&amp;" 0, 'Ammo Input'!J97, 1), 1) * N97 / 1000))) / 'Ingredient stats'!$C$2) * IF(ISBLANK(VLOOKUP(B97,AmmoTypeFactors,15,False)),1,VLOOKUP(B97,AmmoTypeFactors,15,False))"),100)</f>
        <v>100</v>
      </c>
      <c r="R97">
        <f>IFERROR(__xludf.DUMMYFUNCTION("ROUNDUP((IF(REGEXMATCH(B97, ""Arrow"") + (B97 = ""Javelin""), 'Ammo Input'!E97) + IF(VLOOKUP(B97, AmmoTypeFactors, 9, FALSE) = ""Wood"", 'Ammo Input'!H97) + IF(B97 = ""Stick bomb"", 'Ammo Input'!E97)) * N97 / 'Ingredient stats'!$C$12 / 1000)"),0)</f>
        <v>0</v>
      </c>
      <c r="S97">
        <v>26</v>
      </c>
      <c r="T97">
        <v>26</v>
      </c>
      <c r="U97">
        <f>IF(VLOOKUP(B97,AmmoTypeFactors,9,FALSE)="Plasteel",ROUNDUP(('Ammo Input'!H97*MAX(IF('Ammo Input'!J97&gt;0,'Ammo Input'!J97,1)*N97/1000/'Ingredient stats'!$C$4)),0),0)</f>
        <v>0</v>
      </c>
      <c r="V97">
        <f>IFERROR(__xludf.DUMMYFUNCTION("ROUNDUP(IF(ISBLANK(VLOOKUP(B97,AmmoTypeFactors,16,False)),1,VLOOKUP(B97,AmmoTypeFactors,16,False)) * (IFS(REGEXMATCH(B97, ""EMP""), 'Ammo Input'!M97 * N97 / 'Ingredient stats'!$C$5, REGEXMATCH(B97, ""Charge""), (U97^0.75), true, 0) + (IF(VLOOKUP(B97, Ammo"&amp;"TypeFactors, 10, false), 2,0) + IF('Ammo Input'!P97, 2,0) + IF('Ammo Input'!Q97,MIN(ROUNDUP(0.2*('Ammo Input'!H97/1000)*'Ammo Input'!O97,0),20),0))))"),0)</f>
        <v>0</v>
      </c>
      <c r="W97">
        <v>0</v>
      </c>
      <c r="X97">
        <v>0</v>
      </c>
      <c r="Y97">
        <v>0</v>
      </c>
      <c r="Z97">
        <v>0</v>
      </c>
      <c r="AA97">
        <v>0</v>
      </c>
      <c r="AB97" s="30">
        <f>IF(B97="Sling Bullet (Stone)",ROUNDUP(D97*0.02*E97/'Ingredient stats'!$C$8,0),0)</f>
        <v>0</v>
      </c>
      <c r="AC97" t="str">
        <f t="shared" si="8"/>
        <v>None</v>
      </c>
      <c r="AD97" t="str">
        <f>IF(OR(B97="Buck",B97="Bird",B97="Charge (Scatter)"),'Ammo Input'!J97,"None")</f>
        <v>None</v>
      </c>
      <c r="AE97" t="str">
        <f>_xlfn.IFS(ISTEXT(Calcs!N97),Calcs!N97,Calcs!N97&lt;=40,Calcs!N97,Calcs!N97&gt;41,"40")</f>
        <v>None</v>
      </c>
      <c r="AF97" t="str">
        <f>_xlfn.IFS(ISTEXT(Calcs!O97),Calcs!O97,Calcs!O97&lt;=80,Calcs!O97,Calcs!O97&gt;=81,"80")</f>
        <v>None</v>
      </c>
      <c r="AG97" s="25">
        <f t="shared" si="9"/>
        <v>1</v>
      </c>
      <c r="AH97" s="25">
        <f t="shared" si="10"/>
        <v>1.96</v>
      </c>
      <c r="AI97" s="25">
        <f t="shared" si="11"/>
        <v>1</v>
      </c>
    </row>
    <row r="98" ht="14.4" spans="1:35">
      <c r="A98" s="24" t="str">
        <f>'Ammo Input'!A98</f>
        <v>12.7x108mm Soviet</v>
      </c>
      <c r="B98" t="str">
        <f>'Ammo Input'!B98</f>
        <v>FMJ</v>
      </c>
      <c r="C98">
        <f>ROUNDUP(('Ammo Input'!C98*(MAX('Ammo Input'!D98,'Ammo Input'!F98)*0.5)^2*PI())*3/1000000,2)</f>
        <v>0.17</v>
      </c>
      <c r="D98">
        <f>ROUNDUP(('Ammo Input'!E98+'Ammo Input'!H98*IF('Ammo Input'!J98&lt;&gt;"",MAX('Ammo Input'!J98,1),1))/1000,3)</f>
        <v>0.133</v>
      </c>
      <c r="E98">
        <f>MIN(5000,MAX(25,CEILING(Calcs!L98,_xlfn.IFS(Calcs!L98&lt;100,25,Calcs!L98&lt;250,50,Calcs!L98&lt;1000,250,Calcs!L98&gt;=1000,1000))))</f>
        <v>4000</v>
      </c>
      <c r="F98">
        <f>ROUNDUP('Ammo Input'!G98^(3/4),0)</f>
        <v>159</v>
      </c>
      <c r="G98">
        <f>ROUND((0.5*((IF(OR(B98="HEAT",B98="HEDP"),'Ammo Input'!N98,'Ammo Input'!H98)/1000)*(IF(B98="HEAT",9000,IF(B98="HEDP",1500,'Ammo Input'!G98))^2))),0)</f>
        <v>17861</v>
      </c>
      <c r="H98" s="25" t="str">
        <f>CONCATENATE(IF((B98="Foam")+(B98="Smoke"),"-",ROUND(Calcs!D98,0))," ",VLOOKUP(B98,AmmoTypeFactors,5,FALSE))</f>
        <v>42 Bullet</v>
      </c>
      <c r="I98" s="25" t="str">
        <f>IF(Calcs!E98=0,"None",CONCATENATE(ROUND(Calcs!E98,0)," ",VLOOKUP(B98,AmmoTypeFactors,6,FALSE)))</f>
        <v>None</v>
      </c>
      <c r="J98">
        <f>MROUND(2.42*'Ammo Input'!M98^(1/3)*VLOOKUP(B98,AmmoTypeFactors,3,FALSE),0.5)</f>
        <v>0</v>
      </c>
      <c r="K98" s="25" t="str">
        <f>IF(VLOOKUP(B98,AmmoTypeFactors,12,FALSE),MROUND(J98/3,0.5),"None")</f>
        <v>None</v>
      </c>
      <c r="L98" s="25">
        <f>IF(VLOOKUP(B98,AmmoTypeFactors,8,FALSE),"None",ROUNDUP(IF(Calcs!I98&gt;0,Calcs!I98,Calcs!H98),3))</f>
        <v>357.22</v>
      </c>
      <c r="M98" s="25">
        <f>IF(VLOOKUP(B98,AmmoTypeFactors,8,FALSE),"None",'Ammo Input'!L98)</f>
        <v>14</v>
      </c>
      <c r="N98">
        <f>'Ammo Input'!O98</f>
        <v>200</v>
      </c>
      <c r="O98" t="e">
        <f>ROUND((P98*0.0036+SUMPRODUCT(Q98:AB98,VLOOKUP($Q$1:$AB$1,IngredientStats,2,FALSE)))/N98*IF('Ammo Input'!R98,0.5,1),2)</f>
        <v>#VALUE!</v>
      </c>
      <c r="P98" t="e">
        <f>(SUMPRODUCT(Q98:AB98,VLOOKUP($Q$1:$AB$1,IngredientStats,4,FALSE))*VLOOKUP(B98,AmmoTypeFactors,14,FALSE)*IF('Ammo Input'!R98,1.1,1))</f>
        <v>#VALUE!</v>
      </c>
      <c r="Q98">
        <f>IFERROR(__xludf.DUMMYFUNCTION("((IF(NOT(OR(REGEXMATCH(B98, ""Arrow""), B98 = ""Javelin"", B98 = ""Stick bomb"")), ROUNDUP(('Ammo Input'!E98 / 1000) * N98)) + IF(VLOOKUP(B98, AmmoTypeFactors, 9, FALSE) = ""Steel"", ROUNDUP(('Ammo Input'!H98 -'Ammo Input'!M98) * MAX(IF('Ammo Input'!J98 &gt;"&amp;" 0, 'Ammo Input'!J98, 1), 1) * N98 / 1000))) / 'Ingredient stats'!$C$2) * IF(ISBLANK(VLOOKUP(B98,AmmoTypeFactors,15,False)),1,VLOOKUP(B98,AmmoTypeFactors,15,False))"),54)</f>
        <v>54</v>
      </c>
      <c r="R98">
        <f>IFERROR(__xludf.DUMMYFUNCTION("ROUNDUP((IF(REGEXMATCH(B98, ""Arrow"") + (B98 = ""Javelin""), 'Ammo Input'!E98) + IF(VLOOKUP(B98, AmmoTypeFactors, 9, FALSE) = ""Wood"", 'Ammo Input'!H98) + IF(B98 = ""Stick bomb"", 'Ammo Input'!E98)) * N98 / 'Ingredient stats'!$C$12 / 1000)"),0)</f>
        <v>0</v>
      </c>
      <c r="S98">
        <v>0</v>
      </c>
      <c r="T98">
        <v>0</v>
      </c>
      <c r="U98">
        <f>IF(VLOOKUP(B98,AmmoTypeFactors,9,FALSE)="Plasteel",ROUNDUP(('Ammo Input'!H98*MAX(IF('Ammo Input'!J98&gt;0,'Ammo Input'!J98,1)*N98/1000/'Ingredient stats'!$C$4)),0),0)</f>
        <v>0</v>
      </c>
      <c r="V98">
        <f>IFERROR(__xludf.DUMMYFUNCTION("ROUNDUP(IF(ISBLANK(VLOOKUP(B98,AmmoTypeFactors,16,False)),1,VLOOKUP(B98,AmmoTypeFactors,16,False)) * (IFS(REGEXMATCH(B98, ""EMP""), 'Ammo Input'!M98 * N98 / 'Ingredient stats'!$C$5, REGEXMATCH(B98, ""Charge""), (U98^0.75), true, 0) + (IF(VLOOKUP(B98, Ammo"&amp;"TypeFactors, 10, false), 2,0) + IF('Ammo Input'!P98, 2,0) + IF('Ammo Input'!Q98,MIN(ROUNDUP(0.2*('Ammo Input'!H98/1000)*'Ammo Input'!O98,0),20),0))))"),0)</f>
        <v>0</v>
      </c>
      <c r="W98">
        <v>0</v>
      </c>
      <c r="X98">
        <v>0</v>
      </c>
      <c r="Y98">
        <v>0</v>
      </c>
      <c r="Z98">
        <v>0</v>
      </c>
      <c r="AA98">
        <v>0</v>
      </c>
      <c r="AB98" s="30">
        <f>IF(B98="Sling Bullet (Stone)",ROUNDUP(D98*0.02*E98/'Ingredient stats'!$C$8,0),0)</f>
        <v>0</v>
      </c>
      <c r="AC98" t="str">
        <f t="shared" si="8"/>
        <v>None</v>
      </c>
      <c r="AD98" t="str">
        <f>IF(OR(B98="Buck",B98="Bird",B98="Charge (Scatter)"),'Ammo Input'!J98,"None")</f>
        <v>None</v>
      </c>
      <c r="AE98" t="str">
        <f>_xlfn.IFS(ISTEXT(Calcs!N98),Calcs!N98,Calcs!N98&lt;=40,Calcs!N98,Calcs!N98&gt;41,"40")</f>
        <v>None</v>
      </c>
      <c r="AF98" t="str">
        <f>_xlfn.IFS(ISTEXT(Calcs!O98),Calcs!O98,Calcs!O98&lt;=80,Calcs!O98,Calcs!O98&gt;=81,"80")</f>
        <v>None</v>
      </c>
      <c r="AG98" s="25">
        <f t="shared" si="9"/>
        <v>1</v>
      </c>
      <c r="AH98" s="25">
        <f t="shared" si="10"/>
        <v>2.6</v>
      </c>
      <c r="AI98" s="25">
        <f t="shared" si="11"/>
        <v>1</v>
      </c>
    </row>
    <row r="99" ht="14.4" spans="1:35">
      <c r="A99" s="24" t="str">
        <f>'Ammo Input'!A99</f>
        <v>12.7x108mm Soviet</v>
      </c>
      <c r="B99" t="str">
        <f>'Ammo Input'!B99</f>
        <v>AP</v>
      </c>
      <c r="C99">
        <f>ROUNDUP(('Ammo Input'!C99*(MAX('Ammo Input'!D99,'Ammo Input'!F99)*0.5)^2*PI())*3/1000000,2)</f>
        <v>0.17</v>
      </c>
      <c r="D99">
        <f>ROUNDUP(('Ammo Input'!E99+'Ammo Input'!H99*IF('Ammo Input'!J99&lt;&gt;"",MAX('Ammo Input'!J99,1),1))/1000,3)</f>
        <v>0.133</v>
      </c>
      <c r="E99">
        <f>MIN(5000,MAX(25,CEILING(Calcs!L99,_xlfn.IFS(Calcs!L99&lt;100,25,Calcs!L99&lt;250,50,Calcs!L99&lt;1000,250,Calcs!L99&gt;=1000,1000))))</f>
        <v>4000</v>
      </c>
      <c r="F99">
        <f>ROUNDUP('Ammo Input'!G99^(3/4),0)</f>
        <v>159</v>
      </c>
      <c r="G99">
        <f>ROUND((0.5*((IF(OR(B99="HEAT",B99="HEDP"),'Ammo Input'!N99,'Ammo Input'!H99)/1000)*(IF(B99="HEAT",9000,IF(B99="HEDP",1500,'Ammo Input'!G99))^2))),0)</f>
        <v>17861</v>
      </c>
      <c r="H99" s="25" t="str">
        <f>CONCATENATE(IF((B99="Foam")+(B99="Smoke"),"-",ROUND(Calcs!D99,0))," ",VLOOKUP(B99,AmmoTypeFactors,5,FALSE))</f>
        <v>26 Bullet</v>
      </c>
      <c r="I99" s="25" t="str">
        <f>IF(Calcs!E99=0,"None",CONCATENATE(ROUND(Calcs!E99,0)," ",VLOOKUP(B99,AmmoTypeFactors,6,FALSE)))</f>
        <v>None</v>
      </c>
      <c r="J99">
        <f>MROUND(2.42*'Ammo Input'!M99^(1/3)*VLOOKUP(B99,AmmoTypeFactors,3,FALSE),0.5)</f>
        <v>0</v>
      </c>
      <c r="K99" s="25" t="str">
        <f>IF(VLOOKUP(B99,AmmoTypeFactors,12,FALSE),MROUND(J99/3,0.5),"None")</f>
        <v>None</v>
      </c>
      <c r="L99" s="25">
        <f>IF(VLOOKUP(B99,AmmoTypeFactors,8,FALSE),"None",ROUNDUP(IF(Calcs!I99&gt;0,Calcs!I99,Calcs!H99),3))</f>
        <v>357.22</v>
      </c>
      <c r="M99" s="25">
        <f>IF(VLOOKUP(B99,AmmoTypeFactors,8,FALSE),"None",'Ammo Input'!L99)</f>
        <v>28</v>
      </c>
      <c r="N99">
        <f>'Ammo Input'!O99</f>
        <v>200</v>
      </c>
      <c r="O99" t="e">
        <f>ROUND((P99*0.0036+SUMPRODUCT(Q99:AB99,VLOOKUP($Q$1:$AB$1,IngredientStats,2,FALSE)))/N99*IF('Ammo Input'!R99,0.5,1),2)</f>
        <v>#VALUE!</v>
      </c>
      <c r="P99" t="e">
        <f>(SUMPRODUCT(Q99:AB99,VLOOKUP($Q$1:$AB$1,IngredientStats,4,FALSE))*VLOOKUP(B99,AmmoTypeFactors,14,FALSE)*IF('Ammo Input'!R99,1.1,1))</f>
        <v>#VALUE!</v>
      </c>
      <c r="Q99">
        <f>IFERROR(__xludf.DUMMYFUNCTION("((IF(NOT(OR(REGEXMATCH(B99, ""Arrow""), B99 = ""Javelin"", B99 = ""Stick bomb"")), ROUNDUP(('Ammo Input'!E99 / 1000) * N99)) + IF(VLOOKUP(B99, AmmoTypeFactors, 9, FALSE) = ""Steel"", ROUNDUP(('Ammo Input'!H99 -'Ammo Input'!M99) * MAX(IF('Ammo Input'!J99 &gt;"&amp;" 0, 'Ammo Input'!J99, 1), 1) * N99 / 1000))) / 'Ingredient stats'!$C$2) * IF(ISBLANK(VLOOKUP(B99,AmmoTypeFactors,15,False)),1,VLOOKUP(B99,AmmoTypeFactors,15,False))"),54)</f>
        <v>54</v>
      </c>
      <c r="R99">
        <f>IFERROR(__xludf.DUMMYFUNCTION("ROUNDUP((IF(REGEXMATCH(B99, ""Arrow"") + (B99 = ""Javelin""), 'Ammo Input'!E99) + IF(VLOOKUP(B99, AmmoTypeFactors, 9, FALSE) = ""Wood"", 'Ammo Input'!H99) + IF(B99 = ""Stick bomb"", 'Ammo Input'!E99)) * N99 / 'Ingredient stats'!$C$12 / 1000)"),0)</f>
        <v>0</v>
      </c>
      <c r="S99">
        <v>0</v>
      </c>
      <c r="T99">
        <v>0</v>
      </c>
      <c r="U99">
        <f>IF(VLOOKUP(B99,AmmoTypeFactors,9,FALSE)="Plasteel",ROUNDUP(('Ammo Input'!H99*MAX(IF('Ammo Input'!J99&gt;0,'Ammo Input'!J99,1)*N99/1000/'Ingredient stats'!$C$4)),0),0)</f>
        <v>0</v>
      </c>
      <c r="V99">
        <f>IFERROR(__xludf.DUMMYFUNCTION("ROUNDUP(IF(ISBLANK(VLOOKUP(B99,AmmoTypeFactors,16,False)),1,VLOOKUP(B99,AmmoTypeFactors,16,False)) * (IFS(REGEXMATCH(B99, ""EMP""), 'Ammo Input'!M99 * N99 / 'Ingredient stats'!$C$5, REGEXMATCH(B99, ""Charge""), (U99^0.75), true, 0) + (IF(VLOOKUP(B99, Ammo"&amp;"TypeFactors, 10, false), 2,0) + IF('Ammo Input'!P99, 2,0) + IF('Ammo Input'!Q99,MIN(ROUNDUP(0.2*('Ammo Input'!H99/1000)*'Ammo Input'!O99,0),20),0))))"),0)</f>
        <v>0</v>
      </c>
      <c r="W99">
        <v>0</v>
      </c>
      <c r="X99">
        <v>0</v>
      </c>
      <c r="Y99">
        <v>0</v>
      </c>
      <c r="Z99">
        <v>0</v>
      </c>
      <c r="AA99">
        <v>0</v>
      </c>
      <c r="AB99" s="30">
        <f>IF(B99="Sling Bullet (Stone)",ROUNDUP(D99*0.02*E99/'Ingredient stats'!$C$8,0),0)</f>
        <v>0</v>
      </c>
      <c r="AC99" t="str">
        <f t="shared" si="8"/>
        <v>None</v>
      </c>
      <c r="AD99" t="str">
        <f>IF(OR(B99="Buck",B99="Bird",B99="Charge (Scatter)"),'Ammo Input'!J99,"None")</f>
        <v>None</v>
      </c>
      <c r="AE99" t="str">
        <f>_xlfn.IFS(ISTEXT(Calcs!N99),Calcs!N99,Calcs!N99&lt;=40,Calcs!N99,Calcs!N99&gt;41,"40")</f>
        <v>None</v>
      </c>
      <c r="AF99" t="str">
        <f>_xlfn.IFS(ISTEXT(Calcs!O99),Calcs!O99,Calcs!O99&lt;=80,Calcs!O99,Calcs!O99&gt;=81,"80")</f>
        <v>None</v>
      </c>
      <c r="AG99" s="25">
        <f t="shared" si="9"/>
        <v>1</v>
      </c>
      <c r="AH99" s="25">
        <f t="shared" si="10"/>
        <v>2.6</v>
      </c>
      <c r="AI99" s="25">
        <f t="shared" si="11"/>
        <v>1</v>
      </c>
    </row>
    <row r="100" ht="14.4" spans="1:35">
      <c r="A100" s="24" t="str">
        <f>'Ammo Input'!A100</f>
        <v>12.7x108mm Soviet</v>
      </c>
      <c r="B100" t="str">
        <f>'Ammo Input'!B100</f>
        <v>AP-I</v>
      </c>
      <c r="C100">
        <f>ROUNDUP(('Ammo Input'!C100*(MAX('Ammo Input'!D100,'Ammo Input'!F100)*0.5)^2*PI())*3/1000000,2)</f>
        <v>0.17</v>
      </c>
      <c r="D100">
        <f>ROUNDUP(('Ammo Input'!E100+'Ammo Input'!H100*IF('Ammo Input'!J100&lt;&gt;"",MAX('Ammo Input'!J100,1),1))/1000,3)</f>
        <v>0.133</v>
      </c>
      <c r="E100">
        <f>MIN(5000,MAX(25,CEILING(Calcs!L100,_xlfn.IFS(Calcs!L100&lt;100,25,Calcs!L100&lt;250,50,Calcs!L100&lt;1000,250,Calcs!L100&gt;=1000,1000))))</f>
        <v>4000</v>
      </c>
      <c r="F100">
        <f>ROUNDUP('Ammo Input'!G100^(3/4),0)</f>
        <v>159</v>
      </c>
      <c r="G100">
        <f>ROUND((0.5*((IF(OR(B100="HEAT",B100="HEDP"),'Ammo Input'!N100,'Ammo Input'!H100)/1000)*(IF(B100="HEAT",9000,IF(B100="HEDP",1500,'Ammo Input'!G100))^2))),0)</f>
        <v>17861</v>
      </c>
      <c r="H100" s="25" t="str">
        <f>CONCATENATE(IF((B100="Foam")+(B100="Smoke"),"-",ROUND(Calcs!D100,0))," ",VLOOKUP(B100,AmmoTypeFactors,5,FALSE))</f>
        <v>26 Bullet</v>
      </c>
      <c r="I100" s="25" t="str">
        <f>IF(Calcs!E100=0,"None",CONCATENATE(ROUND(Calcs!E100,0)," ",VLOOKUP(B100,AmmoTypeFactors,6,FALSE)))</f>
        <v>15 Flame_Secondary</v>
      </c>
      <c r="J100">
        <f>MROUND(2.42*'Ammo Input'!M100^(1/3)*VLOOKUP(B100,AmmoTypeFactors,3,FALSE),0.5)</f>
        <v>0</v>
      </c>
      <c r="K100" s="25" t="str">
        <f>IF(VLOOKUP(B100,AmmoTypeFactors,12,FALSE),MROUND(J100/3,0.5),"None")</f>
        <v>None</v>
      </c>
      <c r="L100" s="25">
        <f>IF(VLOOKUP(B100,AmmoTypeFactors,8,FALSE),"None",ROUNDUP(IF(Calcs!I100&gt;0,Calcs!I100,Calcs!H100),3))</f>
        <v>357.22</v>
      </c>
      <c r="M100" s="25">
        <f>IF(VLOOKUP(B100,AmmoTypeFactors,8,FALSE),"None",'Ammo Input'!L100)</f>
        <v>28</v>
      </c>
      <c r="N100">
        <f>'Ammo Input'!O100</f>
        <v>200</v>
      </c>
      <c r="O100" t="e">
        <f>ROUND((P100*0.0036+SUMPRODUCT(Q100:AB100,VLOOKUP($Q$1:$AB$1,IngredientStats,2,FALSE)))/N100*IF('Ammo Input'!R100,0.5,1),2)</f>
        <v>#VALUE!</v>
      </c>
      <c r="P100" t="e">
        <f>(SUMPRODUCT(Q100:AB100,VLOOKUP($Q$1:$AB$1,IngredientStats,4,FALSE))*VLOOKUP(B100,AmmoTypeFactors,14,FALSE)*IF('Ammo Input'!R100,1.1,1))</f>
        <v>#VALUE!</v>
      </c>
      <c r="Q100">
        <f>IFERROR(__xludf.DUMMYFUNCTION("((IF(NOT(OR(REGEXMATCH(B100, ""Arrow""), B100 = ""Javelin"", B100 = ""Stick bomb"")), ROUNDUP(('Ammo Input'!E100 / 1000) * N100)) + IF(VLOOKUP(B100, AmmoTypeFactors, 9, FALSE) = ""Steel"", ROUNDUP(('Ammo Input'!H100 -'Ammo Input'!M100) * MAX(IF('Ammo Inpu"&amp;"t'!J100 &gt; 0, 'Ammo Input'!J100, 1), 1) * N100 / 1000))) / 'Ingredient stats'!$C$2) * IF(ISBLANK(VLOOKUP(B100,AmmoTypeFactors,15,False)),1,VLOOKUP(B100,AmmoTypeFactors,15,False))"),54)</f>
        <v>54</v>
      </c>
      <c r="R100">
        <f>IFERROR(__xludf.DUMMYFUNCTION("ROUNDUP((IF(REGEXMATCH(B100, ""Arrow"") + (B100 = ""Javelin""), 'Ammo Input'!E100) + IF(VLOOKUP(B100, AmmoTypeFactors, 9, FALSE) = ""Wood"", 'Ammo Input'!H100) + IF(B100 = ""Stick bomb"", 'Ammo Input'!E100)) * N100 / 'Ingredient stats'!$C$12 / 1000)"),0)</f>
        <v>0</v>
      </c>
      <c r="S100">
        <v>0</v>
      </c>
      <c r="T100">
        <v>0</v>
      </c>
      <c r="U100">
        <f>IF(VLOOKUP(B100,AmmoTypeFactors,9,FALSE)="Plasteel",ROUNDUP(('Ammo Input'!H100*MAX(IF('Ammo Input'!J100&gt;0,'Ammo Input'!J100,1)*N100/1000/'Ingredient stats'!$C$4)),0),0)</f>
        <v>0</v>
      </c>
      <c r="V100">
        <f>IFERROR(__xludf.DUMMYFUNCTION("ROUNDUP(IF(ISBLANK(VLOOKUP(B100,AmmoTypeFactors,16,False)),1,VLOOKUP(B100,AmmoTypeFactors,16,False)) * (IFS(REGEXMATCH(B100, ""EMP""), 'Ammo Input'!M100 * N100 / 'Ingredient stats'!$C$5, REGEXMATCH(B100, ""Charge""), (U100^0.75), true, 0) + (IF(VLOOKUP(B1"&amp;"00, AmmoTypeFactors, 10, false), 2,0) + IF('Ammo Input'!P100, 2,0) + IF('Ammo Input'!Q100,MIN(ROUNDUP(0.2*('Ammo Input'!H100/1000)*'Ammo Input'!O100,0),20),0))))"),0)</f>
        <v>0</v>
      </c>
      <c r="W100">
        <v>5</v>
      </c>
      <c r="X100">
        <v>0</v>
      </c>
      <c r="Y100">
        <v>0</v>
      </c>
      <c r="Z100">
        <v>0</v>
      </c>
      <c r="AA100">
        <v>0</v>
      </c>
      <c r="AB100" s="30">
        <f>IF(B100="Sling Bullet (Stone)",ROUNDUP(D100*0.02*E100/'Ingredient stats'!$C$8,0),0)</f>
        <v>0</v>
      </c>
      <c r="AC100" t="str">
        <f t="shared" si="8"/>
        <v>None</v>
      </c>
      <c r="AD100" t="str">
        <f>IF(OR(B100="Buck",B100="Bird",B100="Charge (Scatter)"),'Ammo Input'!J100,"None")</f>
        <v>None</v>
      </c>
      <c r="AE100" t="str">
        <f>_xlfn.IFS(ISTEXT(Calcs!N100),Calcs!N100,Calcs!N100&lt;=40,Calcs!N100,Calcs!N100&gt;41,"40")</f>
        <v>None</v>
      </c>
      <c r="AF100" t="str">
        <f>_xlfn.IFS(ISTEXT(Calcs!O100),Calcs!O100,Calcs!O100&lt;=80,Calcs!O100,Calcs!O100&gt;=81,"80")</f>
        <v>None</v>
      </c>
      <c r="AG100" s="25">
        <f t="shared" si="9"/>
        <v>1</v>
      </c>
      <c r="AH100" s="25">
        <f t="shared" si="10"/>
        <v>2.6</v>
      </c>
      <c r="AI100" s="25">
        <f t="shared" si="11"/>
        <v>1</v>
      </c>
    </row>
    <row r="101" ht="14.4" spans="1:35">
      <c r="A101" s="24" t="str">
        <f>'Ammo Input'!A101</f>
        <v>12.7x108mm Soviet</v>
      </c>
      <c r="B101" t="str">
        <f>'Ammo Input'!B101</f>
        <v>AP-HE</v>
      </c>
      <c r="C101">
        <f>ROUNDUP(('Ammo Input'!C101*(MAX('Ammo Input'!D101,'Ammo Input'!F101)*0.5)^2*PI())*3/1000000,2)</f>
        <v>0.17</v>
      </c>
      <c r="D101">
        <f>ROUNDUP(('Ammo Input'!E101+'Ammo Input'!H101*IF('Ammo Input'!J101&lt;&gt;"",MAX('Ammo Input'!J101,1),1))/1000,3)</f>
        <v>0.133</v>
      </c>
      <c r="E101">
        <f>MIN(5000,MAX(25,CEILING(Calcs!L101,_xlfn.IFS(Calcs!L101&lt;100,25,Calcs!L101&lt;250,50,Calcs!L101&lt;1000,250,Calcs!L101&gt;=1000,1000))))</f>
        <v>4000</v>
      </c>
      <c r="F101">
        <f>ROUNDUP('Ammo Input'!G101^(3/4),0)</f>
        <v>159</v>
      </c>
      <c r="G101">
        <f>ROUND((0.5*((IF(OR(B101="HEAT",B101="HEDP"),'Ammo Input'!N101,'Ammo Input'!H101)/1000)*(IF(B101="HEAT",9000,IF(B101="HEDP",1500,'Ammo Input'!G101))^2))),0)</f>
        <v>17861</v>
      </c>
      <c r="H101" s="25" t="str">
        <f>CONCATENATE(IF((B101="Foam")+(B101="Smoke"),"-",ROUND(Calcs!D101,0))," ",VLOOKUP(B101,AmmoTypeFactors,5,FALSE))</f>
        <v>42 Bullet</v>
      </c>
      <c r="I101" s="25" t="str">
        <f>IF(Calcs!E101=0,"None",CONCATENATE(ROUND(Calcs!E101,0)," ",VLOOKUP(B101,AmmoTypeFactors,6,FALSE)))</f>
        <v>20 Bomb_Secondary</v>
      </c>
      <c r="J101">
        <f>MROUND(2.42*'Ammo Input'!M101^(1/3)*VLOOKUP(B101,AmmoTypeFactors,3,FALSE),0.5)</f>
        <v>0</v>
      </c>
      <c r="K101" s="25" t="str">
        <f>IF(VLOOKUP(B101,AmmoTypeFactors,12,FALSE),MROUND(J101/3,0.5),"None")</f>
        <v>None</v>
      </c>
      <c r="L101" s="25">
        <f>IF(VLOOKUP(B101,AmmoTypeFactors,8,FALSE),"None",ROUNDUP(IF(Calcs!I101&gt;0,Calcs!I101,Calcs!H101),3))</f>
        <v>357.22</v>
      </c>
      <c r="M101" s="25">
        <f>IF(VLOOKUP(B101,AmmoTypeFactors,8,FALSE),"None",'Ammo Input'!L101)</f>
        <v>14</v>
      </c>
      <c r="N101">
        <f>'Ammo Input'!O101</f>
        <v>200</v>
      </c>
      <c r="O101" t="e">
        <f>ROUND((P101*0.0036+SUMPRODUCT(Q101:AB101,VLOOKUP($Q$1:$AB$1,IngredientStats,2,FALSE)))/N101*IF('Ammo Input'!R101,0.5,1),2)</f>
        <v>#VALUE!</v>
      </c>
      <c r="P101" t="e">
        <f>(SUMPRODUCT(Q101:AB101,VLOOKUP($Q$1:$AB$1,IngredientStats,4,FALSE))*VLOOKUP(B101,AmmoTypeFactors,14,FALSE)*IF('Ammo Input'!R101,1.1,1))</f>
        <v>#VALUE!</v>
      </c>
      <c r="Q101">
        <f>IFERROR(__xludf.DUMMYFUNCTION("((IF(NOT(OR(REGEXMATCH(B101, ""Arrow""), B101 = ""Javelin"", B101 = ""Stick bomb"")), ROUNDUP(('Ammo Input'!E101 / 1000) * N101)) + IF(VLOOKUP(B101, AmmoTypeFactors, 9, FALSE) = ""Steel"", ROUNDUP(('Ammo Input'!H101 -'Ammo Input'!M101) * MAX(IF('Ammo Inpu"&amp;"t'!J101 &gt; 0, 'Ammo Input'!J101, 1), 1) * N101 / 1000))) / 'Ingredient stats'!$C$2) * IF(ISBLANK(VLOOKUP(B101,AmmoTypeFactors,15,False)),1,VLOOKUP(B101,AmmoTypeFactors,15,False))"),54)</f>
        <v>54</v>
      </c>
      <c r="R101">
        <f>IFERROR(__xludf.DUMMYFUNCTION("ROUNDUP((IF(REGEXMATCH(B101, ""Arrow"") + (B101 = ""Javelin""), 'Ammo Input'!E101) + IF(VLOOKUP(B101, AmmoTypeFactors, 9, FALSE) = ""Wood"", 'Ammo Input'!H101) + IF(B101 = ""Stick bomb"", 'Ammo Input'!E101)) * N101 / 'Ingredient stats'!$C$12 / 1000)"),0)</f>
        <v>0</v>
      </c>
      <c r="S101">
        <v>0</v>
      </c>
      <c r="T101">
        <v>0</v>
      </c>
      <c r="U101">
        <f>IF(VLOOKUP(B101,AmmoTypeFactors,9,FALSE)="Plasteel",ROUNDUP(('Ammo Input'!H101*MAX(IF('Ammo Input'!J101&gt;0,'Ammo Input'!J101,1)*N101/1000/'Ingredient stats'!$C$4)),0),0)</f>
        <v>0</v>
      </c>
      <c r="V101">
        <f>IFERROR(__xludf.DUMMYFUNCTION("ROUNDUP(IF(ISBLANK(VLOOKUP(B101,AmmoTypeFactors,16,False)),1,VLOOKUP(B101,AmmoTypeFactors,16,False)) * (IFS(REGEXMATCH(B101, ""EMP""), 'Ammo Input'!M101 * N101 / 'Ingredient stats'!$C$5, REGEXMATCH(B101, ""Charge""), (U101^0.75), true, 0) + (IF(VLOOKUP(B1"&amp;"01, AmmoTypeFactors, 10, false), 2,0) + IF('Ammo Input'!P101, 2,0) + IF('Ammo Input'!Q101,MIN(ROUNDUP(0.2*('Ammo Input'!H101/1000)*'Ammo Input'!O101,0),20),0))))"),0)</f>
        <v>0</v>
      </c>
      <c r="W101">
        <v>0</v>
      </c>
      <c r="X101">
        <v>10</v>
      </c>
      <c r="Y101">
        <v>0</v>
      </c>
      <c r="Z101">
        <v>0</v>
      </c>
      <c r="AA101">
        <v>0</v>
      </c>
      <c r="AB101" s="30">
        <f>IF(B101="Sling Bullet (Stone)",ROUNDUP(D101*0.02*E101/'Ingredient stats'!$C$8,0),0)</f>
        <v>0</v>
      </c>
      <c r="AC101" t="str">
        <f t="shared" si="8"/>
        <v>None</v>
      </c>
      <c r="AD101" t="str">
        <f>IF(OR(B101="Buck",B101="Bird",B101="Charge (Scatter)"),'Ammo Input'!J101,"None")</f>
        <v>None</v>
      </c>
      <c r="AE101" t="str">
        <f>_xlfn.IFS(ISTEXT(Calcs!N101),Calcs!N101,Calcs!N101&lt;=40,Calcs!N101,Calcs!N101&gt;41,"40")</f>
        <v>None</v>
      </c>
      <c r="AF101" t="str">
        <f>_xlfn.IFS(ISTEXT(Calcs!O101),Calcs!O101,Calcs!O101&lt;=80,Calcs!O101,Calcs!O101&gt;=81,"80")</f>
        <v>None</v>
      </c>
      <c r="AG101" s="25">
        <f t="shared" si="9"/>
        <v>1</v>
      </c>
      <c r="AH101" s="25">
        <f t="shared" si="10"/>
        <v>2.6</v>
      </c>
      <c r="AI101" s="25">
        <f t="shared" si="11"/>
        <v>1</v>
      </c>
    </row>
    <row r="102" ht="14.4" spans="1:35">
      <c r="A102" s="24" t="str">
        <f>'Ammo Input'!A102</f>
        <v>12.7x108mm Soviet</v>
      </c>
      <c r="B102" t="str">
        <f>'Ammo Input'!B102</f>
        <v>Sabot</v>
      </c>
      <c r="C102">
        <f>ROUNDUP(('Ammo Input'!C102*(MAX('Ammo Input'!D102,'Ammo Input'!F102)*0.5)^2*PI())*3/1000000,2)</f>
        <v>0.17</v>
      </c>
      <c r="D102">
        <f>ROUNDUP(('Ammo Input'!E102+'Ammo Input'!H102*IF('Ammo Input'!J102&lt;&gt;"",MAX('Ammo Input'!J102,1),1))/1000,3)</f>
        <v>0.112</v>
      </c>
      <c r="E102">
        <f>MIN(5000,MAX(25,CEILING(Calcs!L102,_xlfn.IFS(Calcs!L102&lt;100,25,Calcs!L102&lt;250,50,Calcs!L102&lt;1000,250,Calcs!L102&gt;=1000,1000))))</f>
        <v>4000</v>
      </c>
      <c r="F102">
        <f>ROUNDUP('Ammo Input'!G102^(3/4),0)</f>
        <v>201</v>
      </c>
      <c r="G102">
        <f>ROUND((0.5*((IF(OR(B102="HEAT",B102="HEDP"),'Ammo Input'!N102,'Ammo Input'!H102)/1000)*(IF(B102="HEAT",9000,IF(B102="HEDP",1500,'Ammo Input'!G102))^2))),0)</f>
        <v>18891</v>
      </c>
      <c r="H102" s="25" t="str">
        <f>CONCATENATE(IF((B102="Foam")+(B102="Smoke"),"-",ROUND(Calcs!D102,0))," ",VLOOKUP(B102,AmmoTypeFactors,5,FALSE))</f>
        <v>21 Bullet</v>
      </c>
      <c r="I102" s="25" t="str">
        <f>IF(Calcs!E102=0,"None",CONCATENATE(ROUND(Calcs!E102,0)," ",VLOOKUP(B102,AmmoTypeFactors,6,FALSE)))</f>
        <v>None</v>
      </c>
      <c r="J102">
        <f>MROUND(2.42*'Ammo Input'!M102^(1/3)*VLOOKUP(B102,AmmoTypeFactors,3,FALSE),0.5)</f>
        <v>0</v>
      </c>
      <c r="K102" s="25" t="str">
        <f>IF(VLOOKUP(B102,AmmoTypeFactors,12,FALSE),MROUND(J102/3,0.5),"None")</f>
        <v>None</v>
      </c>
      <c r="L102" s="25">
        <f>IF(VLOOKUP(B102,AmmoTypeFactors,8,FALSE),"None",ROUNDUP(IF(Calcs!I102&gt;0,Calcs!I102,Calcs!H102),3))</f>
        <v>377.82</v>
      </c>
      <c r="M102" s="25">
        <f>IF(VLOOKUP(B102,AmmoTypeFactors,8,FALSE),"None",'Ammo Input'!L102)</f>
        <v>49</v>
      </c>
      <c r="N102">
        <f>'Ammo Input'!O102</f>
        <v>200</v>
      </c>
      <c r="O102" t="e">
        <f>ROUND((P102*0.0036+SUMPRODUCT(Q102:AB102,VLOOKUP($Q$1:$AB$1,IngredientStats,2,FALSE)))/N102*IF('Ammo Input'!R102,0.5,1),2)</f>
        <v>#VALUE!</v>
      </c>
      <c r="P102" t="e">
        <f>(SUMPRODUCT(Q102:AB102,VLOOKUP($Q$1:$AB$1,IngredientStats,4,FALSE))*VLOOKUP(B102,AmmoTypeFactors,14,FALSE)*IF('Ammo Input'!R102,1.1,1))</f>
        <v>#VALUE!</v>
      </c>
      <c r="Q102">
        <f>IFERROR(__xludf.DUMMYFUNCTION("((IF(NOT(OR(REGEXMATCH(B102, ""Arrow""), B102 = ""Javelin"", B102 = ""Stick bomb"")), ROUNDUP(('Ammo Input'!E102 / 1000) * N102)) + IF(VLOOKUP(B102, AmmoTypeFactors, 9, FALSE) = ""Steel"", ROUNDUP(('Ammo Input'!H102 -'Ammo Input'!M102) * MAX(IF('Ammo Inpu"&amp;"t'!J102 &gt; 0, 'Ammo Input'!J102, 1), 1) * N102 / 1000))) / 'Ingredient stats'!$C$2) * IF(ISBLANK(VLOOKUP(B102,AmmoTypeFactors,15,False)),1,VLOOKUP(B102,AmmoTypeFactors,15,False))"),34)</f>
        <v>34</v>
      </c>
      <c r="R102">
        <f>IFERROR(__xludf.DUMMYFUNCTION("ROUNDUP((IF(REGEXMATCH(B102, ""Arrow"") + (B102 = ""Javelin""), 'Ammo Input'!E102) + IF(VLOOKUP(B102, AmmoTypeFactors, 9, FALSE) = ""Wood"", 'Ammo Input'!H102) + IF(B102 = ""Stick bomb"", 'Ammo Input'!E102)) * N102 / 'Ingredient stats'!$C$12 / 1000)"),0)</f>
        <v>0</v>
      </c>
      <c r="S102">
        <v>6</v>
      </c>
      <c r="T102">
        <v>6</v>
      </c>
      <c r="U102">
        <f>IF(VLOOKUP(B102,AmmoTypeFactors,9,FALSE)="Plasteel",ROUNDUP(('Ammo Input'!H102*MAX(IF('Ammo Input'!J102&gt;0,'Ammo Input'!J102,1)*N102/1000/'Ingredient stats'!$C$4)),0),0)</f>
        <v>0</v>
      </c>
      <c r="V102">
        <f>IFERROR(__xludf.DUMMYFUNCTION("ROUNDUP(IF(ISBLANK(VLOOKUP(B102,AmmoTypeFactors,16,False)),1,VLOOKUP(B102,AmmoTypeFactors,16,False)) * (IFS(REGEXMATCH(B102, ""EMP""), 'Ammo Input'!M102 * N102 / 'Ingredient stats'!$C$5, REGEXMATCH(B102, ""Charge""), (U102^0.75), true, 0) + (IF(VLOOKUP(B1"&amp;"02, AmmoTypeFactors, 10, false), 2,0) + IF('Ammo Input'!P102, 2,0) + IF('Ammo Input'!Q102,MIN(ROUNDUP(0.2*('Ammo Input'!H102/1000)*'Ammo Input'!O102,0),20),0))))"),0)</f>
        <v>0</v>
      </c>
      <c r="W102">
        <v>0</v>
      </c>
      <c r="X102">
        <v>0</v>
      </c>
      <c r="Y102">
        <v>0</v>
      </c>
      <c r="Z102">
        <v>0</v>
      </c>
      <c r="AA102">
        <v>0</v>
      </c>
      <c r="AB102" s="30">
        <f>IF(B102="Sling Bullet (Stone)",ROUNDUP(D102*0.02*E102/'Ingredient stats'!$C$8,0),0)</f>
        <v>0</v>
      </c>
      <c r="AC102" t="str">
        <f t="shared" si="8"/>
        <v>None</v>
      </c>
      <c r="AD102" t="str">
        <f>IF(OR(B102="Buck",B102="Bird",B102="Charge (Scatter)"),'Ammo Input'!J102,"None")</f>
        <v>None</v>
      </c>
      <c r="AE102" t="str">
        <f>_xlfn.IFS(ISTEXT(Calcs!N102),Calcs!N102,Calcs!N102&lt;=40,Calcs!N102,Calcs!N102&gt;41,"40")</f>
        <v>None</v>
      </c>
      <c r="AF102" t="str">
        <f>_xlfn.IFS(ISTEXT(Calcs!O102),Calcs!O102,Calcs!O102&lt;=80,Calcs!O102,Calcs!O102&gt;=81,"80")</f>
        <v>None</v>
      </c>
      <c r="AG102" s="25">
        <f t="shared" si="9"/>
        <v>1</v>
      </c>
      <c r="AH102" s="25">
        <f t="shared" si="10"/>
        <v>3.28</v>
      </c>
      <c r="AI102" s="25">
        <f t="shared" si="11"/>
        <v>1</v>
      </c>
    </row>
    <row r="103" ht="14.4" spans="1:35">
      <c r="A103" s="24" t="str">
        <f>'Ammo Input'!A103</f>
        <v>13.2x92mm TuF</v>
      </c>
      <c r="B103" t="str">
        <f>'Ammo Input'!B103</f>
        <v>FMJ</v>
      </c>
      <c r="C103">
        <f>ROUNDUP(('Ammo Input'!C103*(MAX('Ammo Input'!D103,'Ammo Input'!F103)*0.5)^2*PI())*3/1000000,2)</f>
        <v>0.09</v>
      </c>
      <c r="D103">
        <f>ROUNDUP(('Ammo Input'!E103+'Ammo Input'!H103*IF('Ammo Input'!J103&lt;&gt;"",MAX('Ammo Input'!J103,1),1))/1000,3)</f>
        <v>0.142</v>
      </c>
      <c r="E103">
        <f>MIN(5000,MAX(25,CEILING(Calcs!L103,_xlfn.IFS(Calcs!L103&lt;100,25,Calcs!L103&lt;250,50,Calcs!L103&lt;1000,250,Calcs!L103&gt;=1000,1000))))</f>
        <v>5000</v>
      </c>
      <c r="F103">
        <f>ROUNDUP('Ammo Input'!G103^(3/4),0)</f>
        <v>149</v>
      </c>
      <c r="G103">
        <f>ROUND((0.5*((IF(OR(B103="HEAT",B103="HEDP"),'Ammo Input'!N103,'Ammo Input'!H103)/1000)*(IF(B103="HEAT",9000,IF(B103="HEDP",1500,'Ammo Input'!G103))^2))),0)</f>
        <v>15868</v>
      </c>
      <c r="H103" s="25" t="str">
        <f>CONCATENATE(IF((B103="Foam")+(B103="Smoke"),"-",ROUND(Calcs!D103,0))," ",VLOOKUP(B103,AmmoTypeFactors,5,FALSE))</f>
        <v>40 Bullet</v>
      </c>
      <c r="I103" s="25" t="str">
        <f>IF(Calcs!E103=0,"None",CONCATENATE(ROUND(Calcs!E103,0)," ",VLOOKUP(B103,AmmoTypeFactors,6,FALSE)))</f>
        <v>None</v>
      </c>
      <c r="J103">
        <f>MROUND(2.42*'Ammo Input'!M103^(1/3)*VLOOKUP(B103,AmmoTypeFactors,3,FALSE),0.5)</f>
        <v>0</v>
      </c>
      <c r="K103" s="25" t="str">
        <f>IF(VLOOKUP(B103,AmmoTypeFactors,12,FALSE),MROUND(J103/3,0.5),"None")</f>
        <v>None</v>
      </c>
      <c r="L103" s="25">
        <f>IF(VLOOKUP(B103,AmmoTypeFactors,8,FALSE),"None",ROUNDUP(IF(Calcs!I103&gt;0,Calcs!I103,Calcs!H103),3))</f>
        <v>317.36</v>
      </c>
      <c r="M103" s="25">
        <f>IF(VLOOKUP(B103,AmmoTypeFactors,8,FALSE),"None",'Ammo Input'!L103)</f>
        <v>13</v>
      </c>
      <c r="N103">
        <f>'Ammo Input'!O103</f>
        <v>200</v>
      </c>
      <c r="O103" t="e">
        <f>ROUND((P103*0.0036+SUMPRODUCT(Q103:AB103,VLOOKUP($Q$1:$AB$1,IngredientStats,2,FALSE)))/N103*IF('Ammo Input'!R103,0.5,1),2)</f>
        <v>#VALUE!</v>
      </c>
      <c r="P103" t="e">
        <f>(SUMPRODUCT(Q103:AB103,VLOOKUP($Q$1:$AB$1,IngredientStats,4,FALSE))*VLOOKUP(B103,AmmoTypeFactors,14,FALSE)*IF('Ammo Input'!R103,1.1,1))</f>
        <v>#VALUE!</v>
      </c>
      <c r="Q103">
        <f>IFERROR(__xludf.DUMMYFUNCTION("((IF(NOT(OR(REGEXMATCH(B103, ""Arrow""), B103 = ""Javelin"", B103 = ""Stick bomb"")), ROUNDUP(('Ammo Input'!E103 / 1000) * N103)) + IF(VLOOKUP(B103, AmmoTypeFactors, 9, FALSE) = ""Steel"", ROUNDUP(('Ammo Input'!H103 -'Ammo Input'!M103) * MAX(IF('Ammo Inpu"&amp;"t'!J103 &gt; 0, 'Ammo Input'!J103, 1), 1) * N103 / 1000))) / 'Ingredient stats'!$C$2) * IF(ISBLANK(VLOOKUP(B103,AmmoTypeFactors,15,False)),1,VLOOKUP(B103,AmmoTypeFactors,15,False))"),58)</f>
        <v>58</v>
      </c>
      <c r="R103">
        <f>IFERROR(__xludf.DUMMYFUNCTION("ROUNDUP((IF(REGEXMATCH(B103, ""Arrow"") + (B103 = ""Javelin""), 'Ammo Input'!E103) + IF(VLOOKUP(B103, AmmoTypeFactors, 9, FALSE) = ""Wood"", 'Ammo Input'!H103) + IF(B103 = ""Stick bomb"", 'Ammo Input'!E103)) * N103 / 'Ingredient stats'!$C$12 / 1000)"),0)</f>
        <v>0</v>
      </c>
      <c r="S103">
        <v>0</v>
      </c>
      <c r="T103">
        <v>0</v>
      </c>
      <c r="U103">
        <f>IF(VLOOKUP(B103,AmmoTypeFactors,9,FALSE)="Plasteel",ROUNDUP(('Ammo Input'!H103*MAX(IF('Ammo Input'!J103&gt;0,'Ammo Input'!J103,1)*N103/1000/'Ingredient stats'!$C$4)),0),0)</f>
        <v>0</v>
      </c>
      <c r="V103">
        <f>IFERROR(__xludf.DUMMYFUNCTION("ROUNDUP(IF(ISBLANK(VLOOKUP(B103,AmmoTypeFactors,16,False)),1,VLOOKUP(B103,AmmoTypeFactors,16,False)) * (IFS(REGEXMATCH(B103, ""EMP""), 'Ammo Input'!M103 * N103 / 'Ingredient stats'!$C$5, REGEXMATCH(B103, ""Charge""), (U103^0.75), true, 0) + (IF(VLOOKUP(B1"&amp;"03, AmmoTypeFactors, 10, false), 2,0) + IF('Ammo Input'!P103, 2,0) + IF('Ammo Input'!Q103,MIN(ROUNDUP(0.2*('Ammo Input'!H103/1000)*'Ammo Input'!O103,0),20),0))))"),0)</f>
        <v>0</v>
      </c>
      <c r="W103">
        <v>0</v>
      </c>
      <c r="X103">
        <v>0</v>
      </c>
      <c r="Y103">
        <v>0</v>
      </c>
      <c r="Z103">
        <v>0</v>
      </c>
      <c r="AA103">
        <v>0</v>
      </c>
      <c r="AB103" s="30">
        <f>IF(B103="Sling Bullet (Stone)",ROUNDUP(D103*0.02*E103/'Ingredient stats'!$C$8,0),0)</f>
        <v>0</v>
      </c>
      <c r="AC103" t="str">
        <f t="shared" si="8"/>
        <v>None</v>
      </c>
      <c r="AD103" t="str">
        <f>IF(OR(B103="Buck",B103="Bird",B103="Charge (Scatter)"),'Ammo Input'!J103,"None")</f>
        <v>None</v>
      </c>
      <c r="AE103" t="str">
        <f>_xlfn.IFS(ISTEXT(Calcs!N103),Calcs!N103,Calcs!N103&lt;=40,Calcs!N103,Calcs!N103&gt;41,"40")</f>
        <v>None</v>
      </c>
      <c r="AF103" t="str">
        <f>_xlfn.IFS(ISTEXT(Calcs!O103),Calcs!O103,Calcs!O103&lt;=80,Calcs!O103,Calcs!O103&gt;=81,"80")</f>
        <v>None</v>
      </c>
      <c r="AG103" s="25">
        <f t="shared" si="9"/>
        <v>1</v>
      </c>
      <c r="AH103" s="25">
        <f t="shared" si="10"/>
        <v>2.44</v>
      </c>
      <c r="AI103" s="25">
        <f t="shared" si="11"/>
        <v>1</v>
      </c>
    </row>
    <row r="104" ht="14.4" spans="1:35">
      <c r="A104" s="24" t="str">
        <f>'Ammo Input'!A104</f>
        <v>13.2x92mm TuF</v>
      </c>
      <c r="B104" t="str">
        <f>'Ammo Input'!B104</f>
        <v>AP</v>
      </c>
      <c r="C104">
        <f>ROUNDUP(('Ammo Input'!C104*(MAX('Ammo Input'!D104,'Ammo Input'!F104)*0.5)^2*PI())*3/1000000,2)</f>
        <v>0.09</v>
      </c>
      <c r="D104">
        <f>ROUNDUP(('Ammo Input'!E104+'Ammo Input'!H104*IF('Ammo Input'!J104&lt;&gt;"",MAX('Ammo Input'!J104,1),1))/1000,3)</f>
        <v>0.142</v>
      </c>
      <c r="E104">
        <f>MIN(5000,MAX(25,CEILING(Calcs!L104,_xlfn.IFS(Calcs!L104&lt;100,25,Calcs!L104&lt;250,50,Calcs!L104&lt;1000,250,Calcs!L104&gt;=1000,1000))))</f>
        <v>5000</v>
      </c>
      <c r="F104">
        <f>ROUNDUP('Ammo Input'!G104^(3/4),0)</f>
        <v>149</v>
      </c>
      <c r="G104">
        <f>ROUND((0.5*((IF(OR(B104="HEAT",B104="HEDP"),'Ammo Input'!N104,'Ammo Input'!H104)/1000)*(IF(B104="HEAT",9000,IF(B104="HEDP",1500,'Ammo Input'!G104))^2))),0)</f>
        <v>15868</v>
      </c>
      <c r="H104" s="25" t="str">
        <f>CONCATENATE(IF((B104="Foam")+(B104="Smoke"),"-",ROUND(Calcs!D104,0))," ",VLOOKUP(B104,AmmoTypeFactors,5,FALSE))</f>
        <v>25 Bullet</v>
      </c>
      <c r="I104" s="25" t="str">
        <f>IF(Calcs!E104=0,"None",CONCATENATE(ROUND(Calcs!E104,0)," ",VLOOKUP(B104,AmmoTypeFactors,6,FALSE)))</f>
        <v>15 None</v>
      </c>
      <c r="J104">
        <f>MROUND(2.42*'Ammo Input'!M104^(1/3)*VLOOKUP(B104,AmmoTypeFactors,3,FALSE),0.5)</f>
        <v>0</v>
      </c>
      <c r="K104" s="25" t="str">
        <f>IF(VLOOKUP(B104,AmmoTypeFactors,12,FALSE),MROUND(J104/3,0.5),"None")</f>
        <v>None</v>
      </c>
      <c r="L104" s="25">
        <f>IF(VLOOKUP(B104,AmmoTypeFactors,8,FALSE),"None",ROUNDUP(IF(Calcs!I104&gt;0,Calcs!I104,Calcs!H104),3))</f>
        <v>317.36</v>
      </c>
      <c r="M104" s="25">
        <f>IF(VLOOKUP(B104,AmmoTypeFactors,8,FALSE),"None",'Ammo Input'!L104)</f>
        <v>26</v>
      </c>
      <c r="N104">
        <f>'Ammo Input'!O104</f>
        <v>200</v>
      </c>
      <c r="O104" t="e">
        <f>ROUND((P104*0.0036+SUMPRODUCT(Q104:AB104,VLOOKUP($Q$1:$AB$1,IngredientStats,2,FALSE)))/N104*IF('Ammo Input'!R104,0.5,1),2)</f>
        <v>#VALUE!</v>
      </c>
      <c r="P104" t="e">
        <f>(SUMPRODUCT(Q104:AB104,VLOOKUP($Q$1:$AB$1,IngredientStats,4,FALSE))*VLOOKUP(B104,AmmoTypeFactors,14,FALSE)*IF('Ammo Input'!R104,1.1,1))</f>
        <v>#VALUE!</v>
      </c>
      <c r="Q104">
        <f>IFERROR(__xludf.DUMMYFUNCTION("((IF(NOT(OR(REGEXMATCH(B104, ""Arrow""), B104 = ""Javelin"", B104 = ""Stick bomb"")), ROUNDUP(('Ammo Input'!E104 / 1000) * N104)) + IF(VLOOKUP(B104, AmmoTypeFactors, 9, FALSE) = ""Steel"", ROUNDUP(('Ammo Input'!H104 -'Ammo Input'!M104) * MAX(IF('Ammo Inpu"&amp;"t'!J104 &gt; 0, 'Ammo Input'!J104, 1), 1) * N104 / 1000))) / 'Ingredient stats'!$C$2) * IF(ISBLANK(VLOOKUP(B104,AmmoTypeFactors,15,False)),1,VLOOKUP(B104,AmmoTypeFactors,15,False))"),58)</f>
        <v>58</v>
      </c>
      <c r="R104">
        <f>IFERROR(__xludf.DUMMYFUNCTION("ROUNDUP((IF(REGEXMATCH(B104, ""Arrow"") + (B104 = ""Javelin""), 'Ammo Input'!E104) + IF(VLOOKUP(B104, AmmoTypeFactors, 9, FALSE) = ""Wood"", 'Ammo Input'!H104) + IF(B104 = ""Stick bomb"", 'Ammo Input'!E104)) * N104 / 'Ingredient stats'!$C$12 / 1000)"),0)</f>
        <v>0</v>
      </c>
      <c r="S104">
        <v>0</v>
      </c>
      <c r="T104">
        <v>0</v>
      </c>
      <c r="U104">
        <f>IF(VLOOKUP(B104,AmmoTypeFactors,9,FALSE)="Plasteel",ROUNDUP(('Ammo Input'!H104*MAX(IF('Ammo Input'!J104&gt;0,'Ammo Input'!J104,1)*N104/1000/'Ingredient stats'!$C$4)),0),0)</f>
        <v>0</v>
      </c>
      <c r="V104">
        <f>IFERROR(__xludf.DUMMYFUNCTION("ROUNDUP(IF(ISBLANK(VLOOKUP(B104,AmmoTypeFactors,16,False)),1,VLOOKUP(B104,AmmoTypeFactors,16,False)) * (IFS(REGEXMATCH(B104, ""EMP""), 'Ammo Input'!M104 * N104 / 'Ingredient stats'!$C$5, REGEXMATCH(B104, ""Charge""), (U104^0.75), true, 0) + (IF(VLOOKUP(B1"&amp;"04, AmmoTypeFactors, 10, false), 2,0) + IF('Ammo Input'!P104, 2,0) + IF('Ammo Input'!Q104,MIN(ROUNDUP(0.2*('Ammo Input'!H104/1000)*'Ammo Input'!O104,0),20),0))))"),0)</f>
        <v>0</v>
      </c>
      <c r="W104">
        <v>0</v>
      </c>
      <c r="X104">
        <v>0</v>
      </c>
      <c r="Y104">
        <v>0</v>
      </c>
      <c r="Z104">
        <v>0</v>
      </c>
      <c r="AA104">
        <v>0</v>
      </c>
      <c r="AB104" s="30">
        <f>IF(B104="Sling Bullet (Stone)",ROUNDUP(D104*0.02*E104/'Ingredient stats'!$C$8,0),0)</f>
        <v>0</v>
      </c>
      <c r="AC104" t="str">
        <f t="shared" si="8"/>
        <v>None</v>
      </c>
      <c r="AD104" t="str">
        <f>IF(OR(B104="Buck",B104="Bird",B104="Charge (Scatter)"),'Ammo Input'!J104,"None")</f>
        <v>None</v>
      </c>
      <c r="AE104" t="str">
        <f>_xlfn.IFS(ISTEXT(Calcs!N104),Calcs!N104,Calcs!N104&lt;=40,Calcs!N104,Calcs!N104&gt;41,"40")</f>
        <v>None</v>
      </c>
      <c r="AF104" t="str">
        <f>_xlfn.IFS(ISTEXT(Calcs!O104),Calcs!O104,Calcs!O104&lt;=80,Calcs!O104,Calcs!O104&gt;=81,"80")</f>
        <v>None</v>
      </c>
      <c r="AG104" s="25">
        <f t="shared" si="9"/>
        <v>1</v>
      </c>
      <c r="AH104" s="25">
        <f t="shared" si="10"/>
        <v>2.44</v>
      </c>
      <c r="AI104" s="25">
        <f t="shared" si="11"/>
        <v>1</v>
      </c>
    </row>
    <row r="105" ht="14.4" spans="1:35">
      <c r="A105" s="24" t="str">
        <f>'Ammo Input'!A105</f>
        <v>13.2x92mm TuF</v>
      </c>
      <c r="B105" t="str">
        <f>'Ammo Input'!B105</f>
        <v>AP-I</v>
      </c>
      <c r="C105">
        <f>ROUNDUP(('Ammo Input'!C105*(MAX('Ammo Input'!D105,'Ammo Input'!F105)*0.5)^2*PI())*3/1000000,2)</f>
        <v>0.09</v>
      </c>
      <c r="D105">
        <f>ROUNDUP(('Ammo Input'!E105+'Ammo Input'!H105*IF('Ammo Input'!J105&lt;&gt;"",MAX('Ammo Input'!J105,1),1))/1000,3)</f>
        <v>0.142</v>
      </c>
      <c r="E105">
        <f>MIN(5000,MAX(25,CEILING(Calcs!L105,_xlfn.IFS(Calcs!L105&lt;100,25,Calcs!L105&lt;250,50,Calcs!L105&lt;1000,250,Calcs!L105&gt;=1000,1000))))</f>
        <v>5000</v>
      </c>
      <c r="F105">
        <f>ROUNDUP('Ammo Input'!G105^(3/4),0)</f>
        <v>149</v>
      </c>
      <c r="G105">
        <f>ROUND((0.5*((IF(OR(B105="HEAT",B105="HEDP"),'Ammo Input'!N105,'Ammo Input'!H105)/1000)*(IF(B105="HEAT",9000,IF(B105="HEDP",1500,'Ammo Input'!G105))^2))),0)</f>
        <v>15868</v>
      </c>
      <c r="H105" s="25" t="str">
        <f>CONCATENATE(IF((B105="Foam")+(B105="Smoke"),"-",ROUND(Calcs!D105,0))," ",VLOOKUP(B105,AmmoTypeFactors,5,FALSE))</f>
        <v>25 Bullet</v>
      </c>
      <c r="I105" s="25" t="str">
        <f>IF(Calcs!E105=0,"None",CONCATENATE(ROUND(Calcs!E105,0)," ",VLOOKUP(B105,AmmoTypeFactors,6,FALSE)))</f>
        <v>15 Flame_Secondary</v>
      </c>
      <c r="J105">
        <f>MROUND(2.42*'Ammo Input'!M105^(1/3)*VLOOKUP(B105,AmmoTypeFactors,3,FALSE),0.5)</f>
        <v>0</v>
      </c>
      <c r="K105" s="25" t="str">
        <f>IF(VLOOKUP(B105,AmmoTypeFactors,12,FALSE),MROUND(J105/3,0.5),"None")</f>
        <v>None</v>
      </c>
      <c r="L105" s="25">
        <f>IF(VLOOKUP(B105,AmmoTypeFactors,8,FALSE),"None",ROUNDUP(IF(Calcs!I105&gt;0,Calcs!I105,Calcs!H105),3))</f>
        <v>317.36</v>
      </c>
      <c r="M105" s="25">
        <f>IF(VLOOKUP(B105,AmmoTypeFactors,8,FALSE),"None",'Ammo Input'!L105)</f>
        <v>26</v>
      </c>
      <c r="N105">
        <f>'Ammo Input'!O105</f>
        <v>200</v>
      </c>
      <c r="O105" t="e">
        <f>ROUND((P105*0.0036+SUMPRODUCT(Q105:AB105,VLOOKUP($Q$1:$AB$1,IngredientStats,2,FALSE)))/N105*IF('Ammo Input'!R105,0.5,1),2)</f>
        <v>#VALUE!</v>
      </c>
      <c r="P105" t="e">
        <f>(SUMPRODUCT(Q105:AB105,VLOOKUP($Q$1:$AB$1,IngredientStats,4,FALSE))*VLOOKUP(B105,AmmoTypeFactors,14,FALSE)*IF('Ammo Input'!R105,1.1,1))</f>
        <v>#VALUE!</v>
      </c>
      <c r="Q105">
        <f>IFERROR(__xludf.DUMMYFUNCTION("((IF(NOT(OR(REGEXMATCH(B105, ""Arrow""), B105 = ""Javelin"", B105 = ""Stick bomb"")), ROUNDUP(('Ammo Input'!E105 / 1000) * N105)) + IF(VLOOKUP(B105, AmmoTypeFactors, 9, FALSE) = ""Steel"", ROUNDUP(('Ammo Input'!H105 -'Ammo Input'!M105) * MAX(IF('Ammo Inpu"&amp;"t'!J105 &gt; 0, 'Ammo Input'!J105, 1), 1) * N105 / 1000))) / 'Ingredient stats'!$C$2) * IF(ISBLANK(VLOOKUP(B105,AmmoTypeFactors,15,False)),1,VLOOKUP(B105,AmmoTypeFactors,15,False))"),58)</f>
        <v>58</v>
      </c>
      <c r="R105">
        <f>IFERROR(__xludf.DUMMYFUNCTION("ROUNDUP((IF(REGEXMATCH(B105, ""Arrow"") + (B105 = ""Javelin""), 'Ammo Input'!E105) + IF(VLOOKUP(B105, AmmoTypeFactors, 9, FALSE) = ""Wood"", 'Ammo Input'!H105) + IF(B105 = ""Stick bomb"", 'Ammo Input'!E105)) * N105 / 'Ingredient stats'!$C$12 / 1000)"),0)</f>
        <v>0</v>
      </c>
      <c r="S105">
        <v>0</v>
      </c>
      <c r="T105">
        <v>0</v>
      </c>
      <c r="U105">
        <f>IF(VLOOKUP(B105,AmmoTypeFactors,9,FALSE)="Plasteel",ROUNDUP(('Ammo Input'!H105*MAX(IF('Ammo Input'!J105&gt;0,'Ammo Input'!J105,1)*N105/1000/'Ingredient stats'!$C$4)),0),0)</f>
        <v>0</v>
      </c>
      <c r="V105">
        <f>IFERROR(__xludf.DUMMYFUNCTION("ROUNDUP(IF(ISBLANK(VLOOKUP(B105,AmmoTypeFactors,16,False)),1,VLOOKUP(B105,AmmoTypeFactors,16,False)) * (IFS(REGEXMATCH(B105, ""EMP""), 'Ammo Input'!M105 * N105 / 'Ingredient stats'!$C$5, REGEXMATCH(B105, ""Charge""), (U105^0.75), true, 0) + (IF(VLOOKUP(B1"&amp;"05, AmmoTypeFactors, 10, false), 2,0) + IF('Ammo Input'!P105, 2,0) + IF('Ammo Input'!Q105,MIN(ROUNDUP(0.2*('Ammo Input'!H105/1000)*'Ammo Input'!O105,0),20),0))))"),0)</f>
        <v>0</v>
      </c>
      <c r="W105">
        <v>5</v>
      </c>
      <c r="X105">
        <v>0</v>
      </c>
      <c r="Y105">
        <v>0</v>
      </c>
      <c r="Z105">
        <v>0</v>
      </c>
      <c r="AA105">
        <v>0</v>
      </c>
      <c r="AB105" s="30">
        <f>IF(B105="Sling Bullet (Stone)",ROUNDUP(D105*0.02*E105/'Ingredient stats'!$C$8,0),0)</f>
        <v>0</v>
      </c>
      <c r="AC105" t="str">
        <f t="shared" si="8"/>
        <v>None</v>
      </c>
      <c r="AD105" t="str">
        <f>IF(OR(B105="Buck",B105="Bird",B105="Charge (Scatter)"),'Ammo Input'!J105,"None")</f>
        <v>None</v>
      </c>
      <c r="AE105" t="str">
        <f>_xlfn.IFS(ISTEXT(Calcs!N105),Calcs!N105,Calcs!N105&lt;=40,Calcs!N105,Calcs!N105&gt;41,"40")</f>
        <v>None</v>
      </c>
      <c r="AF105" t="str">
        <f>_xlfn.IFS(ISTEXT(Calcs!O105),Calcs!O105,Calcs!O105&lt;=80,Calcs!O105,Calcs!O105&gt;=81,"80")</f>
        <v>None</v>
      </c>
      <c r="AG105" s="25">
        <f t="shared" si="9"/>
        <v>1</v>
      </c>
      <c r="AH105" s="25">
        <f t="shared" si="10"/>
        <v>2.44</v>
      </c>
      <c r="AI105" s="25">
        <f t="shared" si="11"/>
        <v>1</v>
      </c>
    </row>
    <row r="106" ht="14.4" spans="1:35">
      <c r="A106" s="24" t="str">
        <f>'Ammo Input'!A106</f>
        <v>13.2x92mm TuF</v>
      </c>
      <c r="B106" t="str">
        <f>'Ammo Input'!B106</f>
        <v>AP-HE</v>
      </c>
      <c r="C106">
        <f>ROUNDUP(('Ammo Input'!C106*(MAX('Ammo Input'!D106,'Ammo Input'!F106)*0.5)^2*PI())*3/1000000,2)</f>
        <v>0.09</v>
      </c>
      <c r="D106">
        <f>ROUNDUP(('Ammo Input'!E106+'Ammo Input'!H106*IF('Ammo Input'!J106&lt;&gt;"",MAX('Ammo Input'!J106,1),1))/1000,3)</f>
        <v>0.142</v>
      </c>
      <c r="E106">
        <f>MIN(5000,MAX(25,CEILING(Calcs!L106,_xlfn.IFS(Calcs!L106&lt;100,25,Calcs!L106&lt;250,50,Calcs!L106&lt;1000,250,Calcs!L106&gt;=1000,1000))))</f>
        <v>5000</v>
      </c>
      <c r="F106">
        <f>ROUNDUP('Ammo Input'!G106^(3/4),0)</f>
        <v>149</v>
      </c>
      <c r="G106">
        <f>ROUND((0.5*((IF(OR(B106="HEAT",B106="HEDP"),'Ammo Input'!N106,'Ammo Input'!H106)/1000)*(IF(B106="HEAT",9000,IF(B106="HEDP",1500,'Ammo Input'!G106))^2))),0)</f>
        <v>15868</v>
      </c>
      <c r="H106" s="25" t="str">
        <f>CONCATENATE(IF((B106="Foam")+(B106="Smoke"),"-",ROUND(Calcs!D106,0))," ",VLOOKUP(B106,AmmoTypeFactors,5,FALSE))</f>
        <v>40 Bullet</v>
      </c>
      <c r="I106" s="25" t="str">
        <f>IF(Calcs!E106=0,"None",CONCATENATE(ROUND(Calcs!E106,0)," ",VLOOKUP(B106,AmmoTypeFactors,6,FALSE)))</f>
        <v>21 Bomb_Secondary</v>
      </c>
      <c r="J106">
        <f>MROUND(2.42*'Ammo Input'!M106^(1/3)*VLOOKUP(B106,AmmoTypeFactors,3,FALSE),0.5)</f>
        <v>0</v>
      </c>
      <c r="K106" s="25" t="str">
        <f>IF(VLOOKUP(B106,AmmoTypeFactors,12,FALSE),MROUND(J106/3,0.5),"None")</f>
        <v>None</v>
      </c>
      <c r="L106" s="25">
        <f>IF(VLOOKUP(B106,AmmoTypeFactors,8,FALSE),"None",ROUNDUP(IF(Calcs!I106&gt;0,Calcs!I106,Calcs!H106),3))</f>
        <v>317.36</v>
      </c>
      <c r="M106" s="25">
        <f>IF(VLOOKUP(B106,AmmoTypeFactors,8,FALSE),"None",'Ammo Input'!L106)</f>
        <v>13</v>
      </c>
      <c r="N106">
        <f>'Ammo Input'!O106</f>
        <v>200</v>
      </c>
      <c r="O106" t="e">
        <f>ROUND((P106*0.0036+SUMPRODUCT(Q106:AB106,VLOOKUP($Q$1:$AB$1,IngredientStats,2,FALSE)))/N106*IF('Ammo Input'!R106,0.5,1),2)</f>
        <v>#VALUE!</v>
      </c>
      <c r="P106" t="e">
        <f>(SUMPRODUCT(Q106:AB106,VLOOKUP($Q$1:$AB$1,IngredientStats,4,FALSE))*VLOOKUP(B106,AmmoTypeFactors,14,FALSE)*IF('Ammo Input'!R106,1.1,1))</f>
        <v>#VALUE!</v>
      </c>
      <c r="Q106">
        <f>IFERROR(__xludf.DUMMYFUNCTION("((IF(NOT(OR(REGEXMATCH(B106, ""Arrow""), B106 = ""Javelin"", B106 = ""Stick bomb"")), ROUNDUP(('Ammo Input'!E106 / 1000) * N106)) + IF(VLOOKUP(B106, AmmoTypeFactors, 9, FALSE) = ""Steel"", ROUNDUP(('Ammo Input'!H106 -'Ammo Input'!M106) * MAX(IF('Ammo Inpu"&amp;"t'!J106 &gt; 0, 'Ammo Input'!J106, 1), 1) * N106 / 1000))) / 'Ingredient stats'!$C$2) * IF(ISBLANK(VLOOKUP(B106,AmmoTypeFactors,15,False)),1,VLOOKUP(B106,AmmoTypeFactors,15,False))"),58)</f>
        <v>58</v>
      </c>
      <c r="R106">
        <f>IFERROR(__xludf.DUMMYFUNCTION("ROUNDUP((IF(REGEXMATCH(B106, ""Arrow"") + (B106 = ""Javelin""), 'Ammo Input'!E106) + IF(VLOOKUP(B106, AmmoTypeFactors, 9, FALSE) = ""Wood"", 'Ammo Input'!H106) + IF(B106 = ""Stick bomb"", 'Ammo Input'!E106)) * N106 / 'Ingredient stats'!$C$12 / 1000)"),0)</f>
        <v>0</v>
      </c>
      <c r="S106">
        <v>0</v>
      </c>
      <c r="T106">
        <v>0</v>
      </c>
      <c r="U106">
        <f>IF(VLOOKUP(B106,AmmoTypeFactors,9,FALSE)="Plasteel",ROUNDUP(('Ammo Input'!H106*MAX(IF('Ammo Input'!J106&gt;0,'Ammo Input'!J106,1)*N106/1000/'Ingredient stats'!$C$4)),0),0)</f>
        <v>0</v>
      </c>
      <c r="V106">
        <f>IFERROR(__xludf.DUMMYFUNCTION("ROUNDUP(IF(ISBLANK(VLOOKUP(B106,AmmoTypeFactors,16,False)),1,VLOOKUP(B106,AmmoTypeFactors,16,False)) * (IFS(REGEXMATCH(B106, ""EMP""), 'Ammo Input'!M106 * N106 / 'Ingredient stats'!$C$5, REGEXMATCH(B106, ""Charge""), (U106^0.75), true, 0) + (IF(VLOOKUP(B1"&amp;"06, AmmoTypeFactors, 10, false), 2,0) + IF('Ammo Input'!P106, 2,0) + IF('Ammo Input'!Q106,MIN(ROUNDUP(0.2*('Ammo Input'!H106/1000)*'Ammo Input'!O106,0),20),0))))"),0)</f>
        <v>0</v>
      </c>
      <c r="W106">
        <v>0</v>
      </c>
      <c r="X106">
        <v>11</v>
      </c>
      <c r="Y106">
        <v>0</v>
      </c>
      <c r="Z106">
        <v>0</v>
      </c>
      <c r="AA106">
        <v>0</v>
      </c>
      <c r="AB106" s="30">
        <f>IF(B106="Sling Bullet (Stone)",ROUNDUP(D106*0.02*E106/'Ingredient stats'!$C$8,0),0)</f>
        <v>0</v>
      </c>
      <c r="AC106" t="str">
        <f t="shared" si="8"/>
        <v>None</v>
      </c>
      <c r="AD106" t="str">
        <f>IF(OR(B106="Buck",B106="Bird",B106="Charge (Scatter)"),'Ammo Input'!J106,"None")</f>
        <v>None</v>
      </c>
      <c r="AE106" t="str">
        <f>_xlfn.IFS(ISTEXT(Calcs!N106),Calcs!N106,Calcs!N106&lt;=40,Calcs!N106,Calcs!N106&gt;41,"40")</f>
        <v>None</v>
      </c>
      <c r="AF106" t="str">
        <f>_xlfn.IFS(ISTEXT(Calcs!O106),Calcs!O106,Calcs!O106&lt;=80,Calcs!O106,Calcs!O106&gt;=81,"80")</f>
        <v>None</v>
      </c>
      <c r="AG106" s="25">
        <f t="shared" si="9"/>
        <v>1</v>
      </c>
      <c r="AH106" s="25">
        <f t="shared" si="10"/>
        <v>2.44</v>
      </c>
      <c r="AI106" s="25">
        <f t="shared" si="11"/>
        <v>1</v>
      </c>
    </row>
    <row r="107" ht="14.4" spans="1:35">
      <c r="A107" s="24" t="str">
        <f>'Ammo Input'!A107</f>
        <v>13.2x92mm TuF</v>
      </c>
      <c r="B107" t="str">
        <f>'Ammo Input'!B107</f>
        <v>Sabot</v>
      </c>
      <c r="C107">
        <f>ROUNDUP(('Ammo Input'!C107*(MAX('Ammo Input'!D107,'Ammo Input'!F107)*0.5)^2*PI())*3/1000000,2)</f>
        <v>0.09</v>
      </c>
      <c r="D107">
        <f>ROUNDUP(('Ammo Input'!E107+'Ammo Input'!H107*IF('Ammo Input'!J107&lt;&gt;"",MAX('Ammo Input'!J107,1),1))/1000,3)</f>
        <v>0.12</v>
      </c>
      <c r="E107">
        <f>MIN(5000,MAX(25,CEILING(Calcs!L107,_xlfn.IFS(Calcs!L107&lt;100,25,Calcs!L107&lt;250,50,Calcs!L107&lt;1000,250,Calcs!L107&gt;=1000,1000))))</f>
        <v>5000</v>
      </c>
      <c r="F107">
        <f>ROUNDUP('Ammo Input'!G107^(3/4),0)</f>
        <v>202</v>
      </c>
      <c r="G107">
        <f>ROUND((0.5*((IF(OR(B107="HEAT",B107="HEDP"),'Ammo Input'!N107,'Ammo Input'!H107)/1000)*(IF(B107="HEAT",9000,IF(B107="HEDP",1500,'Ammo Input'!G107))^2))),0)</f>
        <v>20347</v>
      </c>
      <c r="H107" s="25" t="str">
        <f>CONCATENATE(IF((B107="Foam")+(B107="Smoke"),"-",ROUND(Calcs!D107,0))," ",VLOOKUP(B107,AmmoTypeFactors,5,FALSE))</f>
        <v>21 Bullet</v>
      </c>
      <c r="I107" s="25" t="str">
        <f>IF(Calcs!E107=0,"None",CONCATENATE(ROUND(Calcs!E107,0)," ",VLOOKUP(B107,AmmoTypeFactors,6,FALSE)))</f>
        <v>None</v>
      </c>
      <c r="J107">
        <f>MROUND(2.42*'Ammo Input'!M107^(1/3)*VLOOKUP(B107,AmmoTypeFactors,3,FALSE),0.5)</f>
        <v>0</v>
      </c>
      <c r="K107" s="25" t="str">
        <f>IF(VLOOKUP(B107,AmmoTypeFactors,12,FALSE),MROUND(J107/3,0.5),"None")</f>
        <v>None</v>
      </c>
      <c r="L107" s="25">
        <f>IF(VLOOKUP(B107,AmmoTypeFactors,8,FALSE),"None",ROUNDUP(IF(Calcs!I107&gt;0,Calcs!I107,Calcs!H107),3))</f>
        <v>406.94</v>
      </c>
      <c r="M107" s="25">
        <f>IF(VLOOKUP(B107,AmmoTypeFactors,8,FALSE),"None",'Ammo Input'!L107)</f>
        <v>45.5</v>
      </c>
      <c r="N107">
        <f>'Ammo Input'!O107</f>
        <v>200</v>
      </c>
      <c r="O107" t="e">
        <f>ROUND((P107*0.0036+SUMPRODUCT(Q107:AB107,VLOOKUP($Q$1:$AB$1,IngredientStats,2,FALSE)))/N107*IF('Ammo Input'!R107,0.5,1),2)</f>
        <v>#VALUE!</v>
      </c>
      <c r="P107" t="e">
        <f>(SUMPRODUCT(Q107:AB107,VLOOKUP($Q$1:$AB$1,IngredientStats,4,FALSE))*VLOOKUP(B107,AmmoTypeFactors,14,FALSE)*IF('Ammo Input'!R107,1.1,1))</f>
        <v>#VALUE!</v>
      </c>
      <c r="Q107">
        <f>IFERROR(__xludf.DUMMYFUNCTION("((IF(NOT(OR(REGEXMATCH(B107, ""Arrow""), B107 = ""Javelin"", B107 = ""Stick bomb"")), ROUNDUP(('Ammo Input'!E107 / 1000) * N107)) + IF(VLOOKUP(B107, AmmoTypeFactors, 9, FALSE) = ""Steel"", ROUNDUP(('Ammo Input'!H107 -'Ammo Input'!M107) * MAX(IF('Ammo Inpu"&amp;"t'!J107 &gt; 0, 'Ammo Input'!J107, 1), 1) * N107 / 1000))) / 'Ingredient stats'!$C$2) * IF(ISBLANK(VLOOKUP(B107,AmmoTypeFactors,15,False)),1,VLOOKUP(B107,AmmoTypeFactors,15,False))"),36)</f>
        <v>36</v>
      </c>
      <c r="R107">
        <f>IFERROR(__xludf.DUMMYFUNCTION("ROUNDUP((IF(REGEXMATCH(B107, ""Arrow"") + (B107 = ""Javelin""), 'Ammo Input'!E107) + IF(VLOOKUP(B107, AmmoTypeFactors, 9, FALSE) = ""Wood"", 'Ammo Input'!H107) + IF(B107 = ""Stick bomb"", 'Ammo Input'!E107)) * N107 / 'Ingredient stats'!$C$12 / 1000)"),0)</f>
        <v>0</v>
      </c>
      <c r="S107">
        <v>6</v>
      </c>
      <c r="T107">
        <v>6</v>
      </c>
      <c r="U107">
        <f>IF(VLOOKUP(B107,AmmoTypeFactors,9,FALSE)="Plasteel",ROUNDUP(('Ammo Input'!H107*MAX(IF('Ammo Input'!J107&gt;0,'Ammo Input'!J107,1)*N107/1000/'Ingredient stats'!$C$4)),0),0)</f>
        <v>0</v>
      </c>
      <c r="V107">
        <f>IFERROR(__xludf.DUMMYFUNCTION("ROUNDUP(IF(ISBLANK(VLOOKUP(B107,AmmoTypeFactors,16,False)),1,VLOOKUP(B107,AmmoTypeFactors,16,False)) * (IFS(REGEXMATCH(B107, ""EMP""), 'Ammo Input'!M107 * N107 / 'Ingredient stats'!$C$5, REGEXMATCH(B107, ""Charge""), (U107^0.75), true, 0) + (IF(VLOOKUP(B1"&amp;"07, AmmoTypeFactors, 10, false), 2,0) + IF('Ammo Input'!P107, 2,0) + IF('Ammo Input'!Q107,MIN(ROUNDUP(0.2*('Ammo Input'!H107/1000)*'Ammo Input'!O107,0),20),0))))"),0)</f>
        <v>0</v>
      </c>
      <c r="W107">
        <v>0</v>
      </c>
      <c r="X107">
        <v>0</v>
      </c>
      <c r="Y107">
        <v>0</v>
      </c>
      <c r="Z107">
        <v>0</v>
      </c>
      <c r="AA107">
        <v>0</v>
      </c>
      <c r="AB107" s="30">
        <f>IF(B107="Sling Bullet (Stone)",ROUNDUP(D107*0.02*E107/'Ingredient stats'!$C$8,0),0)</f>
        <v>0</v>
      </c>
      <c r="AC107" t="str">
        <f t="shared" si="8"/>
        <v>None</v>
      </c>
      <c r="AD107" t="str">
        <f>IF(OR(B107="Buck",B107="Bird",B107="Charge (Scatter)"),'Ammo Input'!J107,"None")</f>
        <v>None</v>
      </c>
      <c r="AE107" t="str">
        <f>_xlfn.IFS(ISTEXT(Calcs!N107),Calcs!N107,Calcs!N107&lt;=40,Calcs!N107,Calcs!N107&gt;41,"40")</f>
        <v>None</v>
      </c>
      <c r="AF107" t="str">
        <f>_xlfn.IFS(ISTEXT(Calcs!O107),Calcs!O107,Calcs!O107&lt;=80,Calcs!O107,Calcs!O107&gt;=81,"80")</f>
        <v>None</v>
      </c>
      <c r="AG107" s="25">
        <f t="shared" si="9"/>
        <v>1</v>
      </c>
      <c r="AH107" s="25">
        <f t="shared" si="10"/>
        <v>3.28</v>
      </c>
      <c r="AI107" s="25">
        <f t="shared" si="11"/>
        <v>1</v>
      </c>
    </row>
    <row r="108" ht="14.4" spans="1:35">
      <c r="A108" s="24" t="str">
        <f>'Ammo Input'!A108</f>
        <v>.338 Lapua Magnum</v>
      </c>
      <c r="B108" t="str">
        <f>'Ammo Input'!B108</f>
        <v>FMJ</v>
      </c>
      <c r="C108">
        <f>ROUNDUP(('Ammo Input'!C108*(MAX('Ammo Input'!D108,'Ammo Input'!F108)*0.5)^2*PI())*3/1000000,2)</f>
        <v>0.05</v>
      </c>
      <c r="D108">
        <f>ROUNDUP(('Ammo Input'!E108+'Ammo Input'!H108*IF('Ammo Input'!J108&lt;&gt;"",MAX('Ammo Input'!J108,1),1))/1000,3)</f>
        <v>0.043</v>
      </c>
      <c r="E108">
        <f>MIN(5000,MAX(25,CEILING(Calcs!L108,_xlfn.IFS(Calcs!L108&lt;100,25,Calcs!L108&lt;250,50,Calcs!L108&lt;1000,250,Calcs!L108&gt;=1000,1000))))</f>
        <v>5000</v>
      </c>
      <c r="F108">
        <f>ROUNDUP('Ammo Input'!G108^(3/4),0)</f>
        <v>166</v>
      </c>
      <c r="G108">
        <f>ROUND((0.5*((IF(OR(B108="HEAT",B108="HEDP"),'Ammo Input'!N108,'Ammo Input'!H108)/1000)*(IF(B108="HEAT",9000,IF(B108="HEDP",1500,'Ammo Input'!G108))^2))),0)</f>
        <v>6708</v>
      </c>
      <c r="H108" s="25" t="str">
        <f>CONCATENATE(IF((B108="Foam")+(B108="Smoke"),"-",ROUND(Calcs!D108,0))," ",VLOOKUP(B108,AmmoTypeFactors,5,FALSE))</f>
        <v>26 Bullet</v>
      </c>
      <c r="I108" s="25" t="str">
        <f>IF(Calcs!E108=0,"None",CONCATENATE(ROUND(Calcs!E108,0)," ",VLOOKUP(B108,AmmoTypeFactors,6,FALSE)))</f>
        <v>None</v>
      </c>
      <c r="J108">
        <f>MROUND(2.42*'Ammo Input'!M108^(1/3)*VLOOKUP(B108,AmmoTypeFactors,3,FALSE),0.5)</f>
        <v>0</v>
      </c>
      <c r="K108" s="25" t="str">
        <f>IF(VLOOKUP(B108,AmmoTypeFactors,12,FALSE),MROUND(J108/3,0.5),"None")</f>
        <v>None</v>
      </c>
      <c r="L108" s="25">
        <f>IF(VLOOKUP(B108,AmmoTypeFactors,8,FALSE),"None",ROUNDUP(IF(Calcs!I108&gt;0,Calcs!I108,Calcs!H108),3))</f>
        <v>134.16</v>
      </c>
      <c r="M108" s="25">
        <f>IF(VLOOKUP(B108,AmmoTypeFactors,8,FALSE),"None",'Ammo Input'!L108)</f>
        <v>11</v>
      </c>
      <c r="N108">
        <f>'Ammo Input'!O108</f>
        <v>200</v>
      </c>
      <c r="O108" t="e">
        <f>ROUND((P108*0.0036+SUMPRODUCT(Q108:AB108,VLOOKUP($Q$1:$AB$1,IngredientStats,2,FALSE)))/N108*IF('Ammo Input'!R108,0.5,1),2)</f>
        <v>#VALUE!</v>
      </c>
      <c r="P108" t="e">
        <f>(SUMPRODUCT(Q108:AB108,VLOOKUP($Q$1:$AB$1,IngredientStats,4,FALSE))*VLOOKUP(B108,AmmoTypeFactors,14,FALSE)*IF('Ammo Input'!R108,1.1,1))</f>
        <v>#VALUE!</v>
      </c>
      <c r="Q108">
        <f>IFERROR(__xludf.DUMMYFUNCTION("((IF(NOT(OR(REGEXMATCH(B108, ""Arrow""), B108 = ""Javelin"", B108 = ""Stick bomb"")), ROUNDUP(('Ammo Input'!E108 / 1000) * N108)) + IF(VLOOKUP(B108, AmmoTypeFactors, 9, FALSE) = ""Steel"", ROUNDUP(('Ammo Input'!H108 -'Ammo Input'!M108) * MAX(IF('Ammo Inpu"&amp;"t'!J108 &gt; 0, 'Ammo Input'!J108, 1), 1) * N108 / 1000))) / 'Ingredient stats'!$C$2) * IF(ISBLANK(VLOOKUP(B108,AmmoTypeFactors,15,False)),1,VLOOKUP(B108,AmmoTypeFactors,15,False))"),20)</f>
        <v>20</v>
      </c>
      <c r="R108">
        <f>IFERROR(__xludf.DUMMYFUNCTION("ROUNDUP((IF(REGEXMATCH(B108, ""Arrow"") + (B108 = ""Javelin""), 'Ammo Input'!E108) + IF(VLOOKUP(B108, AmmoTypeFactors, 9, FALSE) = ""Wood"", 'Ammo Input'!H108) + IF(B108 = ""Stick bomb"", 'Ammo Input'!E108)) * N108 / 'Ingredient stats'!$C$12 / 1000)"),0)</f>
        <v>0</v>
      </c>
      <c r="S108">
        <v>0</v>
      </c>
      <c r="T108">
        <v>0</v>
      </c>
      <c r="U108">
        <f>IF(VLOOKUP(B108,AmmoTypeFactors,9,FALSE)="Plasteel",ROUNDUP(('Ammo Input'!H108*MAX(IF('Ammo Input'!J108&gt;0,'Ammo Input'!J108,1)*N108/1000/'Ingredient stats'!$C$4)),0),0)</f>
        <v>0</v>
      </c>
      <c r="V108">
        <f>IFERROR(__xludf.DUMMYFUNCTION("ROUNDUP(IF(ISBLANK(VLOOKUP(B108,AmmoTypeFactors,16,False)),1,VLOOKUP(B108,AmmoTypeFactors,16,False)) * (IFS(REGEXMATCH(B108, ""EMP""), 'Ammo Input'!M108 * N108 / 'Ingredient stats'!$C$5, REGEXMATCH(B108, ""Charge""), (U108^0.75), true, 0) + (IF(VLOOKUP(B1"&amp;"08, AmmoTypeFactors, 10, false), 2,0) + IF('Ammo Input'!P108, 2,0) + IF('Ammo Input'!Q108,MIN(ROUNDUP(0.2*('Ammo Input'!H108/1000)*'Ammo Input'!O108,0),20),0))))"),0)</f>
        <v>0</v>
      </c>
      <c r="W108">
        <v>0</v>
      </c>
      <c r="X108">
        <v>0</v>
      </c>
      <c r="Y108">
        <v>0</v>
      </c>
      <c r="Z108">
        <v>0</v>
      </c>
      <c r="AA108">
        <v>0</v>
      </c>
      <c r="AB108" s="30">
        <f>IF(B108="Sling Bullet (Stone)",ROUNDUP(D108*0.02*E108/'Ingredient stats'!$C$8,0),0)</f>
        <v>0</v>
      </c>
      <c r="AC108" t="str">
        <f t="shared" si="8"/>
        <v>None</v>
      </c>
      <c r="AD108" t="str">
        <f>IF(OR(B108="Buck",B108="Bird",B108="Charge (Scatter)"),'Ammo Input'!J108,"None")</f>
        <v>None</v>
      </c>
      <c r="AE108" t="str">
        <f>_xlfn.IFS(ISTEXT(Calcs!N108),Calcs!N108,Calcs!N108&lt;=40,Calcs!N108,Calcs!N108&gt;41,"40")</f>
        <v>None</v>
      </c>
      <c r="AF108" t="str">
        <f>_xlfn.IFS(ISTEXT(Calcs!O108),Calcs!O108,Calcs!O108&lt;=80,Calcs!O108,Calcs!O108&gt;=81,"80")</f>
        <v>None</v>
      </c>
      <c r="AG108" s="25">
        <f t="shared" si="9"/>
        <v>1</v>
      </c>
      <c r="AH108" s="25">
        <f t="shared" si="10"/>
        <v>2.7</v>
      </c>
      <c r="AI108" s="25">
        <f t="shared" si="11"/>
        <v>1</v>
      </c>
    </row>
    <row r="109" ht="14.4" spans="1:35">
      <c r="A109" s="24" t="str">
        <f>'Ammo Input'!A109</f>
        <v>.338 Lapua Magnum</v>
      </c>
      <c r="B109" t="str">
        <f>'Ammo Input'!B109</f>
        <v>AP</v>
      </c>
      <c r="C109">
        <f>ROUNDUP(('Ammo Input'!C109*(MAX('Ammo Input'!D109,'Ammo Input'!F109)*0.5)^2*PI())*3/1000000,2)</f>
        <v>0.05</v>
      </c>
      <c r="D109">
        <f>ROUNDUP(('Ammo Input'!E109+'Ammo Input'!H109*IF('Ammo Input'!J109&lt;&gt;"",MAX('Ammo Input'!J109,1),1))/1000,3)</f>
        <v>0.043</v>
      </c>
      <c r="E109">
        <f>MIN(5000,MAX(25,CEILING(Calcs!L109,_xlfn.IFS(Calcs!L109&lt;100,25,Calcs!L109&lt;250,50,Calcs!L109&lt;1000,250,Calcs!L109&gt;=1000,1000))))</f>
        <v>5000</v>
      </c>
      <c r="F109">
        <f>ROUNDUP('Ammo Input'!G109^(3/4),0)</f>
        <v>166</v>
      </c>
      <c r="G109">
        <f>ROUND((0.5*((IF(OR(B109="HEAT",B109="HEDP"),'Ammo Input'!N109,'Ammo Input'!H109)/1000)*(IF(B109="HEAT",9000,IF(B109="HEDP",1500,'Ammo Input'!G109))^2))),0)</f>
        <v>6708</v>
      </c>
      <c r="H109" s="25" t="str">
        <f>CONCATENATE(IF((B109="Foam")+(B109="Smoke"),"-",ROUND(Calcs!D109,0))," ",VLOOKUP(B109,AmmoTypeFactors,5,FALSE))</f>
        <v>16 Bullet</v>
      </c>
      <c r="I109" s="25" t="str">
        <f>IF(Calcs!E109=0,"None",CONCATENATE(ROUND(Calcs!E109,0)," ",VLOOKUP(B109,AmmoTypeFactors,6,FALSE)))</f>
        <v>None</v>
      </c>
      <c r="J109">
        <f>MROUND(2.42*'Ammo Input'!M109^(1/3)*VLOOKUP(B109,AmmoTypeFactors,3,FALSE),0.5)</f>
        <v>0</v>
      </c>
      <c r="K109" s="25" t="str">
        <f>IF(VLOOKUP(B109,AmmoTypeFactors,12,FALSE),MROUND(J109/3,0.5),"None")</f>
        <v>None</v>
      </c>
      <c r="L109" s="25">
        <f>IF(VLOOKUP(B109,AmmoTypeFactors,8,FALSE),"None",ROUNDUP(IF(Calcs!I109&gt;0,Calcs!I109,Calcs!H109),3))</f>
        <v>134.16</v>
      </c>
      <c r="M109" s="25">
        <f>IF(VLOOKUP(B109,AmmoTypeFactors,8,FALSE),"None",'Ammo Input'!L109)</f>
        <v>22</v>
      </c>
      <c r="N109">
        <f>'Ammo Input'!O109</f>
        <v>200</v>
      </c>
      <c r="O109" t="e">
        <f>ROUND((P109*0.0036+SUMPRODUCT(Q109:AB109,VLOOKUP($Q$1:$AB$1,IngredientStats,2,FALSE)))/N109*IF('Ammo Input'!R109,0.5,1),2)</f>
        <v>#VALUE!</v>
      </c>
      <c r="P109" t="e">
        <f>(SUMPRODUCT(Q109:AB109,VLOOKUP($Q$1:$AB$1,IngredientStats,4,FALSE))*VLOOKUP(B109,AmmoTypeFactors,14,FALSE)*IF('Ammo Input'!R109,1.1,1))</f>
        <v>#VALUE!</v>
      </c>
      <c r="Q109">
        <f>IFERROR(__xludf.DUMMYFUNCTION("((IF(NOT(OR(REGEXMATCH(B109, ""Arrow""), B109 = ""Javelin"", B109 = ""Stick bomb"")), ROUNDUP(('Ammo Input'!E109 / 1000) * N109)) + IF(VLOOKUP(B109, AmmoTypeFactors, 9, FALSE) = ""Steel"", ROUNDUP(('Ammo Input'!H109 -'Ammo Input'!M109) * MAX(IF('Ammo Inpu"&amp;"t'!J109 &gt; 0, 'Ammo Input'!J109, 1), 1) * N109 / 1000))) / 'Ingredient stats'!$C$2) * IF(ISBLANK(VLOOKUP(B109,AmmoTypeFactors,15,False)),1,VLOOKUP(B109,AmmoTypeFactors,15,False))"),20)</f>
        <v>20</v>
      </c>
      <c r="R109">
        <f>IFERROR(__xludf.DUMMYFUNCTION("ROUNDUP((IF(REGEXMATCH(B109, ""Arrow"") + (B109 = ""Javelin""), 'Ammo Input'!E109) + IF(VLOOKUP(B109, AmmoTypeFactors, 9, FALSE) = ""Wood"", 'Ammo Input'!H109) + IF(B109 = ""Stick bomb"", 'Ammo Input'!E109)) * N109 / 'Ingredient stats'!$C$12 / 1000)"),0)</f>
        <v>0</v>
      </c>
      <c r="S109">
        <v>0</v>
      </c>
      <c r="T109">
        <v>0</v>
      </c>
      <c r="U109">
        <f>IF(VLOOKUP(B109,AmmoTypeFactors,9,FALSE)="Plasteel",ROUNDUP(('Ammo Input'!H109*MAX(IF('Ammo Input'!J109&gt;0,'Ammo Input'!J109,1)*N109/1000/'Ingredient stats'!$C$4)),0),0)</f>
        <v>0</v>
      </c>
      <c r="V109">
        <f>IFERROR(__xludf.DUMMYFUNCTION("ROUNDUP(IF(ISBLANK(VLOOKUP(B109,AmmoTypeFactors,16,False)),1,VLOOKUP(B109,AmmoTypeFactors,16,False)) * (IFS(REGEXMATCH(B109, ""EMP""), 'Ammo Input'!M109 * N109 / 'Ingredient stats'!$C$5, REGEXMATCH(B109, ""Charge""), (U109^0.75), true, 0) + (IF(VLOOKUP(B1"&amp;"09, AmmoTypeFactors, 10, false), 2,0) + IF('Ammo Input'!P109, 2,0) + IF('Ammo Input'!Q109,MIN(ROUNDUP(0.2*('Ammo Input'!H109/1000)*'Ammo Input'!O109,0),20),0))))"),0)</f>
        <v>0</v>
      </c>
      <c r="W109">
        <v>0</v>
      </c>
      <c r="X109">
        <v>0</v>
      </c>
      <c r="Y109">
        <v>0</v>
      </c>
      <c r="Z109">
        <v>0</v>
      </c>
      <c r="AA109">
        <v>0</v>
      </c>
      <c r="AB109" s="30">
        <f>IF(B109="Sling Bullet (Stone)",ROUNDUP(D109*0.02*E109/'Ingredient stats'!$C$8,0),0)</f>
        <v>0</v>
      </c>
      <c r="AC109" t="str">
        <f t="shared" si="8"/>
        <v>None</v>
      </c>
      <c r="AD109" t="str">
        <f>IF(OR(B109="Buck",B109="Bird",B109="Charge (Scatter)"),'Ammo Input'!J109,"None")</f>
        <v>None</v>
      </c>
      <c r="AE109" t="str">
        <f>_xlfn.IFS(ISTEXT(Calcs!N109),Calcs!N109,Calcs!N109&lt;=40,Calcs!N109,Calcs!N109&gt;41,"40")</f>
        <v>None</v>
      </c>
      <c r="AF109" t="str">
        <f>_xlfn.IFS(ISTEXT(Calcs!O109),Calcs!O109,Calcs!O109&lt;=80,Calcs!O109,Calcs!O109&gt;=81,"80")</f>
        <v>None</v>
      </c>
      <c r="AG109" s="25">
        <f t="shared" si="9"/>
        <v>1</v>
      </c>
      <c r="AH109" s="25">
        <f t="shared" si="10"/>
        <v>2.7</v>
      </c>
      <c r="AI109" s="25">
        <f t="shared" si="11"/>
        <v>1</v>
      </c>
    </row>
    <row r="110" ht="14.4" spans="1:35">
      <c r="A110" s="24" t="str">
        <f>'Ammo Input'!A110</f>
        <v>.338 Lapua Magnum</v>
      </c>
      <c r="B110" t="str">
        <f>'Ammo Input'!B110</f>
        <v>AP-I</v>
      </c>
      <c r="C110">
        <f>ROUNDUP(('Ammo Input'!C110*(MAX('Ammo Input'!D110,'Ammo Input'!F110)*0.5)^2*PI())*3/1000000,2)</f>
        <v>0.05</v>
      </c>
      <c r="D110">
        <f>ROUNDUP(('Ammo Input'!E110+'Ammo Input'!H110*IF('Ammo Input'!J110&lt;&gt;"",MAX('Ammo Input'!J110,1),1))/1000,3)</f>
        <v>0.043</v>
      </c>
      <c r="E110">
        <f>MIN(5000,MAX(25,CEILING(Calcs!L110,_xlfn.IFS(Calcs!L110&lt;100,25,Calcs!L110&lt;250,50,Calcs!L110&lt;1000,250,Calcs!L110&gt;=1000,1000))))</f>
        <v>5000</v>
      </c>
      <c r="F110">
        <f>ROUNDUP('Ammo Input'!G110^(3/4),0)</f>
        <v>166</v>
      </c>
      <c r="G110">
        <f>ROUND((0.5*((IF(OR(B110="HEAT",B110="HEDP"),'Ammo Input'!N110,'Ammo Input'!H110)/1000)*(IF(B110="HEAT",9000,IF(B110="HEDP",1500,'Ammo Input'!G110))^2))),0)</f>
        <v>6708</v>
      </c>
      <c r="H110" s="25" t="str">
        <f>CONCATENATE(IF((B110="Foam")+(B110="Smoke"),"-",ROUND(Calcs!D110,0))," ",VLOOKUP(B110,AmmoTypeFactors,5,FALSE))</f>
        <v>16 Bullet</v>
      </c>
      <c r="I110" s="25" t="str">
        <f>IF(Calcs!E110=0,"None",CONCATENATE(ROUND(Calcs!E110,0)," ",VLOOKUP(B110,AmmoTypeFactors,6,FALSE)))</f>
        <v>8 Flame_Secondary</v>
      </c>
      <c r="J110">
        <f>MROUND(2.42*'Ammo Input'!M110^(1/3)*VLOOKUP(B110,AmmoTypeFactors,3,FALSE),0.5)</f>
        <v>0</v>
      </c>
      <c r="K110" s="25" t="str">
        <f>IF(VLOOKUP(B110,AmmoTypeFactors,12,FALSE),MROUND(J110/3,0.5),"None")</f>
        <v>None</v>
      </c>
      <c r="L110" s="25">
        <f>IF(VLOOKUP(B110,AmmoTypeFactors,8,FALSE),"None",ROUNDUP(IF(Calcs!I110&gt;0,Calcs!I110,Calcs!H110),3))</f>
        <v>134.16</v>
      </c>
      <c r="M110" s="25">
        <f>IF(VLOOKUP(B110,AmmoTypeFactors,8,FALSE),"None",'Ammo Input'!L110)</f>
        <v>22</v>
      </c>
      <c r="N110">
        <f>'Ammo Input'!O110</f>
        <v>200</v>
      </c>
      <c r="O110" t="e">
        <f>ROUND((P110*0.0036+SUMPRODUCT(Q110:AB110,VLOOKUP($Q$1:$AB$1,IngredientStats,2,FALSE)))/N110*IF('Ammo Input'!R110,0.5,1),2)</f>
        <v>#VALUE!</v>
      </c>
      <c r="P110" t="e">
        <f>(SUMPRODUCT(Q110:AB110,VLOOKUP($Q$1:$AB$1,IngredientStats,4,FALSE))*VLOOKUP(B110,AmmoTypeFactors,14,FALSE)*IF('Ammo Input'!R110,1.1,1))</f>
        <v>#VALUE!</v>
      </c>
      <c r="Q110">
        <f>IFERROR(__xludf.DUMMYFUNCTION("((IF(NOT(OR(REGEXMATCH(B110, ""Arrow""), B110 = ""Javelin"", B110 = ""Stick bomb"")), ROUNDUP(('Ammo Input'!E110 / 1000) * N110)) + IF(VLOOKUP(B110, AmmoTypeFactors, 9, FALSE) = ""Steel"", ROUNDUP(('Ammo Input'!H110 -'Ammo Input'!M110) * MAX(IF('Ammo Inpu"&amp;"t'!J110 &gt; 0, 'Ammo Input'!J110, 1), 1) * N110 / 1000))) / 'Ingredient stats'!$C$2) * IF(ISBLANK(VLOOKUP(B110,AmmoTypeFactors,15,False)),1,VLOOKUP(B110,AmmoTypeFactors,15,False))"),20)</f>
        <v>20</v>
      </c>
      <c r="R110">
        <f>IFERROR(__xludf.DUMMYFUNCTION("ROUNDUP((IF(REGEXMATCH(B110, ""Arrow"") + (B110 = ""Javelin""), 'Ammo Input'!E110) + IF(VLOOKUP(B110, AmmoTypeFactors, 9, FALSE) = ""Wood"", 'Ammo Input'!H110) + IF(B110 = ""Stick bomb"", 'Ammo Input'!E110)) * N110 / 'Ingredient stats'!$C$12 / 1000)"),0)</f>
        <v>0</v>
      </c>
      <c r="S110">
        <v>0</v>
      </c>
      <c r="T110">
        <v>0</v>
      </c>
      <c r="U110">
        <f>IF(VLOOKUP(B110,AmmoTypeFactors,9,FALSE)="Plasteel",ROUNDUP(('Ammo Input'!H110*MAX(IF('Ammo Input'!J110&gt;0,'Ammo Input'!J110,1)*N110/1000/'Ingredient stats'!$C$4)),0),0)</f>
        <v>0</v>
      </c>
      <c r="V110">
        <f>IFERROR(__xludf.DUMMYFUNCTION("ROUNDUP(IF(ISBLANK(VLOOKUP(B110,AmmoTypeFactors,16,False)),1,VLOOKUP(B110,AmmoTypeFactors,16,False)) * (IFS(REGEXMATCH(B110, ""EMP""), 'Ammo Input'!M110 * N110 / 'Ingredient stats'!$C$5, REGEXMATCH(B110, ""Charge""), (U110^0.75), true, 0) + (IF(VLOOKUP(B1"&amp;"10, AmmoTypeFactors, 10, false), 2,0) + IF('Ammo Input'!P110, 2,0) + IF('Ammo Input'!Q110,MIN(ROUNDUP(0.2*('Ammo Input'!H110/1000)*'Ammo Input'!O110,0),20),0))))"),0)</f>
        <v>0</v>
      </c>
      <c r="W110">
        <v>2</v>
      </c>
      <c r="X110">
        <v>0</v>
      </c>
      <c r="Y110">
        <v>0</v>
      </c>
      <c r="Z110">
        <v>0</v>
      </c>
      <c r="AA110">
        <v>0</v>
      </c>
      <c r="AB110" s="30">
        <f>IF(B110="Sling Bullet (Stone)",ROUNDUP(D110*0.02*E110/'Ingredient stats'!$C$8,0),0)</f>
        <v>0</v>
      </c>
      <c r="AC110" t="str">
        <f t="shared" si="8"/>
        <v>None</v>
      </c>
      <c r="AD110" t="str">
        <f>IF(OR(B110="Buck",B110="Bird",B110="Charge (Scatter)"),'Ammo Input'!J110,"None")</f>
        <v>None</v>
      </c>
      <c r="AE110" t="str">
        <f>_xlfn.IFS(ISTEXT(Calcs!N110),Calcs!N110,Calcs!N110&lt;=40,Calcs!N110,Calcs!N110&gt;41,"40")</f>
        <v>None</v>
      </c>
      <c r="AF110" t="str">
        <f>_xlfn.IFS(ISTEXT(Calcs!O110),Calcs!O110,Calcs!O110&lt;=80,Calcs!O110,Calcs!O110&gt;=81,"80")</f>
        <v>None</v>
      </c>
      <c r="AG110" s="25">
        <f t="shared" si="9"/>
        <v>1</v>
      </c>
      <c r="AH110" s="25">
        <f t="shared" si="10"/>
        <v>2.7</v>
      </c>
      <c r="AI110" s="25">
        <f t="shared" si="11"/>
        <v>1</v>
      </c>
    </row>
    <row r="111" ht="14.4" spans="1:35">
      <c r="A111" s="24" t="str">
        <f>'Ammo Input'!A111</f>
        <v>.338 Lapua Magnum</v>
      </c>
      <c r="B111" t="str">
        <f>'Ammo Input'!B111</f>
        <v>AP-HE</v>
      </c>
      <c r="C111">
        <f>ROUNDUP(('Ammo Input'!C111*(MAX('Ammo Input'!D111,'Ammo Input'!F111)*0.5)^2*PI())*3/1000000,2)</f>
        <v>0.05</v>
      </c>
      <c r="D111">
        <f>ROUNDUP(('Ammo Input'!E111+'Ammo Input'!H111*IF('Ammo Input'!J111&lt;&gt;"",MAX('Ammo Input'!J111,1),1))/1000,3)</f>
        <v>0.043</v>
      </c>
      <c r="E111">
        <f>MIN(5000,MAX(25,CEILING(Calcs!L111,_xlfn.IFS(Calcs!L111&lt;100,25,Calcs!L111&lt;250,50,Calcs!L111&lt;1000,250,Calcs!L111&gt;=1000,1000))))</f>
        <v>5000</v>
      </c>
      <c r="F111">
        <f>ROUNDUP('Ammo Input'!G111^(3/4),0)</f>
        <v>166</v>
      </c>
      <c r="G111">
        <f>ROUND((0.5*((IF(OR(B111="HEAT",B111="HEDP"),'Ammo Input'!N111,'Ammo Input'!H111)/1000)*(IF(B111="HEAT",9000,IF(B111="HEDP",1500,'Ammo Input'!G111))^2))),0)</f>
        <v>6708</v>
      </c>
      <c r="H111" s="25" t="str">
        <f>CONCATENATE(IF((B111="Foam")+(B111="Smoke"),"-",ROUND(Calcs!D111,0))," ",VLOOKUP(B111,AmmoTypeFactors,5,FALSE))</f>
        <v>26 Bullet</v>
      </c>
      <c r="I111" s="25" t="str">
        <f>IF(Calcs!E111=0,"None",CONCATENATE(ROUND(Calcs!E111,0)," ",VLOOKUP(B111,AmmoTypeFactors,6,FALSE)))</f>
        <v>11 Bomb_Secondary</v>
      </c>
      <c r="J111">
        <f>MROUND(2.42*'Ammo Input'!M111^(1/3)*VLOOKUP(B111,AmmoTypeFactors,3,FALSE),0.5)</f>
        <v>0</v>
      </c>
      <c r="K111" s="25" t="str">
        <f>IF(VLOOKUP(B111,AmmoTypeFactors,12,FALSE),MROUND(J111/3,0.5),"None")</f>
        <v>None</v>
      </c>
      <c r="L111" s="25">
        <f>IF(VLOOKUP(B111,AmmoTypeFactors,8,FALSE),"None",ROUNDUP(IF(Calcs!I111&gt;0,Calcs!I111,Calcs!H111),3))</f>
        <v>134.16</v>
      </c>
      <c r="M111" s="25">
        <f>IF(VLOOKUP(B111,AmmoTypeFactors,8,FALSE),"None",'Ammo Input'!L111)</f>
        <v>11</v>
      </c>
      <c r="N111">
        <f>'Ammo Input'!O111</f>
        <v>200</v>
      </c>
      <c r="O111" t="e">
        <f>ROUND((P111*0.0036+SUMPRODUCT(Q111:AB111,VLOOKUP($Q$1:$AB$1,IngredientStats,2,FALSE)))/N111*IF('Ammo Input'!R111,0.5,1),2)</f>
        <v>#VALUE!</v>
      </c>
      <c r="P111" t="e">
        <f>(SUMPRODUCT(Q111:AB111,VLOOKUP($Q$1:$AB$1,IngredientStats,4,FALSE))*VLOOKUP(B111,AmmoTypeFactors,14,FALSE)*IF('Ammo Input'!R111,1.1,1))</f>
        <v>#VALUE!</v>
      </c>
      <c r="Q111">
        <f>IFERROR(__xludf.DUMMYFUNCTION("((IF(NOT(OR(REGEXMATCH(B111, ""Arrow""), B111 = ""Javelin"", B111 = ""Stick bomb"")), ROUNDUP(('Ammo Input'!E111 / 1000) * N111)) + IF(VLOOKUP(B111, AmmoTypeFactors, 9, FALSE) = ""Steel"", ROUNDUP(('Ammo Input'!H111 -'Ammo Input'!M111) * MAX(IF('Ammo Inpu"&amp;"t'!J111 &gt; 0, 'Ammo Input'!J111, 1), 1) * N111 / 1000))) / 'Ingredient stats'!$C$2) * IF(ISBLANK(VLOOKUP(B111,AmmoTypeFactors,15,False)),1,VLOOKUP(B111,AmmoTypeFactors,15,False))"),20)</f>
        <v>20</v>
      </c>
      <c r="R111">
        <f>IFERROR(__xludf.DUMMYFUNCTION("ROUNDUP((IF(REGEXMATCH(B111, ""Arrow"") + (B111 = ""Javelin""), 'Ammo Input'!E111) + IF(VLOOKUP(B111, AmmoTypeFactors, 9, FALSE) = ""Wood"", 'Ammo Input'!H111) + IF(B111 = ""Stick bomb"", 'Ammo Input'!E111)) * N111 / 'Ingredient stats'!$C$12 / 1000)"),0)</f>
        <v>0</v>
      </c>
      <c r="S111">
        <v>0</v>
      </c>
      <c r="T111">
        <v>0</v>
      </c>
      <c r="U111">
        <f>IF(VLOOKUP(B111,AmmoTypeFactors,9,FALSE)="Plasteel",ROUNDUP(('Ammo Input'!H111*MAX(IF('Ammo Input'!J111&gt;0,'Ammo Input'!J111,1)*N111/1000/'Ingredient stats'!$C$4)),0),0)</f>
        <v>0</v>
      </c>
      <c r="V111">
        <f>IFERROR(__xludf.DUMMYFUNCTION("ROUNDUP(IF(ISBLANK(VLOOKUP(B111,AmmoTypeFactors,16,False)),1,VLOOKUP(B111,AmmoTypeFactors,16,False)) * (IFS(REGEXMATCH(B111, ""EMP""), 'Ammo Input'!M111 * N111 / 'Ingredient stats'!$C$5, REGEXMATCH(B111, ""Charge""), (U111^0.75), true, 0) + (IF(VLOOKUP(B1"&amp;"11, AmmoTypeFactors, 10, false), 2,0) + IF('Ammo Input'!P111, 2,0) + IF('Ammo Input'!Q111,MIN(ROUNDUP(0.2*('Ammo Input'!H111/1000)*'Ammo Input'!O111,0),20),0))))"),0)</f>
        <v>0</v>
      </c>
      <c r="W111">
        <v>0</v>
      </c>
      <c r="X111">
        <v>4</v>
      </c>
      <c r="Y111">
        <v>0</v>
      </c>
      <c r="Z111">
        <v>0</v>
      </c>
      <c r="AA111">
        <v>0</v>
      </c>
      <c r="AB111" s="30">
        <f>IF(B111="Sling Bullet (Stone)",ROUNDUP(D111*0.02*E111/'Ingredient stats'!$C$8,0),0)</f>
        <v>0</v>
      </c>
      <c r="AC111" t="str">
        <f t="shared" si="8"/>
        <v>None</v>
      </c>
      <c r="AD111" t="str">
        <f>IF(OR(B111="Buck",B111="Bird",B111="Charge (Scatter)"),'Ammo Input'!J111,"None")</f>
        <v>None</v>
      </c>
      <c r="AE111" t="str">
        <f>_xlfn.IFS(ISTEXT(Calcs!N111),Calcs!N111,Calcs!N111&lt;=40,Calcs!N111,Calcs!N111&gt;41,"40")</f>
        <v>None</v>
      </c>
      <c r="AF111" t="str">
        <f>_xlfn.IFS(ISTEXT(Calcs!O111),Calcs!O111,Calcs!O111&lt;=80,Calcs!O111,Calcs!O111&gt;=81,"80")</f>
        <v>None</v>
      </c>
      <c r="AG111" s="25">
        <f t="shared" si="9"/>
        <v>1</v>
      </c>
      <c r="AH111" s="25">
        <f t="shared" si="10"/>
        <v>2.7</v>
      </c>
      <c r="AI111" s="25">
        <f t="shared" si="11"/>
        <v>1</v>
      </c>
    </row>
    <row r="112" ht="14.4" spans="1:35">
      <c r="A112" s="24" t="str">
        <f>'Ammo Input'!A112</f>
        <v>.338 Lapua Magnum</v>
      </c>
      <c r="B112" t="str">
        <f>'Ammo Input'!B112</f>
        <v>Sabot</v>
      </c>
      <c r="C112">
        <f>ROUNDUP(('Ammo Input'!C112*(MAX('Ammo Input'!D112,'Ammo Input'!F112)*0.5)^2*PI())*3/1000000,2)</f>
        <v>0.05</v>
      </c>
      <c r="D112">
        <f>ROUNDUP(('Ammo Input'!E112+'Ammo Input'!H112*IF('Ammo Input'!J112&lt;&gt;"",MAX('Ammo Input'!J112,1),1))/1000,3)</f>
        <v>0.037</v>
      </c>
      <c r="E112">
        <f>MIN(5000,MAX(25,CEILING(Calcs!L112,_xlfn.IFS(Calcs!L112&lt;100,25,Calcs!L112&lt;250,50,Calcs!L112&lt;1000,250,Calcs!L112&gt;=1000,1000))))</f>
        <v>5000</v>
      </c>
      <c r="F112">
        <f>ROUNDUP('Ammo Input'!G112^(3/4),0)</f>
        <v>225</v>
      </c>
      <c r="G112">
        <f>ROUND((0.5*((IF(OR(B112="HEAT",B112="HEDP"),'Ammo Input'!N112,'Ammo Input'!H112)/1000)*(IF(B112="HEAT",9000,IF(B112="HEDP",1500,'Ammo Input'!G112))^2))),0)</f>
        <v>8599</v>
      </c>
      <c r="H112" s="25" t="str">
        <f>CONCATENATE(IF((B112="Foam")+(B112="Smoke"),"-",ROUND(Calcs!D112,0))," ",VLOOKUP(B112,AmmoTypeFactors,5,FALSE))</f>
        <v>14 Bullet</v>
      </c>
      <c r="I112" s="25" t="str">
        <f>IF(Calcs!E112=0,"None",CONCATENATE(ROUND(Calcs!E112,0)," ",VLOOKUP(B112,AmmoTypeFactors,6,FALSE)))</f>
        <v>None</v>
      </c>
      <c r="J112">
        <f>MROUND(2.42*'Ammo Input'!M112^(1/3)*VLOOKUP(B112,AmmoTypeFactors,3,FALSE),0.5)</f>
        <v>0</v>
      </c>
      <c r="K112" s="25" t="str">
        <f>IF(VLOOKUP(B112,AmmoTypeFactors,12,FALSE),MROUND(J112/3,0.5),"None")</f>
        <v>None</v>
      </c>
      <c r="L112" s="25">
        <f>IF(VLOOKUP(B112,AmmoTypeFactors,8,FALSE),"None",ROUNDUP(IF(Calcs!I112&gt;0,Calcs!I112,Calcs!H112),3))</f>
        <v>171.98</v>
      </c>
      <c r="M112" s="25">
        <f>IF(VLOOKUP(B112,AmmoTypeFactors,8,FALSE),"None",'Ammo Input'!L112)</f>
        <v>39</v>
      </c>
      <c r="N112">
        <f>'Ammo Input'!O112</f>
        <v>200</v>
      </c>
      <c r="O112" t="e">
        <f>ROUND((P112*0.0036+SUMPRODUCT(Q112:AB112,VLOOKUP($Q$1:$AB$1,IngredientStats,2,FALSE)))/N112*IF('Ammo Input'!R112,0.5,1),2)</f>
        <v>#VALUE!</v>
      </c>
      <c r="P112" t="e">
        <f>(SUMPRODUCT(Q112:AB112,VLOOKUP($Q$1:$AB$1,IngredientStats,4,FALSE))*VLOOKUP(B112,AmmoTypeFactors,14,FALSE)*IF('Ammo Input'!R112,1.1,1))</f>
        <v>#VALUE!</v>
      </c>
      <c r="Q112">
        <f>IFERROR(__xludf.DUMMYFUNCTION("((IF(NOT(OR(REGEXMATCH(B112, ""Arrow""), B112 = ""Javelin"", B112 = ""Stick bomb"")), ROUNDUP(('Ammo Input'!E112 / 1000) * N112)) + IF(VLOOKUP(B112, AmmoTypeFactors, 9, FALSE) = ""Steel"", ROUNDUP(('Ammo Input'!H112 -'Ammo Input'!M112) * MAX(IF('Ammo Inpu"&amp;"t'!J112 &gt; 0, 'Ammo Input'!J112, 1), 1) * N112 / 1000))) / 'Ingredient stats'!$C$2) * IF(ISBLANK(VLOOKUP(B112,AmmoTypeFactors,15,False)),1,VLOOKUP(B112,AmmoTypeFactors,15,False))"),12)</f>
        <v>12</v>
      </c>
      <c r="R112">
        <f>IFERROR(__xludf.DUMMYFUNCTION("ROUNDUP((IF(REGEXMATCH(B112, ""Arrow"") + (B112 = ""Javelin""), 'Ammo Input'!E112) + IF(VLOOKUP(B112, AmmoTypeFactors, 9, FALSE) = ""Wood"", 'Ammo Input'!H112) + IF(B112 = ""Stick bomb"", 'Ammo Input'!E112)) * N112 / 'Ingredient stats'!$C$12 / 1000)"),0)</f>
        <v>0</v>
      </c>
      <c r="S112">
        <v>2</v>
      </c>
      <c r="T112">
        <v>2</v>
      </c>
      <c r="U112">
        <f>IF(VLOOKUP(B112,AmmoTypeFactors,9,FALSE)="Plasteel",ROUNDUP(('Ammo Input'!H112*MAX(IF('Ammo Input'!J112&gt;0,'Ammo Input'!J112,1)*N112/1000/'Ingredient stats'!$C$4)),0),0)</f>
        <v>0</v>
      </c>
      <c r="V112">
        <f>IFERROR(__xludf.DUMMYFUNCTION("ROUNDUP(IF(ISBLANK(VLOOKUP(B112,AmmoTypeFactors,16,False)),1,VLOOKUP(B112,AmmoTypeFactors,16,False)) * (IFS(REGEXMATCH(B112, ""EMP""), 'Ammo Input'!M112 * N112 / 'Ingredient stats'!$C$5, REGEXMATCH(B112, ""Charge""), (U112^0.75), true, 0) + (IF(VLOOKUP(B1"&amp;"12, AmmoTypeFactors, 10, false), 2,0) + IF('Ammo Input'!P112, 2,0) + IF('Ammo Input'!Q112,MIN(ROUNDUP(0.2*('Ammo Input'!H112/1000)*'Ammo Input'!O112,0),20),0))))"),0)</f>
        <v>0</v>
      </c>
      <c r="W112">
        <v>0</v>
      </c>
      <c r="X112">
        <v>0</v>
      </c>
      <c r="Y112">
        <v>0</v>
      </c>
      <c r="Z112">
        <v>0</v>
      </c>
      <c r="AA112">
        <v>0</v>
      </c>
      <c r="AB112" s="30">
        <f>IF(B112="Sling Bullet (Stone)",ROUNDUP(D112*0.02*E112/'Ingredient stats'!$C$8,0),0)</f>
        <v>0</v>
      </c>
      <c r="AC112" t="str">
        <f t="shared" si="8"/>
        <v>None</v>
      </c>
      <c r="AD112" t="str">
        <f>IF(OR(B112="Buck",B112="Bird",B112="Charge (Scatter)"),'Ammo Input'!J112,"None")</f>
        <v>None</v>
      </c>
      <c r="AE112" t="str">
        <f>_xlfn.IFS(ISTEXT(Calcs!N112),Calcs!N112,Calcs!N112&lt;=40,Calcs!N112,Calcs!N112&gt;41,"40")</f>
        <v>None</v>
      </c>
      <c r="AF112" t="str">
        <f>_xlfn.IFS(ISTEXT(Calcs!O112),Calcs!O112,Calcs!O112&lt;=80,Calcs!O112,Calcs!O112&gt;=81,"80")</f>
        <v>None</v>
      </c>
      <c r="AG112" s="25">
        <f t="shared" si="9"/>
        <v>1</v>
      </c>
      <c r="AH112" s="25">
        <f t="shared" si="10"/>
        <v>3.64</v>
      </c>
      <c r="AI112" s="25">
        <f t="shared" si="11"/>
        <v>1</v>
      </c>
    </row>
    <row r="113" ht="14.4" spans="1:35">
      <c r="A113" s="24" t="str">
        <f>'Ammo Input'!A113</f>
        <v>.338 Norma Magnum</v>
      </c>
      <c r="B113" t="str">
        <f>'Ammo Input'!B113</f>
        <v>FMJ</v>
      </c>
      <c r="C113">
        <f>ROUNDUP(('Ammo Input'!C113*(MAX('Ammo Input'!D113,'Ammo Input'!F113)*0.5)^2*PI())*3/1000000,2)</f>
        <v>0.05</v>
      </c>
      <c r="D113">
        <f>ROUNDUP(('Ammo Input'!E113+'Ammo Input'!H113*IF('Ammo Input'!J113&lt;&gt;"",MAX('Ammo Input'!J113,1),1))/1000,3)</f>
        <v>0.047</v>
      </c>
      <c r="E113">
        <f>MIN(5000,MAX(25,CEILING(Calcs!L113,_xlfn.IFS(Calcs!L113&lt;100,25,Calcs!L113&lt;250,50,Calcs!L113&lt;1000,250,Calcs!L113&gt;=1000,1000))))</f>
        <v>5000</v>
      </c>
      <c r="F113">
        <f>ROUNDUP('Ammo Input'!G113^(3/4),0)</f>
        <v>152</v>
      </c>
      <c r="G113">
        <f>ROUND((0.5*((IF(OR(B113="HEAT",B113="HEDP"),'Ammo Input'!N113,'Ammo Input'!H113)/1000)*(IF(B113="HEAT",9000,IF(B113="HEDP",1500,'Ammo Input'!G113))^2))),0)</f>
        <v>6333</v>
      </c>
      <c r="H113" s="25" t="str">
        <f>CONCATENATE(IF((B113="Foam")+(B113="Smoke"),"-",ROUND(Calcs!D113,0))," ",VLOOKUP(B113,AmmoTypeFactors,5,FALSE))</f>
        <v>25 Bullet</v>
      </c>
      <c r="I113" s="25" t="str">
        <f>IF(Calcs!E113=0,"None",CONCATENATE(ROUND(Calcs!E113,0)," ",VLOOKUP(B113,AmmoTypeFactors,6,FALSE)))</f>
        <v>None</v>
      </c>
      <c r="J113">
        <f>MROUND(2.42*'Ammo Input'!M113^(1/3)*VLOOKUP(B113,AmmoTypeFactors,3,FALSE),0.5)</f>
        <v>0</v>
      </c>
      <c r="K113" s="25" t="str">
        <f>IF(VLOOKUP(B113,AmmoTypeFactors,12,FALSE),MROUND(J113/3,0.5),"None")</f>
        <v>None</v>
      </c>
      <c r="L113" s="25">
        <f>IF(VLOOKUP(B113,AmmoTypeFactors,8,FALSE),"None",ROUNDUP(IF(Calcs!I113&gt;0,Calcs!I113,Calcs!H113),3))</f>
        <v>126.66</v>
      </c>
      <c r="M113" s="25">
        <f>IF(VLOOKUP(B113,AmmoTypeFactors,8,FALSE),"None",'Ammo Input'!L113)</f>
        <v>11</v>
      </c>
      <c r="N113">
        <f>'Ammo Input'!O113</f>
        <v>200</v>
      </c>
      <c r="O113" t="e">
        <f>ROUND((P113*0.0036+SUMPRODUCT(Q113:AB113,VLOOKUP($Q$1:$AB$1,IngredientStats,2,FALSE)))/N113*IF('Ammo Input'!R113,0.5,1),2)</f>
        <v>#VALUE!</v>
      </c>
      <c r="P113" t="e">
        <f>(SUMPRODUCT(Q113:AB113,VLOOKUP($Q$1:$AB$1,IngredientStats,4,FALSE))*VLOOKUP(B113,AmmoTypeFactors,14,FALSE)*IF('Ammo Input'!R113,1.1,1))</f>
        <v>#VALUE!</v>
      </c>
      <c r="Q113">
        <f>IFERROR(__xludf.DUMMYFUNCTION("((IF(NOT(OR(REGEXMATCH(B113, ""Arrow""), B113 = ""Javelin"", B113 = ""Stick bomb"")), ROUNDUP(('Ammo Input'!E113 / 1000) * N113)) + IF(VLOOKUP(B113, AmmoTypeFactors, 9, FALSE) = ""Steel"", ROUNDUP(('Ammo Input'!H113 -'Ammo Input'!M113) * MAX(IF('Ammo Inpu"&amp;"t'!J113 &gt; 0, 'Ammo Input'!J113, 1), 1) * N113 / 1000))) / 'Ingredient stats'!$C$2) * IF(ISBLANK(VLOOKUP(B113,AmmoTypeFactors,15,False)),1,VLOOKUP(B113,AmmoTypeFactors,15,False))"),20)</f>
        <v>20</v>
      </c>
      <c r="R113">
        <f>IFERROR(__xludf.DUMMYFUNCTION("ROUNDUP((IF(REGEXMATCH(B113, ""Arrow"") + (B113 = ""Javelin""), 'Ammo Input'!E113) + IF(VLOOKUP(B113, AmmoTypeFactors, 9, FALSE) = ""Wood"", 'Ammo Input'!H113) + IF(B113 = ""Stick bomb"", 'Ammo Input'!E113)) * N113 / 'Ingredient stats'!$C$12 / 1000)"),0)</f>
        <v>0</v>
      </c>
      <c r="S113">
        <v>0</v>
      </c>
      <c r="T113">
        <v>0</v>
      </c>
      <c r="U113">
        <f>IF(VLOOKUP(B113,AmmoTypeFactors,9,FALSE)="Plasteel",ROUNDUP(('Ammo Input'!H113*MAX(IF('Ammo Input'!J113&gt;0,'Ammo Input'!J113,1)*N113/1000/'Ingredient stats'!$C$4)),0),0)</f>
        <v>0</v>
      </c>
      <c r="V113">
        <f>IFERROR(__xludf.DUMMYFUNCTION("ROUNDUP(IF(ISBLANK(VLOOKUP(B113,AmmoTypeFactors,16,False)),1,VLOOKUP(B113,AmmoTypeFactors,16,False)) * (IFS(REGEXMATCH(B113, ""EMP""), 'Ammo Input'!M113 * N113 / 'Ingredient stats'!$C$5, REGEXMATCH(B113, ""Charge""), (U113^0.75), true, 0) + (IF(VLOOKUP(B1"&amp;"13, AmmoTypeFactors, 10, false), 2,0) + IF('Ammo Input'!P113, 2,0) + IF('Ammo Input'!Q113,MIN(ROUNDUP(0.2*('Ammo Input'!H113/1000)*'Ammo Input'!O113,0),20),0))))"),0)</f>
        <v>0</v>
      </c>
      <c r="W113">
        <v>0</v>
      </c>
      <c r="X113">
        <v>0</v>
      </c>
      <c r="Y113">
        <v>0</v>
      </c>
      <c r="Z113">
        <v>0</v>
      </c>
      <c r="AA113">
        <v>0</v>
      </c>
      <c r="AB113" s="30">
        <f>IF(B113="Sling Bullet (Stone)",ROUNDUP(D113*0.02*E113/'Ingredient stats'!$C$8,0),0)</f>
        <v>0</v>
      </c>
      <c r="AC113" t="str">
        <f t="shared" si="8"/>
        <v>None</v>
      </c>
      <c r="AD113" t="str">
        <f>IF(OR(B113="Buck",B113="Bird",B113="Charge (Scatter)"),'Ammo Input'!J113,"None")</f>
        <v>None</v>
      </c>
      <c r="AE113" t="str">
        <f>_xlfn.IFS(ISTEXT(Calcs!N113),Calcs!N113,Calcs!N113&lt;=40,Calcs!N113,Calcs!N113&gt;41,"40")</f>
        <v>None</v>
      </c>
      <c r="AF113" t="str">
        <f>_xlfn.IFS(ISTEXT(Calcs!O113),Calcs!O113,Calcs!O113&lt;=80,Calcs!O113,Calcs!O113&gt;=81,"80")</f>
        <v>None</v>
      </c>
      <c r="AG113" s="25">
        <f t="shared" si="9"/>
        <v>1</v>
      </c>
      <c r="AH113" s="25">
        <f t="shared" si="10"/>
        <v>2.5</v>
      </c>
      <c r="AI113" s="25">
        <f t="shared" si="11"/>
        <v>1</v>
      </c>
    </row>
    <row r="114" ht="14.4" spans="1:35">
      <c r="A114" s="24" t="str">
        <f>'Ammo Input'!A114</f>
        <v>.338 Norma Magnum</v>
      </c>
      <c r="B114" t="str">
        <f>'Ammo Input'!B114</f>
        <v>AP</v>
      </c>
      <c r="C114">
        <f>ROUNDUP(('Ammo Input'!C114*(MAX('Ammo Input'!D114,'Ammo Input'!F114)*0.5)^2*PI())*3/1000000,2)</f>
        <v>0.05</v>
      </c>
      <c r="D114">
        <f>ROUNDUP(('Ammo Input'!E114+'Ammo Input'!H114*IF('Ammo Input'!J114&lt;&gt;"",MAX('Ammo Input'!J114,1),1))/1000,3)</f>
        <v>0.047</v>
      </c>
      <c r="E114">
        <f>MIN(5000,MAX(25,CEILING(Calcs!L114,_xlfn.IFS(Calcs!L114&lt;100,25,Calcs!L114&lt;250,50,Calcs!L114&lt;1000,250,Calcs!L114&gt;=1000,1000))))</f>
        <v>5000</v>
      </c>
      <c r="F114">
        <f>ROUNDUP('Ammo Input'!G114^(3/4),0)</f>
        <v>152</v>
      </c>
      <c r="G114">
        <f>ROUND((0.5*((IF(OR(B114="HEAT",B114="HEDP"),'Ammo Input'!N114,'Ammo Input'!H114)/1000)*(IF(B114="HEAT",9000,IF(B114="HEDP",1500,'Ammo Input'!G114))^2))),0)</f>
        <v>6333</v>
      </c>
      <c r="H114" s="25" t="str">
        <f>CONCATENATE(IF((B114="Foam")+(B114="Smoke"),"-",ROUND(Calcs!D114,0))," ",VLOOKUP(B114,AmmoTypeFactors,5,FALSE))</f>
        <v>16 Bullet</v>
      </c>
      <c r="I114" s="25" t="str">
        <f>IF(Calcs!E114=0,"None",CONCATENATE(ROUND(Calcs!E114,0)," ",VLOOKUP(B114,AmmoTypeFactors,6,FALSE)))</f>
        <v>None</v>
      </c>
      <c r="J114">
        <f>MROUND(2.42*'Ammo Input'!M114^(1/3)*VLOOKUP(B114,AmmoTypeFactors,3,FALSE),0.5)</f>
        <v>0</v>
      </c>
      <c r="K114" s="25" t="str">
        <f>IF(VLOOKUP(B114,AmmoTypeFactors,12,FALSE),MROUND(J114/3,0.5),"None")</f>
        <v>None</v>
      </c>
      <c r="L114" s="25">
        <f>IF(VLOOKUP(B114,AmmoTypeFactors,8,FALSE),"None",ROUNDUP(IF(Calcs!I114&gt;0,Calcs!I114,Calcs!H114),3))</f>
        <v>126.66</v>
      </c>
      <c r="M114" s="25">
        <f>IF(VLOOKUP(B114,AmmoTypeFactors,8,FALSE),"None",'Ammo Input'!L114)</f>
        <v>22</v>
      </c>
      <c r="N114">
        <f>'Ammo Input'!O114</f>
        <v>200</v>
      </c>
      <c r="O114" t="e">
        <f>ROUND((P114*0.0036+SUMPRODUCT(Q114:AB114,VLOOKUP($Q$1:$AB$1,IngredientStats,2,FALSE)))/N114*IF('Ammo Input'!R114,0.5,1),2)</f>
        <v>#VALUE!</v>
      </c>
      <c r="P114" t="e">
        <f>(SUMPRODUCT(Q114:AB114,VLOOKUP($Q$1:$AB$1,IngredientStats,4,FALSE))*VLOOKUP(B114,AmmoTypeFactors,14,FALSE)*IF('Ammo Input'!R114,1.1,1))</f>
        <v>#VALUE!</v>
      </c>
      <c r="Q114">
        <f>IFERROR(__xludf.DUMMYFUNCTION("((IF(NOT(OR(REGEXMATCH(B114, ""Arrow""), B114 = ""Javelin"", B114 = ""Stick bomb"")), ROUNDUP(('Ammo Input'!E114 / 1000) * N114)) + IF(VLOOKUP(B114, AmmoTypeFactors, 9, FALSE) = ""Steel"", ROUNDUP(('Ammo Input'!H114 -'Ammo Input'!M114) * MAX(IF('Ammo Inpu"&amp;"t'!J114 &gt; 0, 'Ammo Input'!J114, 1), 1) * N114 / 1000))) / 'Ingredient stats'!$C$2) * IF(ISBLANK(VLOOKUP(B114,AmmoTypeFactors,15,False)),1,VLOOKUP(B114,AmmoTypeFactors,15,False))"),20)</f>
        <v>20</v>
      </c>
      <c r="R114">
        <f>IFERROR(__xludf.DUMMYFUNCTION("ROUNDUP((IF(REGEXMATCH(B114, ""Arrow"") + (B114 = ""Javelin""), 'Ammo Input'!E114) + IF(VLOOKUP(B114, AmmoTypeFactors, 9, FALSE) = ""Wood"", 'Ammo Input'!H114) + IF(B114 = ""Stick bomb"", 'Ammo Input'!E114)) * N114 / 'Ingredient stats'!$C$12 / 1000)"),0)</f>
        <v>0</v>
      </c>
      <c r="S114">
        <v>0</v>
      </c>
      <c r="T114">
        <v>0</v>
      </c>
      <c r="U114">
        <f>IF(VLOOKUP(B114,AmmoTypeFactors,9,FALSE)="Plasteel",ROUNDUP(('Ammo Input'!H114*MAX(IF('Ammo Input'!J114&gt;0,'Ammo Input'!J114,1)*N114/1000/'Ingredient stats'!$C$4)),0),0)</f>
        <v>0</v>
      </c>
      <c r="V114">
        <f>IFERROR(__xludf.DUMMYFUNCTION("ROUNDUP(IF(ISBLANK(VLOOKUP(B114,AmmoTypeFactors,16,False)),1,VLOOKUP(B114,AmmoTypeFactors,16,False)) * (IFS(REGEXMATCH(B114, ""EMP""), 'Ammo Input'!M114 * N114 / 'Ingredient stats'!$C$5, REGEXMATCH(B114, ""Charge""), (U114^0.75), true, 0) + (IF(VLOOKUP(B1"&amp;"14, AmmoTypeFactors, 10, false), 2,0) + IF('Ammo Input'!P114, 2,0) + IF('Ammo Input'!Q114,MIN(ROUNDUP(0.2*('Ammo Input'!H114/1000)*'Ammo Input'!O114,0),20),0))))"),0)</f>
        <v>0</v>
      </c>
      <c r="W114">
        <v>0</v>
      </c>
      <c r="X114">
        <v>0</v>
      </c>
      <c r="Y114">
        <v>0</v>
      </c>
      <c r="Z114">
        <v>0</v>
      </c>
      <c r="AA114">
        <v>0</v>
      </c>
      <c r="AB114" s="30">
        <f>IF(B114="Sling Bullet (Stone)",ROUNDUP(D114*0.02*E114/'Ingredient stats'!$C$8,0),0)</f>
        <v>0</v>
      </c>
      <c r="AC114" t="str">
        <f t="shared" si="8"/>
        <v>None</v>
      </c>
      <c r="AD114" t="str">
        <f>IF(OR(B114="Buck",B114="Bird",B114="Charge (Scatter)"),'Ammo Input'!J114,"None")</f>
        <v>None</v>
      </c>
      <c r="AE114" t="str">
        <f>_xlfn.IFS(ISTEXT(Calcs!N114),Calcs!N114,Calcs!N114&lt;=40,Calcs!N114,Calcs!N114&gt;41,"40")</f>
        <v>None</v>
      </c>
      <c r="AF114" t="str">
        <f>_xlfn.IFS(ISTEXT(Calcs!O114),Calcs!O114,Calcs!O114&lt;=80,Calcs!O114,Calcs!O114&gt;=81,"80")</f>
        <v>None</v>
      </c>
      <c r="AG114" s="25">
        <f t="shared" si="9"/>
        <v>1</v>
      </c>
      <c r="AH114" s="25">
        <f t="shared" si="10"/>
        <v>2.5</v>
      </c>
      <c r="AI114" s="25">
        <f t="shared" si="11"/>
        <v>1</v>
      </c>
    </row>
    <row r="115" ht="14.4" spans="1:35">
      <c r="A115" s="24" t="str">
        <f>'Ammo Input'!A115</f>
        <v>.338 Norma Magnum</v>
      </c>
      <c r="B115" t="str">
        <f>'Ammo Input'!B115</f>
        <v>AP-I</v>
      </c>
      <c r="C115">
        <f>ROUNDUP(('Ammo Input'!C115*(MAX('Ammo Input'!D115,'Ammo Input'!F115)*0.5)^2*PI())*3/1000000,2)</f>
        <v>0.05</v>
      </c>
      <c r="D115">
        <f>ROUNDUP(('Ammo Input'!E115+'Ammo Input'!H115*IF('Ammo Input'!J115&lt;&gt;"",MAX('Ammo Input'!J115,1),1))/1000,3)</f>
        <v>0.047</v>
      </c>
      <c r="E115">
        <f>MIN(5000,MAX(25,CEILING(Calcs!L115,_xlfn.IFS(Calcs!L115&lt;100,25,Calcs!L115&lt;250,50,Calcs!L115&lt;1000,250,Calcs!L115&gt;=1000,1000))))</f>
        <v>5000</v>
      </c>
      <c r="F115">
        <f>ROUNDUP('Ammo Input'!G115^(3/4),0)</f>
        <v>152</v>
      </c>
      <c r="G115">
        <f>ROUND((0.5*((IF(OR(B115="HEAT",B115="HEDP"),'Ammo Input'!N115,'Ammo Input'!H115)/1000)*(IF(B115="HEAT",9000,IF(B115="HEDP",1500,'Ammo Input'!G115))^2))),0)</f>
        <v>6333</v>
      </c>
      <c r="H115" s="25" t="str">
        <f>CONCATENATE(IF((B115="Foam")+(B115="Smoke"),"-",ROUND(Calcs!D115,0))," ",VLOOKUP(B115,AmmoTypeFactors,5,FALSE))</f>
        <v>16 Bullet</v>
      </c>
      <c r="I115" s="25" t="str">
        <f>IF(Calcs!E115=0,"None",CONCATENATE(ROUND(Calcs!E115,0)," ",VLOOKUP(B115,AmmoTypeFactors,6,FALSE)))</f>
        <v>9 Flame_Secondary</v>
      </c>
      <c r="J115">
        <f>MROUND(2.42*'Ammo Input'!M115^(1/3)*VLOOKUP(B115,AmmoTypeFactors,3,FALSE),0.5)</f>
        <v>0</v>
      </c>
      <c r="K115" s="25" t="str">
        <f>IF(VLOOKUP(B115,AmmoTypeFactors,12,FALSE),MROUND(J115/3,0.5),"None")</f>
        <v>None</v>
      </c>
      <c r="L115" s="25">
        <f>IF(VLOOKUP(B115,AmmoTypeFactors,8,FALSE),"None",ROUNDUP(IF(Calcs!I115&gt;0,Calcs!I115,Calcs!H115),3))</f>
        <v>126.66</v>
      </c>
      <c r="M115" s="25">
        <f>IF(VLOOKUP(B115,AmmoTypeFactors,8,FALSE),"None",'Ammo Input'!L115)</f>
        <v>22</v>
      </c>
      <c r="N115">
        <f>'Ammo Input'!O115</f>
        <v>200</v>
      </c>
      <c r="O115" t="e">
        <f>ROUND((P115*0.0036+SUMPRODUCT(Q115:AB115,VLOOKUP($Q$1:$AB$1,IngredientStats,2,FALSE)))/N115*IF('Ammo Input'!R115,0.5,1),2)</f>
        <v>#VALUE!</v>
      </c>
      <c r="P115" t="e">
        <f>(SUMPRODUCT(Q115:AB115,VLOOKUP($Q$1:$AB$1,IngredientStats,4,FALSE))*VLOOKUP(B115,AmmoTypeFactors,14,FALSE)*IF('Ammo Input'!R115,1.1,1))</f>
        <v>#VALUE!</v>
      </c>
      <c r="Q115">
        <f>IFERROR(__xludf.DUMMYFUNCTION("((IF(NOT(OR(REGEXMATCH(B115, ""Arrow""), B115 = ""Javelin"", B115 = ""Stick bomb"")), ROUNDUP(('Ammo Input'!E115 / 1000) * N115)) + IF(VLOOKUP(B115, AmmoTypeFactors, 9, FALSE) = ""Steel"", ROUNDUP(('Ammo Input'!H115 -'Ammo Input'!M115) * MAX(IF('Ammo Inpu"&amp;"t'!J115 &gt; 0, 'Ammo Input'!J115, 1), 1) * N115 / 1000))) / 'Ingredient stats'!$C$2) * IF(ISBLANK(VLOOKUP(B115,AmmoTypeFactors,15,False)),1,VLOOKUP(B115,AmmoTypeFactors,15,False))"),20)</f>
        <v>20</v>
      </c>
      <c r="R115">
        <f>IFERROR(__xludf.DUMMYFUNCTION("ROUNDUP((IF(REGEXMATCH(B115, ""Arrow"") + (B115 = ""Javelin""), 'Ammo Input'!E115) + IF(VLOOKUP(B115, AmmoTypeFactors, 9, FALSE) = ""Wood"", 'Ammo Input'!H115) + IF(B115 = ""Stick bomb"", 'Ammo Input'!E115)) * N115 / 'Ingredient stats'!$C$12 / 1000)"),0)</f>
        <v>0</v>
      </c>
      <c r="S115">
        <v>0</v>
      </c>
      <c r="T115">
        <v>0</v>
      </c>
      <c r="U115">
        <f>IF(VLOOKUP(B115,AmmoTypeFactors,9,FALSE)="Plasteel",ROUNDUP(('Ammo Input'!H115*MAX(IF('Ammo Input'!J115&gt;0,'Ammo Input'!J115,1)*N115/1000/'Ingredient stats'!$C$4)),0),0)</f>
        <v>0</v>
      </c>
      <c r="V115">
        <f>IFERROR(__xludf.DUMMYFUNCTION("ROUNDUP(IF(ISBLANK(VLOOKUP(B115,AmmoTypeFactors,16,False)),1,VLOOKUP(B115,AmmoTypeFactors,16,False)) * (IFS(REGEXMATCH(B115, ""EMP""), 'Ammo Input'!M115 * N115 / 'Ingredient stats'!$C$5, REGEXMATCH(B115, ""Charge""), (U115^0.75), true, 0) + (IF(VLOOKUP(B1"&amp;"15, AmmoTypeFactors, 10, false), 2,0) + IF('Ammo Input'!P115, 2,0) + IF('Ammo Input'!Q115,MIN(ROUNDUP(0.2*('Ammo Input'!H115/1000)*'Ammo Input'!O115,0),20),0))))"),0)</f>
        <v>0</v>
      </c>
      <c r="W115">
        <v>2</v>
      </c>
      <c r="X115">
        <v>0</v>
      </c>
      <c r="Y115">
        <v>0</v>
      </c>
      <c r="Z115">
        <v>0</v>
      </c>
      <c r="AA115">
        <v>0</v>
      </c>
      <c r="AB115" s="30">
        <f>IF(B115="Sling Bullet (Stone)",ROUNDUP(D115*0.02*E115/'Ingredient stats'!$C$8,0),0)</f>
        <v>0</v>
      </c>
      <c r="AC115" t="str">
        <f t="shared" si="8"/>
        <v>None</v>
      </c>
      <c r="AD115" t="str">
        <f>IF(OR(B115="Buck",B115="Bird",B115="Charge (Scatter)"),'Ammo Input'!J115,"None")</f>
        <v>None</v>
      </c>
      <c r="AE115" t="str">
        <f>_xlfn.IFS(ISTEXT(Calcs!N115),Calcs!N115,Calcs!N115&lt;=40,Calcs!N115,Calcs!N115&gt;41,"40")</f>
        <v>None</v>
      </c>
      <c r="AF115" t="str">
        <f>_xlfn.IFS(ISTEXT(Calcs!O115),Calcs!O115,Calcs!O115&lt;=80,Calcs!O115,Calcs!O115&gt;=81,"80")</f>
        <v>None</v>
      </c>
      <c r="AG115" s="25">
        <f t="shared" si="9"/>
        <v>1</v>
      </c>
      <c r="AH115" s="25">
        <f t="shared" si="10"/>
        <v>2.5</v>
      </c>
      <c r="AI115" s="25">
        <f t="shared" si="11"/>
        <v>1</v>
      </c>
    </row>
    <row r="116" ht="14.4" spans="1:35">
      <c r="A116" s="24" t="str">
        <f>'Ammo Input'!A116</f>
        <v>.338 Norma Magnum</v>
      </c>
      <c r="B116" t="str">
        <f>'Ammo Input'!B116</f>
        <v>AP-HE</v>
      </c>
      <c r="C116">
        <f>ROUNDUP(('Ammo Input'!C116*(MAX('Ammo Input'!D116,'Ammo Input'!F116)*0.5)^2*PI())*3/1000000,2)</f>
        <v>0.05</v>
      </c>
      <c r="D116">
        <f>ROUNDUP(('Ammo Input'!E116+'Ammo Input'!H116*IF('Ammo Input'!J116&lt;&gt;"",MAX('Ammo Input'!J116,1),1))/1000,3)</f>
        <v>0.047</v>
      </c>
      <c r="E116">
        <f>MIN(5000,MAX(25,CEILING(Calcs!L116,_xlfn.IFS(Calcs!L116&lt;100,25,Calcs!L116&lt;250,50,Calcs!L116&lt;1000,250,Calcs!L116&gt;=1000,1000))))</f>
        <v>5000</v>
      </c>
      <c r="F116">
        <f>ROUNDUP('Ammo Input'!G116^(3/4),0)</f>
        <v>152</v>
      </c>
      <c r="G116">
        <f>ROUND((0.5*((IF(OR(B116="HEAT",B116="HEDP"),'Ammo Input'!N116,'Ammo Input'!H116)/1000)*(IF(B116="HEAT",9000,IF(B116="HEDP",1500,'Ammo Input'!G116))^2))),0)</f>
        <v>6333</v>
      </c>
      <c r="H116" s="25" t="str">
        <f>CONCATENATE(IF((B116="Foam")+(B116="Smoke"),"-",ROUND(Calcs!D116,0))," ",VLOOKUP(B116,AmmoTypeFactors,5,FALSE))</f>
        <v>25 Bullet</v>
      </c>
      <c r="I116" s="25" t="str">
        <f>IF(Calcs!E116=0,"None",CONCATENATE(ROUND(Calcs!E116,0)," ",VLOOKUP(B116,AmmoTypeFactors,6,FALSE)))</f>
        <v>12 Bomb_Secondary</v>
      </c>
      <c r="J116">
        <f>MROUND(2.42*'Ammo Input'!M116^(1/3)*VLOOKUP(B116,AmmoTypeFactors,3,FALSE),0.5)</f>
        <v>0</v>
      </c>
      <c r="K116" s="25" t="str">
        <f>IF(VLOOKUP(B116,AmmoTypeFactors,12,FALSE),MROUND(J116/3,0.5),"None")</f>
        <v>None</v>
      </c>
      <c r="L116" s="25">
        <f>IF(VLOOKUP(B116,AmmoTypeFactors,8,FALSE),"None",ROUNDUP(IF(Calcs!I116&gt;0,Calcs!I116,Calcs!H116),3))</f>
        <v>126.66</v>
      </c>
      <c r="M116" s="25">
        <f>IF(VLOOKUP(B116,AmmoTypeFactors,8,FALSE),"None",'Ammo Input'!L116)</f>
        <v>11</v>
      </c>
      <c r="N116">
        <f>'Ammo Input'!O116</f>
        <v>200</v>
      </c>
      <c r="O116" t="e">
        <f>ROUND((P116*0.0036+SUMPRODUCT(Q116:AB116,VLOOKUP($Q$1:$AB$1,IngredientStats,2,FALSE)))/N116*IF('Ammo Input'!R116,0.5,1),2)</f>
        <v>#VALUE!</v>
      </c>
      <c r="P116" t="e">
        <f>(SUMPRODUCT(Q116:AB116,VLOOKUP($Q$1:$AB$1,IngredientStats,4,FALSE))*VLOOKUP(B116,AmmoTypeFactors,14,FALSE)*IF('Ammo Input'!R116,1.1,1))</f>
        <v>#VALUE!</v>
      </c>
      <c r="Q116">
        <f>IFERROR(__xludf.DUMMYFUNCTION("((IF(NOT(OR(REGEXMATCH(B116, ""Arrow""), B116 = ""Javelin"", B116 = ""Stick bomb"")), ROUNDUP(('Ammo Input'!E116 / 1000) * N116)) + IF(VLOOKUP(B116, AmmoTypeFactors, 9, FALSE) = ""Steel"", ROUNDUP(('Ammo Input'!H116 -'Ammo Input'!M116) * MAX(IF('Ammo Inpu"&amp;"t'!J116 &gt; 0, 'Ammo Input'!J116, 1), 1) * N116 / 1000))) / 'Ingredient stats'!$C$2) * IF(ISBLANK(VLOOKUP(B116,AmmoTypeFactors,15,False)),1,VLOOKUP(B116,AmmoTypeFactors,15,False))"),20)</f>
        <v>20</v>
      </c>
      <c r="R116">
        <f>IFERROR(__xludf.DUMMYFUNCTION("ROUNDUP((IF(REGEXMATCH(B116, ""Arrow"") + (B116 = ""Javelin""), 'Ammo Input'!E116) + IF(VLOOKUP(B116, AmmoTypeFactors, 9, FALSE) = ""Wood"", 'Ammo Input'!H116) + IF(B116 = ""Stick bomb"", 'Ammo Input'!E116)) * N116 / 'Ingredient stats'!$C$12 / 1000)"),0)</f>
        <v>0</v>
      </c>
      <c r="S116">
        <v>0</v>
      </c>
      <c r="T116">
        <v>0</v>
      </c>
      <c r="U116">
        <f>IF(VLOOKUP(B116,AmmoTypeFactors,9,FALSE)="Plasteel",ROUNDUP(('Ammo Input'!H116*MAX(IF('Ammo Input'!J116&gt;0,'Ammo Input'!J116,1)*N116/1000/'Ingredient stats'!$C$4)),0),0)</f>
        <v>0</v>
      </c>
      <c r="V116">
        <f>IFERROR(__xludf.DUMMYFUNCTION("ROUNDUP(IF(ISBLANK(VLOOKUP(B116,AmmoTypeFactors,16,False)),1,VLOOKUP(B116,AmmoTypeFactors,16,False)) * (IFS(REGEXMATCH(B116, ""EMP""), 'Ammo Input'!M116 * N116 / 'Ingredient stats'!$C$5, REGEXMATCH(B116, ""Charge""), (U116^0.75), true, 0) + (IF(VLOOKUP(B1"&amp;"16, AmmoTypeFactors, 10, false), 2,0) + IF('Ammo Input'!P116, 2,0) + IF('Ammo Input'!Q116,MIN(ROUNDUP(0.2*('Ammo Input'!H116/1000)*'Ammo Input'!O116,0),20),0))))"),0)</f>
        <v>0</v>
      </c>
      <c r="W116">
        <v>0</v>
      </c>
      <c r="X116">
        <v>5</v>
      </c>
      <c r="Y116">
        <v>0</v>
      </c>
      <c r="Z116">
        <v>0</v>
      </c>
      <c r="AA116">
        <v>0</v>
      </c>
      <c r="AB116" s="30">
        <f>IF(B116="Sling Bullet (Stone)",ROUNDUP(D116*0.02*E116/'Ingredient stats'!$C$8,0),0)</f>
        <v>0</v>
      </c>
      <c r="AC116" t="str">
        <f t="shared" si="8"/>
        <v>None</v>
      </c>
      <c r="AD116" t="str">
        <f>IF(OR(B116="Buck",B116="Bird",B116="Charge (Scatter)"),'Ammo Input'!J116,"None")</f>
        <v>None</v>
      </c>
      <c r="AE116" t="str">
        <f>_xlfn.IFS(ISTEXT(Calcs!N116),Calcs!N116,Calcs!N116&lt;=40,Calcs!N116,Calcs!N116&gt;41,"40")</f>
        <v>None</v>
      </c>
      <c r="AF116" t="str">
        <f>_xlfn.IFS(ISTEXT(Calcs!O116),Calcs!O116,Calcs!O116&lt;=80,Calcs!O116,Calcs!O116&gt;=81,"80")</f>
        <v>None</v>
      </c>
      <c r="AG116" s="25">
        <f t="shared" si="9"/>
        <v>1</v>
      </c>
      <c r="AH116" s="25">
        <f t="shared" si="10"/>
        <v>2.5</v>
      </c>
      <c r="AI116" s="25">
        <f t="shared" si="11"/>
        <v>1</v>
      </c>
    </row>
    <row r="117" ht="14.4" spans="1:35">
      <c r="A117" s="24" t="str">
        <f>'Ammo Input'!A117</f>
        <v>.338 Norma Magnum</v>
      </c>
      <c r="B117" t="str">
        <f>'Ammo Input'!B117</f>
        <v>Sabot</v>
      </c>
      <c r="C117">
        <f>ROUNDUP(('Ammo Input'!C117*(MAX('Ammo Input'!D117,'Ammo Input'!F117)*0.5)^2*PI())*3/1000000,2)</f>
        <v>0.05</v>
      </c>
      <c r="D117">
        <f>ROUNDUP(('Ammo Input'!E117+'Ammo Input'!H117*IF('Ammo Input'!J117&lt;&gt;"",MAX('Ammo Input'!J117,1),1))/1000,3)</f>
        <v>0.039</v>
      </c>
      <c r="E117">
        <f>MIN(5000,MAX(25,CEILING(Calcs!L117,_xlfn.IFS(Calcs!L117&lt;100,25,Calcs!L117&lt;250,50,Calcs!L117&lt;1000,250,Calcs!L117&gt;=1000,1000))))</f>
        <v>5000</v>
      </c>
      <c r="F117">
        <f>ROUNDUP('Ammo Input'!G117^(3/4),0)</f>
        <v>206</v>
      </c>
      <c r="G117">
        <f>ROUND((0.5*((IF(OR(B117="HEAT",B117="HEDP"),'Ammo Input'!N117,'Ammo Input'!H117)/1000)*(IF(B117="HEAT",9000,IF(B117="HEDP",1500,'Ammo Input'!G117))^2))),0)</f>
        <v>8123</v>
      </c>
      <c r="H117" s="25" t="str">
        <f>CONCATENATE(IF((B117="Foam")+(B117="Smoke"),"-",ROUND(Calcs!D117,0))," ",VLOOKUP(B117,AmmoTypeFactors,5,FALSE))</f>
        <v>13 Bullet</v>
      </c>
      <c r="I117" s="25" t="str">
        <f>IF(Calcs!E117=0,"None",CONCATENATE(ROUND(Calcs!E117,0)," ",VLOOKUP(B117,AmmoTypeFactors,6,FALSE)))</f>
        <v>None</v>
      </c>
      <c r="J117">
        <f>MROUND(2.42*'Ammo Input'!M117^(1/3)*VLOOKUP(B117,AmmoTypeFactors,3,FALSE),0.5)</f>
        <v>0</v>
      </c>
      <c r="K117" s="25" t="str">
        <f>IF(VLOOKUP(B117,AmmoTypeFactors,12,FALSE),MROUND(J117/3,0.5),"None")</f>
        <v>None</v>
      </c>
      <c r="L117" s="25">
        <f>IF(VLOOKUP(B117,AmmoTypeFactors,8,FALSE),"None",ROUNDUP(IF(Calcs!I117&gt;0,Calcs!I117,Calcs!H117),3))</f>
        <v>162.46</v>
      </c>
      <c r="M117" s="25">
        <f>IF(VLOOKUP(B117,AmmoTypeFactors,8,FALSE),"None",'Ammo Input'!L117)</f>
        <v>39</v>
      </c>
      <c r="N117">
        <f>'Ammo Input'!O117</f>
        <v>200</v>
      </c>
      <c r="O117" t="e">
        <f>ROUND((P117*0.0036+SUMPRODUCT(Q117:AB117,VLOOKUP($Q$1:$AB$1,IngredientStats,2,FALSE)))/N117*IF('Ammo Input'!R117,0.5,1),2)</f>
        <v>#VALUE!</v>
      </c>
      <c r="P117" t="e">
        <f>(SUMPRODUCT(Q117:AB117,VLOOKUP($Q$1:$AB$1,IngredientStats,4,FALSE))*VLOOKUP(B117,AmmoTypeFactors,14,FALSE)*IF('Ammo Input'!R117,1.1,1))</f>
        <v>#VALUE!</v>
      </c>
      <c r="Q117">
        <f>IFERROR(__xludf.DUMMYFUNCTION("((IF(NOT(OR(REGEXMATCH(B117, ""Arrow""), B117 = ""Javelin"", B117 = ""Stick bomb"")), ROUNDUP(('Ammo Input'!E117 / 1000) * N117)) + IF(VLOOKUP(B117, AmmoTypeFactors, 9, FALSE) = ""Steel"", ROUNDUP(('Ammo Input'!H117 -'Ammo Input'!M117) * MAX(IF('Ammo Inpu"&amp;"t'!J117 &gt; 0, 'Ammo Input'!J117, 1), 1) * N117 / 1000))) / 'Ingredient stats'!$C$2) * IF(ISBLANK(VLOOKUP(B117,AmmoTypeFactors,15,False)),1,VLOOKUP(B117,AmmoTypeFactors,15,False))"),12)</f>
        <v>12</v>
      </c>
      <c r="R117">
        <f>IFERROR(__xludf.DUMMYFUNCTION("ROUNDUP((IF(REGEXMATCH(B117, ""Arrow"") + (B117 = ""Javelin""), 'Ammo Input'!E117) + IF(VLOOKUP(B117, AmmoTypeFactors, 9, FALSE) = ""Wood"", 'Ammo Input'!H117) + IF(B117 = ""Stick bomb"", 'Ammo Input'!E117)) * N117 / 'Ingredient stats'!$C$12 / 1000)"),0)</f>
        <v>0</v>
      </c>
      <c r="S117">
        <v>3</v>
      </c>
      <c r="T117">
        <v>3</v>
      </c>
      <c r="U117">
        <f>IF(VLOOKUP(B117,AmmoTypeFactors,9,FALSE)="Plasteel",ROUNDUP(('Ammo Input'!H117*MAX(IF('Ammo Input'!J117&gt;0,'Ammo Input'!J117,1)*N117/1000/'Ingredient stats'!$C$4)),0),0)</f>
        <v>0</v>
      </c>
      <c r="V117">
        <f>IFERROR(__xludf.DUMMYFUNCTION("ROUNDUP(IF(ISBLANK(VLOOKUP(B117,AmmoTypeFactors,16,False)),1,VLOOKUP(B117,AmmoTypeFactors,16,False)) * (IFS(REGEXMATCH(B117, ""EMP""), 'Ammo Input'!M117 * N117 / 'Ingredient stats'!$C$5, REGEXMATCH(B117, ""Charge""), (U117^0.75), true, 0) + (IF(VLOOKUP(B1"&amp;"17, AmmoTypeFactors, 10, false), 2,0) + IF('Ammo Input'!P117, 2,0) + IF('Ammo Input'!Q117,MIN(ROUNDUP(0.2*('Ammo Input'!H117/1000)*'Ammo Input'!O117,0),20),0))))"),0)</f>
        <v>0</v>
      </c>
      <c r="W117">
        <v>0</v>
      </c>
      <c r="X117">
        <v>0</v>
      </c>
      <c r="Y117">
        <v>0</v>
      </c>
      <c r="Z117">
        <v>0</v>
      </c>
      <c r="AA117">
        <v>0</v>
      </c>
      <c r="AB117" s="30">
        <f>IF(B117="Sling Bullet (Stone)",ROUNDUP(D117*0.02*E117/'Ingredient stats'!$C$8,0),0)</f>
        <v>0</v>
      </c>
      <c r="AC117" t="str">
        <f t="shared" si="8"/>
        <v>None</v>
      </c>
      <c r="AD117" t="str">
        <f>IF(OR(B117="Buck",B117="Bird",B117="Charge (Scatter)"),'Ammo Input'!J117,"None")</f>
        <v>None</v>
      </c>
      <c r="AE117" t="str">
        <f>_xlfn.IFS(ISTEXT(Calcs!N117),Calcs!N117,Calcs!N117&lt;=40,Calcs!N117,Calcs!N117&gt;41,"40")</f>
        <v>None</v>
      </c>
      <c r="AF117" t="str">
        <f>_xlfn.IFS(ISTEXT(Calcs!O117),Calcs!O117,Calcs!O117&lt;=80,Calcs!O117,Calcs!O117&gt;=81,"80")</f>
        <v>None</v>
      </c>
      <c r="AG117" s="25">
        <f t="shared" si="9"/>
        <v>1</v>
      </c>
      <c r="AH117" s="25">
        <f t="shared" si="10"/>
        <v>3.33</v>
      </c>
      <c r="AI117" s="25">
        <f t="shared" si="11"/>
        <v>1</v>
      </c>
    </row>
    <row r="118" ht="14.4" spans="1:35">
      <c r="A118" s="24" t="str">
        <f>'Ammo Input'!A118</f>
        <v>.50 BMG</v>
      </c>
      <c r="B118" t="str">
        <f>'Ammo Input'!B118</f>
        <v>FMJ</v>
      </c>
      <c r="C118">
        <f>ROUNDUP(('Ammo Input'!C118*(MAX('Ammo Input'!D118,'Ammo Input'!F118)*0.5)^2*PI())*3/1000000,2)</f>
        <v>0.14</v>
      </c>
      <c r="D118">
        <f>ROUNDUP(('Ammo Input'!E118+'Ammo Input'!H118*IF('Ammo Input'!J118&lt;&gt;"",MAX('Ammo Input'!J118,1),1))/1000,3)</f>
        <v>0.118</v>
      </c>
      <c r="E118">
        <f>MIN(5000,MAX(25,CEILING(Calcs!L118,_xlfn.IFS(Calcs!L118&lt;100,25,Calcs!L118&lt;250,50,Calcs!L118&lt;1000,250,Calcs!L118&gt;=1000,1000))))</f>
        <v>5000</v>
      </c>
      <c r="F118">
        <f>ROUNDUP('Ammo Input'!G118^(3/4),0)</f>
        <v>163</v>
      </c>
      <c r="G118">
        <f>ROUND((0.5*((IF(OR(B118="HEAT",B118="HEDP"),'Ammo Input'!N118,'Ammo Input'!H118)/1000)*(IF(B118="HEAT",9000,IF(B118="HEDP",1500,'Ammo Input'!G118))^2))),0)</f>
        <v>18017</v>
      </c>
      <c r="H118" s="25" t="str">
        <f>CONCATENATE(IF((B118="Foam")+(B118="Smoke"),"-",ROUND(Calcs!D118,0))," ",VLOOKUP(B118,AmmoTypeFactors,5,FALSE))</f>
        <v>42 Bullet</v>
      </c>
      <c r="I118" s="25" t="str">
        <f>IF(Calcs!E118=0,"None",CONCATENATE(ROUND(Calcs!E118,0)," ",VLOOKUP(B118,AmmoTypeFactors,6,FALSE)))</f>
        <v>None</v>
      </c>
      <c r="J118">
        <f>MROUND(2.42*'Ammo Input'!M118^(1/3)*VLOOKUP(B118,AmmoTypeFactors,3,FALSE),0.5)</f>
        <v>0</v>
      </c>
      <c r="K118" s="25" t="str">
        <f>IF(VLOOKUP(B118,AmmoTypeFactors,12,FALSE),MROUND(J118/3,0.5),"None")</f>
        <v>None</v>
      </c>
      <c r="L118" s="25">
        <f>IF(VLOOKUP(B118,AmmoTypeFactors,8,FALSE),"None",ROUNDUP(IF(Calcs!I118&gt;0,Calcs!I118,Calcs!H118),3))</f>
        <v>360.34</v>
      </c>
      <c r="M118" s="25">
        <f>IF(VLOOKUP(B118,AmmoTypeFactors,8,FALSE),"None",'Ammo Input'!L118)</f>
        <v>14</v>
      </c>
      <c r="N118">
        <f>'Ammo Input'!O118</f>
        <v>200</v>
      </c>
      <c r="O118" t="e">
        <f>ROUND((P118*0.0036+SUMPRODUCT(Q118:AB118,VLOOKUP($Q$1:$AB$1,IngredientStats,2,FALSE)))/N118*IF('Ammo Input'!R118,0.5,1),2)</f>
        <v>#VALUE!</v>
      </c>
      <c r="P118" t="e">
        <f>(SUMPRODUCT(Q118:AB118,VLOOKUP($Q$1:$AB$1,IngredientStats,4,FALSE))*VLOOKUP(B118,AmmoTypeFactors,14,FALSE)*IF('Ammo Input'!R118,1.1,1))</f>
        <v>#VALUE!</v>
      </c>
      <c r="Q118">
        <f>IFERROR(__xludf.DUMMYFUNCTION("((IF(NOT(OR(REGEXMATCH(B118, ""Arrow""), B118 = ""Javelin"", B118 = ""Stick bomb"")), ROUNDUP(('Ammo Input'!E118 / 1000) * N118)) + IF(VLOOKUP(B118, AmmoTypeFactors, 9, FALSE) = ""Steel"", ROUNDUP(('Ammo Input'!H118 -'Ammo Input'!M118) * MAX(IF('Ammo Inpu"&amp;"t'!J118 &gt; 0, 'Ammo Input'!J118, 1), 1) * N118 / 1000))) / 'Ingredient stats'!$C$2) * IF(ISBLANK(VLOOKUP(B118,AmmoTypeFactors,15,False)),1,VLOOKUP(B118,AmmoTypeFactors,15,False))"),50)</f>
        <v>50</v>
      </c>
      <c r="R118">
        <f>IFERROR(__xludf.DUMMYFUNCTION("ROUNDUP((IF(REGEXMATCH(B118, ""Arrow"") + (B118 = ""Javelin""), 'Ammo Input'!E118) + IF(VLOOKUP(B118, AmmoTypeFactors, 9, FALSE) = ""Wood"", 'Ammo Input'!H118) + IF(B118 = ""Stick bomb"", 'Ammo Input'!E118)) * N118 / 'Ingredient stats'!$C$12 / 1000)"),0)</f>
        <v>0</v>
      </c>
      <c r="S118">
        <v>0</v>
      </c>
      <c r="T118">
        <v>0</v>
      </c>
      <c r="U118">
        <f>IF(VLOOKUP(B118,AmmoTypeFactors,9,FALSE)="Plasteel",ROUNDUP(('Ammo Input'!H118*MAX(IF('Ammo Input'!J118&gt;0,'Ammo Input'!J118,1)*N118/1000/'Ingredient stats'!$C$4)),0),0)</f>
        <v>0</v>
      </c>
      <c r="V118">
        <f>IFERROR(__xludf.DUMMYFUNCTION("ROUNDUP(IF(ISBLANK(VLOOKUP(B118,AmmoTypeFactors,16,False)),1,VLOOKUP(B118,AmmoTypeFactors,16,False)) * (IFS(REGEXMATCH(B118, ""EMP""), 'Ammo Input'!M118 * N118 / 'Ingredient stats'!$C$5, REGEXMATCH(B118, ""Charge""), (U118^0.75), true, 0) + (IF(VLOOKUP(B1"&amp;"18, AmmoTypeFactors, 10, false), 2,0) + IF('Ammo Input'!P118, 2,0) + IF('Ammo Input'!Q118,MIN(ROUNDUP(0.2*('Ammo Input'!H118/1000)*'Ammo Input'!O118,0),20),0))))"),0)</f>
        <v>0</v>
      </c>
      <c r="W118">
        <v>0</v>
      </c>
      <c r="X118">
        <v>0</v>
      </c>
      <c r="Y118">
        <v>0</v>
      </c>
      <c r="Z118">
        <v>0</v>
      </c>
      <c r="AA118">
        <v>0</v>
      </c>
      <c r="AB118" s="30">
        <f>IF(B118="Sling Bullet (Stone)",ROUNDUP(D118*0.02*E118/'Ingredient stats'!$C$8,0),0)</f>
        <v>0</v>
      </c>
      <c r="AC118" t="str">
        <f t="shared" si="8"/>
        <v>None</v>
      </c>
      <c r="AD118" t="str">
        <f>IF(OR(B118="Buck",B118="Bird",B118="Charge (Scatter)"),'Ammo Input'!J118,"None")</f>
        <v>None</v>
      </c>
      <c r="AE118" t="str">
        <f>_xlfn.IFS(ISTEXT(Calcs!N118),Calcs!N118,Calcs!N118&lt;=40,Calcs!N118,Calcs!N118&gt;41,"40")</f>
        <v>None</v>
      </c>
      <c r="AF118" t="str">
        <f>_xlfn.IFS(ISTEXT(Calcs!O118),Calcs!O118,Calcs!O118&lt;=80,Calcs!O118,Calcs!O118&gt;=81,"80")</f>
        <v>None</v>
      </c>
      <c r="AG118" s="25">
        <f t="shared" si="9"/>
        <v>1</v>
      </c>
      <c r="AH118" s="25">
        <f t="shared" si="10"/>
        <v>2.67</v>
      </c>
      <c r="AI118" s="25">
        <f t="shared" si="11"/>
        <v>1</v>
      </c>
    </row>
    <row r="119" ht="14.4" spans="1:35">
      <c r="A119" s="24" t="str">
        <f>'Ammo Input'!A119</f>
        <v>.50 BMG</v>
      </c>
      <c r="B119" t="str">
        <f>'Ammo Input'!B119</f>
        <v>AP</v>
      </c>
      <c r="C119">
        <f>ROUNDUP(('Ammo Input'!C119*(MAX('Ammo Input'!D119,'Ammo Input'!F119)*0.5)^2*PI())*3/1000000,2)</f>
        <v>0.14</v>
      </c>
      <c r="D119">
        <f>ROUNDUP(('Ammo Input'!E119+'Ammo Input'!H119*IF('Ammo Input'!J119&lt;&gt;"",MAX('Ammo Input'!J119,1),1))/1000,3)</f>
        <v>0.118</v>
      </c>
      <c r="E119">
        <f>MIN(5000,MAX(25,CEILING(Calcs!L119,_xlfn.IFS(Calcs!L119&lt;100,25,Calcs!L119&lt;250,50,Calcs!L119&lt;1000,250,Calcs!L119&gt;=1000,1000))))</f>
        <v>5000</v>
      </c>
      <c r="F119">
        <f>ROUNDUP('Ammo Input'!G119^(3/4),0)</f>
        <v>163</v>
      </c>
      <c r="G119">
        <f>ROUND((0.5*((IF(OR(B119="HEAT",B119="HEDP"),'Ammo Input'!N119,'Ammo Input'!H119)/1000)*(IF(B119="HEAT",9000,IF(B119="HEDP",1500,'Ammo Input'!G119))^2))),0)</f>
        <v>18017</v>
      </c>
      <c r="H119" s="25" t="str">
        <f>CONCATENATE(IF((B119="Foam")+(B119="Smoke"),"-",ROUND(Calcs!D119,0))," ",VLOOKUP(B119,AmmoTypeFactors,5,FALSE))</f>
        <v>26 Bullet</v>
      </c>
      <c r="I119" s="25" t="str">
        <f>IF(Calcs!E119=0,"None",CONCATENATE(ROUND(Calcs!E119,0)," ",VLOOKUP(B119,AmmoTypeFactors,6,FALSE)))</f>
        <v>None</v>
      </c>
      <c r="J119">
        <f>MROUND(2.42*'Ammo Input'!M119^(1/3)*VLOOKUP(B119,AmmoTypeFactors,3,FALSE),0.5)</f>
        <v>0</v>
      </c>
      <c r="K119" s="25" t="str">
        <f>IF(VLOOKUP(B119,AmmoTypeFactors,12,FALSE),MROUND(J119/3,0.5),"None")</f>
        <v>None</v>
      </c>
      <c r="L119" s="25">
        <f>IF(VLOOKUP(B119,AmmoTypeFactors,8,FALSE),"None",ROUNDUP(IF(Calcs!I119&gt;0,Calcs!I119,Calcs!H119),3))</f>
        <v>360.34</v>
      </c>
      <c r="M119" s="25">
        <f>IF(VLOOKUP(B119,AmmoTypeFactors,8,FALSE),"None",'Ammo Input'!L119)</f>
        <v>28</v>
      </c>
      <c r="N119">
        <f>'Ammo Input'!O119</f>
        <v>200</v>
      </c>
      <c r="O119" t="e">
        <f>ROUND((P119*0.0036+SUMPRODUCT(Q119:AB119,VLOOKUP($Q$1:$AB$1,IngredientStats,2,FALSE)))/N119*IF('Ammo Input'!R119,0.5,1),2)</f>
        <v>#VALUE!</v>
      </c>
      <c r="P119" t="e">
        <f>(SUMPRODUCT(Q119:AB119,VLOOKUP($Q$1:$AB$1,IngredientStats,4,FALSE))*VLOOKUP(B119,AmmoTypeFactors,14,FALSE)*IF('Ammo Input'!R119,1.1,1))</f>
        <v>#VALUE!</v>
      </c>
      <c r="Q119">
        <f>IFERROR(__xludf.DUMMYFUNCTION("((IF(NOT(OR(REGEXMATCH(B119, ""Arrow""), B119 = ""Javelin"", B119 = ""Stick bomb"")), ROUNDUP(('Ammo Input'!E119 / 1000) * N119)) + IF(VLOOKUP(B119, AmmoTypeFactors, 9, FALSE) = ""Steel"", ROUNDUP(('Ammo Input'!H119 -'Ammo Input'!M119) * MAX(IF('Ammo Inpu"&amp;"t'!J119 &gt; 0, 'Ammo Input'!J119, 1), 1) * N119 / 1000))) / 'Ingredient stats'!$C$2) * IF(ISBLANK(VLOOKUP(B119,AmmoTypeFactors,15,False)),1,VLOOKUP(B119,AmmoTypeFactors,15,False))"),50)</f>
        <v>50</v>
      </c>
      <c r="R119">
        <f>IFERROR(__xludf.DUMMYFUNCTION("ROUNDUP((IF(REGEXMATCH(B119, ""Arrow"") + (B119 = ""Javelin""), 'Ammo Input'!E119) + IF(VLOOKUP(B119, AmmoTypeFactors, 9, FALSE) = ""Wood"", 'Ammo Input'!H119) + IF(B119 = ""Stick bomb"", 'Ammo Input'!E119)) * N119 / 'Ingredient stats'!$C$12 / 1000)"),0)</f>
        <v>0</v>
      </c>
      <c r="S119">
        <v>0</v>
      </c>
      <c r="T119">
        <v>0</v>
      </c>
      <c r="U119">
        <f>IF(VLOOKUP(B119,AmmoTypeFactors,9,FALSE)="Plasteel",ROUNDUP(('Ammo Input'!H119*MAX(IF('Ammo Input'!J119&gt;0,'Ammo Input'!J119,1)*N119/1000/'Ingredient stats'!$C$4)),0),0)</f>
        <v>0</v>
      </c>
      <c r="V119">
        <f>IFERROR(__xludf.DUMMYFUNCTION("ROUNDUP(IF(ISBLANK(VLOOKUP(B119,AmmoTypeFactors,16,False)),1,VLOOKUP(B119,AmmoTypeFactors,16,False)) * (IFS(REGEXMATCH(B119, ""EMP""), 'Ammo Input'!M119 * N119 / 'Ingredient stats'!$C$5, REGEXMATCH(B119, ""Charge""), (U119^0.75), true, 0) + (IF(VLOOKUP(B1"&amp;"19, AmmoTypeFactors, 10, false), 2,0) + IF('Ammo Input'!P119, 2,0) + IF('Ammo Input'!Q119,MIN(ROUNDUP(0.2*('Ammo Input'!H119/1000)*'Ammo Input'!O119,0),20),0))))"),0)</f>
        <v>0</v>
      </c>
      <c r="W119">
        <v>0</v>
      </c>
      <c r="X119">
        <v>0</v>
      </c>
      <c r="Y119">
        <v>0</v>
      </c>
      <c r="Z119">
        <v>0</v>
      </c>
      <c r="AA119">
        <v>0</v>
      </c>
      <c r="AB119" s="30">
        <f>IF(B119="Sling Bullet (Stone)",ROUNDUP(D119*0.02*E119/'Ingredient stats'!$C$8,0),0)</f>
        <v>0</v>
      </c>
      <c r="AC119" t="str">
        <f t="shared" si="8"/>
        <v>None</v>
      </c>
      <c r="AD119" t="str">
        <f>IF(OR(B119="Buck",B119="Bird",B119="Charge (Scatter)"),'Ammo Input'!J119,"None")</f>
        <v>None</v>
      </c>
      <c r="AE119" t="str">
        <f>_xlfn.IFS(ISTEXT(Calcs!N119),Calcs!N119,Calcs!N119&lt;=40,Calcs!N119,Calcs!N119&gt;41,"40")</f>
        <v>None</v>
      </c>
      <c r="AF119" t="str">
        <f>_xlfn.IFS(ISTEXT(Calcs!O119),Calcs!O119,Calcs!O119&lt;=80,Calcs!O119,Calcs!O119&gt;=81,"80")</f>
        <v>None</v>
      </c>
      <c r="AG119" s="25">
        <f t="shared" si="9"/>
        <v>1</v>
      </c>
      <c r="AH119" s="25">
        <f t="shared" si="10"/>
        <v>2.67</v>
      </c>
      <c r="AI119" s="25">
        <f t="shared" si="11"/>
        <v>1</v>
      </c>
    </row>
    <row r="120" ht="14.4" spans="1:35">
      <c r="A120" s="24" t="str">
        <f>'Ammo Input'!A120</f>
        <v>.50 BMG</v>
      </c>
      <c r="B120" t="str">
        <f>'Ammo Input'!B120</f>
        <v>AP-I</v>
      </c>
      <c r="C120">
        <f>ROUNDUP(('Ammo Input'!C120*(MAX('Ammo Input'!D120,'Ammo Input'!F120)*0.5)^2*PI())*3/1000000,2)</f>
        <v>0.14</v>
      </c>
      <c r="D120">
        <f>ROUNDUP(('Ammo Input'!E120+'Ammo Input'!H120*IF('Ammo Input'!J120&lt;&gt;"",MAX('Ammo Input'!J120,1),1))/1000,3)</f>
        <v>0.118</v>
      </c>
      <c r="E120">
        <f>MIN(5000,MAX(25,CEILING(Calcs!L120,_xlfn.IFS(Calcs!L120&lt;100,25,Calcs!L120&lt;250,50,Calcs!L120&lt;1000,250,Calcs!L120&gt;=1000,1000))))</f>
        <v>5000</v>
      </c>
      <c r="F120">
        <f>ROUNDUP('Ammo Input'!G120^(3/4),0)</f>
        <v>163</v>
      </c>
      <c r="G120">
        <f>ROUND((0.5*((IF(OR(B120="HEAT",B120="HEDP"),'Ammo Input'!N120,'Ammo Input'!H120)/1000)*(IF(B120="HEAT",9000,IF(B120="HEDP",1500,'Ammo Input'!G120))^2))),0)</f>
        <v>18017</v>
      </c>
      <c r="H120" s="25" t="str">
        <f>CONCATENATE(IF((B120="Foam")+(B120="Smoke"),"-",ROUND(Calcs!D120,0))," ",VLOOKUP(B120,AmmoTypeFactors,5,FALSE))</f>
        <v>26 Bullet</v>
      </c>
      <c r="I120" s="25" t="str">
        <f>IF(Calcs!E120=0,"None",CONCATENATE(ROUND(Calcs!E120,0)," ",VLOOKUP(B120,AmmoTypeFactors,6,FALSE)))</f>
        <v>14 Flame_Secondary</v>
      </c>
      <c r="J120">
        <f>MROUND(2.42*'Ammo Input'!M120^(1/3)*VLOOKUP(B120,AmmoTypeFactors,3,FALSE),0.5)</f>
        <v>0</v>
      </c>
      <c r="K120" s="25" t="str">
        <f>IF(VLOOKUP(B120,AmmoTypeFactors,12,FALSE),MROUND(J120/3,0.5),"None")</f>
        <v>None</v>
      </c>
      <c r="L120" s="25">
        <f>IF(VLOOKUP(B120,AmmoTypeFactors,8,FALSE),"None",ROUNDUP(IF(Calcs!I120&gt;0,Calcs!I120,Calcs!H120),3))</f>
        <v>360.34</v>
      </c>
      <c r="M120" s="25">
        <f>IF(VLOOKUP(B120,AmmoTypeFactors,8,FALSE),"None",'Ammo Input'!L120)</f>
        <v>28</v>
      </c>
      <c r="N120">
        <f>'Ammo Input'!O120</f>
        <v>200</v>
      </c>
      <c r="O120" t="e">
        <f>ROUND((P120*0.0036+SUMPRODUCT(Q120:AB120,VLOOKUP($Q$1:$AB$1,IngredientStats,2,FALSE)))/N120*IF('Ammo Input'!R120,0.5,1),2)</f>
        <v>#VALUE!</v>
      </c>
      <c r="P120" t="e">
        <f>(SUMPRODUCT(Q120:AB120,VLOOKUP($Q$1:$AB$1,IngredientStats,4,FALSE))*VLOOKUP(B120,AmmoTypeFactors,14,FALSE)*IF('Ammo Input'!R120,1.1,1))</f>
        <v>#VALUE!</v>
      </c>
      <c r="Q120">
        <f>IFERROR(__xludf.DUMMYFUNCTION("((IF(NOT(OR(REGEXMATCH(B120, ""Arrow""), B120 = ""Javelin"", B120 = ""Stick bomb"")), ROUNDUP(('Ammo Input'!E120 / 1000) * N120)) + IF(VLOOKUP(B120, AmmoTypeFactors, 9, FALSE) = ""Steel"", ROUNDUP(('Ammo Input'!H120 -'Ammo Input'!M120) * MAX(IF('Ammo Inpu"&amp;"t'!J120 &gt; 0, 'Ammo Input'!J120, 1), 1) * N120 / 1000))) / 'Ingredient stats'!$C$2) * IF(ISBLANK(VLOOKUP(B120,AmmoTypeFactors,15,False)),1,VLOOKUP(B120,AmmoTypeFactors,15,False))"),50)</f>
        <v>50</v>
      </c>
      <c r="R120">
        <f>IFERROR(__xludf.DUMMYFUNCTION("ROUNDUP((IF(REGEXMATCH(B120, ""Arrow"") + (B120 = ""Javelin""), 'Ammo Input'!E120) + IF(VLOOKUP(B120, AmmoTypeFactors, 9, FALSE) = ""Wood"", 'Ammo Input'!H120) + IF(B120 = ""Stick bomb"", 'Ammo Input'!E120)) * N120 / 'Ingredient stats'!$C$12 / 1000)"),0)</f>
        <v>0</v>
      </c>
      <c r="S120">
        <v>0</v>
      </c>
      <c r="T120">
        <v>0</v>
      </c>
      <c r="U120">
        <f>IF(VLOOKUP(B120,AmmoTypeFactors,9,FALSE)="Plasteel",ROUNDUP(('Ammo Input'!H120*MAX(IF('Ammo Input'!J120&gt;0,'Ammo Input'!J120,1)*N120/1000/'Ingredient stats'!$C$4)),0),0)</f>
        <v>0</v>
      </c>
      <c r="V120">
        <f>IFERROR(__xludf.DUMMYFUNCTION("ROUNDUP(IF(ISBLANK(VLOOKUP(B120,AmmoTypeFactors,16,False)),1,VLOOKUP(B120,AmmoTypeFactors,16,False)) * (IFS(REGEXMATCH(B120, ""EMP""), 'Ammo Input'!M120 * N120 / 'Ingredient stats'!$C$5, REGEXMATCH(B120, ""Charge""), (U120^0.75), true, 0) + (IF(VLOOKUP(B1"&amp;"20, AmmoTypeFactors, 10, false), 2,0) + IF('Ammo Input'!P120, 2,0) + IF('Ammo Input'!Q120,MIN(ROUNDUP(0.2*('Ammo Input'!H120/1000)*'Ammo Input'!O120,0),20),0))))"),0)</f>
        <v>0</v>
      </c>
      <c r="W120">
        <v>5</v>
      </c>
      <c r="X120">
        <v>0</v>
      </c>
      <c r="Y120">
        <v>0</v>
      </c>
      <c r="Z120">
        <v>0</v>
      </c>
      <c r="AA120">
        <v>0</v>
      </c>
      <c r="AB120" s="30">
        <f>IF(B120="Sling Bullet (Stone)",ROUNDUP(D120*0.02*E120/'Ingredient stats'!$C$8,0),0)</f>
        <v>0</v>
      </c>
      <c r="AC120" t="str">
        <f t="shared" si="8"/>
        <v>None</v>
      </c>
      <c r="AD120" t="str">
        <f>IF(OR(B120="Buck",B120="Bird",B120="Charge (Scatter)"),'Ammo Input'!J120,"None")</f>
        <v>None</v>
      </c>
      <c r="AE120" t="str">
        <f>_xlfn.IFS(ISTEXT(Calcs!N120),Calcs!N120,Calcs!N120&lt;=40,Calcs!N120,Calcs!N120&gt;41,"40")</f>
        <v>None</v>
      </c>
      <c r="AF120" t="str">
        <f>_xlfn.IFS(ISTEXT(Calcs!O120),Calcs!O120,Calcs!O120&lt;=80,Calcs!O120,Calcs!O120&gt;=81,"80")</f>
        <v>None</v>
      </c>
      <c r="AG120" s="25">
        <f t="shared" si="9"/>
        <v>1</v>
      </c>
      <c r="AH120" s="25">
        <f t="shared" si="10"/>
        <v>2.67</v>
      </c>
      <c r="AI120" s="25">
        <f t="shared" si="11"/>
        <v>1</v>
      </c>
    </row>
    <row r="121" ht="14.4" spans="1:35">
      <c r="A121" s="24" t="str">
        <f>'Ammo Input'!A121</f>
        <v>.50 BMG</v>
      </c>
      <c r="B121" t="str">
        <f>'Ammo Input'!B121</f>
        <v>AP-HE</v>
      </c>
      <c r="C121">
        <f>ROUNDUP(('Ammo Input'!C121*(MAX('Ammo Input'!D121,'Ammo Input'!F121)*0.5)^2*PI())*3/1000000,2)</f>
        <v>0.14</v>
      </c>
      <c r="D121">
        <f>ROUNDUP(('Ammo Input'!E121+'Ammo Input'!H121*IF('Ammo Input'!J121&lt;&gt;"",MAX('Ammo Input'!J121,1),1))/1000,3)</f>
        <v>0.118</v>
      </c>
      <c r="E121">
        <f>MIN(5000,MAX(25,CEILING(Calcs!L121,_xlfn.IFS(Calcs!L121&lt;100,25,Calcs!L121&lt;250,50,Calcs!L121&lt;1000,250,Calcs!L121&gt;=1000,1000))))</f>
        <v>5000</v>
      </c>
      <c r="F121">
        <f>ROUNDUP('Ammo Input'!G121^(3/4),0)</f>
        <v>163</v>
      </c>
      <c r="G121">
        <f>ROUND((0.5*((IF(OR(B121="HEAT",B121="HEDP"),'Ammo Input'!N121,'Ammo Input'!H121)/1000)*(IF(B121="HEAT",9000,IF(B121="HEDP",1500,'Ammo Input'!G121))^2))),0)</f>
        <v>18017</v>
      </c>
      <c r="H121" s="25" t="str">
        <f>CONCATENATE(IF((B121="Foam")+(B121="Smoke"),"-",ROUND(Calcs!D121,0))," ",VLOOKUP(B121,AmmoTypeFactors,5,FALSE))</f>
        <v>42 Bullet</v>
      </c>
      <c r="I121" s="25" t="str">
        <f>IF(Calcs!E121=0,"None",CONCATENATE(ROUND(Calcs!E121,0)," ",VLOOKUP(B121,AmmoTypeFactors,6,FALSE)))</f>
        <v>20 Bomb_Secondary</v>
      </c>
      <c r="J121">
        <f>MROUND(2.42*'Ammo Input'!M121^(1/3)*VLOOKUP(B121,AmmoTypeFactors,3,FALSE),0.5)</f>
        <v>0</v>
      </c>
      <c r="K121" s="25" t="str">
        <f>IF(VLOOKUP(B121,AmmoTypeFactors,12,FALSE),MROUND(J121/3,0.5),"None")</f>
        <v>None</v>
      </c>
      <c r="L121" s="25">
        <f>IF(VLOOKUP(B121,AmmoTypeFactors,8,FALSE),"None",ROUNDUP(IF(Calcs!I121&gt;0,Calcs!I121,Calcs!H121),3))</f>
        <v>360.34</v>
      </c>
      <c r="M121" s="25">
        <f>IF(VLOOKUP(B121,AmmoTypeFactors,8,FALSE),"None",'Ammo Input'!L121)</f>
        <v>14</v>
      </c>
      <c r="N121">
        <f>'Ammo Input'!O121</f>
        <v>200</v>
      </c>
      <c r="O121" t="e">
        <f>ROUND((P121*0.0036+SUMPRODUCT(Q121:AB121,VLOOKUP($Q$1:$AB$1,IngredientStats,2,FALSE)))/N121*IF('Ammo Input'!R121,0.5,1),2)</f>
        <v>#VALUE!</v>
      </c>
      <c r="P121" t="e">
        <f>(SUMPRODUCT(Q121:AB121,VLOOKUP($Q$1:$AB$1,IngredientStats,4,FALSE))*VLOOKUP(B121,AmmoTypeFactors,14,FALSE)*IF('Ammo Input'!R121,1.1,1))</f>
        <v>#VALUE!</v>
      </c>
      <c r="Q121">
        <f>IFERROR(__xludf.DUMMYFUNCTION("((IF(NOT(OR(REGEXMATCH(B121, ""Arrow""), B121 = ""Javelin"", B121 = ""Stick bomb"")), ROUNDUP(('Ammo Input'!E121 / 1000) * N121)) + IF(VLOOKUP(B121, AmmoTypeFactors, 9, FALSE) = ""Steel"", ROUNDUP(('Ammo Input'!H121 -'Ammo Input'!M121) * MAX(IF('Ammo Inpu"&amp;"t'!J121 &gt; 0, 'Ammo Input'!J121, 1), 1) * N121 / 1000))) / 'Ingredient stats'!$C$2) * IF(ISBLANK(VLOOKUP(B121,AmmoTypeFactors,15,False)),1,VLOOKUP(B121,AmmoTypeFactors,15,False))"),50)</f>
        <v>50</v>
      </c>
      <c r="R121">
        <f>IFERROR(__xludf.DUMMYFUNCTION("ROUNDUP((IF(REGEXMATCH(B121, ""Arrow"") + (B121 = ""Javelin""), 'Ammo Input'!E121) + IF(VLOOKUP(B121, AmmoTypeFactors, 9, FALSE) = ""Wood"", 'Ammo Input'!H121) + IF(B121 = ""Stick bomb"", 'Ammo Input'!E121)) * N121 / 'Ingredient stats'!$C$12 / 1000)"),0)</f>
        <v>0</v>
      </c>
      <c r="S121">
        <v>0</v>
      </c>
      <c r="T121">
        <v>0</v>
      </c>
      <c r="U121">
        <f>IF(VLOOKUP(B121,AmmoTypeFactors,9,FALSE)="Plasteel",ROUNDUP(('Ammo Input'!H121*MAX(IF('Ammo Input'!J121&gt;0,'Ammo Input'!J121,1)*N121/1000/'Ingredient stats'!$C$4)),0),0)</f>
        <v>0</v>
      </c>
      <c r="V121">
        <f>IFERROR(__xludf.DUMMYFUNCTION("ROUNDUP(IF(ISBLANK(VLOOKUP(B121,AmmoTypeFactors,16,False)),1,VLOOKUP(B121,AmmoTypeFactors,16,False)) * (IFS(REGEXMATCH(B121, ""EMP""), 'Ammo Input'!M121 * N121 / 'Ingredient stats'!$C$5, REGEXMATCH(B121, ""Charge""), (U121^0.75), true, 0) + (IF(VLOOKUP(B1"&amp;"21, AmmoTypeFactors, 10, false), 2,0) + IF('Ammo Input'!P121, 2,0) + IF('Ammo Input'!Q121,MIN(ROUNDUP(0.2*('Ammo Input'!H121/1000)*'Ammo Input'!O121,0),20),0))))"),0)</f>
        <v>0</v>
      </c>
      <c r="W121">
        <v>0</v>
      </c>
      <c r="X121">
        <v>10</v>
      </c>
      <c r="Y121">
        <v>0</v>
      </c>
      <c r="Z121">
        <v>0</v>
      </c>
      <c r="AA121">
        <v>0</v>
      </c>
      <c r="AB121" s="30">
        <f>IF(B121="Sling Bullet (Stone)",ROUNDUP(D121*0.02*E121/'Ingredient stats'!$C$8,0),0)</f>
        <v>0</v>
      </c>
      <c r="AC121" t="str">
        <f t="shared" si="8"/>
        <v>None</v>
      </c>
      <c r="AD121" t="str">
        <f>IF(OR(B121="Buck",B121="Bird",B121="Charge (Scatter)"),'Ammo Input'!J121,"None")</f>
        <v>None</v>
      </c>
      <c r="AE121" t="str">
        <f>_xlfn.IFS(ISTEXT(Calcs!N121),Calcs!N121,Calcs!N121&lt;=40,Calcs!N121,Calcs!N121&gt;41,"40")</f>
        <v>None</v>
      </c>
      <c r="AF121" t="str">
        <f>_xlfn.IFS(ISTEXT(Calcs!O121),Calcs!O121,Calcs!O121&lt;=80,Calcs!O121,Calcs!O121&gt;=81,"80")</f>
        <v>None</v>
      </c>
      <c r="AG121" s="25">
        <f t="shared" si="9"/>
        <v>1</v>
      </c>
      <c r="AH121" s="25">
        <f t="shared" si="10"/>
        <v>2.67</v>
      </c>
      <c r="AI121" s="25">
        <f t="shared" si="11"/>
        <v>1</v>
      </c>
    </row>
    <row r="122" ht="14.4" spans="1:35">
      <c r="A122" s="24" t="str">
        <f>'Ammo Input'!A122</f>
        <v>.50 BMG</v>
      </c>
      <c r="B122" t="str">
        <f>'Ammo Input'!B122</f>
        <v>Sabot</v>
      </c>
      <c r="C122">
        <f>ROUNDUP(('Ammo Input'!C122*(MAX('Ammo Input'!D122,'Ammo Input'!F122)*0.5)^2*PI())*3/1000000,2)</f>
        <v>0.14</v>
      </c>
      <c r="D122">
        <f>ROUNDUP(('Ammo Input'!E122+'Ammo Input'!H122*IF('Ammo Input'!J122&lt;&gt;"",MAX('Ammo Input'!J122,1),1))/1000,3)</f>
        <v>0.099</v>
      </c>
      <c r="E122">
        <f>MIN(5000,MAX(25,CEILING(Calcs!L122,_xlfn.IFS(Calcs!L122&lt;100,25,Calcs!L122&lt;250,50,Calcs!L122&lt;1000,250,Calcs!L122&gt;=1000,1000))))</f>
        <v>5000</v>
      </c>
      <c r="F122">
        <f>ROUNDUP('Ammo Input'!G122^(3/4),0)</f>
        <v>207</v>
      </c>
      <c r="G122">
        <f>ROUND((0.5*((IF(OR(B122="HEAT",B122="HEDP"),'Ammo Input'!N122,'Ammo Input'!H122)/1000)*(IF(B122="HEAT",9000,IF(B122="HEDP",1500,'Ammo Input'!G122))^2))),0)</f>
        <v>19444</v>
      </c>
      <c r="H122" s="25" t="str">
        <f>CONCATENATE(IF((B122="Foam")+(B122="Smoke"),"-",ROUND(Calcs!D122,0))," ",VLOOKUP(B122,AmmoTypeFactors,5,FALSE))</f>
        <v>20 Bullet</v>
      </c>
      <c r="I122" s="25" t="str">
        <f>IF(Calcs!E122=0,"None",CONCATENATE(ROUND(Calcs!E122,0)," ",VLOOKUP(B122,AmmoTypeFactors,6,FALSE)))</f>
        <v>None</v>
      </c>
      <c r="J122">
        <f>MROUND(2.42*'Ammo Input'!M122^(1/3)*VLOOKUP(B122,AmmoTypeFactors,3,FALSE),0.5)</f>
        <v>0</v>
      </c>
      <c r="K122" s="25" t="str">
        <f>IF(VLOOKUP(B122,AmmoTypeFactors,12,FALSE),MROUND(J122/3,0.5),"None")</f>
        <v>None</v>
      </c>
      <c r="L122" s="25">
        <f>IF(VLOOKUP(B122,AmmoTypeFactors,8,FALSE),"None",ROUNDUP(IF(Calcs!I122&gt;0,Calcs!I122,Calcs!H122),3))</f>
        <v>388.88</v>
      </c>
      <c r="M122" s="25">
        <f>IF(VLOOKUP(B122,AmmoTypeFactors,8,FALSE),"None",'Ammo Input'!L122)</f>
        <v>49</v>
      </c>
      <c r="N122">
        <f>'Ammo Input'!O122</f>
        <v>200</v>
      </c>
      <c r="O122" t="e">
        <f>ROUND((P122*0.0036+SUMPRODUCT(Q122:AB122,VLOOKUP($Q$1:$AB$1,IngredientStats,2,FALSE)))/N122*IF('Ammo Input'!R122,0.5,1),2)</f>
        <v>#VALUE!</v>
      </c>
      <c r="P122" t="e">
        <f>(SUMPRODUCT(Q122:AB122,VLOOKUP($Q$1:$AB$1,IngredientStats,4,FALSE))*VLOOKUP(B122,AmmoTypeFactors,14,FALSE)*IF('Ammo Input'!R122,1.1,1))</f>
        <v>#VALUE!</v>
      </c>
      <c r="Q122">
        <f>IFERROR(__xludf.DUMMYFUNCTION("((IF(NOT(OR(REGEXMATCH(B122, ""Arrow""), B122 = ""Javelin"", B122 = ""Stick bomb"")), ROUNDUP(('Ammo Input'!E122 / 1000) * N122)) + IF(VLOOKUP(B122, AmmoTypeFactors, 9, FALSE) = ""Steel"", ROUNDUP(('Ammo Input'!H122 -'Ammo Input'!M122) * MAX(IF('Ammo Inpu"&amp;"t'!J122 &gt; 0, 'Ammo Input'!J122, 1), 1) * N122 / 1000))) / 'Ingredient stats'!$C$2) * IF(ISBLANK(VLOOKUP(B122,AmmoTypeFactors,15,False)),1,VLOOKUP(B122,AmmoTypeFactors,15,False))"),30)</f>
        <v>30</v>
      </c>
      <c r="R122">
        <f>IFERROR(__xludf.DUMMYFUNCTION("ROUNDUP((IF(REGEXMATCH(B122, ""Arrow"") + (B122 = ""Javelin""), 'Ammo Input'!E122) + IF(VLOOKUP(B122, AmmoTypeFactors, 9, FALSE) = ""Wood"", 'Ammo Input'!H122) + IF(B122 = ""Stick bomb"", 'Ammo Input'!E122)) * N122 / 'Ingredient stats'!$C$12 / 1000)"),0)</f>
        <v>0</v>
      </c>
      <c r="S122">
        <v>6</v>
      </c>
      <c r="T122">
        <v>6</v>
      </c>
      <c r="U122">
        <f>IF(VLOOKUP(B122,AmmoTypeFactors,9,FALSE)="Plasteel",ROUNDUP(('Ammo Input'!H122*MAX(IF('Ammo Input'!J122&gt;0,'Ammo Input'!J122,1)*N122/1000/'Ingredient stats'!$C$4)),0),0)</f>
        <v>0</v>
      </c>
      <c r="V122">
        <f>IFERROR(__xludf.DUMMYFUNCTION("ROUNDUP(IF(ISBLANK(VLOOKUP(B122,AmmoTypeFactors,16,False)),1,VLOOKUP(B122,AmmoTypeFactors,16,False)) * (IFS(REGEXMATCH(B122, ""EMP""), 'Ammo Input'!M122 * N122 / 'Ingredient stats'!$C$5, REGEXMATCH(B122, ""Charge""), (U122^0.75), true, 0) + (IF(VLOOKUP(B1"&amp;"22, AmmoTypeFactors, 10, false), 2,0) + IF('Ammo Input'!P122, 2,0) + IF('Ammo Input'!Q122,MIN(ROUNDUP(0.2*('Ammo Input'!H122/1000)*'Ammo Input'!O122,0),20),0))))"),0)</f>
        <v>0</v>
      </c>
      <c r="W122">
        <v>0</v>
      </c>
      <c r="X122">
        <v>0</v>
      </c>
      <c r="Y122">
        <v>0</v>
      </c>
      <c r="Z122">
        <v>0</v>
      </c>
      <c r="AA122">
        <v>0</v>
      </c>
      <c r="AB122" s="30">
        <f>IF(B122="Sling Bullet (Stone)",ROUNDUP(D122*0.02*E122/'Ingredient stats'!$C$8,0),0)</f>
        <v>0</v>
      </c>
      <c r="AC122" t="str">
        <f t="shared" si="8"/>
        <v>None</v>
      </c>
      <c r="AD122" t="str">
        <f>IF(OR(B122="Buck",B122="Bird",B122="Charge (Scatter)"),'Ammo Input'!J122,"None")</f>
        <v>None</v>
      </c>
      <c r="AE122" t="str">
        <f>_xlfn.IFS(ISTEXT(Calcs!N122),Calcs!N122,Calcs!N122&lt;=40,Calcs!N122,Calcs!N122&gt;41,"40")</f>
        <v>None</v>
      </c>
      <c r="AF122" t="str">
        <f>_xlfn.IFS(ISTEXT(Calcs!O122),Calcs!O122,Calcs!O122&lt;=80,Calcs!O122,Calcs!O122&gt;=81,"80")</f>
        <v>None</v>
      </c>
      <c r="AG122" s="25">
        <f t="shared" si="9"/>
        <v>1</v>
      </c>
      <c r="AH122" s="25">
        <f t="shared" si="10"/>
        <v>3.39</v>
      </c>
      <c r="AI122" s="25">
        <f t="shared" si="11"/>
        <v>1</v>
      </c>
    </row>
    <row r="123" ht="14.4" spans="1:35">
      <c r="A123" s="24" t="str">
        <f>'Ammo Input'!A123</f>
        <v>.55 Boys</v>
      </c>
      <c r="B123" t="str">
        <f>'Ammo Input'!B123</f>
        <v>FMJ</v>
      </c>
      <c r="C123">
        <f>ROUNDUP(('Ammo Input'!C123*(MAX('Ammo Input'!D123,'Ammo Input'!F123)*0.5)^2*PI())*3/1000000,2)</f>
        <v>0.13</v>
      </c>
      <c r="D123">
        <f>ROUNDUP(('Ammo Input'!E123+'Ammo Input'!H123*IF('Ammo Input'!J123&lt;&gt;"",MAX('Ammo Input'!J123,1),1))/1000,3)</f>
        <v>0.133</v>
      </c>
      <c r="E123">
        <f>MIN(5000,MAX(25,CEILING(Calcs!L123,_xlfn.IFS(Calcs!L123&lt;100,25,Calcs!L123&lt;250,50,Calcs!L123&lt;1000,250,Calcs!L123&gt;=1000,1000))))</f>
        <v>5000</v>
      </c>
      <c r="F123">
        <f>ROUNDUP('Ammo Input'!G123^(3/4),0)</f>
        <v>163</v>
      </c>
      <c r="G123">
        <f>ROUND((0.5*((IF(OR(B123="HEAT",B123="HEDP"),'Ammo Input'!N123,'Ammo Input'!H123)/1000)*(IF(B123="HEAT",9000,IF(B123="HEDP",1500,'Ammo Input'!G123))^2))),0)</f>
        <v>23834</v>
      </c>
      <c r="H123" s="25" t="str">
        <f>CONCATENATE(IF((B123="Foam")+(B123="Smoke"),"-",ROUND(Calcs!D123,0))," ",VLOOKUP(B123,AmmoTypeFactors,5,FALSE))</f>
        <v>48 Bullet</v>
      </c>
      <c r="I123" s="25" t="str">
        <f>IF(Calcs!E123=0,"None",CONCATENATE(ROUND(Calcs!E123,0)," ",VLOOKUP(B123,AmmoTypeFactors,6,FALSE)))</f>
        <v>None</v>
      </c>
      <c r="J123">
        <f>MROUND(2.42*'Ammo Input'!M123^(1/3)*VLOOKUP(B123,AmmoTypeFactors,3,FALSE),0.5)</f>
        <v>0</v>
      </c>
      <c r="K123" s="25" t="str">
        <f>IF(VLOOKUP(B123,AmmoTypeFactors,12,FALSE),MROUND(J123/3,0.5),"None")</f>
        <v>None</v>
      </c>
      <c r="L123" s="25">
        <f>IF(VLOOKUP(B123,AmmoTypeFactors,8,FALSE),"None",ROUNDUP(IF(Calcs!I123&gt;0,Calcs!I123,Calcs!H123),3))</f>
        <v>476.68</v>
      </c>
      <c r="M123" s="25">
        <f>IF(VLOOKUP(B123,AmmoTypeFactors,8,FALSE),"None",'Ammo Input'!L123)</f>
        <v>12</v>
      </c>
      <c r="N123">
        <f>'Ammo Input'!O123</f>
        <v>200</v>
      </c>
      <c r="O123" t="e">
        <f>ROUND((P123*0.0036+SUMPRODUCT(Q123:AB123,VLOOKUP($Q$1:$AB$1,IngredientStats,2,FALSE)))/N123*IF('Ammo Input'!R123,0.5,1),2)</f>
        <v>#VALUE!</v>
      </c>
      <c r="P123" t="e">
        <f>(SUMPRODUCT(Q123:AB123,VLOOKUP($Q$1:$AB$1,IngredientStats,4,FALSE))*VLOOKUP(B123,AmmoTypeFactors,14,FALSE)*IF('Ammo Input'!R123,1.1,1))</f>
        <v>#VALUE!</v>
      </c>
      <c r="Q123">
        <f>IFERROR(__xludf.DUMMYFUNCTION("((IF(NOT(OR(REGEXMATCH(B123, ""Arrow""), B123 = ""Javelin"", B123 = ""Stick bomb"")), ROUNDUP(('Ammo Input'!E123 / 1000) * N123)) + IF(VLOOKUP(B123, AmmoTypeFactors, 9, FALSE) = ""Steel"", ROUNDUP(('Ammo Input'!H123 -'Ammo Input'!M123) * MAX(IF('Ammo Inpu"&amp;"t'!J123 &gt; 0, 'Ammo Input'!J123, 1), 1) * N123 / 1000))) / 'Ingredient stats'!$C$2) * IF(ISBLANK(VLOOKUP(B123,AmmoTypeFactors,15,False)),1,VLOOKUP(B123,AmmoTypeFactors,15,False))"),56)</f>
        <v>56</v>
      </c>
      <c r="R123">
        <f>IFERROR(__xludf.DUMMYFUNCTION("ROUNDUP((IF(REGEXMATCH(B123, ""Arrow"") + (B123 = ""Javelin""), 'Ammo Input'!E123) + IF(VLOOKUP(B123, AmmoTypeFactors, 9, FALSE) = ""Wood"", 'Ammo Input'!H123) + IF(B123 = ""Stick bomb"", 'Ammo Input'!E123)) * N123 / 'Ingredient stats'!$C$12 / 1000)"),0)</f>
        <v>0</v>
      </c>
      <c r="S123">
        <v>0</v>
      </c>
      <c r="T123">
        <v>0</v>
      </c>
      <c r="U123">
        <f>IF(VLOOKUP(B123,AmmoTypeFactors,9,FALSE)="Plasteel",ROUNDUP(('Ammo Input'!H123*MAX(IF('Ammo Input'!J123&gt;0,'Ammo Input'!J123,1)*N123/1000/'Ingredient stats'!$C$4)),0),0)</f>
        <v>0</v>
      </c>
      <c r="V123">
        <f>IFERROR(__xludf.DUMMYFUNCTION("ROUNDUP(IF(ISBLANK(VLOOKUP(B123,AmmoTypeFactors,16,False)),1,VLOOKUP(B123,AmmoTypeFactors,16,False)) * (IFS(REGEXMATCH(B123, ""EMP""), 'Ammo Input'!M123 * N123 / 'Ingredient stats'!$C$5, REGEXMATCH(B123, ""Charge""), (U123^0.75), true, 0) + (IF(VLOOKUP(B1"&amp;"23, AmmoTypeFactors, 10, false), 2,0) + IF('Ammo Input'!P123, 2,0) + IF('Ammo Input'!Q123,MIN(ROUNDUP(0.2*('Ammo Input'!H123/1000)*'Ammo Input'!O123,0),20),0))))"),0)</f>
        <v>0</v>
      </c>
      <c r="W123">
        <v>0</v>
      </c>
      <c r="X123">
        <v>0</v>
      </c>
      <c r="Y123">
        <v>0</v>
      </c>
      <c r="Z123">
        <v>0</v>
      </c>
      <c r="AA123">
        <v>0</v>
      </c>
      <c r="AB123" s="30">
        <f>IF(B123="Sling Bullet (Stone)",ROUNDUP(D123*0.02*E123/'Ingredient stats'!$C$8,0),0)</f>
        <v>0</v>
      </c>
      <c r="AC123" t="str">
        <f t="shared" si="8"/>
        <v>None</v>
      </c>
      <c r="AD123" t="str">
        <f>IF(OR(B123="Buck",B123="Bird",B123="Charge (Scatter)"),'Ammo Input'!J123,"None")</f>
        <v>None</v>
      </c>
      <c r="AE123" t="str">
        <f>_xlfn.IFS(ISTEXT(Calcs!N123),Calcs!N123,Calcs!N123&lt;=40,Calcs!N123,Calcs!N123&gt;41,"40")</f>
        <v>None</v>
      </c>
      <c r="AF123" t="str">
        <f>_xlfn.IFS(ISTEXT(Calcs!O123),Calcs!O123,Calcs!O123&lt;=80,Calcs!O123,Calcs!O123&gt;=81,"80")</f>
        <v>None</v>
      </c>
      <c r="AG123" s="25">
        <f t="shared" si="9"/>
        <v>1</v>
      </c>
      <c r="AH123" s="25">
        <f t="shared" si="10"/>
        <v>2.67</v>
      </c>
      <c r="AI123" s="25">
        <f t="shared" si="11"/>
        <v>1</v>
      </c>
    </row>
    <row r="124" ht="14.4" spans="1:35">
      <c r="A124" s="24" t="str">
        <f>'Ammo Input'!A124</f>
        <v>.55 Boys</v>
      </c>
      <c r="B124" t="str">
        <f>'Ammo Input'!B124</f>
        <v>AP</v>
      </c>
      <c r="C124">
        <f>ROUNDUP(('Ammo Input'!C124*(MAX('Ammo Input'!D124,'Ammo Input'!F124)*0.5)^2*PI())*3/1000000,2)</f>
        <v>0.13</v>
      </c>
      <c r="D124">
        <f>ROUNDUP(('Ammo Input'!E124+'Ammo Input'!H124*IF('Ammo Input'!J124&lt;&gt;"",MAX('Ammo Input'!J124,1),1))/1000,3)</f>
        <v>0.133</v>
      </c>
      <c r="E124">
        <f>MIN(5000,MAX(25,CEILING(Calcs!L124,_xlfn.IFS(Calcs!L124&lt;100,25,Calcs!L124&lt;250,50,Calcs!L124&lt;1000,250,Calcs!L124&gt;=1000,1000))))</f>
        <v>5000</v>
      </c>
      <c r="F124">
        <f>ROUNDUP('Ammo Input'!G124^(3/4),0)</f>
        <v>163</v>
      </c>
      <c r="G124">
        <f>ROUND((0.5*((IF(OR(B124="HEAT",B124="HEDP"),'Ammo Input'!N124,'Ammo Input'!H124)/1000)*(IF(B124="HEAT",9000,IF(B124="HEDP",1500,'Ammo Input'!G124))^2))),0)</f>
        <v>23834</v>
      </c>
      <c r="H124" s="25" t="str">
        <f>CONCATENATE(IF((B124="Foam")+(B124="Smoke"),"-",ROUND(Calcs!D124,0))," ",VLOOKUP(B124,AmmoTypeFactors,5,FALSE))</f>
        <v>30 Bullet</v>
      </c>
      <c r="I124" s="25" t="str">
        <f>IF(Calcs!E124=0,"None",CONCATENATE(ROUND(Calcs!E124,0)," ",VLOOKUP(B124,AmmoTypeFactors,6,FALSE)))</f>
        <v>None</v>
      </c>
      <c r="J124">
        <f>MROUND(2.42*'Ammo Input'!M124^(1/3)*VLOOKUP(B124,AmmoTypeFactors,3,FALSE),0.5)</f>
        <v>0</v>
      </c>
      <c r="K124" s="25" t="str">
        <f>IF(VLOOKUP(B124,AmmoTypeFactors,12,FALSE),MROUND(J124/3,0.5),"None")</f>
        <v>None</v>
      </c>
      <c r="L124" s="25">
        <f>IF(VLOOKUP(B124,AmmoTypeFactors,8,FALSE),"None",ROUNDUP(IF(Calcs!I124&gt;0,Calcs!I124,Calcs!H124),3))</f>
        <v>476.68</v>
      </c>
      <c r="M124" s="25">
        <f>IF(VLOOKUP(B124,AmmoTypeFactors,8,FALSE),"None",'Ammo Input'!L124)</f>
        <v>24</v>
      </c>
      <c r="N124">
        <f>'Ammo Input'!O124</f>
        <v>200</v>
      </c>
      <c r="O124" t="e">
        <f>ROUND((P124*0.0036+SUMPRODUCT(Q124:AB124,VLOOKUP($Q$1:$AB$1,IngredientStats,2,FALSE)))/N124*IF('Ammo Input'!R124,0.5,1),2)</f>
        <v>#VALUE!</v>
      </c>
      <c r="P124" t="e">
        <f>(SUMPRODUCT(Q124:AB124,VLOOKUP($Q$1:$AB$1,IngredientStats,4,FALSE))*VLOOKUP(B124,AmmoTypeFactors,14,FALSE)*IF('Ammo Input'!R124,1.1,1))</f>
        <v>#VALUE!</v>
      </c>
      <c r="Q124">
        <f>IFERROR(__xludf.DUMMYFUNCTION("((IF(NOT(OR(REGEXMATCH(B124, ""Arrow""), B124 = ""Javelin"", B124 = ""Stick bomb"")), ROUNDUP(('Ammo Input'!E124 / 1000) * N124)) + IF(VLOOKUP(B124, AmmoTypeFactors, 9, FALSE) = ""Steel"", ROUNDUP(('Ammo Input'!H124 -'Ammo Input'!M124) * MAX(IF('Ammo Inpu"&amp;"t'!J124 &gt; 0, 'Ammo Input'!J124, 1), 1) * N124 / 1000))) / 'Ingredient stats'!$C$2) * IF(ISBLANK(VLOOKUP(B124,AmmoTypeFactors,15,False)),1,VLOOKUP(B124,AmmoTypeFactors,15,False))"),56)</f>
        <v>56</v>
      </c>
      <c r="R124">
        <f>IFERROR(__xludf.DUMMYFUNCTION("ROUNDUP((IF(REGEXMATCH(B124, ""Arrow"") + (B124 = ""Javelin""), 'Ammo Input'!E124) + IF(VLOOKUP(B124, AmmoTypeFactors, 9, FALSE) = ""Wood"", 'Ammo Input'!H124) + IF(B124 = ""Stick bomb"", 'Ammo Input'!E124)) * N124 / 'Ingredient stats'!$C$12 / 1000)"),0)</f>
        <v>0</v>
      </c>
      <c r="S124">
        <v>0</v>
      </c>
      <c r="T124">
        <v>0</v>
      </c>
      <c r="U124">
        <f>IF(VLOOKUP(B124,AmmoTypeFactors,9,FALSE)="Plasteel",ROUNDUP(('Ammo Input'!H124*MAX(IF('Ammo Input'!J124&gt;0,'Ammo Input'!J124,1)*N124/1000/'Ingredient stats'!$C$4)),0),0)</f>
        <v>0</v>
      </c>
      <c r="V124">
        <f>IFERROR(__xludf.DUMMYFUNCTION("ROUNDUP(IF(ISBLANK(VLOOKUP(B124,AmmoTypeFactors,16,False)),1,VLOOKUP(B124,AmmoTypeFactors,16,False)) * (IFS(REGEXMATCH(B124, ""EMP""), 'Ammo Input'!M124 * N124 / 'Ingredient stats'!$C$5, REGEXMATCH(B124, ""Charge""), (U124^0.75), true, 0) + (IF(VLOOKUP(B1"&amp;"24, AmmoTypeFactors, 10, false), 2,0) + IF('Ammo Input'!P124, 2,0) + IF('Ammo Input'!Q124,MIN(ROUNDUP(0.2*('Ammo Input'!H124/1000)*'Ammo Input'!O124,0),20),0))))"),0)</f>
        <v>0</v>
      </c>
      <c r="W124">
        <v>0</v>
      </c>
      <c r="X124">
        <v>0</v>
      </c>
      <c r="Y124">
        <v>0</v>
      </c>
      <c r="Z124">
        <v>0</v>
      </c>
      <c r="AA124">
        <v>0</v>
      </c>
      <c r="AB124" s="30">
        <f>IF(B124="Sling Bullet (Stone)",ROUNDUP(D124*0.02*E124/'Ingredient stats'!$C$8,0),0)</f>
        <v>0</v>
      </c>
      <c r="AC124" t="str">
        <f t="shared" si="8"/>
        <v>None</v>
      </c>
      <c r="AD124" t="str">
        <f>IF(OR(B124="Buck",B124="Bird",B124="Charge (Scatter)"),'Ammo Input'!J124,"None")</f>
        <v>None</v>
      </c>
      <c r="AE124" t="str">
        <f>_xlfn.IFS(ISTEXT(Calcs!N124),Calcs!N124,Calcs!N124&lt;=40,Calcs!N124,Calcs!N124&gt;41,"40")</f>
        <v>None</v>
      </c>
      <c r="AF124" t="str">
        <f>_xlfn.IFS(ISTEXT(Calcs!O124),Calcs!O124,Calcs!O124&lt;=80,Calcs!O124,Calcs!O124&gt;=81,"80")</f>
        <v>None</v>
      </c>
      <c r="AG124" s="25">
        <f t="shared" si="9"/>
        <v>1</v>
      </c>
      <c r="AH124" s="25">
        <f t="shared" si="10"/>
        <v>2.67</v>
      </c>
      <c r="AI124" s="25">
        <f t="shared" si="11"/>
        <v>1</v>
      </c>
    </row>
    <row r="125" ht="14.4" spans="1:35">
      <c r="A125" s="24" t="str">
        <f>'Ammo Input'!A125</f>
        <v>.55 Boys</v>
      </c>
      <c r="B125" t="str">
        <f>'Ammo Input'!B125</f>
        <v>AP-I</v>
      </c>
      <c r="C125">
        <f>ROUNDUP(('Ammo Input'!C125*(MAX('Ammo Input'!D125,'Ammo Input'!F125)*0.5)^2*PI())*3/1000000,2)</f>
        <v>0.13</v>
      </c>
      <c r="D125">
        <f>ROUNDUP(('Ammo Input'!E125+'Ammo Input'!H125*IF('Ammo Input'!J125&lt;&gt;"",MAX('Ammo Input'!J125,1),1))/1000,3)</f>
        <v>0.133</v>
      </c>
      <c r="E125">
        <f>MIN(5000,MAX(25,CEILING(Calcs!L125,_xlfn.IFS(Calcs!L125&lt;100,25,Calcs!L125&lt;250,50,Calcs!L125&lt;1000,250,Calcs!L125&gt;=1000,1000))))</f>
        <v>5000</v>
      </c>
      <c r="F125">
        <f>ROUNDUP('Ammo Input'!G125^(3/4),0)</f>
        <v>163</v>
      </c>
      <c r="G125">
        <f>ROUND((0.5*((IF(OR(B125="HEAT",B125="HEDP"),'Ammo Input'!N125,'Ammo Input'!H125)/1000)*(IF(B125="HEAT",9000,IF(B125="HEDP",1500,'Ammo Input'!G125))^2))),0)</f>
        <v>23834</v>
      </c>
      <c r="H125" s="25" t="str">
        <f>CONCATENATE(IF((B125="Foam")+(B125="Smoke"),"-",ROUND(Calcs!D125,0))," ",VLOOKUP(B125,AmmoTypeFactors,5,FALSE))</f>
        <v>30 Bullet</v>
      </c>
      <c r="I125" s="25" t="str">
        <f>IF(Calcs!E125=0,"None",CONCATENATE(ROUND(Calcs!E125,0)," ",VLOOKUP(B125,AmmoTypeFactors,6,FALSE)))</f>
        <v>17 Flame_Secondary</v>
      </c>
      <c r="J125">
        <f>MROUND(2.42*'Ammo Input'!M125^(1/3)*VLOOKUP(B125,AmmoTypeFactors,3,FALSE),0.5)</f>
        <v>0</v>
      </c>
      <c r="K125" s="25" t="str">
        <f>IF(VLOOKUP(B125,AmmoTypeFactors,12,FALSE),MROUND(J125/3,0.5),"None")</f>
        <v>None</v>
      </c>
      <c r="L125" s="25">
        <f>IF(VLOOKUP(B125,AmmoTypeFactors,8,FALSE),"None",ROUNDUP(IF(Calcs!I125&gt;0,Calcs!I125,Calcs!H125),3))</f>
        <v>476.68</v>
      </c>
      <c r="M125" s="25">
        <f>IF(VLOOKUP(B125,AmmoTypeFactors,8,FALSE),"None",'Ammo Input'!L125)</f>
        <v>24</v>
      </c>
      <c r="N125">
        <f>'Ammo Input'!O125</f>
        <v>200</v>
      </c>
      <c r="O125" t="e">
        <f>ROUND((P125*0.0036+SUMPRODUCT(Q125:AB125,VLOOKUP($Q$1:$AB$1,IngredientStats,2,FALSE)))/N125*IF('Ammo Input'!R125,0.5,1),2)</f>
        <v>#VALUE!</v>
      </c>
      <c r="P125" t="e">
        <f>(SUMPRODUCT(Q125:AB125,VLOOKUP($Q$1:$AB$1,IngredientStats,4,FALSE))*VLOOKUP(B125,AmmoTypeFactors,14,FALSE)*IF('Ammo Input'!R125,1.1,1))</f>
        <v>#VALUE!</v>
      </c>
      <c r="Q125">
        <f>IFERROR(__xludf.DUMMYFUNCTION("((IF(NOT(OR(REGEXMATCH(B125, ""Arrow""), B125 = ""Javelin"", B125 = ""Stick bomb"")), ROUNDUP(('Ammo Input'!E125 / 1000) * N125)) + IF(VLOOKUP(B125, AmmoTypeFactors, 9, FALSE) = ""Steel"", ROUNDUP(('Ammo Input'!H125 -'Ammo Input'!M125) * MAX(IF('Ammo Inpu"&amp;"t'!J125 &gt; 0, 'Ammo Input'!J125, 1), 1) * N125 / 1000))) / 'Ingredient stats'!$C$2) * IF(ISBLANK(VLOOKUP(B125,AmmoTypeFactors,15,False)),1,VLOOKUP(B125,AmmoTypeFactors,15,False))"),56)</f>
        <v>56</v>
      </c>
      <c r="R125">
        <f>IFERROR(__xludf.DUMMYFUNCTION("ROUNDUP((IF(REGEXMATCH(B125, ""Arrow"") + (B125 = ""Javelin""), 'Ammo Input'!E125) + IF(VLOOKUP(B125, AmmoTypeFactors, 9, FALSE) = ""Wood"", 'Ammo Input'!H125) + IF(B125 = ""Stick bomb"", 'Ammo Input'!E125)) * N125 / 'Ingredient stats'!$C$12 / 1000)"),0)</f>
        <v>0</v>
      </c>
      <c r="S125">
        <v>0</v>
      </c>
      <c r="T125">
        <v>0</v>
      </c>
      <c r="U125">
        <f>IF(VLOOKUP(B125,AmmoTypeFactors,9,FALSE)="Plasteel",ROUNDUP(('Ammo Input'!H125*MAX(IF('Ammo Input'!J125&gt;0,'Ammo Input'!J125,1)*N125/1000/'Ingredient stats'!$C$4)),0),0)</f>
        <v>0</v>
      </c>
      <c r="V125">
        <f>IFERROR(__xludf.DUMMYFUNCTION("ROUNDUP(IF(ISBLANK(VLOOKUP(B125,AmmoTypeFactors,16,False)),1,VLOOKUP(B125,AmmoTypeFactors,16,False)) * (IFS(REGEXMATCH(B125, ""EMP""), 'Ammo Input'!M125 * N125 / 'Ingredient stats'!$C$5, REGEXMATCH(B125, ""Charge""), (U125^0.75), true, 0) + (IF(VLOOKUP(B1"&amp;"25, AmmoTypeFactors, 10, false), 2,0) + IF('Ammo Input'!P125, 2,0) + IF('Ammo Input'!Q125,MIN(ROUNDUP(0.2*('Ammo Input'!H125/1000)*'Ammo Input'!O125,0),20),0))))"),0)</f>
        <v>0</v>
      </c>
      <c r="W125">
        <v>6</v>
      </c>
      <c r="X125">
        <v>0</v>
      </c>
      <c r="Y125">
        <v>0</v>
      </c>
      <c r="Z125">
        <v>0</v>
      </c>
      <c r="AA125">
        <v>0</v>
      </c>
      <c r="AB125" s="30">
        <f>IF(B125="Sling Bullet (Stone)",ROUNDUP(D125*0.02*E125/'Ingredient stats'!$C$8,0),0)</f>
        <v>0</v>
      </c>
      <c r="AC125" t="str">
        <f t="shared" si="8"/>
        <v>None</v>
      </c>
      <c r="AD125" t="str">
        <f>IF(OR(B125="Buck",B125="Bird",B125="Charge (Scatter)"),'Ammo Input'!J125,"None")</f>
        <v>None</v>
      </c>
      <c r="AE125" t="str">
        <f>_xlfn.IFS(ISTEXT(Calcs!N125),Calcs!N125,Calcs!N125&lt;=40,Calcs!N125,Calcs!N125&gt;41,"40")</f>
        <v>None</v>
      </c>
      <c r="AF125" t="str">
        <f>_xlfn.IFS(ISTEXT(Calcs!O125),Calcs!O125,Calcs!O125&lt;=80,Calcs!O125,Calcs!O125&gt;=81,"80")</f>
        <v>None</v>
      </c>
      <c r="AG125" s="25">
        <f t="shared" si="9"/>
        <v>1</v>
      </c>
      <c r="AH125" s="25">
        <f t="shared" si="10"/>
        <v>2.67</v>
      </c>
      <c r="AI125" s="25">
        <f t="shared" si="11"/>
        <v>1</v>
      </c>
    </row>
    <row r="126" ht="14.4" spans="1:35">
      <c r="A126" s="24" t="str">
        <f>'Ammo Input'!A126</f>
        <v>.55 Boys</v>
      </c>
      <c r="B126" t="str">
        <f>'Ammo Input'!B126</f>
        <v>AP-HE</v>
      </c>
      <c r="C126">
        <f>ROUNDUP(('Ammo Input'!C126*(MAX('Ammo Input'!D126,'Ammo Input'!F126)*0.5)^2*PI())*3/1000000,2)</f>
        <v>0.13</v>
      </c>
      <c r="D126">
        <f>ROUNDUP(('Ammo Input'!E126+'Ammo Input'!H126*IF('Ammo Input'!J126&lt;&gt;"",MAX('Ammo Input'!J126,1),1))/1000,3)</f>
        <v>0.133</v>
      </c>
      <c r="E126">
        <f>MIN(5000,MAX(25,CEILING(Calcs!L126,_xlfn.IFS(Calcs!L126&lt;100,25,Calcs!L126&lt;250,50,Calcs!L126&lt;1000,250,Calcs!L126&gt;=1000,1000))))</f>
        <v>5000</v>
      </c>
      <c r="F126">
        <f>ROUNDUP('Ammo Input'!G126^(3/4),0)</f>
        <v>163</v>
      </c>
      <c r="G126">
        <f>ROUND((0.5*((IF(OR(B126="HEAT",B126="HEDP"),'Ammo Input'!N126,'Ammo Input'!H126)/1000)*(IF(B126="HEAT",9000,IF(B126="HEDP",1500,'Ammo Input'!G126))^2))),0)</f>
        <v>23834</v>
      </c>
      <c r="H126" s="25" t="str">
        <f>CONCATENATE(IF((B126="Foam")+(B126="Smoke"),"-",ROUND(Calcs!D126,0))," ",VLOOKUP(B126,AmmoTypeFactors,5,FALSE))</f>
        <v>48 Bullet</v>
      </c>
      <c r="I126" s="25" t="str">
        <f>IF(Calcs!E126=0,"None",CONCATENATE(ROUND(Calcs!E126,0)," ",VLOOKUP(B126,AmmoTypeFactors,6,FALSE)))</f>
        <v>23 Bomb_Secondary</v>
      </c>
      <c r="J126">
        <f>MROUND(2.42*'Ammo Input'!M126^(1/3)*VLOOKUP(B126,AmmoTypeFactors,3,FALSE),0.5)</f>
        <v>0</v>
      </c>
      <c r="K126" s="25" t="str">
        <f>IF(VLOOKUP(B126,AmmoTypeFactors,12,FALSE),MROUND(J126/3,0.5),"None")</f>
        <v>None</v>
      </c>
      <c r="L126" s="25">
        <f>IF(VLOOKUP(B126,AmmoTypeFactors,8,FALSE),"None",ROUNDUP(IF(Calcs!I126&gt;0,Calcs!I126,Calcs!H126),3))</f>
        <v>476.68</v>
      </c>
      <c r="M126" s="25">
        <f>IF(VLOOKUP(B126,AmmoTypeFactors,8,FALSE),"None",'Ammo Input'!L126)</f>
        <v>12</v>
      </c>
      <c r="N126">
        <f>'Ammo Input'!O126</f>
        <v>200</v>
      </c>
      <c r="O126" t="e">
        <f>ROUND((P126*0.0036+SUMPRODUCT(Q126:AB126,VLOOKUP($Q$1:$AB$1,IngredientStats,2,FALSE)))/N126*IF('Ammo Input'!R126,0.5,1),2)</f>
        <v>#VALUE!</v>
      </c>
      <c r="P126" t="e">
        <f>(SUMPRODUCT(Q126:AB126,VLOOKUP($Q$1:$AB$1,IngredientStats,4,FALSE))*VLOOKUP(B126,AmmoTypeFactors,14,FALSE)*IF('Ammo Input'!R126,1.1,1))</f>
        <v>#VALUE!</v>
      </c>
      <c r="Q126">
        <f>IFERROR(__xludf.DUMMYFUNCTION("((IF(NOT(OR(REGEXMATCH(B126, ""Arrow""), B126 = ""Javelin"", B126 = ""Stick bomb"")), ROUNDUP(('Ammo Input'!E126 / 1000) * N126)) + IF(VLOOKUP(B126, AmmoTypeFactors, 9, FALSE) = ""Steel"", ROUNDUP(('Ammo Input'!H126 -'Ammo Input'!M126) * MAX(IF('Ammo Inpu"&amp;"t'!J126 &gt; 0, 'Ammo Input'!J126, 1), 1) * N126 / 1000))) / 'Ingredient stats'!$C$2) * IF(ISBLANK(VLOOKUP(B126,AmmoTypeFactors,15,False)),1,VLOOKUP(B126,AmmoTypeFactors,15,False))"),56)</f>
        <v>56</v>
      </c>
      <c r="R126">
        <f>IFERROR(__xludf.DUMMYFUNCTION("ROUNDUP((IF(REGEXMATCH(B126, ""Arrow"") + (B126 = ""Javelin""), 'Ammo Input'!E126) + IF(VLOOKUP(B126, AmmoTypeFactors, 9, FALSE) = ""Wood"", 'Ammo Input'!H126) + IF(B126 = ""Stick bomb"", 'Ammo Input'!E126)) * N126 / 'Ingredient stats'!$C$12 / 1000)"),0)</f>
        <v>0</v>
      </c>
      <c r="S126">
        <v>0</v>
      </c>
      <c r="T126">
        <v>0</v>
      </c>
      <c r="U126">
        <f>IF(VLOOKUP(B126,AmmoTypeFactors,9,FALSE)="Plasteel",ROUNDUP(('Ammo Input'!H126*MAX(IF('Ammo Input'!J126&gt;0,'Ammo Input'!J126,1)*N126/1000/'Ingredient stats'!$C$4)),0),0)</f>
        <v>0</v>
      </c>
      <c r="V126">
        <f>IFERROR(__xludf.DUMMYFUNCTION("ROUNDUP(IF(ISBLANK(VLOOKUP(B126,AmmoTypeFactors,16,False)),1,VLOOKUP(B126,AmmoTypeFactors,16,False)) * (IFS(REGEXMATCH(B126, ""EMP""), 'Ammo Input'!M126 * N126 / 'Ingredient stats'!$C$5, REGEXMATCH(B126, ""Charge""), (U126^0.75), true, 0) + (IF(VLOOKUP(B1"&amp;"26, AmmoTypeFactors, 10, false), 2,0) + IF('Ammo Input'!P126, 2,0) + IF('Ammo Input'!Q126,MIN(ROUNDUP(0.2*('Ammo Input'!H126/1000)*'Ammo Input'!O126,0),20),0))))"),0)</f>
        <v>0</v>
      </c>
      <c r="W126">
        <v>0</v>
      </c>
      <c r="X126">
        <v>13</v>
      </c>
      <c r="Y126">
        <v>0</v>
      </c>
      <c r="Z126">
        <v>0</v>
      </c>
      <c r="AA126">
        <v>0</v>
      </c>
      <c r="AB126" s="30">
        <f>IF(B126="Sling Bullet (Stone)",ROUNDUP(D126*0.02*E126/'Ingredient stats'!$C$8,0),0)</f>
        <v>0</v>
      </c>
      <c r="AC126" t="str">
        <f t="shared" si="8"/>
        <v>None</v>
      </c>
      <c r="AD126" t="str">
        <f>IF(OR(B126="Buck",B126="Bird",B126="Charge (Scatter)"),'Ammo Input'!J126,"None")</f>
        <v>None</v>
      </c>
      <c r="AE126" t="str">
        <f>_xlfn.IFS(ISTEXT(Calcs!N126),Calcs!N126,Calcs!N126&lt;=40,Calcs!N126,Calcs!N126&gt;41,"40")</f>
        <v>None</v>
      </c>
      <c r="AF126" t="str">
        <f>_xlfn.IFS(ISTEXT(Calcs!O126),Calcs!O126,Calcs!O126&lt;=80,Calcs!O126,Calcs!O126&gt;=81,"80")</f>
        <v>None</v>
      </c>
      <c r="AG126" s="25">
        <f t="shared" si="9"/>
        <v>1</v>
      </c>
      <c r="AH126" s="25">
        <f t="shared" si="10"/>
        <v>2.67</v>
      </c>
      <c r="AI126" s="25">
        <f t="shared" si="11"/>
        <v>1</v>
      </c>
    </row>
    <row r="127" ht="14.4" spans="1:35">
      <c r="A127" s="24" t="str">
        <f>'Ammo Input'!A127</f>
        <v>.55 Boys</v>
      </c>
      <c r="B127" t="str">
        <f>'Ammo Input'!B127</f>
        <v>Sabot</v>
      </c>
      <c r="C127">
        <f>ROUNDUP(('Ammo Input'!C127*(MAX('Ammo Input'!D127,'Ammo Input'!F127)*0.5)^2*PI())*3/1000000,2)</f>
        <v>0.13</v>
      </c>
      <c r="D127">
        <f>ROUNDUP(('Ammo Input'!E127+'Ammo Input'!H127*IF('Ammo Input'!J127&lt;&gt;"",MAX('Ammo Input'!J127,1),1))/1000,3)</f>
        <v>0.107</v>
      </c>
      <c r="E127">
        <f>MIN(5000,MAX(25,CEILING(Calcs!L127,_xlfn.IFS(Calcs!L127&lt;100,25,Calcs!L127&lt;250,50,Calcs!L127&lt;1000,250,Calcs!L127&gt;=1000,1000))))</f>
        <v>5000</v>
      </c>
      <c r="F127">
        <f>ROUNDUP('Ammo Input'!G127^(3/4),0)</f>
        <v>220</v>
      </c>
      <c r="G127">
        <f>ROUND((0.5*((IF(OR(B127="HEAT",B127="HEDP"),'Ammo Input'!N127,'Ammo Input'!H127)/1000)*(IF(B127="HEAT",9000,IF(B127="HEDP",1500,'Ammo Input'!G127))^2))),0)</f>
        <v>30568</v>
      </c>
      <c r="H127" s="25" t="str">
        <f>CONCATENATE(IF((B127="Foam")+(B127="Smoke"),"-",ROUND(Calcs!D127,0))," ",VLOOKUP(B127,AmmoTypeFactors,5,FALSE))</f>
        <v>25 Bullet</v>
      </c>
      <c r="I127" s="25" t="str">
        <f>IF(Calcs!E127=0,"None",CONCATENATE(ROUND(Calcs!E127,0)," ",VLOOKUP(B127,AmmoTypeFactors,6,FALSE)))</f>
        <v>None</v>
      </c>
      <c r="J127">
        <f>MROUND(2.42*'Ammo Input'!M127^(1/3)*VLOOKUP(B127,AmmoTypeFactors,3,FALSE),0.5)</f>
        <v>0</v>
      </c>
      <c r="K127" s="25" t="str">
        <f>IF(VLOOKUP(B127,AmmoTypeFactors,12,FALSE),MROUND(J127/3,0.5),"None")</f>
        <v>None</v>
      </c>
      <c r="L127" s="25">
        <f>IF(VLOOKUP(B127,AmmoTypeFactors,8,FALSE),"None",ROUNDUP(IF(Calcs!I127&gt;0,Calcs!I127,Calcs!H127),3))</f>
        <v>611.36</v>
      </c>
      <c r="M127" s="25">
        <f>IF(VLOOKUP(B127,AmmoTypeFactors,8,FALSE),"None",'Ammo Input'!L127)</f>
        <v>42</v>
      </c>
      <c r="N127">
        <f>'Ammo Input'!O127</f>
        <v>200</v>
      </c>
      <c r="O127" t="e">
        <f>ROUND((P127*0.0036+SUMPRODUCT(Q127:AB127,VLOOKUP($Q$1:$AB$1,IngredientStats,2,FALSE)))/N127*IF('Ammo Input'!R127,0.5,1),2)</f>
        <v>#VALUE!</v>
      </c>
      <c r="P127" t="e">
        <f>(SUMPRODUCT(Q127:AB127,VLOOKUP($Q$1:$AB$1,IngredientStats,4,FALSE))*VLOOKUP(B127,AmmoTypeFactors,14,FALSE)*IF('Ammo Input'!R127,1.1,1))</f>
        <v>#VALUE!</v>
      </c>
      <c r="Q127">
        <f>IFERROR(__xludf.DUMMYFUNCTION("((IF(NOT(OR(REGEXMATCH(B127, ""Arrow""), B127 = ""Javelin"", B127 = ""Stick bomb"")), ROUNDUP(('Ammo Input'!E127 / 1000) * N127)) + IF(VLOOKUP(B127, AmmoTypeFactors, 9, FALSE) = ""Steel"", ROUNDUP(('Ammo Input'!H127 -'Ammo Input'!M127) * MAX(IF('Ammo Inpu"&amp;"t'!J127 &gt; 0, 'Ammo Input'!J127, 1), 1) * N127 / 1000))) / 'Ingredient stats'!$C$2) * IF(ISBLANK(VLOOKUP(B127,AmmoTypeFactors,15,False)),1,VLOOKUP(B127,AmmoTypeFactors,15,False))"),30)</f>
        <v>30</v>
      </c>
      <c r="R127">
        <f>IFERROR(__xludf.DUMMYFUNCTION("ROUNDUP((IF(REGEXMATCH(B127, ""Arrow"") + (B127 = ""Javelin""), 'Ammo Input'!E127) + IF(VLOOKUP(B127, AmmoTypeFactors, 9, FALSE) = ""Wood"", 'Ammo Input'!H127) + IF(B127 = ""Stick bomb"", 'Ammo Input'!E127)) * N127 / 'Ingredient stats'!$C$12 / 1000)"),0)</f>
        <v>0</v>
      </c>
      <c r="S127">
        <v>7</v>
      </c>
      <c r="T127">
        <v>7</v>
      </c>
      <c r="U127">
        <f>IF(VLOOKUP(B127,AmmoTypeFactors,9,FALSE)="Plasteel",ROUNDUP(('Ammo Input'!H127*MAX(IF('Ammo Input'!J127&gt;0,'Ammo Input'!J127,1)*N127/1000/'Ingredient stats'!$C$4)),0),0)</f>
        <v>0</v>
      </c>
      <c r="V127">
        <f>IFERROR(__xludf.DUMMYFUNCTION("ROUNDUP(IF(ISBLANK(VLOOKUP(B127,AmmoTypeFactors,16,False)),1,VLOOKUP(B127,AmmoTypeFactors,16,False)) * (IFS(REGEXMATCH(B127, ""EMP""), 'Ammo Input'!M127 * N127 / 'Ingredient stats'!$C$5, REGEXMATCH(B127, ""Charge""), (U127^0.75), true, 0) + (IF(VLOOKUP(B1"&amp;"27, AmmoTypeFactors, 10, false), 2,0) + IF('Ammo Input'!P127, 2,0) + IF('Ammo Input'!Q127,MIN(ROUNDUP(0.2*('Ammo Input'!H127/1000)*'Ammo Input'!O127,0),20),0))))"),0)</f>
        <v>0</v>
      </c>
      <c r="W127">
        <v>0</v>
      </c>
      <c r="X127">
        <v>0</v>
      </c>
      <c r="Y127">
        <v>0</v>
      </c>
      <c r="Z127">
        <v>0</v>
      </c>
      <c r="AA127">
        <v>0</v>
      </c>
      <c r="AB127" s="30">
        <f>IF(B127="Sling Bullet (Stone)",ROUNDUP(D127*0.02*E127/'Ingredient stats'!$C$8,0),0)</f>
        <v>0</v>
      </c>
      <c r="AC127" t="str">
        <f t="shared" si="8"/>
        <v>None</v>
      </c>
      <c r="AD127" t="str">
        <f>IF(OR(B127="Buck",B127="Bird",B127="Charge (Scatter)"),'Ammo Input'!J127,"None")</f>
        <v>None</v>
      </c>
      <c r="AE127" t="str">
        <f>_xlfn.IFS(ISTEXT(Calcs!N127),Calcs!N127,Calcs!N127&lt;=40,Calcs!N127,Calcs!N127&gt;41,"40")</f>
        <v>None</v>
      </c>
      <c r="AF127" t="str">
        <f>_xlfn.IFS(ISTEXT(Calcs!O127),Calcs!O127,Calcs!O127&lt;=80,Calcs!O127,Calcs!O127&gt;=81,"80")</f>
        <v>None</v>
      </c>
      <c r="AG127" s="25">
        <f t="shared" si="9"/>
        <v>1</v>
      </c>
      <c r="AH127" s="25">
        <f t="shared" si="10"/>
        <v>3.57</v>
      </c>
      <c r="AI127" s="25">
        <f t="shared" si="11"/>
        <v>1</v>
      </c>
    </row>
    <row r="128" ht="14.4" spans="1:35">
      <c r="A128" s="24" t="str">
        <f>'Ammo Input'!A128</f>
        <v>7.92x94mm Patronen</v>
      </c>
      <c r="B128" t="str">
        <f>'Ammo Input'!B128</f>
        <v>FMJ</v>
      </c>
      <c r="C128">
        <f>ROUNDUP(('Ammo Input'!C128*(MAX('Ammo Input'!D128,'Ammo Input'!F128)*0.5)^2*PI())*3/1000000,2)</f>
        <v>0.13</v>
      </c>
      <c r="D128">
        <f>ROUNDUP(('Ammo Input'!E128+'Ammo Input'!H128*IF('Ammo Input'!J128&lt;&gt;"",MAX('Ammo Input'!J128,1),1))/1000,3)</f>
        <v>0.125</v>
      </c>
      <c r="E128">
        <f>MIN(5000,MAX(25,CEILING(Calcs!L128,_xlfn.IFS(Calcs!L128&lt;100,25,Calcs!L128&lt;250,50,Calcs!L128&lt;1000,250,Calcs!L128&gt;=1000,1000))))</f>
        <v>5000</v>
      </c>
      <c r="F128">
        <f>ROUNDUP('Ammo Input'!G128^(3/4),0)</f>
        <v>206</v>
      </c>
      <c r="G128">
        <f>ROUND((0.5*((IF(OR(B128="HEAT",B128="HEDP"),'Ammo Input'!N128,'Ammo Input'!H128)/1000)*(IF(B128="HEAT",9000,IF(B128="HEDP",1500,'Ammo Input'!G128))^2))),0)</f>
        <v>10673</v>
      </c>
      <c r="H128" s="25" t="str">
        <f>CONCATENATE(IF((B128="Foam")+(B128="Smoke"),"-",ROUND(Calcs!D128,0))," ",VLOOKUP(B128,AmmoTypeFactors,5,FALSE))</f>
        <v>30 Bullet</v>
      </c>
      <c r="I128" s="25" t="str">
        <f>IF(Calcs!E128=0,"None",CONCATENATE(ROUND(Calcs!E128,0)," ",VLOOKUP(B128,AmmoTypeFactors,6,FALSE)))</f>
        <v>None</v>
      </c>
      <c r="J128">
        <f>MROUND(2.42*'Ammo Input'!M128^(1/3)*VLOOKUP(B128,AmmoTypeFactors,3,FALSE),0.5)</f>
        <v>0</v>
      </c>
      <c r="K128" s="25" t="str">
        <f>IF(VLOOKUP(B128,AmmoTypeFactors,12,FALSE),MROUND(J128/3,0.5),"None")</f>
        <v>None</v>
      </c>
      <c r="L128" s="25">
        <f>IF(VLOOKUP(B128,AmmoTypeFactors,8,FALSE),"None",ROUNDUP(IF(Calcs!I128&gt;0,Calcs!I128,Calcs!H128),3))</f>
        <v>213.46</v>
      </c>
      <c r="M128" s="25">
        <f>IF(VLOOKUP(B128,AmmoTypeFactors,8,FALSE),"None",'Ammo Input'!L128)</f>
        <v>15</v>
      </c>
      <c r="N128">
        <f>'Ammo Input'!O128</f>
        <v>200</v>
      </c>
      <c r="O128" t="e">
        <f>ROUND((P128*0.0036+SUMPRODUCT(Q128:AB128,VLOOKUP($Q$1:$AB$1,IngredientStats,2,FALSE)))/N128*IF('Ammo Input'!R128,0.5,1),2)</f>
        <v>#VALUE!</v>
      </c>
      <c r="P128" t="e">
        <f>(SUMPRODUCT(Q128:AB128,VLOOKUP($Q$1:$AB$1,IngredientStats,4,FALSE))*VLOOKUP(B128,AmmoTypeFactors,14,FALSE)*IF('Ammo Input'!R128,1.1,1))</f>
        <v>#VALUE!</v>
      </c>
      <c r="Q128">
        <f>IFERROR(__xludf.DUMMYFUNCTION("((IF(NOT(OR(REGEXMATCH(B128, ""Arrow""), B128 = ""Javelin"", B128 = ""Stick bomb"")), ROUNDUP(('Ammo Input'!E128 / 1000) * N128)) + IF(VLOOKUP(B128, AmmoTypeFactors, 9, FALSE) = ""Steel"", ROUNDUP(('Ammo Input'!H128 -'Ammo Input'!M128) * MAX(IF('Ammo Inpu"&amp;"t'!J128 &gt; 0, 'Ammo Input'!J128, 1), 1) * N128 / 1000))) / 'Ingredient stats'!$C$2) * IF(ISBLANK(VLOOKUP(B128,AmmoTypeFactors,15,False)),1,VLOOKUP(B128,AmmoTypeFactors,15,False))"),50)</f>
        <v>50</v>
      </c>
      <c r="R128">
        <f>IFERROR(__xludf.DUMMYFUNCTION("ROUNDUP((IF(REGEXMATCH(B128, ""Arrow"") + (B128 = ""Javelin""), 'Ammo Input'!E128) + IF(VLOOKUP(B128, AmmoTypeFactors, 9, FALSE) = ""Wood"", 'Ammo Input'!H128) + IF(B128 = ""Stick bomb"", 'Ammo Input'!E128)) * N128 / 'Ingredient stats'!$C$12 / 1000)"),0)</f>
        <v>0</v>
      </c>
      <c r="S128">
        <v>0</v>
      </c>
      <c r="T128">
        <v>0</v>
      </c>
      <c r="U128">
        <f>IF(VLOOKUP(B128,AmmoTypeFactors,9,FALSE)="Plasteel",ROUNDUP(('Ammo Input'!H128*MAX(IF('Ammo Input'!J128&gt;0,'Ammo Input'!J128,1)*N128/1000/'Ingredient stats'!$C$4)),0),0)</f>
        <v>0</v>
      </c>
      <c r="V128">
        <f>IFERROR(__xludf.DUMMYFUNCTION("ROUNDUP(IF(ISBLANK(VLOOKUP(B128,AmmoTypeFactors,16,False)),1,VLOOKUP(B128,AmmoTypeFactors,16,False)) * (IFS(REGEXMATCH(B128, ""EMP""), 'Ammo Input'!M128 * N128 / 'Ingredient stats'!$C$5, REGEXMATCH(B128, ""Charge""), (U128^0.75), true, 0) + (IF(VLOOKUP(B1"&amp;"28, AmmoTypeFactors, 10, false), 2,0) + IF('Ammo Input'!P128, 2,0) + IF('Ammo Input'!Q128,MIN(ROUNDUP(0.2*('Ammo Input'!H128/1000)*'Ammo Input'!O128,0),20),0))))"),0)</f>
        <v>0</v>
      </c>
      <c r="W128">
        <v>0</v>
      </c>
      <c r="X128">
        <v>0</v>
      </c>
      <c r="Y128">
        <v>0</v>
      </c>
      <c r="Z128">
        <v>0</v>
      </c>
      <c r="AA128">
        <v>0</v>
      </c>
      <c r="AB128" s="30">
        <f>IF(B128="Sling Bullet (Stone)",ROUNDUP(D128*0.02*E128/'Ingredient stats'!$C$8,0),0)</f>
        <v>0</v>
      </c>
      <c r="AC128" t="str">
        <f t="shared" si="8"/>
        <v>None</v>
      </c>
      <c r="AD128" t="str">
        <f>IF(OR(B128="Buck",B128="Bird",B128="Charge (Scatter)"),'Ammo Input'!J128,"None")</f>
        <v>None</v>
      </c>
      <c r="AE128" t="str">
        <f>_xlfn.IFS(ISTEXT(Calcs!N128),Calcs!N128,Calcs!N128&lt;=40,Calcs!N128,Calcs!N128&gt;41,"40")</f>
        <v>None</v>
      </c>
      <c r="AF128" t="str">
        <f>_xlfn.IFS(ISTEXT(Calcs!O128),Calcs!O128,Calcs!O128&lt;=80,Calcs!O128,Calcs!O128&gt;=81,"80")</f>
        <v>None</v>
      </c>
      <c r="AG128" s="25">
        <f t="shared" si="9"/>
        <v>1</v>
      </c>
      <c r="AH128" s="25">
        <f t="shared" si="10"/>
        <v>3.33</v>
      </c>
      <c r="AI128" s="25">
        <f t="shared" si="11"/>
        <v>1</v>
      </c>
    </row>
    <row r="129" ht="14.4" spans="1:35">
      <c r="A129" s="24" t="str">
        <f>'Ammo Input'!A129</f>
        <v>7.92x94mm Patronen</v>
      </c>
      <c r="B129" t="str">
        <f>'Ammo Input'!B129</f>
        <v>AP</v>
      </c>
      <c r="C129">
        <f>ROUNDUP(('Ammo Input'!C129*(MAX('Ammo Input'!D129,'Ammo Input'!F129)*0.5)^2*PI())*3/1000000,2)</f>
        <v>0.13</v>
      </c>
      <c r="D129">
        <f>ROUNDUP(('Ammo Input'!E129+'Ammo Input'!H129*IF('Ammo Input'!J129&lt;&gt;"",MAX('Ammo Input'!J129,1),1))/1000,3)</f>
        <v>0.125</v>
      </c>
      <c r="E129">
        <f>MIN(5000,MAX(25,CEILING(Calcs!L129,_xlfn.IFS(Calcs!L129&lt;100,25,Calcs!L129&lt;250,50,Calcs!L129&lt;1000,250,Calcs!L129&gt;=1000,1000))))</f>
        <v>5000</v>
      </c>
      <c r="F129">
        <f>ROUNDUP('Ammo Input'!G129^(3/4),0)</f>
        <v>206</v>
      </c>
      <c r="G129">
        <f>ROUND((0.5*((IF(OR(B129="HEAT",B129="HEDP"),'Ammo Input'!N129,'Ammo Input'!H129)/1000)*(IF(B129="HEAT",9000,IF(B129="HEDP",1500,'Ammo Input'!G129))^2))),0)</f>
        <v>10673</v>
      </c>
      <c r="H129" s="25" t="str">
        <f>CONCATENATE(IF((B129="Foam")+(B129="Smoke"),"-",ROUND(Calcs!D129,0))," ",VLOOKUP(B129,AmmoTypeFactors,5,FALSE))</f>
        <v>19 Bullet</v>
      </c>
      <c r="I129" s="25" t="str">
        <f>IF(Calcs!E129=0,"None",CONCATENATE(ROUND(Calcs!E129,0)," ",VLOOKUP(B129,AmmoTypeFactors,6,FALSE)))</f>
        <v>None</v>
      </c>
      <c r="J129">
        <f>MROUND(2.42*'Ammo Input'!M129^(1/3)*VLOOKUP(B129,AmmoTypeFactors,3,FALSE),0.5)</f>
        <v>0</v>
      </c>
      <c r="K129" s="25" t="str">
        <f>IF(VLOOKUP(B129,AmmoTypeFactors,12,FALSE),MROUND(J129/3,0.5),"None")</f>
        <v>None</v>
      </c>
      <c r="L129" s="25">
        <f>IF(VLOOKUP(B129,AmmoTypeFactors,8,FALSE),"None",ROUNDUP(IF(Calcs!I129&gt;0,Calcs!I129,Calcs!H129),3))</f>
        <v>213.46</v>
      </c>
      <c r="M129" s="25">
        <f>IF(VLOOKUP(B129,AmmoTypeFactors,8,FALSE),"None",'Ammo Input'!L129)</f>
        <v>30</v>
      </c>
      <c r="N129">
        <f>'Ammo Input'!O129</f>
        <v>200</v>
      </c>
      <c r="O129" t="e">
        <f>ROUND((P129*0.0036+SUMPRODUCT(Q129:AB129,VLOOKUP($Q$1:$AB$1,IngredientStats,2,FALSE)))/N129*IF('Ammo Input'!R129,0.5,1),2)</f>
        <v>#VALUE!</v>
      </c>
      <c r="P129" t="e">
        <f>(SUMPRODUCT(Q129:AB129,VLOOKUP($Q$1:$AB$1,IngredientStats,4,FALSE))*VLOOKUP(B129,AmmoTypeFactors,14,FALSE)*IF('Ammo Input'!R129,1.1,1))</f>
        <v>#VALUE!</v>
      </c>
      <c r="Q129">
        <f>IFERROR(__xludf.DUMMYFUNCTION("((IF(NOT(OR(REGEXMATCH(B129, ""Arrow""), B129 = ""Javelin"", B129 = ""Stick bomb"")), ROUNDUP(('Ammo Input'!E129 / 1000) * N129)) + IF(VLOOKUP(B129, AmmoTypeFactors, 9, FALSE) = ""Steel"", ROUNDUP(('Ammo Input'!H129 -'Ammo Input'!M129) * MAX(IF('Ammo Inpu"&amp;"t'!J129 &gt; 0, 'Ammo Input'!J129, 1), 1) * N129 / 1000))) / 'Ingredient stats'!$C$2) * IF(ISBLANK(VLOOKUP(B129,AmmoTypeFactors,15,False)),1,VLOOKUP(B129,AmmoTypeFactors,15,False))"),50)</f>
        <v>50</v>
      </c>
      <c r="R129">
        <f>IFERROR(__xludf.DUMMYFUNCTION("ROUNDUP((IF(REGEXMATCH(B129, ""Arrow"") + (B129 = ""Javelin""), 'Ammo Input'!E129) + IF(VLOOKUP(B129, AmmoTypeFactors, 9, FALSE) = ""Wood"", 'Ammo Input'!H129) + IF(B129 = ""Stick bomb"", 'Ammo Input'!E129)) * N129 / 'Ingredient stats'!$C$12 / 1000)"),0)</f>
        <v>0</v>
      </c>
      <c r="S129">
        <v>0</v>
      </c>
      <c r="T129">
        <v>0</v>
      </c>
      <c r="U129">
        <f>IF(VLOOKUP(B129,AmmoTypeFactors,9,FALSE)="Plasteel",ROUNDUP(('Ammo Input'!H129*MAX(IF('Ammo Input'!J129&gt;0,'Ammo Input'!J129,1)*N129/1000/'Ingredient stats'!$C$4)),0),0)</f>
        <v>0</v>
      </c>
      <c r="V129">
        <f>IFERROR(__xludf.DUMMYFUNCTION("ROUNDUP(IF(ISBLANK(VLOOKUP(B129,AmmoTypeFactors,16,False)),1,VLOOKUP(B129,AmmoTypeFactors,16,False)) * (IFS(REGEXMATCH(B129, ""EMP""), 'Ammo Input'!M129 * N129 / 'Ingredient stats'!$C$5, REGEXMATCH(B129, ""Charge""), (U129^0.75), true, 0) + (IF(VLOOKUP(B1"&amp;"29, AmmoTypeFactors, 10, false), 2,0) + IF('Ammo Input'!P129, 2,0) + IF('Ammo Input'!Q129,MIN(ROUNDUP(0.2*('Ammo Input'!H129/1000)*'Ammo Input'!O129,0),20),0))))"),0)</f>
        <v>0</v>
      </c>
      <c r="W129">
        <v>0</v>
      </c>
      <c r="X129">
        <v>0</v>
      </c>
      <c r="Y129">
        <v>0</v>
      </c>
      <c r="Z129">
        <v>0</v>
      </c>
      <c r="AA129">
        <v>0</v>
      </c>
      <c r="AB129" s="30">
        <f>IF(B129="Sling Bullet (Stone)",ROUNDUP(D129*0.02*E129/'Ingredient stats'!$C$8,0),0)</f>
        <v>0</v>
      </c>
      <c r="AC129" t="str">
        <f t="shared" si="8"/>
        <v>None</v>
      </c>
      <c r="AD129" t="str">
        <f>IF(OR(B129="Buck",B129="Bird",B129="Charge (Scatter)"),'Ammo Input'!J129,"None")</f>
        <v>None</v>
      </c>
      <c r="AE129" t="str">
        <f>_xlfn.IFS(ISTEXT(Calcs!N129),Calcs!N129,Calcs!N129&lt;=40,Calcs!N129,Calcs!N129&gt;41,"40")</f>
        <v>None</v>
      </c>
      <c r="AF129" t="str">
        <f>_xlfn.IFS(ISTEXT(Calcs!O129),Calcs!O129,Calcs!O129&lt;=80,Calcs!O129,Calcs!O129&gt;=81,"80")</f>
        <v>None</v>
      </c>
      <c r="AG129" s="25">
        <f t="shared" si="9"/>
        <v>1</v>
      </c>
      <c r="AH129" s="25">
        <f t="shared" si="10"/>
        <v>3.33</v>
      </c>
      <c r="AI129" s="25">
        <f t="shared" si="11"/>
        <v>1</v>
      </c>
    </row>
    <row r="130" ht="14.4" spans="1:35">
      <c r="A130" s="24" t="str">
        <f>'Ammo Input'!A130</f>
        <v>7.92x94mm Patronen</v>
      </c>
      <c r="B130" t="str">
        <f>'Ammo Input'!B130</f>
        <v>AP-I</v>
      </c>
      <c r="C130">
        <f>ROUNDUP(('Ammo Input'!C130*(MAX('Ammo Input'!D130,'Ammo Input'!F130)*0.5)^2*PI())*3/1000000,2)</f>
        <v>0.13</v>
      </c>
      <c r="D130">
        <f>ROUNDUP(('Ammo Input'!E130+'Ammo Input'!H130*IF('Ammo Input'!J130&lt;&gt;"",MAX('Ammo Input'!J130,1),1))/1000,3)</f>
        <v>0.125</v>
      </c>
      <c r="E130">
        <f>MIN(5000,MAX(25,CEILING(Calcs!L130,_xlfn.IFS(Calcs!L130&lt;100,25,Calcs!L130&lt;250,50,Calcs!L130&lt;1000,250,Calcs!L130&gt;=1000,1000))))</f>
        <v>5000</v>
      </c>
      <c r="F130">
        <f>ROUNDUP('Ammo Input'!G130^(3/4),0)</f>
        <v>206</v>
      </c>
      <c r="G130">
        <f>ROUND((0.5*((IF(OR(B130="HEAT",B130="HEDP"),'Ammo Input'!N130,'Ammo Input'!H130)/1000)*(IF(B130="HEAT",9000,IF(B130="HEDP",1500,'Ammo Input'!G130))^2))),0)</f>
        <v>10673</v>
      </c>
      <c r="H130" s="25" t="str">
        <f>CONCATENATE(IF((B130="Foam")+(B130="Smoke"),"-",ROUND(Calcs!D130,0))," ",VLOOKUP(B130,AmmoTypeFactors,5,FALSE))</f>
        <v>19 Bullet</v>
      </c>
      <c r="I130" s="25" t="str">
        <f>IF(Calcs!E130=0,"None",CONCATENATE(ROUND(Calcs!E130,0)," ",VLOOKUP(B130,AmmoTypeFactors,6,FALSE)))</f>
        <v>7 Flame_Secondary</v>
      </c>
      <c r="J130">
        <f>MROUND(2.42*'Ammo Input'!M130^(1/3)*VLOOKUP(B130,AmmoTypeFactors,3,FALSE),0.5)</f>
        <v>0</v>
      </c>
      <c r="K130" s="25" t="str">
        <f>IF(VLOOKUP(B130,AmmoTypeFactors,12,FALSE),MROUND(J130/3,0.5),"None")</f>
        <v>None</v>
      </c>
      <c r="L130" s="25">
        <f>IF(VLOOKUP(B130,AmmoTypeFactors,8,FALSE),"None",ROUNDUP(IF(Calcs!I130&gt;0,Calcs!I130,Calcs!H130),3))</f>
        <v>213.46</v>
      </c>
      <c r="M130" s="25">
        <f>IF(VLOOKUP(B130,AmmoTypeFactors,8,FALSE),"None",'Ammo Input'!L130)</f>
        <v>30</v>
      </c>
      <c r="N130">
        <f>'Ammo Input'!O130</f>
        <v>200</v>
      </c>
      <c r="O130" t="e">
        <f>ROUND((P130*0.0036+SUMPRODUCT(Q130:AB130,VLOOKUP($Q$1:$AB$1,IngredientStats,2,FALSE)))/N130*IF('Ammo Input'!R130,0.5,1),2)</f>
        <v>#VALUE!</v>
      </c>
      <c r="P130" t="e">
        <f>(SUMPRODUCT(Q130:AB130,VLOOKUP($Q$1:$AB$1,IngredientStats,4,FALSE))*VLOOKUP(B130,AmmoTypeFactors,14,FALSE)*IF('Ammo Input'!R130,1.1,1))</f>
        <v>#VALUE!</v>
      </c>
      <c r="Q130">
        <f>IFERROR(__xludf.DUMMYFUNCTION("((IF(NOT(OR(REGEXMATCH(B130, ""Arrow""), B130 = ""Javelin"", B130 = ""Stick bomb"")), ROUNDUP(('Ammo Input'!E130 / 1000) * N130)) + IF(VLOOKUP(B130, AmmoTypeFactors, 9, FALSE) = ""Steel"", ROUNDUP(('Ammo Input'!H130 -'Ammo Input'!M130) * MAX(IF('Ammo Inpu"&amp;"t'!J130 &gt; 0, 'Ammo Input'!J130, 1), 1) * N130 / 1000))) / 'Ingredient stats'!$C$2) * IF(ISBLANK(VLOOKUP(B130,AmmoTypeFactors,15,False)),1,VLOOKUP(B130,AmmoTypeFactors,15,False))"),50)</f>
        <v>50</v>
      </c>
      <c r="R130">
        <f>IFERROR(__xludf.DUMMYFUNCTION("ROUNDUP((IF(REGEXMATCH(B130, ""Arrow"") + (B130 = ""Javelin""), 'Ammo Input'!E130) + IF(VLOOKUP(B130, AmmoTypeFactors, 9, FALSE) = ""Wood"", 'Ammo Input'!H130) + IF(B130 = ""Stick bomb"", 'Ammo Input'!E130)) * N130 / 'Ingredient stats'!$C$12 / 1000)"),0)</f>
        <v>0</v>
      </c>
      <c r="S130">
        <v>0</v>
      </c>
      <c r="T130">
        <v>0</v>
      </c>
      <c r="U130">
        <f>IF(VLOOKUP(B130,AmmoTypeFactors,9,FALSE)="Plasteel",ROUNDUP(('Ammo Input'!H130*MAX(IF('Ammo Input'!J130&gt;0,'Ammo Input'!J130,1)*N130/1000/'Ingredient stats'!$C$4)),0),0)</f>
        <v>0</v>
      </c>
      <c r="V130">
        <f>IFERROR(__xludf.DUMMYFUNCTION("ROUNDUP(IF(ISBLANK(VLOOKUP(B130,AmmoTypeFactors,16,False)),1,VLOOKUP(B130,AmmoTypeFactors,16,False)) * (IFS(REGEXMATCH(B130, ""EMP""), 'Ammo Input'!M130 * N130 / 'Ingredient stats'!$C$5, REGEXMATCH(B130, ""Charge""), (U130^0.75), true, 0) + (IF(VLOOKUP(B1"&amp;"30, AmmoTypeFactors, 10, false), 2,0) + IF('Ammo Input'!P130, 2,0) + IF('Ammo Input'!Q130,MIN(ROUNDUP(0.2*('Ammo Input'!H130/1000)*'Ammo Input'!O130,0),20),0))))"),0)</f>
        <v>0</v>
      </c>
      <c r="W130">
        <v>2</v>
      </c>
      <c r="X130">
        <v>0</v>
      </c>
      <c r="Y130">
        <v>0</v>
      </c>
      <c r="Z130">
        <v>0</v>
      </c>
      <c r="AA130">
        <v>0</v>
      </c>
      <c r="AB130" s="30">
        <f>IF(B130="Sling Bullet (Stone)",ROUNDUP(D130*0.02*E130/'Ingredient stats'!$C$8,0),0)</f>
        <v>0</v>
      </c>
      <c r="AC130" t="str">
        <f t="shared" si="8"/>
        <v>None</v>
      </c>
      <c r="AD130" t="str">
        <f>IF(OR(B130="Buck",B130="Bird",B130="Charge (Scatter)"),'Ammo Input'!J130,"None")</f>
        <v>None</v>
      </c>
      <c r="AE130" t="str">
        <f>_xlfn.IFS(ISTEXT(Calcs!N130),Calcs!N130,Calcs!N130&lt;=40,Calcs!N130,Calcs!N130&gt;41,"40")</f>
        <v>None</v>
      </c>
      <c r="AF130" t="str">
        <f>_xlfn.IFS(ISTEXT(Calcs!O130),Calcs!O130,Calcs!O130&lt;=80,Calcs!O130,Calcs!O130&gt;=81,"80")</f>
        <v>None</v>
      </c>
      <c r="AG130" s="25">
        <f t="shared" si="9"/>
        <v>1</v>
      </c>
      <c r="AH130" s="25">
        <f t="shared" si="10"/>
        <v>3.33</v>
      </c>
      <c r="AI130" s="25">
        <f t="shared" si="11"/>
        <v>1</v>
      </c>
    </row>
    <row r="131" ht="14.4" spans="1:35">
      <c r="A131" s="24" t="str">
        <f>'Ammo Input'!A131</f>
        <v>7.92x94mm Patronen</v>
      </c>
      <c r="B131" t="str">
        <f>'Ammo Input'!B131</f>
        <v>AP-HE</v>
      </c>
      <c r="C131">
        <f>ROUNDUP(('Ammo Input'!C131*(MAX('Ammo Input'!D131,'Ammo Input'!F131)*0.5)^2*PI())*3/1000000,2)</f>
        <v>0.13</v>
      </c>
      <c r="D131">
        <f>ROUNDUP(('Ammo Input'!E131+'Ammo Input'!H131*IF('Ammo Input'!J131&lt;&gt;"",MAX('Ammo Input'!J131,1),1))/1000,3)</f>
        <v>0.125</v>
      </c>
      <c r="E131">
        <f>MIN(5000,MAX(25,CEILING(Calcs!L131,_xlfn.IFS(Calcs!L131&lt;100,25,Calcs!L131&lt;250,50,Calcs!L131&lt;1000,250,Calcs!L131&gt;=1000,1000))))</f>
        <v>5000</v>
      </c>
      <c r="F131">
        <f>ROUNDUP('Ammo Input'!G131^(3/4),0)</f>
        <v>206</v>
      </c>
      <c r="G131">
        <f>ROUND((0.5*((IF(OR(B131="HEAT",B131="HEDP"),'Ammo Input'!N131,'Ammo Input'!H131)/1000)*(IF(B131="HEAT",9000,IF(B131="HEDP",1500,'Ammo Input'!G131))^2))),0)</f>
        <v>10673</v>
      </c>
      <c r="H131" s="25" t="str">
        <f>CONCATENATE(IF((B131="Foam")+(B131="Smoke"),"-",ROUND(Calcs!D131,0))," ",VLOOKUP(B131,AmmoTypeFactors,5,FALSE))</f>
        <v>30 Bullet</v>
      </c>
      <c r="I131" s="25" t="str">
        <f>IF(Calcs!E131=0,"None",CONCATENATE(ROUND(Calcs!E131,0)," ",VLOOKUP(B131,AmmoTypeFactors,6,FALSE)))</f>
        <v>10 Bomb_Secondary</v>
      </c>
      <c r="J131">
        <f>MROUND(2.42*'Ammo Input'!M131^(1/3)*VLOOKUP(B131,AmmoTypeFactors,3,FALSE),0.5)</f>
        <v>0</v>
      </c>
      <c r="K131" s="25" t="str">
        <f>IF(VLOOKUP(B131,AmmoTypeFactors,12,FALSE),MROUND(J131/3,0.5),"None")</f>
        <v>None</v>
      </c>
      <c r="L131" s="25">
        <f>IF(VLOOKUP(B131,AmmoTypeFactors,8,FALSE),"None",ROUNDUP(IF(Calcs!I131&gt;0,Calcs!I131,Calcs!H131),3))</f>
        <v>213.46</v>
      </c>
      <c r="M131" s="25">
        <f>IF(VLOOKUP(B131,AmmoTypeFactors,8,FALSE),"None",'Ammo Input'!L131)</f>
        <v>15</v>
      </c>
      <c r="N131">
        <f>'Ammo Input'!O131</f>
        <v>200</v>
      </c>
      <c r="O131" t="e">
        <f>ROUND((P131*0.0036+SUMPRODUCT(Q131:AB131,VLOOKUP($Q$1:$AB$1,IngredientStats,2,FALSE)))/N131*IF('Ammo Input'!R131,0.5,1),2)</f>
        <v>#VALUE!</v>
      </c>
      <c r="P131" t="e">
        <f>(SUMPRODUCT(Q131:AB131,VLOOKUP($Q$1:$AB$1,IngredientStats,4,FALSE))*VLOOKUP(B131,AmmoTypeFactors,14,FALSE)*IF('Ammo Input'!R131,1.1,1))</f>
        <v>#VALUE!</v>
      </c>
      <c r="Q131">
        <f>IFERROR(__xludf.DUMMYFUNCTION("((IF(NOT(OR(REGEXMATCH(B131, ""Arrow""), B131 = ""Javelin"", B131 = ""Stick bomb"")), ROUNDUP(('Ammo Input'!E131 / 1000) * N131)) + IF(VLOOKUP(B131, AmmoTypeFactors, 9, FALSE) = ""Steel"", ROUNDUP(('Ammo Input'!H131 -'Ammo Input'!M131) * MAX(IF('Ammo Inpu"&amp;"t'!J131 &gt; 0, 'Ammo Input'!J131, 1), 1) * N131 / 1000))) / 'Ingredient stats'!$C$2) * IF(ISBLANK(VLOOKUP(B131,AmmoTypeFactors,15,False)),1,VLOOKUP(B131,AmmoTypeFactors,15,False))"),50)</f>
        <v>50</v>
      </c>
      <c r="R131">
        <f>IFERROR(__xludf.DUMMYFUNCTION("ROUNDUP((IF(REGEXMATCH(B131, ""Arrow"") + (B131 = ""Javelin""), 'Ammo Input'!E131) + IF(VLOOKUP(B131, AmmoTypeFactors, 9, FALSE) = ""Wood"", 'Ammo Input'!H131) + IF(B131 = ""Stick bomb"", 'Ammo Input'!E131)) * N131 / 'Ingredient stats'!$C$12 / 1000)"),0)</f>
        <v>0</v>
      </c>
      <c r="S131">
        <v>0</v>
      </c>
      <c r="T131">
        <v>0</v>
      </c>
      <c r="U131">
        <f>IF(VLOOKUP(B131,AmmoTypeFactors,9,FALSE)="Plasteel",ROUNDUP(('Ammo Input'!H131*MAX(IF('Ammo Input'!J131&gt;0,'Ammo Input'!J131,1)*N131/1000/'Ingredient stats'!$C$4)),0),0)</f>
        <v>0</v>
      </c>
      <c r="V131">
        <f>IFERROR(__xludf.DUMMYFUNCTION("ROUNDUP(IF(ISBLANK(VLOOKUP(B131,AmmoTypeFactors,16,False)),1,VLOOKUP(B131,AmmoTypeFactors,16,False)) * (IFS(REGEXMATCH(B131, ""EMP""), 'Ammo Input'!M131 * N131 / 'Ingredient stats'!$C$5, REGEXMATCH(B131, ""Charge""), (U131^0.75), true, 0) + (IF(VLOOKUP(B1"&amp;"31, AmmoTypeFactors, 10, false), 2,0) + IF('Ammo Input'!P131, 2,0) + IF('Ammo Input'!Q131,MIN(ROUNDUP(0.2*('Ammo Input'!H131/1000)*'Ammo Input'!O131,0),20),0))))"),0)</f>
        <v>0</v>
      </c>
      <c r="W131">
        <v>0</v>
      </c>
      <c r="X131">
        <v>4</v>
      </c>
      <c r="Y131">
        <v>0</v>
      </c>
      <c r="Z131">
        <v>0</v>
      </c>
      <c r="AA131">
        <v>0</v>
      </c>
      <c r="AB131" s="30">
        <f>IF(B131="Sling Bullet (Stone)",ROUNDUP(D131*0.02*E131/'Ingredient stats'!$C$8,0),0)</f>
        <v>0</v>
      </c>
      <c r="AC131" t="str">
        <f t="shared" si="8"/>
        <v>None</v>
      </c>
      <c r="AD131" t="str">
        <f>IF(OR(B131="Buck",B131="Bird",B131="Charge (Scatter)"),'Ammo Input'!J131,"None")</f>
        <v>None</v>
      </c>
      <c r="AE131" t="str">
        <f>_xlfn.IFS(ISTEXT(Calcs!N131),Calcs!N131,Calcs!N131&lt;=40,Calcs!N131,Calcs!N131&gt;41,"40")</f>
        <v>None</v>
      </c>
      <c r="AF131" t="str">
        <f>_xlfn.IFS(ISTEXT(Calcs!O131),Calcs!O131,Calcs!O131&lt;=80,Calcs!O131,Calcs!O131&gt;=81,"80")</f>
        <v>None</v>
      </c>
      <c r="AG131" s="25">
        <f t="shared" si="9"/>
        <v>1</v>
      </c>
      <c r="AH131" s="25">
        <f t="shared" si="10"/>
        <v>3.33</v>
      </c>
      <c r="AI131" s="25">
        <f t="shared" si="11"/>
        <v>1</v>
      </c>
    </row>
    <row r="132" ht="14.4" spans="1:35">
      <c r="A132" s="24" t="str">
        <f>'Ammo Input'!A132</f>
        <v>7.92x94mm Patronen</v>
      </c>
      <c r="B132" t="str">
        <f>'Ammo Input'!B132</f>
        <v>Sabot</v>
      </c>
      <c r="C132">
        <f>ROUNDUP(('Ammo Input'!C132*(MAX('Ammo Input'!D132,'Ammo Input'!F132)*0.5)^2*PI())*3/1000000,2)</f>
        <v>0.13</v>
      </c>
      <c r="D132">
        <f>ROUNDUP(('Ammo Input'!E132+'Ammo Input'!H132*IF('Ammo Input'!J132&lt;&gt;"",MAX('Ammo Input'!J132,1),1))/1000,3)</f>
        <v>0.119</v>
      </c>
      <c r="E132">
        <f>MIN(5000,MAX(25,CEILING(Calcs!L132,_xlfn.IFS(Calcs!L132&lt;100,25,Calcs!L132&lt;250,50,Calcs!L132&lt;1000,250,Calcs!L132&gt;=1000,1000))))</f>
        <v>5000</v>
      </c>
      <c r="F132">
        <f>ROUNDUP('Ammo Input'!G132^(3/4),0)</f>
        <v>279</v>
      </c>
      <c r="G132">
        <f>ROUND((0.5*((IF(OR(B132="HEAT",B132="HEDP"),'Ammo Input'!N132,'Ammo Input'!H132)/1000)*(IF(B132="HEAT",9000,IF(B132="HEDP",1500,'Ammo Input'!G132))^2))),0)</f>
        <v>13803</v>
      </c>
      <c r="H132" s="25" t="str">
        <f>CONCATENATE(IF((B132="Foam")+(B132="Smoke"),"-",ROUND(Calcs!D132,0))," ",VLOOKUP(B132,AmmoTypeFactors,5,FALSE))</f>
        <v>16 Bullet</v>
      </c>
      <c r="I132" s="25" t="str">
        <f>IF(Calcs!E132=0,"None",CONCATENATE(ROUND(Calcs!E132,0)," ",VLOOKUP(B132,AmmoTypeFactors,6,FALSE)))</f>
        <v>None</v>
      </c>
      <c r="J132">
        <f>MROUND(2.42*'Ammo Input'!M132^(1/3)*VLOOKUP(B132,AmmoTypeFactors,3,FALSE),0.5)</f>
        <v>0</v>
      </c>
      <c r="K132" s="25" t="str">
        <f>IF(VLOOKUP(B132,AmmoTypeFactors,12,FALSE),MROUND(J132/3,0.5),"None")</f>
        <v>None</v>
      </c>
      <c r="L132" s="25">
        <f>IF(VLOOKUP(B132,AmmoTypeFactors,8,FALSE),"None",ROUNDUP(IF(Calcs!I132&gt;0,Calcs!I132,Calcs!H132),3))</f>
        <v>276.06</v>
      </c>
      <c r="M132" s="25">
        <f>IF(VLOOKUP(B132,AmmoTypeFactors,8,FALSE),"None",'Ammo Input'!L132)</f>
        <v>52.5</v>
      </c>
      <c r="N132">
        <f>'Ammo Input'!O132</f>
        <v>200</v>
      </c>
      <c r="O132" t="e">
        <f>ROUND((P132*0.0036+SUMPRODUCT(Q132:AB132,VLOOKUP($Q$1:$AB$1,IngredientStats,2,FALSE)))/N132*IF('Ammo Input'!R132,0.5,1),2)</f>
        <v>#VALUE!</v>
      </c>
      <c r="P132" t="e">
        <f>(SUMPRODUCT(Q132:AB132,VLOOKUP($Q$1:$AB$1,IngredientStats,4,FALSE))*VLOOKUP(B132,AmmoTypeFactors,14,FALSE)*IF('Ammo Input'!R132,1.1,1))</f>
        <v>#VALUE!</v>
      </c>
      <c r="Q132">
        <f>IFERROR(__xludf.DUMMYFUNCTION("((IF(NOT(OR(REGEXMATCH(B132, ""Arrow""), B132 = ""Javelin"", B132 = ""Stick bomb"")), ROUNDUP(('Ammo Input'!E132 / 1000) * N132)) + IF(VLOOKUP(B132, AmmoTypeFactors, 9, FALSE) = ""Steel"", ROUNDUP(('Ammo Input'!H132 -'Ammo Input'!M132) * MAX(IF('Ammo Inpu"&amp;"t'!J132 &gt; 0, 'Ammo Input'!J132, 1), 1) * N132 / 1000))) / 'Ingredient stats'!$C$2) * IF(ISBLANK(VLOOKUP(B132,AmmoTypeFactors,15,False)),1,VLOOKUP(B132,AmmoTypeFactors,15,False))"),44)</f>
        <v>44</v>
      </c>
      <c r="R132">
        <f>IFERROR(__xludf.DUMMYFUNCTION("ROUNDUP((IF(REGEXMATCH(B132, ""Arrow"") + (B132 = ""Javelin""), 'Ammo Input'!E132) + IF(VLOOKUP(B132, AmmoTypeFactors, 9, FALSE) = ""Wood"", 'Ammo Input'!H132) + IF(B132 = ""Stick bomb"", 'Ammo Input'!E132)) * N132 / 'Ingredient stats'!$C$12 / 1000)"),0)</f>
        <v>0</v>
      </c>
      <c r="S132">
        <v>2</v>
      </c>
      <c r="T132">
        <v>2</v>
      </c>
      <c r="U132">
        <f>IF(VLOOKUP(B132,AmmoTypeFactors,9,FALSE)="Plasteel",ROUNDUP(('Ammo Input'!H132*MAX(IF('Ammo Input'!J132&gt;0,'Ammo Input'!J132,1)*N132/1000/'Ingredient stats'!$C$4)),0),0)</f>
        <v>0</v>
      </c>
      <c r="V132">
        <f>IFERROR(__xludf.DUMMYFUNCTION("ROUNDUP(IF(ISBLANK(VLOOKUP(B132,AmmoTypeFactors,16,False)),1,VLOOKUP(B132,AmmoTypeFactors,16,False)) * (IFS(REGEXMATCH(B132, ""EMP""), 'Ammo Input'!M132 * N132 / 'Ingredient stats'!$C$5, REGEXMATCH(B132, ""Charge""), (U132^0.75), true, 0) + (IF(VLOOKUP(B1"&amp;"32, AmmoTypeFactors, 10, false), 2,0) + IF('Ammo Input'!P132, 2,0) + IF('Ammo Input'!Q132,MIN(ROUNDUP(0.2*('Ammo Input'!H132/1000)*'Ammo Input'!O132,0),20),0))))"),0)</f>
        <v>0</v>
      </c>
      <c r="W132">
        <v>0</v>
      </c>
      <c r="X132">
        <v>0</v>
      </c>
      <c r="Y132">
        <v>0</v>
      </c>
      <c r="Z132">
        <v>0</v>
      </c>
      <c r="AA132">
        <v>0</v>
      </c>
      <c r="AB132" s="30">
        <f>IF(B132="Sling Bullet (Stone)",ROUNDUP(D132*0.02*E132/'Ingredient stats'!$C$8,0),0)</f>
        <v>0</v>
      </c>
      <c r="AC132" t="str">
        <f t="shared" si="8"/>
        <v>None</v>
      </c>
      <c r="AD132" t="str">
        <f>IF(OR(B132="Buck",B132="Bird",B132="Charge (Scatter)"),'Ammo Input'!J132,"None")</f>
        <v>None</v>
      </c>
      <c r="AE132" t="str">
        <f>_xlfn.IFS(ISTEXT(Calcs!N132),Calcs!N132,Calcs!N132&lt;=40,Calcs!N132,Calcs!N132&gt;41,"40")</f>
        <v>None</v>
      </c>
      <c r="AF132" t="str">
        <f>_xlfn.IFS(ISTEXT(Calcs!O132),Calcs!O132,Calcs!O132&lt;=80,Calcs!O132,Calcs!O132&gt;=81,"80")</f>
        <v>None</v>
      </c>
      <c r="AG132" s="25">
        <f t="shared" si="9"/>
        <v>1</v>
      </c>
      <c r="AH132" s="25">
        <f t="shared" si="10"/>
        <v>4.44</v>
      </c>
      <c r="AI132" s="25">
        <f t="shared" si="11"/>
        <v>1</v>
      </c>
    </row>
    <row r="133" ht="14.4" spans="1:35">
      <c r="A133" s="24" t="str">
        <f>'Ammo Input'!A133</f>
        <v>14.5x114mm Soviet</v>
      </c>
      <c r="B133" t="str">
        <f>'Ammo Input'!B133</f>
        <v>FMJ</v>
      </c>
      <c r="C133">
        <f>ROUNDUP(('Ammo Input'!C133*(MAX('Ammo Input'!D133,'Ammo Input'!F133)*0.5)^2*PI())*3/1000000,2)</f>
        <v>0.27</v>
      </c>
      <c r="D133">
        <f>ROUNDUP(('Ammo Input'!E133+'Ammo Input'!H133*IF('Ammo Input'!J133&lt;&gt;"",MAX('Ammo Input'!J133,1),1))/1000,3)</f>
        <v>0.186</v>
      </c>
      <c r="E133">
        <f>MIN(5000,MAX(25,CEILING(Calcs!L133,_xlfn.IFS(Calcs!L133&lt;100,25,Calcs!L133&lt;250,50,Calcs!L133&lt;1000,250,Calcs!L133&gt;=1000,1000))))</f>
        <v>2000</v>
      </c>
      <c r="F133">
        <f>ROUNDUP('Ammo Input'!G133^(3/4),0)</f>
        <v>178</v>
      </c>
      <c r="G133">
        <f>ROUND((0.5*((IF(OR(B133="HEAT",B133="HEDP"),'Ammo Input'!N133,'Ammo Input'!H133)/1000)*(IF(B133="HEAT",9000,IF(B133="HEDP",1500,'Ammo Input'!G133))^2))),0)</f>
        <v>31700</v>
      </c>
      <c r="H133" s="25" t="str">
        <f>CONCATENATE(IF((B133="Foam")+(B133="Smoke"),"-",ROUND(Calcs!D133,0))," ",VLOOKUP(B133,AmmoTypeFactors,5,FALSE))</f>
        <v>53 Bullet</v>
      </c>
      <c r="I133" s="25" t="str">
        <f>IF(Calcs!E133=0,"None",CONCATENATE(ROUND(Calcs!E133,0)," ",VLOOKUP(B133,AmmoTypeFactors,6,FALSE)))</f>
        <v>None</v>
      </c>
      <c r="J133">
        <f>MROUND(2.42*'Ammo Input'!M133^(1/3)*VLOOKUP(B133,AmmoTypeFactors,3,FALSE),0.5)</f>
        <v>0</v>
      </c>
      <c r="K133" s="25" t="str">
        <f>IF(VLOOKUP(B133,AmmoTypeFactors,12,FALSE),MROUND(J133/3,0.5),"None")</f>
        <v>None</v>
      </c>
      <c r="L133" s="25">
        <f>IF(VLOOKUP(B133,AmmoTypeFactors,8,FALSE),"None",ROUNDUP(IF(Calcs!I133&gt;0,Calcs!I133,Calcs!H133),3))</f>
        <v>634</v>
      </c>
      <c r="M133" s="25">
        <f>IF(VLOOKUP(B133,AmmoTypeFactors,8,FALSE),"None",'Ammo Input'!L133)</f>
        <v>19</v>
      </c>
      <c r="N133">
        <f>'Ammo Input'!O133</f>
        <v>200</v>
      </c>
      <c r="O133" t="e">
        <f>ROUND((P133*0.0036+SUMPRODUCT(Q133:AB133,VLOOKUP($Q$1:$AB$1,IngredientStats,2,FALSE)))/N133*IF('Ammo Input'!R133,0.5,1),2)</f>
        <v>#VALUE!</v>
      </c>
      <c r="P133" t="e">
        <f>(SUMPRODUCT(Q133:AB133,VLOOKUP($Q$1:$AB$1,IngredientStats,4,FALSE))*VLOOKUP(B133,AmmoTypeFactors,14,FALSE)*IF('Ammo Input'!R133,1.1,1))</f>
        <v>#VALUE!</v>
      </c>
      <c r="Q133">
        <f>IFERROR(__xludf.DUMMYFUNCTION("((IF(NOT(OR(REGEXMATCH(B133, ""Arrow""), B133 = ""Javelin"", B133 = ""Stick bomb"")), ROUNDUP(('Ammo Input'!E133 / 1000) * N133)) + IF(VLOOKUP(B133, AmmoTypeFactors, 9, FALSE) = ""Steel"", ROUNDUP(('Ammo Input'!H133 -'Ammo Input'!M133) * MAX(IF('Ammo Inpu"&amp;"t'!J133 &gt; 0, 'Ammo Input'!J133, 1), 1) * N133 / 1000))) / 'Ingredient stats'!$C$2) * IF(ISBLANK(VLOOKUP(B133,AmmoTypeFactors,15,False)),1,VLOOKUP(B133,AmmoTypeFactors,15,False))"),76)</f>
        <v>76</v>
      </c>
      <c r="R133">
        <f>IFERROR(__xludf.DUMMYFUNCTION("ROUNDUP((IF(REGEXMATCH(B133, ""Arrow"") + (B133 = ""Javelin""), 'Ammo Input'!E133) + IF(VLOOKUP(B133, AmmoTypeFactors, 9, FALSE) = ""Wood"", 'Ammo Input'!H133) + IF(B133 = ""Stick bomb"", 'Ammo Input'!E133)) * N133 / 'Ingredient stats'!$C$12 / 1000)"),0)</f>
        <v>0</v>
      </c>
      <c r="S133">
        <v>0</v>
      </c>
      <c r="T133">
        <v>0</v>
      </c>
      <c r="U133">
        <f>IF(VLOOKUP(B133,AmmoTypeFactors,9,FALSE)="Plasteel",ROUNDUP(('Ammo Input'!H133*MAX(IF('Ammo Input'!J133&gt;0,'Ammo Input'!J133,1)*N133/1000/'Ingredient stats'!$C$4)),0),0)</f>
        <v>0</v>
      </c>
      <c r="V133">
        <f>IFERROR(__xludf.DUMMYFUNCTION("ROUNDUP(IF(ISBLANK(VLOOKUP(B133,AmmoTypeFactors,16,False)),1,VLOOKUP(B133,AmmoTypeFactors,16,False)) * (IFS(REGEXMATCH(B133, ""EMP""), 'Ammo Input'!M133 * N133 / 'Ingredient stats'!$C$5, REGEXMATCH(B133, ""Charge""), (U133^0.75), true, 0) + (IF(VLOOKUP(B1"&amp;"33, AmmoTypeFactors, 10, false), 2,0) + IF('Ammo Input'!P133, 2,0) + IF('Ammo Input'!Q133,MIN(ROUNDUP(0.2*('Ammo Input'!H133/1000)*'Ammo Input'!O133,0),20),0))))"),0)</f>
        <v>0</v>
      </c>
      <c r="W133">
        <v>0</v>
      </c>
      <c r="X133">
        <v>0</v>
      </c>
      <c r="Y133">
        <v>0</v>
      </c>
      <c r="Z133">
        <v>0</v>
      </c>
      <c r="AA133">
        <v>0</v>
      </c>
      <c r="AB133" s="30">
        <f>IF(B133="Sling Bullet (Stone)",ROUNDUP(D133*0.02*E133/'Ingredient stats'!$C$8,0),0)</f>
        <v>0</v>
      </c>
      <c r="AC133" t="str">
        <f t="shared" si="8"/>
        <v>None</v>
      </c>
      <c r="AD133" t="str">
        <f>IF(OR(B133="Buck",B133="Bird",B133="Charge (Scatter)"),'Ammo Input'!J133,"None")</f>
        <v>None</v>
      </c>
      <c r="AE133" t="str">
        <f>_xlfn.IFS(ISTEXT(Calcs!N133),Calcs!N133,Calcs!N133&lt;=40,Calcs!N133,Calcs!N133&gt;41,"40")</f>
        <v>None</v>
      </c>
      <c r="AF133" t="str">
        <f>_xlfn.IFS(ISTEXT(Calcs!O133),Calcs!O133,Calcs!O133&lt;=80,Calcs!O133,Calcs!O133&gt;=81,"80")</f>
        <v>None</v>
      </c>
      <c r="AG133" s="25">
        <f t="shared" si="9"/>
        <v>1</v>
      </c>
      <c r="AH133" s="25">
        <f t="shared" si="10"/>
        <v>2.9</v>
      </c>
      <c r="AI133" s="25">
        <f t="shared" si="11"/>
        <v>1</v>
      </c>
    </row>
    <row r="134" ht="14.4" spans="1:35">
      <c r="A134" s="24" t="str">
        <f>'Ammo Input'!A134</f>
        <v>14.5x114mm Soviet</v>
      </c>
      <c r="B134" t="str">
        <f>'Ammo Input'!B134</f>
        <v>AP</v>
      </c>
      <c r="C134">
        <f>ROUNDUP(('Ammo Input'!C134*(MAX('Ammo Input'!D134,'Ammo Input'!F134)*0.5)^2*PI())*3/1000000,2)</f>
        <v>0.27</v>
      </c>
      <c r="D134">
        <f>ROUNDUP(('Ammo Input'!E134+'Ammo Input'!H134*IF('Ammo Input'!J134&lt;&gt;"",MAX('Ammo Input'!J134,1),1))/1000,3)</f>
        <v>0.186</v>
      </c>
      <c r="E134">
        <f>MIN(5000,MAX(25,CEILING(Calcs!L134,_xlfn.IFS(Calcs!L134&lt;100,25,Calcs!L134&lt;250,50,Calcs!L134&lt;1000,250,Calcs!L134&gt;=1000,1000))))</f>
        <v>2000</v>
      </c>
      <c r="F134">
        <f>ROUNDUP('Ammo Input'!G134^(3/4),0)</f>
        <v>178</v>
      </c>
      <c r="G134">
        <f>ROUND((0.5*((IF(OR(B134="HEAT",B134="HEDP"),'Ammo Input'!N134,'Ammo Input'!H134)/1000)*(IF(B134="HEAT",9000,IF(B134="HEDP",1500,'Ammo Input'!G134))^2))),0)</f>
        <v>31700</v>
      </c>
      <c r="H134" s="25" t="str">
        <f>CONCATENATE(IF((B134="Foam")+(B134="Smoke"),"-",ROUND(Calcs!D134,0))," ",VLOOKUP(B134,AmmoTypeFactors,5,FALSE))</f>
        <v>33 Bullet</v>
      </c>
      <c r="I134" s="25" t="str">
        <f>IF(Calcs!E134=0,"None",CONCATENATE(ROUND(Calcs!E134,0)," ",VLOOKUP(B134,AmmoTypeFactors,6,FALSE)))</f>
        <v>None</v>
      </c>
      <c r="J134">
        <f>MROUND(2.42*'Ammo Input'!M134^(1/3)*VLOOKUP(B134,AmmoTypeFactors,3,FALSE),0.5)</f>
        <v>0</v>
      </c>
      <c r="K134" s="25" t="str">
        <f>IF(VLOOKUP(B134,AmmoTypeFactors,12,FALSE),MROUND(J134/3,0.5),"None")</f>
        <v>None</v>
      </c>
      <c r="L134" s="25">
        <f>IF(VLOOKUP(B134,AmmoTypeFactors,8,FALSE),"None",ROUNDUP(IF(Calcs!I134&gt;0,Calcs!I134,Calcs!H134),3))</f>
        <v>634</v>
      </c>
      <c r="M134" s="25">
        <f>IF(VLOOKUP(B134,AmmoTypeFactors,8,FALSE),"None",'Ammo Input'!L134)</f>
        <v>38</v>
      </c>
      <c r="N134">
        <f>'Ammo Input'!O134</f>
        <v>200</v>
      </c>
      <c r="O134" t="e">
        <f>ROUND((P134*0.0036+SUMPRODUCT(Q134:AB134,VLOOKUP($Q$1:$AB$1,IngredientStats,2,FALSE)))/N134*IF('Ammo Input'!R134,0.5,1),2)</f>
        <v>#VALUE!</v>
      </c>
      <c r="P134" t="e">
        <f>(SUMPRODUCT(Q134:AB134,VLOOKUP($Q$1:$AB$1,IngredientStats,4,FALSE))*VLOOKUP(B134,AmmoTypeFactors,14,FALSE)*IF('Ammo Input'!R134,1.1,1))</f>
        <v>#VALUE!</v>
      </c>
      <c r="Q134">
        <f>IFERROR(__xludf.DUMMYFUNCTION("((IF(NOT(OR(REGEXMATCH(B134, ""Arrow""), B134 = ""Javelin"", B134 = ""Stick bomb"")), ROUNDUP(('Ammo Input'!E134 / 1000) * N134)) + IF(VLOOKUP(B134, AmmoTypeFactors, 9, FALSE) = ""Steel"", ROUNDUP(('Ammo Input'!H134 -'Ammo Input'!M134) * MAX(IF('Ammo Inpu"&amp;"t'!J134 &gt; 0, 'Ammo Input'!J134, 1), 1) * N134 / 1000))) / 'Ingredient stats'!$C$2) * IF(ISBLANK(VLOOKUP(B134,AmmoTypeFactors,15,False)),1,VLOOKUP(B134,AmmoTypeFactors,15,False))"),76)</f>
        <v>76</v>
      </c>
      <c r="R134">
        <f>IFERROR(__xludf.DUMMYFUNCTION("ROUNDUP((IF(REGEXMATCH(B134, ""Arrow"") + (B134 = ""Javelin""), 'Ammo Input'!E134) + IF(VLOOKUP(B134, AmmoTypeFactors, 9, FALSE) = ""Wood"", 'Ammo Input'!H134) + IF(B134 = ""Stick bomb"", 'Ammo Input'!E134)) * N134 / 'Ingredient stats'!$C$12 / 1000)"),0)</f>
        <v>0</v>
      </c>
      <c r="S134">
        <v>0</v>
      </c>
      <c r="T134">
        <v>0</v>
      </c>
      <c r="U134">
        <f>IF(VLOOKUP(B134,AmmoTypeFactors,9,FALSE)="Plasteel",ROUNDUP(('Ammo Input'!H134*MAX(IF('Ammo Input'!J134&gt;0,'Ammo Input'!J134,1)*N134/1000/'Ingredient stats'!$C$4)),0),0)</f>
        <v>0</v>
      </c>
      <c r="V134">
        <f>IFERROR(__xludf.DUMMYFUNCTION("ROUNDUP(IF(ISBLANK(VLOOKUP(B134,AmmoTypeFactors,16,False)),1,VLOOKUP(B134,AmmoTypeFactors,16,False)) * (IFS(REGEXMATCH(B134, ""EMP""), 'Ammo Input'!M134 * N134 / 'Ingredient stats'!$C$5, REGEXMATCH(B134, ""Charge""), (U134^0.75), true, 0) + (IF(VLOOKUP(B1"&amp;"34, AmmoTypeFactors, 10, false), 2,0) + IF('Ammo Input'!P134, 2,0) + IF('Ammo Input'!Q134,MIN(ROUNDUP(0.2*('Ammo Input'!H134/1000)*'Ammo Input'!O134,0),20),0))))"),0)</f>
        <v>0</v>
      </c>
      <c r="W134">
        <v>0</v>
      </c>
      <c r="X134">
        <v>0</v>
      </c>
      <c r="Y134">
        <v>0</v>
      </c>
      <c r="Z134">
        <v>0</v>
      </c>
      <c r="AA134">
        <v>0</v>
      </c>
      <c r="AB134" s="30">
        <f>IF(B134="Sling Bullet (Stone)",ROUNDUP(D134*0.02*E134/'Ingredient stats'!$C$8,0),0)</f>
        <v>0</v>
      </c>
      <c r="AC134" t="str">
        <f t="shared" si="8"/>
        <v>None</v>
      </c>
      <c r="AD134" t="str">
        <f>IF(OR(B134="Buck",B134="Bird",B134="Charge (Scatter)"),'Ammo Input'!J134,"None")</f>
        <v>None</v>
      </c>
      <c r="AE134" t="str">
        <f>_xlfn.IFS(ISTEXT(Calcs!N134),Calcs!N134,Calcs!N134&lt;=40,Calcs!N134,Calcs!N134&gt;41,"40")</f>
        <v>None</v>
      </c>
      <c r="AF134" t="str">
        <f>_xlfn.IFS(ISTEXT(Calcs!O134),Calcs!O134,Calcs!O134&lt;=80,Calcs!O134,Calcs!O134&gt;=81,"80")</f>
        <v>None</v>
      </c>
      <c r="AG134" s="25">
        <f t="shared" si="9"/>
        <v>1</v>
      </c>
      <c r="AH134" s="25">
        <f t="shared" si="10"/>
        <v>2.9</v>
      </c>
      <c r="AI134" s="25">
        <f t="shared" si="11"/>
        <v>1</v>
      </c>
    </row>
    <row r="135" ht="14.4" spans="1:35">
      <c r="A135" s="24" t="str">
        <f>'Ammo Input'!A135</f>
        <v>14.5x114mm Soviet</v>
      </c>
      <c r="B135" t="str">
        <f>'Ammo Input'!B135</f>
        <v>AP-I</v>
      </c>
      <c r="C135">
        <f>ROUNDUP(('Ammo Input'!C135*(MAX('Ammo Input'!D135,'Ammo Input'!F135)*0.5)^2*PI())*3/1000000,2)</f>
        <v>0.27</v>
      </c>
      <c r="D135">
        <f>ROUNDUP(('Ammo Input'!E135+'Ammo Input'!H135*IF('Ammo Input'!J135&lt;&gt;"",MAX('Ammo Input'!J135,1),1))/1000,3)</f>
        <v>0.186</v>
      </c>
      <c r="E135">
        <f>MIN(5000,MAX(25,CEILING(Calcs!L135,_xlfn.IFS(Calcs!L135&lt;100,25,Calcs!L135&lt;250,50,Calcs!L135&lt;1000,250,Calcs!L135&gt;=1000,1000))))</f>
        <v>2000</v>
      </c>
      <c r="F135">
        <f>ROUNDUP('Ammo Input'!G135^(3/4),0)</f>
        <v>178</v>
      </c>
      <c r="G135">
        <f>ROUND((0.5*((IF(OR(B135="HEAT",B135="HEDP"),'Ammo Input'!N135,'Ammo Input'!H135)/1000)*(IF(B135="HEAT",9000,IF(B135="HEDP",1500,'Ammo Input'!G135))^2))),0)</f>
        <v>31700</v>
      </c>
      <c r="H135" s="25" t="str">
        <f>CONCATENATE(IF((B135="Foam")+(B135="Smoke"),"-",ROUND(Calcs!D135,0))," ",VLOOKUP(B135,AmmoTypeFactors,5,FALSE))</f>
        <v>33 Bullet</v>
      </c>
      <c r="I135" s="25" t="str">
        <f>IF(Calcs!E135=0,"None",CONCATENATE(ROUND(Calcs!E135,0)," ",VLOOKUP(B135,AmmoTypeFactors,6,FALSE)))</f>
        <v>17 Flame_Secondary</v>
      </c>
      <c r="J135">
        <f>MROUND(2.42*'Ammo Input'!M135^(1/3)*VLOOKUP(B135,AmmoTypeFactors,3,FALSE),0.5)</f>
        <v>0</v>
      </c>
      <c r="K135" s="25" t="str">
        <f>IF(VLOOKUP(B135,AmmoTypeFactors,12,FALSE),MROUND(J135/3,0.5),"None")</f>
        <v>None</v>
      </c>
      <c r="L135" s="25">
        <f>IF(VLOOKUP(B135,AmmoTypeFactors,8,FALSE),"None",ROUNDUP(IF(Calcs!I135&gt;0,Calcs!I135,Calcs!H135),3))</f>
        <v>634</v>
      </c>
      <c r="M135" s="25">
        <f>IF(VLOOKUP(B135,AmmoTypeFactors,8,FALSE),"None",'Ammo Input'!L135)</f>
        <v>38</v>
      </c>
      <c r="N135">
        <f>'Ammo Input'!O135</f>
        <v>200</v>
      </c>
      <c r="O135" t="e">
        <f>ROUND((P135*0.0036+SUMPRODUCT(Q135:AB135,VLOOKUP($Q$1:$AB$1,IngredientStats,2,FALSE)))/N135*IF('Ammo Input'!R135,0.5,1),2)</f>
        <v>#VALUE!</v>
      </c>
      <c r="P135" t="e">
        <f>(SUMPRODUCT(Q135:AB135,VLOOKUP($Q$1:$AB$1,IngredientStats,4,FALSE))*VLOOKUP(B135,AmmoTypeFactors,14,FALSE)*IF('Ammo Input'!R135,1.1,1))</f>
        <v>#VALUE!</v>
      </c>
      <c r="Q135">
        <f>IFERROR(__xludf.DUMMYFUNCTION("((IF(NOT(OR(REGEXMATCH(B135, ""Arrow""), B135 = ""Javelin"", B135 = ""Stick bomb"")), ROUNDUP(('Ammo Input'!E135 / 1000) * N135)) + IF(VLOOKUP(B135, AmmoTypeFactors, 9, FALSE) = ""Steel"", ROUNDUP(('Ammo Input'!H135 -'Ammo Input'!M135) * MAX(IF('Ammo Inpu"&amp;"t'!J135 &gt; 0, 'Ammo Input'!J135, 1), 1) * N135 / 1000))) / 'Ingredient stats'!$C$2) * IF(ISBLANK(VLOOKUP(B135,AmmoTypeFactors,15,False)),1,VLOOKUP(B135,AmmoTypeFactors,15,False))"),76)</f>
        <v>76</v>
      </c>
      <c r="R135">
        <f>IFERROR(__xludf.DUMMYFUNCTION("ROUNDUP((IF(REGEXMATCH(B135, ""Arrow"") + (B135 = ""Javelin""), 'Ammo Input'!E135) + IF(VLOOKUP(B135, AmmoTypeFactors, 9, FALSE) = ""Wood"", 'Ammo Input'!H135) + IF(B135 = ""Stick bomb"", 'Ammo Input'!E135)) * N135 / 'Ingredient stats'!$C$12 / 1000)"),0)</f>
        <v>0</v>
      </c>
      <c r="S135">
        <v>0</v>
      </c>
      <c r="T135">
        <v>0</v>
      </c>
      <c r="U135">
        <f>IF(VLOOKUP(B135,AmmoTypeFactors,9,FALSE)="Plasteel",ROUNDUP(('Ammo Input'!H135*MAX(IF('Ammo Input'!J135&gt;0,'Ammo Input'!J135,1)*N135/1000/'Ingredient stats'!$C$4)),0),0)</f>
        <v>0</v>
      </c>
      <c r="V135">
        <f>IFERROR(__xludf.DUMMYFUNCTION("ROUNDUP(IF(ISBLANK(VLOOKUP(B135,AmmoTypeFactors,16,False)),1,VLOOKUP(B135,AmmoTypeFactors,16,False)) * (IFS(REGEXMATCH(B135, ""EMP""), 'Ammo Input'!M135 * N135 / 'Ingredient stats'!$C$5, REGEXMATCH(B135, ""Charge""), (U135^0.75), true, 0) + (IF(VLOOKUP(B1"&amp;"35, AmmoTypeFactors, 10, false), 2,0) + IF('Ammo Input'!P135, 2,0) + IF('Ammo Input'!Q135,MIN(ROUNDUP(0.2*('Ammo Input'!H135/1000)*'Ammo Input'!O135,0),20),0))))"),0)</f>
        <v>0</v>
      </c>
      <c r="W135">
        <v>7</v>
      </c>
      <c r="X135">
        <v>0</v>
      </c>
      <c r="Y135">
        <v>0</v>
      </c>
      <c r="Z135">
        <v>0</v>
      </c>
      <c r="AA135">
        <v>0</v>
      </c>
      <c r="AB135" s="30">
        <f>IF(B135="Sling Bullet (Stone)",ROUNDUP(D135*0.02*E135/'Ingredient stats'!$C$8,0),0)</f>
        <v>0</v>
      </c>
      <c r="AC135" t="str">
        <f t="shared" si="8"/>
        <v>None</v>
      </c>
      <c r="AD135" t="str">
        <f>IF(OR(B135="Buck",B135="Bird",B135="Charge (Scatter)"),'Ammo Input'!J135,"None")</f>
        <v>None</v>
      </c>
      <c r="AE135" t="str">
        <f>_xlfn.IFS(ISTEXT(Calcs!N135),Calcs!N135,Calcs!N135&lt;=40,Calcs!N135,Calcs!N135&gt;41,"40")</f>
        <v>None</v>
      </c>
      <c r="AF135" t="str">
        <f>_xlfn.IFS(ISTEXT(Calcs!O135),Calcs!O135,Calcs!O135&lt;=80,Calcs!O135,Calcs!O135&gt;=81,"80")</f>
        <v>None</v>
      </c>
      <c r="AG135" s="25">
        <f t="shared" si="9"/>
        <v>1</v>
      </c>
      <c r="AH135" s="25">
        <f t="shared" si="10"/>
        <v>2.9</v>
      </c>
      <c r="AI135" s="25">
        <f t="shared" si="11"/>
        <v>1</v>
      </c>
    </row>
    <row r="136" ht="14.4" spans="1:35">
      <c r="A136" s="24" t="str">
        <f>'Ammo Input'!A136</f>
        <v>14.5x114mm Soviet</v>
      </c>
      <c r="B136" t="str">
        <f>'Ammo Input'!B136</f>
        <v>AP-HE</v>
      </c>
      <c r="C136">
        <f>ROUNDUP(('Ammo Input'!C136*(MAX('Ammo Input'!D136,'Ammo Input'!F136)*0.5)^2*PI())*3/1000000,2)</f>
        <v>0.27</v>
      </c>
      <c r="D136">
        <f>ROUNDUP(('Ammo Input'!E136+'Ammo Input'!H136*IF('Ammo Input'!J136&lt;&gt;"",MAX('Ammo Input'!J136,1),1))/1000,3)</f>
        <v>0.186</v>
      </c>
      <c r="E136">
        <f>MIN(5000,MAX(25,CEILING(Calcs!L136,_xlfn.IFS(Calcs!L136&lt;100,25,Calcs!L136&lt;250,50,Calcs!L136&lt;1000,250,Calcs!L136&gt;=1000,1000))))</f>
        <v>2000</v>
      </c>
      <c r="F136">
        <f>ROUNDUP('Ammo Input'!G136^(3/4),0)</f>
        <v>178</v>
      </c>
      <c r="G136">
        <f>ROUND((0.5*((IF(OR(B136="HEAT",B136="HEDP"),'Ammo Input'!N136,'Ammo Input'!H136)/1000)*(IF(B136="HEAT",9000,IF(B136="HEDP",1500,'Ammo Input'!G136))^2))),0)</f>
        <v>31700</v>
      </c>
      <c r="H136" s="25" t="str">
        <f>CONCATENATE(IF((B136="Foam")+(B136="Smoke"),"-",ROUND(Calcs!D136,0))," ",VLOOKUP(B136,AmmoTypeFactors,5,FALSE))</f>
        <v>53 Bullet</v>
      </c>
      <c r="I136" s="25" t="str">
        <f>IF(Calcs!E136=0,"None",CONCATENATE(ROUND(Calcs!E136,0)," ",VLOOKUP(B136,AmmoTypeFactors,6,FALSE)))</f>
        <v>24 Bomb_Secondary</v>
      </c>
      <c r="J136">
        <f>MROUND(2.42*'Ammo Input'!M136^(1/3)*VLOOKUP(B136,AmmoTypeFactors,3,FALSE),0.5)</f>
        <v>0</v>
      </c>
      <c r="K136" s="25" t="str">
        <f>IF(VLOOKUP(B136,AmmoTypeFactors,12,FALSE),MROUND(J136/3,0.5),"None")</f>
        <v>None</v>
      </c>
      <c r="L136" s="25">
        <f>IF(VLOOKUP(B136,AmmoTypeFactors,8,FALSE),"None",ROUNDUP(IF(Calcs!I136&gt;0,Calcs!I136,Calcs!H136),3))</f>
        <v>634</v>
      </c>
      <c r="M136" s="25">
        <f>IF(VLOOKUP(B136,AmmoTypeFactors,8,FALSE),"None",'Ammo Input'!L136)</f>
        <v>19</v>
      </c>
      <c r="N136">
        <f>'Ammo Input'!O136</f>
        <v>200</v>
      </c>
      <c r="O136" t="e">
        <f>ROUND((P136*0.0036+SUMPRODUCT(Q136:AB136,VLOOKUP($Q$1:$AB$1,IngredientStats,2,FALSE)))/N136*IF('Ammo Input'!R136,0.5,1),2)</f>
        <v>#VALUE!</v>
      </c>
      <c r="P136" t="e">
        <f>(SUMPRODUCT(Q136:AB136,VLOOKUP($Q$1:$AB$1,IngredientStats,4,FALSE))*VLOOKUP(B136,AmmoTypeFactors,14,FALSE)*IF('Ammo Input'!R136,1.1,1))</f>
        <v>#VALUE!</v>
      </c>
      <c r="Q136">
        <f>IFERROR(__xludf.DUMMYFUNCTION("((IF(NOT(OR(REGEXMATCH(B136, ""Arrow""), B136 = ""Javelin"", B136 = ""Stick bomb"")), ROUNDUP(('Ammo Input'!E136 / 1000) * N136)) + IF(VLOOKUP(B136, AmmoTypeFactors, 9, FALSE) = ""Steel"", ROUNDUP(('Ammo Input'!H136 -'Ammo Input'!M136) * MAX(IF('Ammo Inpu"&amp;"t'!J136 &gt; 0, 'Ammo Input'!J136, 1), 1) * N136 / 1000))) / 'Ingredient stats'!$C$2) * IF(ISBLANK(VLOOKUP(B136,AmmoTypeFactors,15,False)),1,VLOOKUP(B136,AmmoTypeFactors,15,False))"),76)</f>
        <v>76</v>
      </c>
      <c r="R136">
        <f>IFERROR(__xludf.DUMMYFUNCTION("ROUNDUP((IF(REGEXMATCH(B136, ""Arrow"") + (B136 = ""Javelin""), 'Ammo Input'!E136) + IF(VLOOKUP(B136, AmmoTypeFactors, 9, FALSE) = ""Wood"", 'Ammo Input'!H136) + IF(B136 = ""Stick bomb"", 'Ammo Input'!E136)) * N136 / 'Ingredient stats'!$C$12 / 1000)"),0)</f>
        <v>0</v>
      </c>
      <c r="S136">
        <v>0</v>
      </c>
      <c r="T136">
        <v>0</v>
      </c>
      <c r="U136">
        <f>IF(VLOOKUP(B136,AmmoTypeFactors,9,FALSE)="Plasteel",ROUNDUP(('Ammo Input'!H136*MAX(IF('Ammo Input'!J136&gt;0,'Ammo Input'!J136,1)*N136/1000/'Ingredient stats'!$C$4)),0),0)</f>
        <v>0</v>
      </c>
      <c r="V136">
        <f>IFERROR(__xludf.DUMMYFUNCTION("ROUNDUP(IF(ISBLANK(VLOOKUP(B136,AmmoTypeFactors,16,False)),1,VLOOKUP(B136,AmmoTypeFactors,16,False)) * (IFS(REGEXMATCH(B136, ""EMP""), 'Ammo Input'!M136 * N136 / 'Ingredient stats'!$C$5, REGEXMATCH(B136, ""Charge""), (U136^0.75), true, 0) + (IF(VLOOKUP(B1"&amp;"36, AmmoTypeFactors, 10, false), 2,0) + IF('Ammo Input'!P136, 2,0) + IF('Ammo Input'!Q136,MIN(ROUNDUP(0.2*('Ammo Input'!H136/1000)*'Ammo Input'!O136,0),20),0))))"),0)</f>
        <v>0</v>
      </c>
      <c r="W136">
        <v>0</v>
      </c>
      <c r="X136">
        <v>13</v>
      </c>
      <c r="Y136">
        <v>0</v>
      </c>
      <c r="Z136">
        <v>0</v>
      </c>
      <c r="AA136">
        <v>0</v>
      </c>
      <c r="AB136" s="30">
        <f>IF(B136="Sling Bullet (Stone)",ROUNDUP(D136*0.02*E136/'Ingredient stats'!$C$8,0),0)</f>
        <v>0</v>
      </c>
      <c r="AC136" t="str">
        <f t="shared" si="8"/>
        <v>None</v>
      </c>
      <c r="AD136" t="str">
        <f>IF(OR(B136="Buck",B136="Bird",B136="Charge (Scatter)"),'Ammo Input'!J136,"None")</f>
        <v>None</v>
      </c>
      <c r="AE136" t="str">
        <f>_xlfn.IFS(ISTEXT(Calcs!N136),Calcs!N136,Calcs!N136&lt;=40,Calcs!N136,Calcs!N136&gt;41,"40")</f>
        <v>None</v>
      </c>
      <c r="AF136" t="str">
        <f>_xlfn.IFS(ISTEXT(Calcs!O136),Calcs!O136,Calcs!O136&lt;=80,Calcs!O136,Calcs!O136&gt;=81,"80")</f>
        <v>None</v>
      </c>
      <c r="AG136" s="25">
        <f t="shared" si="9"/>
        <v>1</v>
      </c>
      <c r="AH136" s="25">
        <f t="shared" si="10"/>
        <v>2.9</v>
      </c>
      <c r="AI136" s="25">
        <f t="shared" si="11"/>
        <v>1</v>
      </c>
    </row>
    <row r="137" ht="14.4" spans="1:35">
      <c r="A137" s="24" t="str">
        <f>'Ammo Input'!A137</f>
        <v>14.5x114mm Soviet</v>
      </c>
      <c r="B137" t="str">
        <f>'Ammo Input'!B137</f>
        <v>Sabot</v>
      </c>
      <c r="C137">
        <f>ROUNDUP(('Ammo Input'!C137*(MAX('Ammo Input'!D137,'Ammo Input'!F137)*0.5)^2*PI())*3/1000000,2)</f>
        <v>0.27</v>
      </c>
      <c r="D137">
        <f>ROUNDUP(('Ammo Input'!E137+'Ammo Input'!H137*IF('Ammo Input'!J137&lt;&gt;"",MAX('Ammo Input'!J137,1),1))/1000,3)</f>
        <v>0.159</v>
      </c>
      <c r="E137">
        <f>MIN(5000,MAX(25,CEILING(Calcs!L137,_xlfn.IFS(Calcs!L137&lt;100,25,Calcs!L137&lt;250,50,Calcs!L137&lt;1000,250,Calcs!L137&gt;=1000,1000))))</f>
        <v>2000</v>
      </c>
      <c r="F137">
        <f>ROUNDUP('Ammo Input'!G137^(3/4),0)</f>
        <v>242</v>
      </c>
      <c r="G137">
        <f>ROUND((0.5*((IF(OR(B137="HEAT",B137="HEDP"),'Ammo Input'!N137,'Ammo Input'!H137)/1000)*(IF(B137="HEAT",9000,IF(B137="HEDP",1500,'Ammo Input'!G137))^2))),0)</f>
        <v>41018</v>
      </c>
      <c r="H137" s="25" t="str">
        <f>CONCATENATE(IF((B137="Foam")+(B137="Smoke"),"-",ROUND(Calcs!D137,0))," ",VLOOKUP(B137,AmmoTypeFactors,5,FALSE))</f>
        <v>27 Bullet</v>
      </c>
      <c r="I137" s="25" t="str">
        <f>IF(Calcs!E137=0,"None",CONCATENATE(ROUND(Calcs!E137,0)," ",VLOOKUP(B137,AmmoTypeFactors,6,FALSE)))</f>
        <v>None</v>
      </c>
      <c r="J137">
        <f>MROUND(2.42*'Ammo Input'!M137^(1/3)*VLOOKUP(B137,AmmoTypeFactors,3,FALSE),0.5)</f>
        <v>0</v>
      </c>
      <c r="K137" s="25" t="str">
        <f>IF(VLOOKUP(B137,AmmoTypeFactors,12,FALSE),MROUND(J137/3,0.5),"None")</f>
        <v>None</v>
      </c>
      <c r="L137" s="25">
        <f>IF(VLOOKUP(B137,AmmoTypeFactors,8,FALSE),"None",ROUNDUP(IF(Calcs!I137&gt;0,Calcs!I137,Calcs!H137),3))</f>
        <v>820.36</v>
      </c>
      <c r="M137" s="25">
        <f>IF(VLOOKUP(B137,AmmoTypeFactors,8,FALSE),"None",'Ammo Input'!L137)</f>
        <v>66.5</v>
      </c>
      <c r="N137">
        <f>'Ammo Input'!O137</f>
        <v>200</v>
      </c>
      <c r="O137" t="e">
        <f>ROUND((P137*0.0036+SUMPRODUCT(Q137:AB137,VLOOKUP($Q$1:$AB$1,IngredientStats,2,FALSE)))/N137*IF('Ammo Input'!R137,0.5,1),2)</f>
        <v>#VALUE!</v>
      </c>
      <c r="P137" t="e">
        <f>(SUMPRODUCT(Q137:AB137,VLOOKUP($Q$1:$AB$1,IngredientStats,4,FALSE))*VLOOKUP(B137,AmmoTypeFactors,14,FALSE)*IF('Ammo Input'!R137,1.1,1))</f>
        <v>#VALUE!</v>
      </c>
      <c r="Q137">
        <f>IFERROR(__xludf.DUMMYFUNCTION("((IF(NOT(OR(REGEXMATCH(B137, ""Arrow""), B137 = ""Javelin"", B137 = ""Stick bomb"")), ROUNDUP(('Ammo Input'!E137 / 1000) * N137)) + IF(VLOOKUP(B137, AmmoTypeFactors, 9, FALSE) = ""Steel"", ROUNDUP(('Ammo Input'!H137 -'Ammo Input'!M137) * MAX(IF('Ammo Inpu"&amp;"t'!J137 &gt; 0, 'Ammo Input'!J137, 1), 1) * N137 / 1000))) / 'Ingredient stats'!$C$2) * IF(ISBLANK(VLOOKUP(B137,AmmoTypeFactors,15,False)),1,VLOOKUP(B137,AmmoTypeFactors,15,False))"),50)</f>
        <v>50</v>
      </c>
      <c r="R137">
        <f>IFERROR(__xludf.DUMMYFUNCTION("ROUNDUP((IF(REGEXMATCH(B137, ""Arrow"") + (B137 = ""Javelin""), 'Ammo Input'!E137) + IF(VLOOKUP(B137, AmmoTypeFactors, 9, FALSE) = ""Wood"", 'Ammo Input'!H137) + IF(B137 = ""Stick bomb"", 'Ammo Input'!E137)) * N137 / 'Ingredient stats'!$C$12 / 1000)"),0)</f>
        <v>0</v>
      </c>
      <c r="S137">
        <v>8</v>
      </c>
      <c r="T137">
        <v>8</v>
      </c>
      <c r="U137">
        <f>IF(VLOOKUP(B137,AmmoTypeFactors,9,FALSE)="Plasteel",ROUNDUP(('Ammo Input'!H137*MAX(IF('Ammo Input'!J137&gt;0,'Ammo Input'!J137,1)*N137/1000/'Ingredient stats'!$C$4)),0),0)</f>
        <v>0</v>
      </c>
      <c r="V137">
        <f>IFERROR(__xludf.DUMMYFUNCTION("ROUNDUP(IF(ISBLANK(VLOOKUP(B137,AmmoTypeFactors,16,False)),1,VLOOKUP(B137,AmmoTypeFactors,16,False)) * (IFS(REGEXMATCH(B137, ""EMP""), 'Ammo Input'!M137 * N137 / 'Ingredient stats'!$C$5, REGEXMATCH(B137, ""Charge""), (U137^0.75), true, 0) + (IF(VLOOKUP(B1"&amp;"37, AmmoTypeFactors, 10, false), 2,0) + IF('Ammo Input'!P137, 2,0) + IF('Ammo Input'!Q137,MIN(ROUNDUP(0.2*('Ammo Input'!H137/1000)*'Ammo Input'!O137,0),20),0))))"),0)</f>
        <v>0</v>
      </c>
      <c r="W137">
        <v>0</v>
      </c>
      <c r="X137">
        <v>0</v>
      </c>
      <c r="Y137">
        <v>0</v>
      </c>
      <c r="Z137">
        <v>0</v>
      </c>
      <c r="AA137">
        <v>0</v>
      </c>
      <c r="AB137" s="30">
        <f>IF(B137="Sling Bullet (Stone)",ROUNDUP(D137*0.02*E137/'Ingredient stats'!$C$8,0),0)</f>
        <v>0</v>
      </c>
      <c r="AC137" t="str">
        <f t="shared" si="8"/>
        <v>None</v>
      </c>
      <c r="AD137" t="str">
        <f>IF(OR(B137="Buck",B137="Bird",B137="Charge (Scatter)"),'Ammo Input'!J137,"None")</f>
        <v>None</v>
      </c>
      <c r="AE137" t="str">
        <f>_xlfn.IFS(ISTEXT(Calcs!N137),Calcs!N137,Calcs!N137&lt;=40,Calcs!N137,Calcs!N137&gt;41,"40")</f>
        <v>None</v>
      </c>
      <c r="AF137" t="str">
        <f>_xlfn.IFS(ISTEXT(Calcs!O137),Calcs!O137,Calcs!O137&lt;=80,Calcs!O137,Calcs!O137&gt;=81,"80")</f>
        <v>None</v>
      </c>
      <c r="AG137" s="25">
        <f t="shared" si="9"/>
        <v>1</v>
      </c>
      <c r="AH137" s="25">
        <f t="shared" si="10"/>
        <v>3.92</v>
      </c>
      <c r="AI137" s="25">
        <f t="shared" si="11"/>
        <v>1</v>
      </c>
    </row>
    <row r="138" ht="14.4" spans="1:35">
      <c r="A138" s="24" t="str">
        <f>'Ammo Input'!A138</f>
        <v>15.2x169mm</v>
      </c>
      <c r="B138" t="str">
        <f>'Ammo Input'!B138</f>
        <v>Sabot</v>
      </c>
      <c r="C138">
        <f>ROUNDUP(('Ammo Input'!C138*(MAX('Ammo Input'!D138,'Ammo Input'!F138)*0.5)^2*PI())*3/1000000,2)</f>
        <v>0.33</v>
      </c>
      <c r="D138">
        <f>ROUNDUP(('Ammo Input'!E138+'Ammo Input'!H138*IF('Ammo Input'!J138&lt;&gt;"",MAX('Ammo Input'!J138,1),1))/1000,3)</f>
        <v>0.135</v>
      </c>
      <c r="E138">
        <f>MIN(5000,MAX(25,CEILING(Calcs!L138,_xlfn.IFS(Calcs!L138&lt;100,25,Calcs!L138&lt;250,50,Calcs!L138&lt;1000,250,Calcs!L138&gt;=1000,1000))))</f>
        <v>2000</v>
      </c>
      <c r="F138">
        <f>ROUNDUP('Ammo Input'!G138^(3/4),0)</f>
        <v>319</v>
      </c>
      <c r="G138">
        <f>ROUND((0.5*((IF(OR(B138="HEAT",B138="HEDP"),'Ammo Input'!N138,'Ammo Input'!H138)/1000)*(IF(B138="HEAT",9000,IF(B138="HEDP",1500,'Ammo Input'!G138))^2))),0)</f>
        <v>47188</v>
      </c>
      <c r="H138" s="25" t="str">
        <f>CONCATENATE(IF((B138="Foam")+(B138="Smoke"),"-",ROUND(Calcs!D138,0))," ",VLOOKUP(B138,AmmoTypeFactors,5,FALSE))</f>
        <v>30 Bullet</v>
      </c>
      <c r="I138" s="25" t="str">
        <f>IF(Calcs!E138=0,"None",CONCATENATE(ROUND(Calcs!E138,0)," ",VLOOKUP(B138,AmmoTypeFactors,6,FALSE)))</f>
        <v>None</v>
      </c>
      <c r="J138">
        <f>MROUND(2.42*'Ammo Input'!M138^(1/3)*VLOOKUP(B138,AmmoTypeFactors,3,FALSE),0.5)</f>
        <v>0</v>
      </c>
      <c r="K138" s="25" t="str">
        <f>IF(VLOOKUP(B138,AmmoTypeFactors,12,FALSE),MROUND(J138/3,0.5),"None")</f>
        <v>None</v>
      </c>
      <c r="L138" s="25">
        <f>IF(VLOOKUP(B138,AmmoTypeFactors,8,FALSE),"None",ROUNDUP(IF(Calcs!I138&gt;0,Calcs!I138,Calcs!H138),3))</f>
        <v>943.76</v>
      </c>
      <c r="M138" s="25">
        <f>IF(VLOOKUP(B138,AmmoTypeFactors,8,FALSE),"None",'Ammo Input'!L138)</f>
        <v>60</v>
      </c>
      <c r="N138">
        <f>'Ammo Input'!O138</f>
        <v>200</v>
      </c>
      <c r="O138" t="e">
        <f>ROUND((P138*0.0036+SUMPRODUCT(Q138:AB138,VLOOKUP($Q$1:$AB$1,IngredientStats,2,FALSE)))/N138*IF('Ammo Input'!R138,0.5,1),2)</f>
        <v>#VALUE!</v>
      </c>
      <c r="P138" t="e">
        <f>(SUMPRODUCT(Q138:AB138,VLOOKUP($Q$1:$AB$1,IngredientStats,4,FALSE))*VLOOKUP(B138,AmmoTypeFactors,14,FALSE)*IF('Ammo Input'!R138,1.1,1))</f>
        <v>#VALUE!</v>
      </c>
      <c r="Q138">
        <f>IFERROR(__xludf.DUMMYFUNCTION("((IF(NOT(OR(REGEXMATCH(B138, ""Arrow""), B138 = ""Javelin"", B138 = ""Stick bomb"")), ROUNDUP(('Ammo Input'!E138 / 1000) * N138)) + IF(VLOOKUP(B138, AmmoTypeFactors, 9, FALSE) = ""Steel"", ROUNDUP(('Ammo Input'!H138 -'Ammo Input'!M138) * MAX(IF('Ammo Inpu"&amp;"t'!J138 &gt; 0, 'Ammo Input'!J138, 1), 1) * N138 / 1000))) / 'Ingredient stats'!$C$2) * IF(ISBLANK(VLOOKUP(B138,AmmoTypeFactors,15,False)),1,VLOOKUP(B138,AmmoTypeFactors,15,False))"),46)</f>
        <v>46</v>
      </c>
      <c r="R138">
        <f>IFERROR(__xludf.DUMMYFUNCTION("ROUNDUP((IF(REGEXMATCH(B138, ""Arrow"") + (B138 = ""Javelin""), 'Ammo Input'!E138) + IF(VLOOKUP(B138, AmmoTypeFactors, 9, FALSE) = ""Wood"", 'Ammo Input'!H138) + IF(B138 = ""Stick bomb"", 'Ammo Input'!E138)) * N138 / 'Ingredient stats'!$C$12 / 1000)"),0)</f>
        <v>0</v>
      </c>
      <c r="S138">
        <v>4</v>
      </c>
      <c r="T138">
        <v>4</v>
      </c>
      <c r="U138">
        <f>IF(VLOOKUP(B138,AmmoTypeFactors,9,FALSE)="Plasteel",ROUNDUP(('Ammo Input'!H138*MAX(IF('Ammo Input'!J138&gt;0,'Ammo Input'!J138,1)*N138/1000/'Ingredient stats'!$C$4)),0),0)</f>
        <v>0</v>
      </c>
      <c r="V138">
        <f>IFERROR(__xludf.DUMMYFUNCTION("ROUNDUP(IF(ISBLANK(VLOOKUP(B138,AmmoTypeFactors,16,False)),1,VLOOKUP(B138,AmmoTypeFactors,16,False)) * (IFS(REGEXMATCH(B138, ""EMP""), 'Ammo Input'!M138 * N138 / 'Ingredient stats'!$C$5, REGEXMATCH(B138, ""Charge""), (U138^0.75), true, 0) + (IF(VLOOKUP(B1"&amp;"38, AmmoTypeFactors, 10, false), 2,0) + IF('Ammo Input'!P138, 2,0) + IF('Ammo Input'!Q138,MIN(ROUNDUP(0.2*('Ammo Input'!H138/1000)*'Ammo Input'!O138,0),20),0))))"),0)</f>
        <v>0</v>
      </c>
      <c r="W138">
        <v>0</v>
      </c>
      <c r="X138">
        <v>0</v>
      </c>
      <c r="Y138">
        <v>0</v>
      </c>
      <c r="Z138">
        <v>0</v>
      </c>
      <c r="AA138">
        <v>0</v>
      </c>
      <c r="AB138" s="30">
        <f>IF(B138="Sling Bullet (Stone)",ROUNDUP(D138*0.02*E138/'Ingredient stats'!$C$8,0),0)</f>
        <v>0</v>
      </c>
      <c r="AC138" t="str">
        <f t="shared" si="8"/>
        <v>None</v>
      </c>
      <c r="AD138" t="str">
        <f>IF(OR(B138="Buck",B138="Bird",B138="Charge (Scatter)"),'Ammo Input'!J138,"None")</f>
        <v>None</v>
      </c>
      <c r="AE138" t="str">
        <f>_xlfn.IFS(ISTEXT(Calcs!N138),Calcs!N138,Calcs!N138&lt;=40,Calcs!N138,Calcs!N138&gt;41,"40")</f>
        <v>None</v>
      </c>
      <c r="AF138" t="str">
        <f>_xlfn.IFS(ISTEXT(Calcs!O138),Calcs!O138,Calcs!O138&lt;=80,Calcs!O138,Calcs!O138&gt;=81,"80")</f>
        <v>None</v>
      </c>
      <c r="AG138" s="25">
        <f t="shared" si="9"/>
        <v>1</v>
      </c>
      <c r="AH138" s="25">
        <f t="shared" si="10"/>
        <v>5.13</v>
      </c>
      <c r="AI138" s="25">
        <f t="shared" si="11"/>
        <v>1</v>
      </c>
    </row>
    <row r="139" ht="14.4" spans="1:35">
      <c r="A139" s="24" t="str">
        <f>'Ammo Input'!A139</f>
        <v>.300 Win Mag</v>
      </c>
      <c r="B139" t="str">
        <f>'Ammo Input'!B139</f>
        <v>FMJ</v>
      </c>
      <c r="C139">
        <f>ROUNDUP(('Ammo Input'!C139*(MAX('Ammo Input'!D139,'Ammo Input'!F139)*0.5)^2*PI())*3/1000000,2)</f>
        <v>0.04</v>
      </c>
      <c r="D139">
        <f>ROUNDUP(('Ammo Input'!E139+'Ammo Input'!H139*IF('Ammo Input'!J139&lt;&gt;"",MAX('Ammo Input'!J139,1),1))/1000,3)</f>
        <v>0.032</v>
      </c>
      <c r="E139">
        <f>MIN(5000,MAX(25,CEILING(Calcs!L139,_xlfn.IFS(Calcs!L139&lt;100,25,Calcs!L139&lt;250,50,Calcs!L139&lt;1000,250,Calcs!L139&gt;=1000,1000))))</f>
        <v>5000</v>
      </c>
      <c r="F139">
        <f>ROUNDUP('Ammo Input'!G139^(3/4),0)</f>
        <v>178</v>
      </c>
      <c r="G139">
        <f>ROUND((0.5*((IF(OR(B139="HEAT",B139="HEDP"),'Ammo Input'!N139,'Ammo Input'!H139)/1000)*(IF(B139="HEAT",9000,IF(B139="HEDP",1500,'Ammo Input'!G139))^2))),0)</f>
        <v>5350</v>
      </c>
      <c r="H139" s="25" t="str">
        <f>CONCATENATE(IF((B139="Foam")+(B139="Smoke"),"-",ROUND(Calcs!D139,0))," ",VLOOKUP(B139,AmmoTypeFactors,5,FALSE))</f>
        <v>23 Bullet</v>
      </c>
      <c r="I139" s="25" t="str">
        <f>IF(Calcs!E139=0,"None",CONCATENATE(ROUND(Calcs!E139,0)," ",VLOOKUP(B139,AmmoTypeFactors,6,FALSE)))</f>
        <v>None</v>
      </c>
      <c r="J139">
        <f>MROUND(2.42*'Ammo Input'!M139^(1/3)*VLOOKUP(B139,AmmoTypeFactors,3,FALSE),0.5)</f>
        <v>0</v>
      </c>
      <c r="K139" s="25" t="str">
        <f>IF(VLOOKUP(B139,AmmoTypeFactors,12,FALSE),MROUND(J139/3,0.5),"None")</f>
        <v>None</v>
      </c>
      <c r="L139" s="25">
        <f>IF(VLOOKUP(B139,AmmoTypeFactors,8,FALSE),"None",ROUNDUP(IF(Calcs!I139&gt;0,Calcs!I139,Calcs!H139),3))</f>
        <v>107</v>
      </c>
      <c r="M139" s="25">
        <f>IF(VLOOKUP(B139,AmmoTypeFactors,8,FALSE),"None",'Ammo Input'!L139)</f>
        <v>10</v>
      </c>
      <c r="N139">
        <f>'Ammo Input'!O139</f>
        <v>200</v>
      </c>
      <c r="O139" t="e">
        <f>ROUND((P139*0.0036+SUMPRODUCT(Q139:AB139,VLOOKUP($Q$1:$AB$1,IngredientStats,2,FALSE)))/N139*IF('Ammo Input'!R139,0.5,1),2)</f>
        <v>#VALUE!</v>
      </c>
      <c r="P139" t="e">
        <f>(SUMPRODUCT(Q139:AB139,VLOOKUP($Q$1:$AB$1,IngredientStats,4,FALSE))*VLOOKUP(B139,AmmoTypeFactors,14,FALSE)*IF('Ammo Input'!R139,1.1,1))</f>
        <v>#VALUE!</v>
      </c>
      <c r="Q139">
        <f>IFERROR(__xludf.DUMMYFUNCTION("((IF(NOT(OR(REGEXMATCH(B139, ""Arrow""), B139 = ""Javelin"", B139 = ""Stick bomb"")), ROUNDUP(('Ammo Input'!E139 / 1000) * N139)) + IF(VLOOKUP(B139, AmmoTypeFactors, 9, FALSE) = ""Steel"", ROUNDUP(('Ammo Input'!H139 -'Ammo Input'!M139) * MAX(IF('Ammo Inpu"&amp;"t'!J139 &gt; 0, 'Ammo Input'!J139, 1), 1) * N139 / 1000))) / 'Ingredient stats'!$C$2) * IF(ISBLANK(VLOOKUP(B139,AmmoTypeFactors,15,False)),1,VLOOKUP(B139,AmmoTypeFactors,15,False))"),16)</f>
        <v>16</v>
      </c>
      <c r="R139">
        <f>IFERROR(__xludf.DUMMYFUNCTION("ROUNDUP((IF(REGEXMATCH(B139, ""Arrow"") + (B139 = ""Javelin""), 'Ammo Input'!E139) + IF(VLOOKUP(B139, AmmoTypeFactors, 9, FALSE) = ""Wood"", 'Ammo Input'!H139) + IF(B139 = ""Stick bomb"", 'Ammo Input'!E139)) * N139 / 'Ingredient stats'!$C$12 / 1000)"),0)</f>
        <v>0</v>
      </c>
      <c r="S139">
        <v>0</v>
      </c>
      <c r="T139">
        <v>0</v>
      </c>
      <c r="U139">
        <f>IF(VLOOKUP(B139,AmmoTypeFactors,9,FALSE)="Plasteel",ROUNDUP(('Ammo Input'!H139*MAX(IF('Ammo Input'!J139&gt;0,'Ammo Input'!J139,1)*N139/1000/'Ingredient stats'!$C$4)),0),0)</f>
        <v>0</v>
      </c>
      <c r="V139">
        <f>IFERROR(__xludf.DUMMYFUNCTION("ROUNDUP(IF(ISBLANK(VLOOKUP(B139,AmmoTypeFactors,16,False)),1,VLOOKUP(B139,AmmoTypeFactors,16,False)) * (IFS(REGEXMATCH(B139, ""EMP""), 'Ammo Input'!M139 * N139 / 'Ingredient stats'!$C$5, REGEXMATCH(B139, ""Charge""), (U139^0.75), true, 0) + (IF(VLOOKUP(B1"&amp;"39, AmmoTypeFactors, 10, false), 2,0) + IF('Ammo Input'!P139, 2,0) + IF('Ammo Input'!Q139,MIN(ROUNDUP(0.2*('Ammo Input'!H139/1000)*'Ammo Input'!O139,0),20),0))))"),0)</f>
        <v>0</v>
      </c>
      <c r="W139">
        <v>0</v>
      </c>
      <c r="X139">
        <v>0</v>
      </c>
      <c r="Y139">
        <v>0</v>
      </c>
      <c r="Z139">
        <v>0</v>
      </c>
      <c r="AA139">
        <v>0</v>
      </c>
      <c r="AB139" s="30">
        <f>IF(B139="Sling Bullet (Stone)",ROUNDUP(D139*0.02*E139/'Ingredient stats'!$C$8,0),0)</f>
        <v>0</v>
      </c>
      <c r="AC139" t="str">
        <f t="shared" si="8"/>
        <v>None</v>
      </c>
      <c r="AD139" t="str">
        <f>IF(OR(B139="Buck",B139="Bird",B139="Charge (Scatter)"),'Ammo Input'!J139,"None")</f>
        <v>None</v>
      </c>
      <c r="AE139" t="str">
        <f>_xlfn.IFS(ISTEXT(Calcs!N139),Calcs!N139,Calcs!N139&lt;=40,Calcs!N139,Calcs!N139&gt;41,"40")</f>
        <v>None</v>
      </c>
      <c r="AF139" t="str">
        <f>_xlfn.IFS(ISTEXT(Calcs!O139),Calcs!O139,Calcs!O139&lt;=80,Calcs!O139,Calcs!O139&gt;=81,"80")</f>
        <v>None</v>
      </c>
      <c r="AG139" s="25">
        <f t="shared" si="9"/>
        <v>1</v>
      </c>
      <c r="AH139" s="25">
        <f t="shared" si="10"/>
        <v>2.9</v>
      </c>
      <c r="AI139" s="25">
        <f t="shared" si="11"/>
        <v>1</v>
      </c>
    </row>
    <row r="140" ht="14.4" spans="1:35">
      <c r="A140" s="24" t="str">
        <f>'Ammo Input'!A140</f>
        <v>.300 Win Mag</v>
      </c>
      <c r="B140" t="str">
        <f>'Ammo Input'!B140</f>
        <v>AP</v>
      </c>
      <c r="C140">
        <f>ROUNDUP(('Ammo Input'!C140*(MAX('Ammo Input'!D140,'Ammo Input'!F140)*0.5)^2*PI())*3/1000000,2)</f>
        <v>0.04</v>
      </c>
      <c r="D140">
        <f>ROUNDUP(('Ammo Input'!E140+'Ammo Input'!H140*IF('Ammo Input'!J140&lt;&gt;"",MAX('Ammo Input'!J140,1),1))/1000,3)</f>
        <v>0.032</v>
      </c>
      <c r="E140">
        <f>MIN(5000,MAX(25,CEILING(Calcs!L140,_xlfn.IFS(Calcs!L140&lt;100,25,Calcs!L140&lt;250,50,Calcs!L140&lt;1000,250,Calcs!L140&gt;=1000,1000))))</f>
        <v>5000</v>
      </c>
      <c r="F140">
        <f>ROUNDUP('Ammo Input'!G140^(3/4),0)</f>
        <v>178</v>
      </c>
      <c r="G140">
        <f>ROUND((0.5*((IF(OR(B140="HEAT",B140="HEDP"),'Ammo Input'!N140,'Ammo Input'!H140)/1000)*(IF(B140="HEAT",9000,IF(B140="HEDP",1500,'Ammo Input'!G140))^2))),0)</f>
        <v>5350</v>
      </c>
      <c r="H140" s="25" t="str">
        <f>CONCATENATE(IF((B140="Foam")+(B140="Smoke"),"-",ROUND(Calcs!D140,0))," ",VLOOKUP(B140,AmmoTypeFactors,5,FALSE))</f>
        <v>14 Bullet</v>
      </c>
      <c r="I140" s="25" t="str">
        <f>IF(Calcs!E140=0,"None",CONCATENATE(ROUND(Calcs!E140,0)," ",VLOOKUP(B140,AmmoTypeFactors,6,FALSE)))</f>
        <v>None</v>
      </c>
      <c r="J140">
        <f>MROUND(2.42*'Ammo Input'!M140^(1/3)*VLOOKUP(B140,AmmoTypeFactors,3,FALSE),0.5)</f>
        <v>0</v>
      </c>
      <c r="K140" s="25" t="str">
        <f>IF(VLOOKUP(B140,AmmoTypeFactors,12,FALSE),MROUND(J140/3,0.5),"None")</f>
        <v>None</v>
      </c>
      <c r="L140" s="25">
        <f>IF(VLOOKUP(B140,AmmoTypeFactors,8,FALSE),"None",ROUNDUP(IF(Calcs!I140&gt;0,Calcs!I140,Calcs!H140),3))</f>
        <v>107</v>
      </c>
      <c r="M140" s="25">
        <f>IF(VLOOKUP(B140,AmmoTypeFactors,8,FALSE),"None",'Ammo Input'!L140)</f>
        <v>20</v>
      </c>
      <c r="N140">
        <f>'Ammo Input'!O140</f>
        <v>200</v>
      </c>
      <c r="O140" t="e">
        <f>ROUND((P140*0.0036+SUMPRODUCT(Q140:AB140,VLOOKUP($Q$1:$AB$1,IngredientStats,2,FALSE)))/N140*IF('Ammo Input'!R140,0.5,1),2)</f>
        <v>#VALUE!</v>
      </c>
      <c r="P140" t="e">
        <f>(SUMPRODUCT(Q140:AB140,VLOOKUP($Q$1:$AB$1,IngredientStats,4,FALSE))*VLOOKUP(B140,AmmoTypeFactors,14,FALSE)*IF('Ammo Input'!R140,1.1,1))</f>
        <v>#VALUE!</v>
      </c>
      <c r="Q140">
        <f>IFERROR(__xludf.DUMMYFUNCTION("((IF(NOT(OR(REGEXMATCH(B140, ""Arrow""), B140 = ""Javelin"", B140 = ""Stick bomb"")), ROUNDUP(('Ammo Input'!E140 / 1000) * N140)) + IF(VLOOKUP(B140, AmmoTypeFactors, 9, FALSE) = ""Steel"", ROUNDUP(('Ammo Input'!H140 -'Ammo Input'!M140) * MAX(IF('Ammo Inpu"&amp;"t'!J140 &gt; 0, 'Ammo Input'!J140, 1), 1) * N140 / 1000))) / 'Ingredient stats'!$C$2) * IF(ISBLANK(VLOOKUP(B140,AmmoTypeFactors,15,False)),1,VLOOKUP(B140,AmmoTypeFactors,15,False))"),16)</f>
        <v>16</v>
      </c>
      <c r="R140">
        <f>IFERROR(__xludf.DUMMYFUNCTION("ROUNDUP((IF(REGEXMATCH(B140, ""Arrow"") + (B140 = ""Javelin""), 'Ammo Input'!E140) + IF(VLOOKUP(B140, AmmoTypeFactors, 9, FALSE) = ""Wood"", 'Ammo Input'!H140) + IF(B140 = ""Stick bomb"", 'Ammo Input'!E140)) * N140 / 'Ingredient stats'!$C$12 / 1000)"),0)</f>
        <v>0</v>
      </c>
      <c r="S140">
        <v>0</v>
      </c>
      <c r="T140">
        <v>0</v>
      </c>
      <c r="U140">
        <f>IF(VLOOKUP(B140,AmmoTypeFactors,9,FALSE)="Plasteel",ROUNDUP(('Ammo Input'!H140*MAX(IF('Ammo Input'!J140&gt;0,'Ammo Input'!J140,1)*N140/1000/'Ingredient stats'!$C$4)),0),0)</f>
        <v>0</v>
      </c>
      <c r="V140">
        <f>IFERROR(__xludf.DUMMYFUNCTION("ROUNDUP(IF(ISBLANK(VLOOKUP(B140,AmmoTypeFactors,16,False)),1,VLOOKUP(B140,AmmoTypeFactors,16,False)) * (IFS(REGEXMATCH(B140, ""EMP""), 'Ammo Input'!M140 * N140 / 'Ingredient stats'!$C$5, REGEXMATCH(B140, ""Charge""), (U140^0.75), true, 0) + (IF(VLOOKUP(B1"&amp;"40, AmmoTypeFactors, 10, false), 2,0) + IF('Ammo Input'!P140, 2,0) + IF('Ammo Input'!Q140,MIN(ROUNDUP(0.2*('Ammo Input'!H140/1000)*'Ammo Input'!O140,0),20),0))))"),0)</f>
        <v>0</v>
      </c>
      <c r="W140">
        <v>0</v>
      </c>
      <c r="X140">
        <v>0</v>
      </c>
      <c r="Y140">
        <v>0</v>
      </c>
      <c r="Z140">
        <v>0</v>
      </c>
      <c r="AA140">
        <v>0</v>
      </c>
      <c r="AB140" s="30">
        <f>IF(B140="Sling Bullet (Stone)",ROUNDUP(D140*0.02*E140/'Ingredient stats'!$C$8,0),0)</f>
        <v>0</v>
      </c>
      <c r="AC140" t="str">
        <f t="shared" si="8"/>
        <v>None</v>
      </c>
      <c r="AD140" t="str">
        <f>IF(OR(B140="Buck",B140="Bird",B140="Charge (Scatter)"),'Ammo Input'!J140,"None")</f>
        <v>None</v>
      </c>
      <c r="AE140" t="str">
        <f>_xlfn.IFS(ISTEXT(Calcs!N140),Calcs!N140,Calcs!N140&lt;=40,Calcs!N140,Calcs!N140&gt;41,"40")</f>
        <v>None</v>
      </c>
      <c r="AF140" t="str">
        <f>_xlfn.IFS(ISTEXT(Calcs!O140),Calcs!O140,Calcs!O140&lt;=80,Calcs!O140,Calcs!O140&gt;=81,"80")</f>
        <v>None</v>
      </c>
      <c r="AG140" s="25">
        <f t="shared" si="9"/>
        <v>1</v>
      </c>
      <c r="AH140" s="25">
        <f t="shared" si="10"/>
        <v>2.9</v>
      </c>
      <c r="AI140" s="25">
        <f t="shared" si="11"/>
        <v>1</v>
      </c>
    </row>
    <row r="141" ht="14.4" spans="1:35">
      <c r="A141" s="24" t="str">
        <f>'Ammo Input'!A141</f>
        <v>.300 Win Mag</v>
      </c>
      <c r="B141" t="str">
        <f>'Ammo Input'!B141</f>
        <v>AP-I</v>
      </c>
      <c r="C141">
        <f>ROUNDUP(('Ammo Input'!C141*(MAX('Ammo Input'!D141,'Ammo Input'!F141)*0.5)^2*PI())*3/1000000,2)</f>
        <v>0.04</v>
      </c>
      <c r="D141">
        <f>ROUNDUP(('Ammo Input'!E141+'Ammo Input'!H141*IF('Ammo Input'!J141&lt;&gt;"",MAX('Ammo Input'!J141,1),1))/1000,3)</f>
        <v>0.032</v>
      </c>
      <c r="E141">
        <f>MIN(5000,MAX(25,CEILING(Calcs!L141,_xlfn.IFS(Calcs!L141&lt;100,25,Calcs!L141&lt;250,50,Calcs!L141&lt;1000,250,Calcs!L141&gt;=1000,1000))))</f>
        <v>5000</v>
      </c>
      <c r="F141">
        <f>ROUNDUP('Ammo Input'!G141^(3/4),0)</f>
        <v>178</v>
      </c>
      <c r="G141">
        <f>ROUND((0.5*((IF(OR(B141="HEAT",B141="HEDP"),'Ammo Input'!N141,'Ammo Input'!H141)/1000)*(IF(B141="HEAT",9000,IF(B141="HEDP",1500,'Ammo Input'!G141))^2))),0)</f>
        <v>5350</v>
      </c>
      <c r="H141" s="25" t="str">
        <f>CONCATENATE(IF((B141="Foam")+(B141="Smoke"),"-",ROUND(Calcs!D141,0))," ",VLOOKUP(B141,AmmoTypeFactors,5,FALSE))</f>
        <v>14 Bullet</v>
      </c>
      <c r="I141" s="25" t="str">
        <f>IF(Calcs!E141=0,"None",CONCATENATE(ROUND(Calcs!E141,0)," ",VLOOKUP(B141,AmmoTypeFactors,6,FALSE)))</f>
        <v>6 Flame_Secondary</v>
      </c>
      <c r="J141">
        <f>MROUND(2.42*'Ammo Input'!M141^(1/3)*VLOOKUP(B141,AmmoTypeFactors,3,FALSE),0.5)</f>
        <v>0</v>
      </c>
      <c r="K141" s="25" t="str">
        <f>IF(VLOOKUP(B141,AmmoTypeFactors,12,FALSE),MROUND(J141/3,0.5),"None")</f>
        <v>None</v>
      </c>
      <c r="L141" s="25">
        <f>IF(VLOOKUP(B141,AmmoTypeFactors,8,FALSE),"None",ROUNDUP(IF(Calcs!I141&gt;0,Calcs!I141,Calcs!H141),3))</f>
        <v>107</v>
      </c>
      <c r="M141" s="25">
        <f>IF(VLOOKUP(B141,AmmoTypeFactors,8,FALSE),"None",'Ammo Input'!L141)</f>
        <v>20</v>
      </c>
      <c r="N141">
        <f>'Ammo Input'!O141</f>
        <v>200</v>
      </c>
      <c r="O141" t="e">
        <f>ROUND((P141*0.0036+SUMPRODUCT(Q141:AB141,VLOOKUP($Q$1:$AB$1,IngredientStats,2,FALSE)))/N141*IF('Ammo Input'!R141,0.5,1),2)</f>
        <v>#VALUE!</v>
      </c>
      <c r="P141" t="e">
        <f>(SUMPRODUCT(Q141:AB141,VLOOKUP($Q$1:$AB$1,IngredientStats,4,FALSE))*VLOOKUP(B141,AmmoTypeFactors,14,FALSE)*IF('Ammo Input'!R141,1.1,1))</f>
        <v>#VALUE!</v>
      </c>
      <c r="Q141">
        <f>IFERROR(__xludf.DUMMYFUNCTION("((IF(NOT(OR(REGEXMATCH(B141, ""Arrow""), B141 = ""Javelin"", B141 = ""Stick bomb"")), ROUNDUP(('Ammo Input'!E141 / 1000) * N141)) + IF(VLOOKUP(B141, AmmoTypeFactors, 9, FALSE) = ""Steel"", ROUNDUP(('Ammo Input'!H141 -'Ammo Input'!M141) * MAX(IF('Ammo Inpu"&amp;"t'!J141 &gt; 0, 'Ammo Input'!J141, 1), 1) * N141 / 1000))) / 'Ingredient stats'!$C$2) * IF(ISBLANK(VLOOKUP(B141,AmmoTypeFactors,15,False)),1,VLOOKUP(B141,AmmoTypeFactors,15,False))"),16)</f>
        <v>16</v>
      </c>
      <c r="R141">
        <f>IFERROR(__xludf.DUMMYFUNCTION("ROUNDUP((IF(REGEXMATCH(B141, ""Arrow"") + (B141 = ""Javelin""), 'Ammo Input'!E141) + IF(VLOOKUP(B141, AmmoTypeFactors, 9, FALSE) = ""Wood"", 'Ammo Input'!H141) + IF(B141 = ""Stick bomb"", 'Ammo Input'!E141)) * N141 / 'Ingredient stats'!$C$12 / 1000)"),0)</f>
        <v>0</v>
      </c>
      <c r="S141">
        <v>0</v>
      </c>
      <c r="T141">
        <v>0</v>
      </c>
      <c r="U141">
        <f>IF(VLOOKUP(B141,AmmoTypeFactors,9,FALSE)="Plasteel",ROUNDUP(('Ammo Input'!H141*MAX(IF('Ammo Input'!J141&gt;0,'Ammo Input'!J141,1)*N141/1000/'Ingredient stats'!$C$4)),0),0)</f>
        <v>0</v>
      </c>
      <c r="V141">
        <f>IFERROR(__xludf.DUMMYFUNCTION("ROUNDUP(IF(ISBLANK(VLOOKUP(B141,AmmoTypeFactors,16,False)),1,VLOOKUP(B141,AmmoTypeFactors,16,False)) * (IFS(REGEXMATCH(B141, ""EMP""), 'Ammo Input'!M141 * N141 / 'Ingredient stats'!$C$5, REGEXMATCH(B141, ""Charge""), (U141^0.75), true, 0) + (IF(VLOOKUP(B1"&amp;"41, AmmoTypeFactors, 10, false), 2,0) + IF('Ammo Input'!P141, 2,0) + IF('Ammo Input'!Q141,MIN(ROUNDUP(0.2*('Ammo Input'!H141/1000)*'Ammo Input'!O141,0),20),0))))"),0)</f>
        <v>0</v>
      </c>
      <c r="W141">
        <v>2</v>
      </c>
      <c r="X141">
        <v>0</v>
      </c>
      <c r="Y141">
        <v>0</v>
      </c>
      <c r="Z141">
        <v>0</v>
      </c>
      <c r="AA141">
        <v>0</v>
      </c>
      <c r="AB141" s="30">
        <f>IF(B141="Sling Bullet (Stone)",ROUNDUP(D141*0.02*E141/'Ingredient stats'!$C$8,0),0)</f>
        <v>0</v>
      </c>
      <c r="AC141" t="str">
        <f t="shared" si="8"/>
        <v>None</v>
      </c>
      <c r="AD141" t="str">
        <f>IF(OR(B141="Buck",B141="Bird",B141="Charge (Scatter)"),'Ammo Input'!J141,"None")</f>
        <v>None</v>
      </c>
      <c r="AE141" t="str">
        <f>_xlfn.IFS(ISTEXT(Calcs!N141),Calcs!N141,Calcs!N141&lt;=40,Calcs!N141,Calcs!N141&gt;41,"40")</f>
        <v>None</v>
      </c>
      <c r="AF141" t="str">
        <f>_xlfn.IFS(ISTEXT(Calcs!O141),Calcs!O141,Calcs!O141&lt;=80,Calcs!O141,Calcs!O141&gt;=81,"80")</f>
        <v>None</v>
      </c>
      <c r="AG141" s="25">
        <f t="shared" si="9"/>
        <v>1</v>
      </c>
      <c r="AH141" s="25">
        <f t="shared" si="10"/>
        <v>2.9</v>
      </c>
      <c r="AI141" s="25">
        <f t="shared" si="11"/>
        <v>1</v>
      </c>
    </row>
    <row r="142" ht="14.4" spans="1:35">
      <c r="A142" s="24" t="str">
        <f>'Ammo Input'!A142</f>
        <v>.300 Win Mag</v>
      </c>
      <c r="B142" t="str">
        <f>'Ammo Input'!B142</f>
        <v>AP-HE</v>
      </c>
      <c r="C142">
        <f>ROUNDUP(('Ammo Input'!C142*(MAX('Ammo Input'!D142,'Ammo Input'!F142)*0.5)^2*PI())*3/1000000,2)</f>
        <v>0.04</v>
      </c>
      <c r="D142">
        <f>ROUNDUP(('Ammo Input'!E142+'Ammo Input'!H142*IF('Ammo Input'!J142&lt;&gt;"",MAX('Ammo Input'!J142,1),1))/1000,3)</f>
        <v>0.032</v>
      </c>
      <c r="E142">
        <f>MIN(5000,MAX(25,CEILING(Calcs!L142,_xlfn.IFS(Calcs!L142&lt;100,25,Calcs!L142&lt;250,50,Calcs!L142&lt;1000,250,Calcs!L142&gt;=1000,1000))))</f>
        <v>5000</v>
      </c>
      <c r="F142">
        <f>ROUNDUP('Ammo Input'!G142^(3/4),0)</f>
        <v>178</v>
      </c>
      <c r="G142">
        <f>ROUND((0.5*((IF(OR(B142="HEAT",B142="HEDP"),'Ammo Input'!N142,'Ammo Input'!H142)/1000)*(IF(B142="HEAT",9000,IF(B142="HEDP",1500,'Ammo Input'!G142))^2))),0)</f>
        <v>5350</v>
      </c>
      <c r="H142" s="25" t="str">
        <f>CONCATENATE(IF((B142="Foam")+(B142="Smoke"),"-",ROUND(Calcs!D142,0))," ",VLOOKUP(B142,AmmoTypeFactors,5,FALSE))</f>
        <v>23 Bullet</v>
      </c>
      <c r="I142" s="25" t="str">
        <f>IF(Calcs!E142=0,"None",CONCATENATE(ROUND(Calcs!E142,0)," ",VLOOKUP(B142,AmmoTypeFactors,6,FALSE)))</f>
        <v>8 Bomb_Secondary</v>
      </c>
      <c r="J142">
        <f>MROUND(2.42*'Ammo Input'!M142^(1/3)*VLOOKUP(B142,AmmoTypeFactors,3,FALSE),0.5)</f>
        <v>0</v>
      </c>
      <c r="K142" s="25" t="str">
        <f>IF(VLOOKUP(B142,AmmoTypeFactors,12,FALSE),MROUND(J142/3,0.5),"None")</f>
        <v>None</v>
      </c>
      <c r="L142" s="25">
        <f>IF(VLOOKUP(B142,AmmoTypeFactors,8,FALSE),"None",ROUNDUP(IF(Calcs!I142&gt;0,Calcs!I142,Calcs!H142),3))</f>
        <v>107</v>
      </c>
      <c r="M142" s="25">
        <f>IF(VLOOKUP(B142,AmmoTypeFactors,8,FALSE),"None",'Ammo Input'!L142)</f>
        <v>10</v>
      </c>
      <c r="N142">
        <f>'Ammo Input'!O142</f>
        <v>200</v>
      </c>
      <c r="O142" t="e">
        <f>ROUND((P142*0.0036+SUMPRODUCT(Q142:AB142,VLOOKUP($Q$1:$AB$1,IngredientStats,2,FALSE)))/N142*IF('Ammo Input'!R142,0.5,1),2)</f>
        <v>#VALUE!</v>
      </c>
      <c r="P142" t="e">
        <f>(SUMPRODUCT(Q142:AB142,VLOOKUP($Q$1:$AB$1,IngredientStats,4,FALSE))*VLOOKUP(B142,AmmoTypeFactors,14,FALSE)*IF('Ammo Input'!R142,1.1,1))</f>
        <v>#VALUE!</v>
      </c>
      <c r="Q142">
        <f>IFERROR(__xludf.DUMMYFUNCTION("((IF(NOT(OR(REGEXMATCH(B142, ""Arrow""), B142 = ""Javelin"", B142 = ""Stick bomb"")), ROUNDUP(('Ammo Input'!E142 / 1000) * N142)) + IF(VLOOKUP(B142, AmmoTypeFactors, 9, FALSE) = ""Steel"", ROUNDUP(('Ammo Input'!H142 -'Ammo Input'!M142) * MAX(IF('Ammo Inpu"&amp;"t'!J142 &gt; 0, 'Ammo Input'!J142, 1), 1) * N142 / 1000))) / 'Ingredient stats'!$C$2) * IF(ISBLANK(VLOOKUP(B142,AmmoTypeFactors,15,False)),1,VLOOKUP(B142,AmmoTypeFactors,15,False))"),16)</f>
        <v>16</v>
      </c>
      <c r="R142">
        <f>IFERROR(__xludf.DUMMYFUNCTION("ROUNDUP((IF(REGEXMATCH(B142, ""Arrow"") + (B142 = ""Javelin""), 'Ammo Input'!E142) + IF(VLOOKUP(B142, AmmoTypeFactors, 9, FALSE) = ""Wood"", 'Ammo Input'!H142) + IF(B142 = ""Stick bomb"", 'Ammo Input'!E142)) * N142 / 'Ingredient stats'!$C$12 / 1000)"),0)</f>
        <v>0</v>
      </c>
      <c r="S142">
        <v>0</v>
      </c>
      <c r="T142">
        <v>0</v>
      </c>
      <c r="U142">
        <f>IF(VLOOKUP(B142,AmmoTypeFactors,9,FALSE)="Plasteel",ROUNDUP(('Ammo Input'!H142*MAX(IF('Ammo Input'!J142&gt;0,'Ammo Input'!J142,1)*N142/1000/'Ingredient stats'!$C$4)),0),0)</f>
        <v>0</v>
      </c>
      <c r="V142">
        <f>IFERROR(__xludf.DUMMYFUNCTION("ROUNDUP(IF(ISBLANK(VLOOKUP(B142,AmmoTypeFactors,16,False)),1,VLOOKUP(B142,AmmoTypeFactors,16,False)) * (IFS(REGEXMATCH(B142, ""EMP""), 'Ammo Input'!M142 * N142 / 'Ingredient stats'!$C$5, REGEXMATCH(B142, ""Charge""), (U142^0.75), true, 0) + (IF(VLOOKUP(B1"&amp;"42, AmmoTypeFactors, 10, false), 2,0) + IF('Ammo Input'!P142, 2,0) + IF('Ammo Input'!Q142,MIN(ROUNDUP(0.2*('Ammo Input'!H142/1000)*'Ammo Input'!O142,0),20),0))))"),0)</f>
        <v>0</v>
      </c>
      <c r="W142">
        <v>0</v>
      </c>
      <c r="X142">
        <v>4</v>
      </c>
      <c r="Y142">
        <v>0</v>
      </c>
      <c r="Z142">
        <v>0</v>
      </c>
      <c r="AA142">
        <v>0</v>
      </c>
      <c r="AB142" s="30">
        <f>IF(B142="Sling Bullet (Stone)",ROUNDUP(D142*0.02*E142/'Ingredient stats'!$C$8,0),0)</f>
        <v>0</v>
      </c>
      <c r="AC142" t="str">
        <f t="shared" si="8"/>
        <v>None</v>
      </c>
      <c r="AD142" t="str">
        <f>IF(OR(B142="Buck",B142="Bird",B142="Charge (Scatter)"),'Ammo Input'!J142,"None")</f>
        <v>None</v>
      </c>
      <c r="AE142" t="str">
        <f>_xlfn.IFS(ISTEXT(Calcs!N142),Calcs!N142,Calcs!N142&lt;=40,Calcs!N142,Calcs!N142&gt;41,"40")</f>
        <v>None</v>
      </c>
      <c r="AF142" t="str">
        <f>_xlfn.IFS(ISTEXT(Calcs!O142),Calcs!O142,Calcs!O142&lt;=80,Calcs!O142,Calcs!O142&gt;=81,"80")</f>
        <v>None</v>
      </c>
      <c r="AG142" s="25">
        <f t="shared" si="9"/>
        <v>1</v>
      </c>
      <c r="AH142" s="25">
        <f t="shared" si="10"/>
        <v>2.9</v>
      </c>
      <c r="AI142" s="25">
        <f t="shared" si="11"/>
        <v>1</v>
      </c>
    </row>
    <row r="143" ht="14.4" spans="1:35">
      <c r="A143" s="24" t="str">
        <f>'Ammo Input'!A143</f>
        <v>.300 Win Mag</v>
      </c>
      <c r="B143" t="str">
        <f>'Ammo Input'!B143</f>
        <v>Sabot</v>
      </c>
      <c r="C143">
        <f>ROUNDUP(('Ammo Input'!C143*(MAX('Ammo Input'!D143,'Ammo Input'!F143)*0.5)^2*PI())*3/1000000,2)</f>
        <v>0.04</v>
      </c>
      <c r="D143">
        <f>ROUNDUP(('Ammo Input'!E143+'Ammo Input'!H143*IF('Ammo Input'!J143&lt;&gt;"",MAX('Ammo Input'!J143,1),1))/1000,3)</f>
        <v>0.028</v>
      </c>
      <c r="E143">
        <f>MIN(5000,MAX(25,CEILING(Calcs!L143,_xlfn.IFS(Calcs!L143&lt;100,25,Calcs!L143&lt;250,50,Calcs!L143&lt;1000,250,Calcs!L143&gt;=1000,1000))))</f>
        <v>5000</v>
      </c>
      <c r="F143">
        <f>ROUNDUP('Ammo Input'!G143^(3/4),0)</f>
        <v>242</v>
      </c>
      <c r="G143">
        <f>ROUND((0.5*((IF(OR(B143="HEAT",B143="HEDP"),'Ammo Input'!N143,'Ammo Input'!H143)/1000)*(IF(B143="HEAT",9000,IF(B143="HEDP",1500,'Ammo Input'!G143))^2))),0)</f>
        <v>6863</v>
      </c>
      <c r="H143" s="25" t="str">
        <f>CONCATENATE(IF((B143="Foam")+(B143="Smoke"),"-",ROUND(Calcs!D143,0))," ",VLOOKUP(B143,AmmoTypeFactors,5,FALSE))</f>
        <v>12 Bullet</v>
      </c>
      <c r="I143" s="25" t="str">
        <f>IF(Calcs!E143=0,"None",CONCATENATE(ROUND(Calcs!E143,0)," ",VLOOKUP(B143,AmmoTypeFactors,6,FALSE)))</f>
        <v>None</v>
      </c>
      <c r="J143">
        <f>MROUND(2.42*'Ammo Input'!M143^(1/3)*VLOOKUP(B143,AmmoTypeFactors,3,FALSE),0.5)</f>
        <v>0</v>
      </c>
      <c r="K143" s="25" t="str">
        <f>IF(VLOOKUP(B143,AmmoTypeFactors,12,FALSE),MROUND(J143/3,0.5),"None")</f>
        <v>None</v>
      </c>
      <c r="L143" s="25">
        <f>IF(VLOOKUP(B143,AmmoTypeFactors,8,FALSE),"None",ROUNDUP(IF(Calcs!I143&gt;0,Calcs!I143,Calcs!H143),3))</f>
        <v>137.26</v>
      </c>
      <c r="M143" s="25">
        <f>IF(VLOOKUP(B143,AmmoTypeFactors,8,FALSE),"None",'Ammo Input'!L143)</f>
        <v>35</v>
      </c>
      <c r="N143">
        <f>'Ammo Input'!O143</f>
        <v>200</v>
      </c>
      <c r="O143" t="e">
        <f>ROUND((P143*0.0036+SUMPRODUCT(Q143:AB143,VLOOKUP($Q$1:$AB$1,IngredientStats,2,FALSE)))/N143*IF('Ammo Input'!R143,0.5,1),2)</f>
        <v>#VALUE!</v>
      </c>
      <c r="P143" t="e">
        <f>(SUMPRODUCT(Q143:AB143,VLOOKUP($Q$1:$AB$1,IngredientStats,4,FALSE))*VLOOKUP(B143,AmmoTypeFactors,14,FALSE)*IF('Ammo Input'!R143,1.1,1))</f>
        <v>#VALUE!</v>
      </c>
      <c r="Q143">
        <f>IFERROR(__xludf.DUMMYFUNCTION("((IF(NOT(OR(REGEXMATCH(B143, ""Arrow""), B143 = ""Javelin"", B143 = ""Stick bomb"")), ROUNDUP(('Ammo Input'!E143 / 1000) * N143)) + IF(VLOOKUP(B143, AmmoTypeFactors, 9, FALSE) = ""Steel"", ROUNDUP(('Ammo Input'!H143 -'Ammo Input'!M143) * MAX(IF('Ammo Inpu"&amp;"t'!J143 &gt; 0, 'Ammo Input'!J143, 1), 1) * N143 / 1000))) / 'Ingredient stats'!$C$2) * IF(ISBLANK(VLOOKUP(B143,AmmoTypeFactors,15,False)),1,VLOOKUP(B143,AmmoTypeFactors,15,False))"),10)</f>
        <v>10</v>
      </c>
      <c r="R143">
        <f>IFERROR(__xludf.DUMMYFUNCTION("ROUNDUP((IF(REGEXMATCH(B143, ""Arrow"") + (B143 = ""Javelin""), 'Ammo Input'!E143) + IF(VLOOKUP(B143, AmmoTypeFactors, 9, FALSE) = ""Wood"", 'Ammo Input'!H143) + IF(B143 = ""Stick bomb"", 'Ammo Input'!E143)) * N143 / 'Ingredient stats'!$C$12 / 1000)"),0)</f>
        <v>0</v>
      </c>
      <c r="S143">
        <v>2</v>
      </c>
      <c r="T143">
        <v>2</v>
      </c>
      <c r="U143">
        <f>IF(VLOOKUP(B143,AmmoTypeFactors,9,FALSE)="Plasteel",ROUNDUP(('Ammo Input'!H143*MAX(IF('Ammo Input'!J143&gt;0,'Ammo Input'!J143,1)*N143/1000/'Ingredient stats'!$C$4)),0),0)</f>
        <v>0</v>
      </c>
      <c r="V143">
        <f>IFERROR(__xludf.DUMMYFUNCTION("ROUNDUP(IF(ISBLANK(VLOOKUP(B143,AmmoTypeFactors,16,False)),1,VLOOKUP(B143,AmmoTypeFactors,16,False)) * (IFS(REGEXMATCH(B143, ""EMP""), 'Ammo Input'!M143 * N143 / 'Ingredient stats'!$C$5, REGEXMATCH(B143, ""Charge""), (U143^0.75), true, 0) + (IF(VLOOKUP(B1"&amp;"43, AmmoTypeFactors, 10, false), 2,0) + IF('Ammo Input'!P143, 2,0) + IF('Ammo Input'!Q143,MIN(ROUNDUP(0.2*('Ammo Input'!H143/1000)*'Ammo Input'!O143,0),20),0))))"),0)</f>
        <v>0</v>
      </c>
      <c r="W143">
        <v>0</v>
      </c>
      <c r="X143">
        <v>0</v>
      </c>
      <c r="Y143">
        <v>0</v>
      </c>
      <c r="Z143">
        <v>0</v>
      </c>
      <c r="AA143">
        <v>0</v>
      </c>
      <c r="AB143" s="30">
        <f>IF(B143="Sling Bullet (Stone)",ROUNDUP(D143*0.02*E143/'Ingredient stats'!$C$8,0),0)</f>
        <v>0</v>
      </c>
      <c r="AC143" t="str">
        <f t="shared" si="8"/>
        <v>None</v>
      </c>
      <c r="AD143" t="str">
        <f>IF(OR(B143="Buck",B143="Bird",B143="Charge (Scatter)"),'Ammo Input'!J143,"None")</f>
        <v>None</v>
      </c>
      <c r="AE143" t="str">
        <f>_xlfn.IFS(ISTEXT(Calcs!N143),Calcs!N143,Calcs!N143&lt;=40,Calcs!N143,Calcs!N143&gt;41,"40")</f>
        <v>None</v>
      </c>
      <c r="AF143" t="str">
        <f>_xlfn.IFS(ISTEXT(Calcs!O143),Calcs!O143,Calcs!O143&lt;=80,Calcs!O143,Calcs!O143&gt;=81,"80")</f>
        <v>None</v>
      </c>
      <c r="AG143" s="25">
        <f t="shared" si="9"/>
        <v>1</v>
      </c>
      <c r="AH143" s="25">
        <f t="shared" si="10"/>
        <v>3.92</v>
      </c>
      <c r="AI143" s="25">
        <f t="shared" si="11"/>
        <v>1</v>
      </c>
    </row>
    <row r="144" ht="14.4" spans="1:35">
      <c r="A144" s="24" t="str">
        <f>'Ammo Input'!A144</f>
        <v>.408 CheyTac</v>
      </c>
      <c r="B144" t="str">
        <f>'Ammo Input'!B144</f>
        <v>FMJ</v>
      </c>
      <c r="C144">
        <f>ROUNDUP(('Ammo Input'!C144*(MAX('Ammo Input'!D144,'Ammo Input'!F144)*0.5)^2*PI())*3/1000000,2)</f>
        <v>0.08</v>
      </c>
      <c r="D144">
        <f>ROUNDUP(('Ammo Input'!E144+'Ammo Input'!H144*IF('Ammo Input'!J144&lt;&gt;"",MAX('Ammo Input'!J144,1),1))/1000,3)</f>
        <v>0.079</v>
      </c>
      <c r="E144">
        <f>MIN(5000,MAX(25,CEILING(Calcs!L144,_xlfn.IFS(Calcs!L144&lt;100,25,Calcs!L144&lt;250,50,Calcs!L144&lt;1000,250,Calcs!L144&gt;=1000,1000))))</f>
        <v>5000</v>
      </c>
      <c r="F144">
        <f>ROUNDUP('Ammo Input'!G144^(3/4),0)</f>
        <v>192</v>
      </c>
      <c r="G144">
        <f>ROUND((0.5*((IF(OR(B144="HEAT",B144="HEDP"),'Ammo Input'!N144,'Ammo Input'!H144)/1000)*(IF(B144="HEAT",9000,IF(B144="HEDP",1500,'Ammo Input'!G144))^2))),0)</f>
        <v>12100</v>
      </c>
      <c r="H144" s="25" t="str">
        <f>CONCATENATE(IF((B144="Foam")+(B144="Smoke"),"-",ROUND(Calcs!D144,0))," ",VLOOKUP(B144,AmmoTypeFactors,5,FALSE))</f>
        <v>34 Bullet</v>
      </c>
      <c r="I144" s="25" t="str">
        <f>IF(Calcs!E144=0,"None",CONCATENATE(ROUND(Calcs!E144,0)," ",VLOOKUP(B144,AmmoTypeFactors,6,FALSE)))</f>
        <v>None</v>
      </c>
      <c r="J144">
        <f>MROUND(2.42*'Ammo Input'!M144^(1/3)*VLOOKUP(B144,AmmoTypeFactors,3,FALSE),0.5)</f>
        <v>0</v>
      </c>
      <c r="K144" s="25" t="str">
        <f>IF(VLOOKUP(B144,AmmoTypeFactors,12,FALSE),MROUND(J144/3,0.5),"None")</f>
        <v>None</v>
      </c>
      <c r="L144" s="25">
        <f>IF(VLOOKUP(B144,AmmoTypeFactors,8,FALSE),"None",ROUNDUP(IF(Calcs!I144&gt;0,Calcs!I144,Calcs!H144),3))</f>
        <v>242</v>
      </c>
      <c r="M144" s="25">
        <f>IF(VLOOKUP(B144,AmmoTypeFactors,8,FALSE),"None",'Ammo Input'!L144)</f>
        <v>12</v>
      </c>
      <c r="N144">
        <f>'Ammo Input'!O144</f>
        <v>200</v>
      </c>
      <c r="O144" t="e">
        <f>ROUND((P144*0.0036+SUMPRODUCT(Q144:AB144,VLOOKUP($Q$1:$AB$1,IngredientStats,2,FALSE)))/N144*IF('Ammo Input'!R144,0.5,1),2)</f>
        <v>#VALUE!</v>
      </c>
      <c r="P144" t="e">
        <f>(SUMPRODUCT(Q144:AB144,VLOOKUP($Q$1:$AB$1,IngredientStats,4,FALSE))*VLOOKUP(B144,AmmoTypeFactors,14,FALSE)*IF('Ammo Input'!R144,1.1,1))</f>
        <v>#VALUE!</v>
      </c>
      <c r="Q144">
        <f>IFERROR(__xludf.DUMMYFUNCTION("((IF(NOT(OR(REGEXMATCH(B144, ""Arrow""), B144 = ""Javelin"", B144 = ""Stick bomb"")), ROUNDUP(('Ammo Input'!E144 / 1000) * N144)) + IF(VLOOKUP(B144, AmmoTypeFactors, 9, FALSE) = ""Steel"", ROUNDUP(('Ammo Input'!H144 -'Ammo Input'!M144) * MAX(IF('Ammo Inpu"&amp;"t'!J144 &gt; 0, 'Ammo Input'!J144, 1), 1) * N144 / 1000))) / 'Ingredient stats'!$C$2) * IF(ISBLANK(VLOOKUP(B144,AmmoTypeFactors,15,False)),1,VLOOKUP(B144,AmmoTypeFactors,15,False))"),32)</f>
        <v>32</v>
      </c>
      <c r="R144">
        <f>IFERROR(__xludf.DUMMYFUNCTION("ROUNDUP((IF(REGEXMATCH(B144, ""Arrow"") + (B144 = ""Javelin""), 'Ammo Input'!E144) + IF(VLOOKUP(B144, AmmoTypeFactors, 9, FALSE) = ""Wood"", 'Ammo Input'!H144) + IF(B144 = ""Stick bomb"", 'Ammo Input'!E144)) * N144 / 'Ingredient stats'!$C$12 / 1000)"),0)</f>
        <v>0</v>
      </c>
      <c r="S144">
        <v>0</v>
      </c>
      <c r="T144">
        <v>0</v>
      </c>
      <c r="U144">
        <f>IF(VLOOKUP(B144,AmmoTypeFactors,9,FALSE)="Plasteel",ROUNDUP(('Ammo Input'!H144*MAX(IF('Ammo Input'!J144&gt;0,'Ammo Input'!J144,1)*N144/1000/'Ingredient stats'!$C$4)),0),0)</f>
        <v>0</v>
      </c>
      <c r="V144">
        <f>IFERROR(__xludf.DUMMYFUNCTION("ROUNDUP(IF(ISBLANK(VLOOKUP(B144,AmmoTypeFactors,16,False)),1,VLOOKUP(B144,AmmoTypeFactors,16,False)) * (IFS(REGEXMATCH(B144, ""EMP""), 'Ammo Input'!M144 * N144 / 'Ingredient stats'!$C$5, REGEXMATCH(B144, ""Charge""), (U144^0.75), true, 0) + (IF(VLOOKUP(B1"&amp;"44, AmmoTypeFactors, 10, false), 2,0) + IF('Ammo Input'!P144, 2,0) + IF('Ammo Input'!Q144,MIN(ROUNDUP(0.2*('Ammo Input'!H144/1000)*'Ammo Input'!O144,0),20),0))))"),0)</f>
        <v>0</v>
      </c>
      <c r="W144">
        <v>0</v>
      </c>
      <c r="X144">
        <v>0</v>
      </c>
      <c r="Y144">
        <v>0</v>
      </c>
      <c r="Z144">
        <v>0</v>
      </c>
      <c r="AA144">
        <v>0</v>
      </c>
      <c r="AB144" s="30">
        <f>IF(B144="Sling Bullet (Stone)",ROUNDUP(D144*0.02*E144/'Ingredient stats'!$C$8,0),0)</f>
        <v>0</v>
      </c>
      <c r="AC144" t="str">
        <f t="shared" si="8"/>
        <v>None</v>
      </c>
      <c r="AD144" t="str">
        <f>IF(OR(B144="Buck",B144="Bird",B144="Charge (Scatter)"),'Ammo Input'!J144,"None")</f>
        <v>None</v>
      </c>
      <c r="AE144" t="str">
        <f>_xlfn.IFS(ISTEXT(Calcs!N144),Calcs!N144,Calcs!N144&lt;=40,Calcs!N144,Calcs!N144&gt;41,"40")</f>
        <v>None</v>
      </c>
      <c r="AF144" t="str">
        <f>_xlfn.IFS(ISTEXT(Calcs!O144),Calcs!O144,Calcs!O144&lt;=80,Calcs!O144,Calcs!O144&gt;=81,"80")</f>
        <v>None</v>
      </c>
      <c r="AG144" s="25">
        <f t="shared" si="9"/>
        <v>1</v>
      </c>
      <c r="AH144" s="25">
        <f t="shared" si="10"/>
        <v>3.13</v>
      </c>
      <c r="AI144" s="25">
        <f t="shared" si="11"/>
        <v>1</v>
      </c>
    </row>
    <row r="145" ht="14.4" spans="1:35">
      <c r="A145" s="24" t="str">
        <f>'Ammo Input'!A145</f>
        <v>.408 CheyTac</v>
      </c>
      <c r="B145" t="str">
        <f>'Ammo Input'!B145</f>
        <v>AP</v>
      </c>
      <c r="C145">
        <f>ROUNDUP(('Ammo Input'!C145*(MAX('Ammo Input'!D145,'Ammo Input'!F145)*0.5)^2*PI())*3/1000000,2)</f>
        <v>0.08</v>
      </c>
      <c r="D145">
        <f>ROUNDUP(('Ammo Input'!E145+'Ammo Input'!H145*IF('Ammo Input'!J145&lt;&gt;"",MAX('Ammo Input'!J145,1),1))/1000,3)</f>
        <v>0.079</v>
      </c>
      <c r="E145">
        <f>MIN(5000,MAX(25,CEILING(Calcs!L145,_xlfn.IFS(Calcs!L145&lt;100,25,Calcs!L145&lt;250,50,Calcs!L145&lt;1000,250,Calcs!L145&gt;=1000,1000))))</f>
        <v>5000</v>
      </c>
      <c r="F145">
        <f>ROUNDUP('Ammo Input'!G145^(3/4),0)</f>
        <v>192</v>
      </c>
      <c r="G145">
        <f>ROUND((0.5*((IF(OR(B145="HEAT",B145="HEDP"),'Ammo Input'!N145,'Ammo Input'!H145)/1000)*(IF(B145="HEAT",9000,IF(B145="HEDP",1500,'Ammo Input'!G145))^2))),0)</f>
        <v>12100</v>
      </c>
      <c r="H145" s="25" t="str">
        <f>CONCATENATE(IF((B145="Foam")+(B145="Smoke"),"-",ROUND(Calcs!D145,0))," ",VLOOKUP(B145,AmmoTypeFactors,5,FALSE))</f>
        <v>21 Bullet</v>
      </c>
      <c r="I145" s="25" t="str">
        <f>IF(Calcs!E145=0,"None",CONCATENATE(ROUND(Calcs!E145,0)," ",VLOOKUP(B145,AmmoTypeFactors,6,FALSE)))</f>
        <v>None</v>
      </c>
      <c r="J145">
        <f>MROUND(2.42*'Ammo Input'!M145^(1/3)*VLOOKUP(B145,AmmoTypeFactors,3,FALSE),0.5)</f>
        <v>0</v>
      </c>
      <c r="K145" s="25" t="str">
        <f>IF(VLOOKUP(B145,AmmoTypeFactors,12,FALSE),MROUND(J145/3,0.5),"None")</f>
        <v>None</v>
      </c>
      <c r="L145" s="25">
        <f>IF(VLOOKUP(B145,AmmoTypeFactors,8,FALSE),"None",ROUNDUP(IF(Calcs!I145&gt;0,Calcs!I145,Calcs!H145),3))</f>
        <v>242</v>
      </c>
      <c r="M145" s="25">
        <f>IF(VLOOKUP(B145,AmmoTypeFactors,8,FALSE),"None",'Ammo Input'!L145)</f>
        <v>24</v>
      </c>
      <c r="N145">
        <f>'Ammo Input'!O145</f>
        <v>200</v>
      </c>
      <c r="O145" t="e">
        <f>ROUND((P145*0.0036+SUMPRODUCT(Q145:AB145,VLOOKUP($Q$1:$AB$1,IngredientStats,2,FALSE)))/N145*IF('Ammo Input'!R145,0.5,1),2)</f>
        <v>#VALUE!</v>
      </c>
      <c r="P145" t="e">
        <f>(SUMPRODUCT(Q145:AB145,VLOOKUP($Q$1:$AB$1,IngredientStats,4,FALSE))*VLOOKUP(B145,AmmoTypeFactors,14,FALSE)*IF('Ammo Input'!R145,1.1,1))</f>
        <v>#VALUE!</v>
      </c>
      <c r="Q145">
        <f>IFERROR(__xludf.DUMMYFUNCTION("((IF(NOT(OR(REGEXMATCH(B145, ""Arrow""), B145 = ""Javelin"", B145 = ""Stick bomb"")), ROUNDUP(('Ammo Input'!E145 / 1000) * N145)) + IF(VLOOKUP(B145, AmmoTypeFactors, 9, FALSE) = ""Steel"", ROUNDUP(('Ammo Input'!H145 -'Ammo Input'!M145) * MAX(IF('Ammo Inpu"&amp;"t'!J145 &gt; 0, 'Ammo Input'!J145, 1), 1) * N145 / 1000))) / 'Ingredient stats'!$C$2) * IF(ISBLANK(VLOOKUP(B145,AmmoTypeFactors,15,False)),1,VLOOKUP(B145,AmmoTypeFactors,15,False))"),32)</f>
        <v>32</v>
      </c>
      <c r="R145">
        <f>IFERROR(__xludf.DUMMYFUNCTION("ROUNDUP((IF(REGEXMATCH(B145, ""Arrow"") + (B145 = ""Javelin""), 'Ammo Input'!E145) + IF(VLOOKUP(B145, AmmoTypeFactors, 9, FALSE) = ""Wood"", 'Ammo Input'!H145) + IF(B145 = ""Stick bomb"", 'Ammo Input'!E145)) * N145 / 'Ingredient stats'!$C$12 / 1000)"),0)</f>
        <v>0</v>
      </c>
      <c r="S145">
        <v>0</v>
      </c>
      <c r="T145">
        <v>0</v>
      </c>
      <c r="U145">
        <f>IF(VLOOKUP(B145,AmmoTypeFactors,9,FALSE)="Plasteel",ROUNDUP(('Ammo Input'!H145*MAX(IF('Ammo Input'!J145&gt;0,'Ammo Input'!J145,1)*N145/1000/'Ingredient stats'!$C$4)),0),0)</f>
        <v>0</v>
      </c>
      <c r="V145">
        <f>IFERROR(__xludf.DUMMYFUNCTION("ROUNDUP(IF(ISBLANK(VLOOKUP(B145,AmmoTypeFactors,16,False)),1,VLOOKUP(B145,AmmoTypeFactors,16,False)) * (IFS(REGEXMATCH(B145, ""EMP""), 'Ammo Input'!M145 * N145 / 'Ingredient stats'!$C$5, REGEXMATCH(B145, ""Charge""), (U145^0.75), true, 0) + (IF(VLOOKUP(B1"&amp;"45, AmmoTypeFactors, 10, false), 2,0) + IF('Ammo Input'!P145, 2,0) + IF('Ammo Input'!Q145,MIN(ROUNDUP(0.2*('Ammo Input'!H145/1000)*'Ammo Input'!O145,0),20),0))))"),0)</f>
        <v>0</v>
      </c>
      <c r="W145">
        <v>0</v>
      </c>
      <c r="X145">
        <v>0</v>
      </c>
      <c r="Y145">
        <v>0</v>
      </c>
      <c r="Z145">
        <v>0</v>
      </c>
      <c r="AA145">
        <v>0</v>
      </c>
      <c r="AB145" s="30">
        <f>IF(B145="Sling Bullet (Stone)",ROUNDUP(D145*0.02*E145/'Ingredient stats'!$C$8,0),0)</f>
        <v>0</v>
      </c>
      <c r="AC145" t="str">
        <f t="shared" si="8"/>
        <v>None</v>
      </c>
      <c r="AD145" t="str">
        <f>IF(OR(B145="Buck",B145="Bird",B145="Charge (Scatter)"),'Ammo Input'!J145,"None")</f>
        <v>None</v>
      </c>
      <c r="AE145" t="str">
        <f>_xlfn.IFS(ISTEXT(Calcs!N145),Calcs!N145,Calcs!N145&lt;=40,Calcs!N145,Calcs!N145&gt;41,"40")</f>
        <v>None</v>
      </c>
      <c r="AF145" t="str">
        <f>_xlfn.IFS(ISTEXT(Calcs!O145),Calcs!O145,Calcs!O145&lt;=80,Calcs!O145,Calcs!O145&gt;=81,"80")</f>
        <v>None</v>
      </c>
      <c r="AG145" s="25">
        <f t="shared" si="9"/>
        <v>1</v>
      </c>
      <c r="AH145" s="25">
        <f t="shared" si="10"/>
        <v>3.13</v>
      </c>
      <c r="AI145" s="25">
        <f t="shared" si="11"/>
        <v>1</v>
      </c>
    </row>
    <row r="146" ht="14.4" spans="1:35">
      <c r="A146" s="24" t="str">
        <f>'Ammo Input'!A146</f>
        <v>.408 CheyTac</v>
      </c>
      <c r="B146" t="str">
        <f>'Ammo Input'!B146</f>
        <v>AP-I</v>
      </c>
      <c r="C146">
        <f>ROUNDUP(('Ammo Input'!C146*(MAX('Ammo Input'!D146,'Ammo Input'!F146)*0.5)^2*PI())*3/1000000,2)</f>
        <v>0.08</v>
      </c>
      <c r="D146">
        <f>ROUNDUP(('Ammo Input'!E146+'Ammo Input'!H146*IF('Ammo Input'!J146&lt;&gt;"",MAX('Ammo Input'!J146,1),1))/1000,3)</f>
        <v>0.079</v>
      </c>
      <c r="E146">
        <f>MIN(5000,MAX(25,CEILING(Calcs!L146,_xlfn.IFS(Calcs!L146&lt;100,25,Calcs!L146&lt;250,50,Calcs!L146&lt;1000,250,Calcs!L146&gt;=1000,1000))))</f>
        <v>5000</v>
      </c>
      <c r="F146">
        <f>ROUNDUP('Ammo Input'!G146^(3/4),0)</f>
        <v>192</v>
      </c>
      <c r="G146">
        <f>ROUND((0.5*((IF(OR(B146="HEAT",B146="HEDP"),'Ammo Input'!N146,'Ammo Input'!H146)/1000)*(IF(B146="HEAT",9000,IF(B146="HEDP",1500,'Ammo Input'!G146))^2))),0)</f>
        <v>12100</v>
      </c>
      <c r="H146" s="25" t="str">
        <f>CONCATENATE(IF((B146="Foam")+(B146="Smoke"),"-",ROUND(Calcs!D146,0))," ",VLOOKUP(B146,AmmoTypeFactors,5,FALSE))</f>
        <v>21 Bullet</v>
      </c>
      <c r="I146" s="25" t="str">
        <f>IF(Calcs!E146=0,"None",CONCATENATE(ROUND(Calcs!E146,0)," ",VLOOKUP(B146,AmmoTypeFactors,6,FALSE)))</f>
        <v>9 Flame_Secondary</v>
      </c>
      <c r="J146">
        <f>MROUND(2.42*'Ammo Input'!M146^(1/3)*VLOOKUP(B146,AmmoTypeFactors,3,FALSE),0.5)</f>
        <v>0</v>
      </c>
      <c r="K146" s="25" t="str">
        <f>IF(VLOOKUP(B146,AmmoTypeFactors,12,FALSE),MROUND(J146/3,0.5),"None")</f>
        <v>None</v>
      </c>
      <c r="L146" s="25">
        <f>IF(VLOOKUP(B146,AmmoTypeFactors,8,FALSE),"None",ROUNDUP(IF(Calcs!I146&gt;0,Calcs!I146,Calcs!H146),3))</f>
        <v>242</v>
      </c>
      <c r="M146" s="25">
        <f>IF(VLOOKUP(B146,AmmoTypeFactors,8,FALSE),"None",'Ammo Input'!L146)</f>
        <v>24</v>
      </c>
      <c r="N146">
        <f>'Ammo Input'!O146</f>
        <v>200</v>
      </c>
      <c r="O146" t="e">
        <f>ROUND((P146*0.0036+SUMPRODUCT(Q146:AB146,VLOOKUP($Q$1:$AB$1,IngredientStats,2,FALSE)))/N146*IF('Ammo Input'!R146,0.5,1),2)</f>
        <v>#VALUE!</v>
      </c>
      <c r="P146" t="e">
        <f>(SUMPRODUCT(Q146:AB146,VLOOKUP($Q$1:$AB$1,IngredientStats,4,FALSE))*VLOOKUP(B146,AmmoTypeFactors,14,FALSE)*IF('Ammo Input'!R146,1.1,1))</f>
        <v>#VALUE!</v>
      </c>
      <c r="Q146">
        <f>IFERROR(__xludf.DUMMYFUNCTION("((IF(NOT(OR(REGEXMATCH(B146, ""Arrow""), B146 = ""Javelin"", B146 = ""Stick bomb"")), ROUNDUP(('Ammo Input'!E146 / 1000) * N146)) + IF(VLOOKUP(B146, AmmoTypeFactors, 9, FALSE) = ""Steel"", ROUNDUP(('Ammo Input'!H146 -'Ammo Input'!M146) * MAX(IF('Ammo Inpu"&amp;"t'!J146 &gt; 0, 'Ammo Input'!J146, 1), 1) * N146 / 1000))) / 'Ingredient stats'!$C$2) * IF(ISBLANK(VLOOKUP(B146,AmmoTypeFactors,15,False)),1,VLOOKUP(B146,AmmoTypeFactors,15,False))"),32)</f>
        <v>32</v>
      </c>
      <c r="R146">
        <f>IFERROR(__xludf.DUMMYFUNCTION("ROUNDUP((IF(REGEXMATCH(B146, ""Arrow"") + (B146 = ""Javelin""), 'Ammo Input'!E146) + IF(VLOOKUP(B146, AmmoTypeFactors, 9, FALSE) = ""Wood"", 'Ammo Input'!H146) + IF(B146 = ""Stick bomb"", 'Ammo Input'!E146)) * N146 / 'Ingredient stats'!$C$12 / 1000)"),0)</f>
        <v>0</v>
      </c>
      <c r="S146">
        <v>0</v>
      </c>
      <c r="T146">
        <v>0</v>
      </c>
      <c r="U146">
        <f>IF(VLOOKUP(B146,AmmoTypeFactors,9,FALSE)="Plasteel",ROUNDUP(('Ammo Input'!H146*MAX(IF('Ammo Input'!J146&gt;0,'Ammo Input'!J146,1)*N146/1000/'Ingredient stats'!$C$4)),0),0)</f>
        <v>0</v>
      </c>
      <c r="V146">
        <f>IFERROR(__xludf.DUMMYFUNCTION("ROUNDUP(IF(ISBLANK(VLOOKUP(B146,AmmoTypeFactors,16,False)),1,VLOOKUP(B146,AmmoTypeFactors,16,False)) * (IFS(REGEXMATCH(B146, ""EMP""), 'Ammo Input'!M146 * N146 / 'Ingredient stats'!$C$5, REGEXMATCH(B146, ""Charge""), (U146^0.75), true, 0) + (IF(VLOOKUP(B1"&amp;"46, AmmoTypeFactors, 10, false), 2,0) + IF('Ammo Input'!P146, 2,0) + IF('Ammo Input'!Q146,MIN(ROUNDUP(0.2*('Ammo Input'!H146/1000)*'Ammo Input'!O146,0),20),0))))"),0)</f>
        <v>0</v>
      </c>
      <c r="W146">
        <v>2</v>
      </c>
      <c r="X146">
        <v>0</v>
      </c>
      <c r="Y146">
        <v>0</v>
      </c>
      <c r="Z146">
        <v>0</v>
      </c>
      <c r="AA146">
        <v>0</v>
      </c>
      <c r="AB146" s="30">
        <f>IF(B146="Sling Bullet (Stone)",ROUNDUP(D146*0.02*E146/'Ingredient stats'!$C$8,0),0)</f>
        <v>0</v>
      </c>
      <c r="AC146" t="str">
        <f t="shared" si="8"/>
        <v>None</v>
      </c>
      <c r="AD146" t="str">
        <f>IF(OR(B146="Buck",B146="Bird",B146="Charge (Scatter)"),'Ammo Input'!J146,"None")</f>
        <v>None</v>
      </c>
      <c r="AE146" t="str">
        <f>_xlfn.IFS(ISTEXT(Calcs!N146),Calcs!N146,Calcs!N146&lt;=40,Calcs!N146,Calcs!N146&gt;41,"40")</f>
        <v>None</v>
      </c>
      <c r="AF146" t="str">
        <f>_xlfn.IFS(ISTEXT(Calcs!O146),Calcs!O146,Calcs!O146&lt;=80,Calcs!O146,Calcs!O146&gt;=81,"80")</f>
        <v>None</v>
      </c>
      <c r="AG146" s="25">
        <f t="shared" si="9"/>
        <v>1</v>
      </c>
      <c r="AH146" s="25">
        <f t="shared" si="10"/>
        <v>3.13</v>
      </c>
      <c r="AI146" s="25">
        <f t="shared" si="11"/>
        <v>1</v>
      </c>
    </row>
    <row r="147" ht="14.4" spans="1:35">
      <c r="A147" s="24" t="str">
        <f>'Ammo Input'!A147</f>
        <v>.408 CheyTac</v>
      </c>
      <c r="B147" t="str">
        <f>'Ammo Input'!B147</f>
        <v>AP-HE</v>
      </c>
      <c r="C147">
        <f>ROUNDUP(('Ammo Input'!C147*(MAX('Ammo Input'!D147,'Ammo Input'!F147)*0.5)^2*PI())*3/1000000,2)</f>
        <v>0.08</v>
      </c>
      <c r="D147">
        <f>ROUNDUP(('Ammo Input'!E147+'Ammo Input'!H147*IF('Ammo Input'!J147&lt;&gt;"",MAX('Ammo Input'!J147,1),1))/1000,3)</f>
        <v>0.079</v>
      </c>
      <c r="E147">
        <f>MIN(5000,MAX(25,CEILING(Calcs!L147,_xlfn.IFS(Calcs!L147&lt;100,25,Calcs!L147&lt;250,50,Calcs!L147&lt;1000,250,Calcs!L147&gt;=1000,1000))))</f>
        <v>5000</v>
      </c>
      <c r="F147">
        <f>ROUNDUP('Ammo Input'!G147^(3/4),0)</f>
        <v>192</v>
      </c>
      <c r="G147">
        <f>ROUND((0.5*((IF(OR(B147="HEAT",B147="HEDP"),'Ammo Input'!N147,'Ammo Input'!H147)/1000)*(IF(B147="HEAT",9000,IF(B147="HEDP",1500,'Ammo Input'!G147))^2))),0)</f>
        <v>12100</v>
      </c>
      <c r="H147" s="25" t="str">
        <f>CONCATENATE(IF((B147="Foam")+(B147="Smoke"),"-",ROUND(Calcs!D147,0))," ",VLOOKUP(B147,AmmoTypeFactors,5,FALSE))</f>
        <v>34 Bullet</v>
      </c>
      <c r="I147" s="25" t="str">
        <f>IF(Calcs!E147=0,"None",CONCATENATE(ROUND(Calcs!E147,0)," ",VLOOKUP(B147,AmmoTypeFactors,6,FALSE)))</f>
        <v>12 Bomb_Secondary</v>
      </c>
      <c r="J147">
        <f>MROUND(2.42*'Ammo Input'!M147^(1/3)*VLOOKUP(B147,AmmoTypeFactors,3,FALSE),0.5)</f>
        <v>0</v>
      </c>
      <c r="K147" s="25" t="str">
        <f>IF(VLOOKUP(B147,AmmoTypeFactors,12,FALSE),MROUND(J147/3,0.5),"None")</f>
        <v>None</v>
      </c>
      <c r="L147" s="25">
        <f>IF(VLOOKUP(B147,AmmoTypeFactors,8,FALSE),"None",ROUNDUP(IF(Calcs!I147&gt;0,Calcs!I147,Calcs!H147),3))</f>
        <v>242</v>
      </c>
      <c r="M147" s="25">
        <f>IF(VLOOKUP(B147,AmmoTypeFactors,8,FALSE),"None",'Ammo Input'!L147)</f>
        <v>12</v>
      </c>
      <c r="N147">
        <f>'Ammo Input'!O147</f>
        <v>200</v>
      </c>
      <c r="O147" t="e">
        <f>ROUND((P147*0.0036+SUMPRODUCT(Q147:AB147,VLOOKUP($Q$1:$AB$1,IngredientStats,2,FALSE)))/N147*IF('Ammo Input'!R147,0.5,1),2)</f>
        <v>#VALUE!</v>
      </c>
      <c r="P147" t="e">
        <f>(SUMPRODUCT(Q147:AB147,VLOOKUP($Q$1:$AB$1,IngredientStats,4,FALSE))*VLOOKUP(B147,AmmoTypeFactors,14,FALSE)*IF('Ammo Input'!R147,1.1,1))</f>
        <v>#VALUE!</v>
      </c>
      <c r="Q147">
        <f>IFERROR(__xludf.DUMMYFUNCTION("((IF(NOT(OR(REGEXMATCH(B147, ""Arrow""), B147 = ""Javelin"", B147 = ""Stick bomb"")), ROUNDUP(('Ammo Input'!E147 / 1000) * N147)) + IF(VLOOKUP(B147, AmmoTypeFactors, 9, FALSE) = ""Steel"", ROUNDUP(('Ammo Input'!H147 -'Ammo Input'!M147) * MAX(IF('Ammo Inpu"&amp;"t'!J147 &gt; 0, 'Ammo Input'!J147, 1), 1) * N147 / 1000))) / 'Ingredient stats'!$C$2) * IF(ISBLANK(VLOOKUP(B147,AmmoTypeFactors,15,False)),1,VLOOKUP(B147,AmmoTypeFactors,15,False))"),32)</f>
        <v>32</v>
      </c>
      <c r="R147">
        <f>IFERROR(__xludf.DUMMYFUNCTION("ROUNDUP((IF(REGEXMATCH(B147, ""Arrow"") + (B147 = ""Javelin""), 'Ammo Input'!E147) + IF(VLOOKUP(B147, AmmoTypeFactors, 9, FALSE) = ""Wood"", 'Ammo Input'!H147) + IF(B147 = ""Stick bomb"", 'Ammo Input'!E147)) * N147 / 'Ingredient stats'!$C$12 / 1000)"),0)</f>
        <v>0</v>
      </c>
      <c r="S147">
        <v>0</v>
      </c>
      <c r="T147">
        <v>0</v>
      </c>
      <c r="U147">
        <f>IF(VLOOKUP(B147,AmmoTypeFactors,9,FALSE)="Plasteel",ROUNDUP(('Ammo Input'!H147*MAX(IF('Ammo Input'!J147&gt;0,'Ammo Input'!J147,1)*N147/1000/'Ingredient stats'!$C$4)),0),0)</f>
        <v>0</v>
      </c>
      <c r="V147">
        <f>IFERROR(__xludf.DUMMYFUNCTION("ROUNDUP(IF(ISBLANK(VLOOKUP(B147,AmmoTypeFactors,16,False)),1,VLOOKUP(B147,AmmoTypeFactors,16,False)) * (IFS(REGEXMATCH(B147, ""EMP""), 'Ammo Input'!M147 * N147 / 'Ingredient stats'!$C$5, REGEXMATCH(B147, ""Charge""), (U147^0.75), true, 0) + (IF(VLOOKUP(B1"&amp;"47, AmmoTypeFactors, 10, false), 2,0) + IF('Ammo Input'!P147, 2,0) + IF('Ammo Input'!Q147,MIN(ROUNDUP(0.2*('Ammo Input'!H147/1000)*'Ammo Input'!O147,0),20),0))))"),0)</f>
        <v>0</v>
      </c>
      <c r="W147">
        <v>0</v>
      </c>
      <c r="X147">
        <v>5</v>
      </c>
      <c r="Y147">
        <v>0</v>
      </c>
      <c r="Z147">
        <v>0</v>
      </c>
      <c r="AA147">
        <v>0</v>
      </c>
      <c r="AB147" s="30">
        <f>IF(B147="Sling Bullet (Stone)",ROUNDUP(D147*0.02*E147/'Ingredient stats'!$C$8,0),0)</f>
        <v>0</v>
      </c>
      <c r="AC147" t="str">
        <f t="shared" si="8"/>
        <v>None</v>
      </c>
      <c r="AD147" t="str">
        <f>IF(OR(B147="Buck",B147="Bird",B147="Charge (Scatter)"),'Ammo Input'!J147,"None")</f>
        <v>None</v>
      </c>
      <c r="AE147" t="str">
        <f>_xlfn.IFS(ISTEXT(Calcs!N147),Calcs!N147,Calcs!N147&lt;=40,Calcs!N147,Calcs!N147&gt;41,"40")</f>
        <v>None</v>
      </c>
      <c r="AF147" t="str">
        <f>_xlfn.IFS(ISTEXT(Calcs!O147),Calcs!O147,Calcs!O147&lt;=80,Calcs!O147,Calcs!O147&gt;=81,"80")</f>
        <v>None</v>
      </c>
      <c r="AG147" s="25">
        <f t="shared" si="9"/>
        <v>1</v>
      </c>
      <c r="AH147" s="25">
        <f t="shared" si="10"/>
        <v>3.13</v>
      </c>
      <c r="AI147" s="25">
        <f t="shared" si="11"/>
        <v>1</v>
      </c>
    </row>
    <row r="148" ht="14.4" spans="1:35">
      <c r="A148" s="24" t="str">
        <f>'Ammo Input'!A148</f>
        <v>.408 CheyTac</v>
      </c>
      <c r="B148" t="str">
        <f>'Ammo Input'!B148</f>
        <v>Sabot</v>
      </c>
      <c r="C148">
        <f>ROUNDUP(('Ammo Input'!C148*(MAX('Ammo Input'!D148,'Ammo Input'!F148)*0.5)^2*PI())*3/1000000,2)</f>
        <v>0.08</v>
      </c>
      <c r="D148">
        <f>ROUNDUP(('Ammo Input'!E148+'Ammo Input'!H148*IF('Ammo Input'!J148&lt;&gt;"",MAX('Ammo Input'!J148,1),1))/1000,3)</f>
        <v>0.071</v>
      </c>
      <c r="E148">
        <f>MIN(5000,MAX(25,CEILING(Calcs!L148,_xlfn.IFS(Calcs!L148&lt;100,25,Calcs!L148&lt;250,50,Calcs!L148&lt;1000,250,Calcs!L148&gt;=1000,1000))))</f>
        <v>5000</v>
      </c>
      <c r="F148">
        <f>ROUNDUP('Ammo Input'!G148^(3/4),0)</f>
        <v>259</v>
      </c>
      <c r="G148">
        <f>ROUND((0.5*((IF(OR(B148="HEAT",B148="HEDP"),'Ammo Input'!N148,'Ammo Input'!H148)/1000)*(IF(B148="HEAT",9000,IF(B148="HEDP",1500,'Ammo Input'!G148))^2))),0)</f>
        <v>15518</v>
      </c>
      <c r="H148" s="25" t="str">
        <f>CONCATENATE(IF((B148="Foam")+(B148="Smoke"),"-",ROUND(Calcs!D148,0))," ",VLOOKUP(B148,AmmoTypeFactors,5,FALSE))</f>
        <v>18 Bullet</v>
      </c>
      <c r="I148" s="25" t="str">
        <f>IF(Calcs!E148=0,"None",CONCATENATE(ROUND(Calcs!E148,0)," ",VLOOKUP(B148,AmmoTypeFactors,6,FALSE)))</f>
        <v>None</v>
      </c>
      <c r="J148">
        <f>MROUND(2.42*'Ammo Input'!M148^(1/3)*VLOOKUP(B148,AmmoTypeFactors,3,FALSE),0.5)</f>
        <v>0</v>
      </c>
      <c r="K148" s="25" t="str">
        <f>IF(VLOOKUP(B148,AmmoTypeFactors,12,FALSE),MROUND(J148/3,0.5),"None")</f>
        <v>None</v>
      </c>
      <c r="L148" s="25">
        <f>IF(VLOOKUP(B148,AmmoTypeFactors,8,FALSE),"None",ROUNDUP(IF(Calcs!I148&gt;0,Calcs!I148,Calcs!H148),3))</f>
        <v>310.36</v>
      </c>
      <c r="M148" s="25">
        <f>IF(VLOOKUP(B148,AmmoTypeFactors,8,FALSE),"None",'Ammo Input'!L148)</f>
        <v>42</v>
      </c>
      <c r="N148">
        <f>'Ammo Input'!O148</f>
        <v>200</v>
      </c>
      <c r="O148" t="e">
        <f>ROUND((P148*0.0036+SUMPRODUCT(Q148:AB148,VLOOKUP($Q$1:$AB$1,IngredientStats,2,FALSE)))/N148*IF('Ammo Input'!R148,0.5,1),2)</f>
        <v>#VALUE!</v>
      </c>
      <c r="P148" t="e">
        <f>(SUMPRODUCT(Q148:AB148,VLOOKUP($Q$1:$AB$1,IngredientStats,4,FALSE))*VLOOKUP(B148,AmmoTypeFactors,14,FALSE)*IF('Ammo Input'!R148,1.1,1))</f>
        <v>#VALUE!</v>
      </c>
      <c r="Q148">
        <f>IFERROR(__xludf.DUMMYFUNCTION("((IF(NOT(OR(REGEXMATCH(B148, ""Arrow""), B148 = ""Javelin"", B148 = ""Stick bomb"")), ROUNDUP(('Ammo Input'!E148 / 1000) * N148)) + IF(VLOOKUP(B148, AmmoTypeFactors, 9, FALSE) = ""Steel"", ROUNDUP(('Ammo Input'!H148 -'Ammo Input'!M148) * MAX(IF('Ammo Inpu"&amp;"t'!J148 &gt; 0, 'Ammo Input'!J148, 1), 1) * N148 / 1000))) / 'Ingredient stats'!$C$2) * IF(ISBLANK(VLOOKUP(B148,AmmoTypeFactors,15,False)),1,VLOOKUP(B148,AmmoTypeFactors,15,False))"),24)</f>
        <v>24</v>
      </c>
      <c r="R148">
        <f>IFERROR(__xludf.DUMMYFUNCTION("ROUNDUP((IF(REGEXMATCH(B148, ""Arrow"") + (B148 = ""Javelin""), 'Ammo Input'!E148) + IF(VLOOKUP(B148, AmmoTypeFactors, 9, FALSE) = ""Wood"", 'Ammo Input'!H148) + IF(B148 = ""Stick bomb"", 'Ammo Input'!E148)) * N148 / 'Ingredient stats'!$C$12 / 1000)"),0)</f>
        <v>0</v>
      </c>
      <c r="S148">
        <v>3</v>
      </c>
      <c r="T148">
        <v>3</v>
      </c>
      <c r="U148">
        <f>IF(VLOOKUP(B148,AmmoTypeFactors,9,FALSE)="Plasteel",ROUNDUP(('Ammo Input'!H148*MAX(IF('Ammo Input'!J148&gt;0,'Ammo Input'!J148,1)*N148/1000/'Ingredient stats'!$C$4)),0),0)</f>
        <v>0</v>
      </c>
      <c r="V148">
        <f>IFERROR(__xludf.DUMMYFUNCTION("ROUNDUP(IF(ISBLANK(VLOOKUP(B148,AmmoTypeFactors,16,False)),1,VLOOKUP(B148,AmmoTypeFactors,16,False)) * (IFS(REGEXMATCH(B148, ""EMP""), 'Ammo Input'!M148 * N148 / 'Ingredient stats'!$C$5, REGEXMATCH(B148, ""Charge""), (U148^0.75), true, 0) + (IF(VLOOKUP(B1"&amp;"48, AmmoTypeFactors, 10, false), 2,0) + IF('Ammo Input'!P148, 2,0) + IF('Ammo Input'!Q148,MIN(ROUNDUP(0.2*('Ammo Input'!H148/1000)*'Ammo Input'!O148,0),20),0))))"),0)</f>
        <v>0</v>
      </c>
      <c r="W148">
        <v>0</v>
      </c>
      <c r="X148">
        <v>0</v>
      </c>
      <c r="Y148">
        <v>0</v>
      </c>
      <c r="Z148">
        <v>0</v>
      </c>
      <c r="AA148">
        <v>0</v>
      </c>
      <c r="AB148" s="30">
        <f>IF(B148="Sling Bullet (Stone)",ROUNDUP(D148*0.02*E148/'Ingredient stats'!$C$8,0),0)</f>
        <v>0</v>
      </c>
      <c r="AC148" t="str">
        <f t="shared" si="8"/>
        <v>None</v>
      </c>
      <c r="AD148" t="str">
        <f>IF(OR(B148="Buck",B148="Bird",B148="Charge (Scatter)"),'Ammo Input'!J148,"None")</f>
        <v>None</v>
      </c>
      <c r="AE148" t="str">
        <f>_xlfn.IFS(ISTEXT(Calcs!N148),Calcs!N148,Calcs!N148&lt;=40,Calcs!N148,Calcs!N148&gt;41,"40")</f>
        <v>None</v>
      </c>
      <c r="AF148" t="str">
        <f>_xlfn.IFS(ISTEXT(Calcs!O148),Calcs!O148,Calcs!O148&lt;=80,Calcs!O148,Calcs!O148&gt;=81,"80")</f>
        <v>None</v>
      </c>
      <c r="AG148" s="25">
        <f t="shared" si="9"/>
        <v>1</v>
      </c>
      <c r="AH148" s="25">
        <f t="shared" si="10"/>
        <v>4.17</v>
      </c>
      <c r="AI148" s="25">
        <f t="shared" si="11"/>
        <v>1</v>
      </c>
    </row>
    <row r="149" ht="14.4" spans="1:35">
      <c r="A149" s="24" t="str">
        <f>'Ammo Input'!A149</f>
        <v>20x82mm Mauser</v>
      </c>
      <c r="B149" t="str">
        <f>'Ammo Input'!B149</f>
        <v>AP</v>
      </c>
      <c r="C149">
        <f>ROUNDUP(('Ammo Input'!C149*(MAX('Ammo Input'!D149,'Ammo Input'!F149)*0.5)^2*PI())*3/1000000,2)</f>
        <v>0.22</v>
      </c>
      <c r="D149">
        <f>ROUNDUP(('Ammo Input'!E149+'Ammo Input'!H149*IF('Ammo Input'!J149&lt;&gt;"",MAX('Ammo Input'!J149,1),1))/1000,3)</f>
        <v>0.205</v>
      </c>
      <c r="E149">
        <f>MIN(5000,MAX(25,CEILING(Calcs!L149,_xlfn.IFS(Calcs!L149&lt;100,25,Calcs!L149&lt;250,50,Calcs!L149&lt;1000,250,Calcs!L149&gt;=1000,1000))))</f>
        <v>2000</v>
      </c>
      <c r="F149">
        <f>ROUNDUP('Ammo Input'!G149^(3/4),0)</f>
        <v>139</v>
      </c>
      <c r="G149">
        <f>ROUND((0.5*((IF(OR(B149="HEAT",B149="HEDP"),'Ammo Input'!N149,'Ammo Input'!H149)/1000)*(IF(B149="HEAT",9000,IF(B149="HEDP",1500,'Ammo Input'!G149))^2))),0)</f>
        <v>28512</v>
      </c>
      <c r="H149" s="25" t="str">
        <f>CONCATENATE(IF((B149="Foam")+(B149="Smoke"),"-",ROUND(Calcs!D149,0))," ",VLOOKUP(B149,AmmoTypeFactors,5,FALSE))</f>
        <v>36 Bullet</v>
      </c>
      <c r="I149" s="25" t="str">
        <f>IF(Calcs!E149=0,"None",CONCATENATE(ROUND(Calcs!E149,0)," ",VLOOKUP(B149,AmmoTypeFactors,6,FALSE)))</f>
        <v>None</v>
      </c>
      <c r="J149">
        <f>MROUND(2.42*'Ammo Input'!M149^(1/3)*VLOOKUP(B149,AmmoTypeFactors,3,FALSE),0.5)</f>
        <v>0</v>
      </c>
      <c r="K149" s="25" t="str">
        <f>IF(VLOOKUP(B149,AmmoTypeFactors,12,FALSE),MROUND(J149/3,0.5),"None")</f>
        <v>None</v>
      </c>
      <c r="L149" s="25">
        <f>IF(VLOOKUP(B149,AmmoTypeFactors,8,FALSE),"None",ROUNDUP(IF(Calcs!I149&gt;0,Calcs!I149,Calcs!H149),3))</f>
        <v>570.24</v>
      </c>
      <c r="M149" s="25">
        <f>IF(VLOOKUP(B149,AmmoTypeFactors,8,FALSE),"None",'Ammo Input'!L149)</f>
        <v>26</v>
      </c>
      <c r="N149">
        <f>'Ammo Input'!O149</f>
        <v>200</v>
      </c>
      <c r="O149" t="e">
        <f>ROUND((P149*0.0036+SUMPRODUCT(Q149:AB149,VLOOKUP($Q$1:$AB$1,IngredientStats,2,FALSE)))/N149*IF('Ammo Input'!R149,0.5,1),2)</f>
        <v>#VALUE!</v>
      </c>
      <c r="P149" t="e">
        <f>(SUMPRODUCT(Q149:AB149,VLOOKUP($Q$1:$AB$1,IngredientStats,4,FALSE))*VLOOKUP(B149,AmmoTypeFactors,14,FALSE)*IF('Ammo Input'!R149,1.1,1))</f>
        <v>#VALUE!</v>
      </c>
      <c r="Q149">
        <f>IFERROR(__xludf.DUMMYFUNCTION("((IF(NOT(OR(REGEXMATCH(B149, ""Arrow""), B149 = ""Javelin"", B149 = ""Stick bomb"")), ROUNDUP(('Ammo Input'!E149 / 1000) * N149)) + IF(VLOOKUP(B149, AmmoTypeFactors, 9, FALSE) = ""Steel"", ROUNDUP(('Ammo Input'!H149 -'Ammo Input'!M149) * MAX(IF('Ammo Inpu"&amp;"t'!J149 &gt; 0, 'Ammo Input'!J149, 1), 1) * N149 / 1000))) / 'Ingredient stats'!$C$2) * IF(ISBLANK(VLOOKUP(B149,AmmoTypeFactors,15,False)),1,VLOOKUP(B149,AmmoTypeFactors,15,False))"),82)</f>
        <v>82</v>
      </c>
      <c r="R149">
        <f>IFERROR(__xludf.DUMMYFUNCTION("ROUNDUP((IF(REGEXMATCH(B149, ""Arrow"") + (B149 = ""Javelin""), 'Ammo Input'!E149) + IF(VLOOKUP(B149, AmmoTypeFactors, 9, FALSE) = ""Wood"", 'Ammo Input'!H149) + IF(B149 = ""Stick bomb"", 'Ammo Input'!E149)) * N149 / 'Ingredient stats'!$C$12 / 1000)"),0)</f>
        <v>0</v>
      </c>
      <c r="S149">
        <v>0</v>
      </c>
      <c r="T149">
        <v>0</v>
      </c>
      <c r="U149">
        <f>IF(VLOOKUP(B149,AmmoTypeFactors,9,FALSE)="Plasteel",ROUNDUP(('Ammo Input'!H149*MAX(IF('Ammo Input'!J149&gt;0,'Ammo Input'!J149,1)*N149/1000/'Ingredient stats'!$C$4)),0),0)</f>
        <v>0</v>
      </c>
      <c r="V149">
        <f>IFERROR(__xludf.DUMMYFUNCTION("ROUNDUP(IF(ISBLANK(VLOOKUP(B149,AmmoTypeFactors,16,False)),1,VLOOKUP(B149,AmmoTypeFactors,16,False)) * (IFS(REGEXMATCH(B149, ""EMP""), 'Ammo Input'!M149 * N149 / 'Ingredient stats'!$C$5, REGEXMATCH(B149, ""Charge""), (U149^0.75), true, 0) + (IF(VLOOKUP(B1"&amp;"49, AmmoTypeFactors, 10, false), 2,0) + IF('Ammo Input'!P149, 2,0) + IF('Ammo Input'!Q149,MIN(ROUNDUP(0.2*('Ammo Input'!H149/1000)*'Ammo Input'!O149,0),20),0))))"),0)</f>
        <v>0</v>
      </c>
      <c r="W149">
        <v>0</v>
      </c>
      <c r="X149">
        <v>0</v>
      </c>
      <c r="Y149">
        <v>0</v>
      </c>
      <c r="Z149">
        <v>0</v>
      </c>
      <c r="AA149">
        <v>0</v>
      </c>
      <c r="AB149" s="30">
        <f>IF(B149="Sling Bullet (Stone)",ROUNDUP(D149*0.02*E149/'Ingredient stats'!$C$8,0),0)</f>
        <v>0</v>
      </c>
      <c r="AC149" t="str">
        <f t="shared" si="8"/>
        <v>None</v>
      </c>
      <c r="AD149" t="str">
        <f>IF(OR(B149="Buck",B149="Bird",B149="Charge (Scatter)"),'Ammo Input'!J149,"None")</f>
        <v>None</v>
      </c>
      <c r="AE149" t="str">
        <f>_xlfn.IFS(ISTEXT(Calcs!N149),Calcs!N149,Calcs!N149&lt;=40,Calcs!N149,Calcs!N149&gt;41,"40")</f>
        <v>None</v>
      </c>
      <c r="AF149" t="str">
        <f>_xlfn.IFS(ISTEXT(Calcs!O149),Calcs!O149,Calcs!O149&lt;=80,Calcs!O149,Calcs!O149&gt;=81,"80")</f>
        <v>None</v>
      </c>
      <c r="AG149" s="25">
        <f t="shared" si="9"/>
        <v>1</v>
      </c>
      <c r="AH149" s="25">
        <f t="shared" si="10"/>
        <v>2.27</v>
      </c>
      <c r="AI149" s="25">
        <f t="shared" si="11"/>
        <v>1</v>
      </c>
    </row>
    <row r="150" ht="14.4" spans="1:35">
      <c r="A150" s="24" t="str">
        <f>'Ammo Input'!A150</f>
        <v>20x82mm Mauser</v>
      </c>
      <c r="B150" t="str">
        <f>'Ammo Input'!B150</f>
        <v>AP-I</v>
      </c>
      <c r="C150">
        <f>ROUNDUP(('Ammo Input'!C150*(MAX('Ammo Input'!D150,'Ammo Input'!F150)*0.5)^2*PI())*3/1000000,2)</f>
        <v>0.22</v>
      </c>
      <c r="D150">
        <f>ROUNDUP(('Ammo Input'!E150+'Ammo Input'!H150*IF('Ammo Input'!J150&lt;&gt;"",MAX('Ammo Input'!J150,1),1))/1000,3)</f>
        <v>0.205</v>
      </c>
      <c r="E150">
        <f>MIN(5000,MAX(25,CEILING(Calcs!L150,_xlfn.IFS(Calcs!L150&lt;100,25,Calcs!L150&lt;250,50,Calcs!L150&lt;1000,250,Calcs!L150&gt;=1000,1000))))</f>
        <v>2000</v>
      </c>
      <c r="F150">
        <f>ROUNDUP('Ammo Input'!G150^(3/4),0)</f>
        <v>139</v>
      </c>
      <c r="G150">
        <f>ROUND((0.5*((IF(OR(B150="HEAT",B150="HEDP"),'Ammo Input'!N150,'Ammo Input'!H150)/1000)*(IF(B150="HEAT",9000,IF(B150="HEDP",1500,'Ammo Input'!G150))^2))),0)</f>
        <v>28512</v>
      </c>
      <c r="H150" s="25" t="str">
        <f>CONCATENATE(IF((B150="Foam")+(B150="Smoke"),"-",ROUND(Calcs!D150,0))," ",VLOOKUP(B150,AmmoTypeFactors,5,FALSE))</f>
        <v>36 Bullet</v>
      </c>
      <c r="I150" s="25" t="str">
        <f>IF(Calcs!E150=0,"None",CONCATENATE(ROUND(Calcs!E150,0)," ",VLOOKUP(B150,AmmoTypeFactors,6,FALSE)))</f>
        <v>24 Flame_Secondary</v>
      </c>
      <c r="J150">
        <f>MROUND(2.42*'Ammo Input'!M150^(1/3)*VLOOKUP(B150,AmmoTypeFactors,3,FALSE),0.5)</f>
        <v>0</v>
      </c>
      <c r="K150" s="25" t="str">
        <f>IF(VLOOKUP(B150,AmmoTypeFactors,12,FALSE),MROUND(J150/3,0.5),"None")</f>
        <v>None</v>
      </c>
      <c r="L150" s="25">
        <f>IF(VLOOKUP(B150,AmmoTypeFactors,8,FALSE),"None",ROUNDUP(IF(Calcs!I150&gt;0,Calcs!I150,Calcs!H150),3))</f>
        <v>570.24</v>
      </c>
      <c r="M150" s="25">
        <f>IF(VLOOKUP(B150,AmmoTypeFactors,8,FALSE),"None",'Ammo Input'!L150)</f>
        <v>26</v>
      </c>
      <c r="N150">
        <f>'Ammo Input'!O150</f>
        <v>200</v>
      </c>
      <c r="O150" t="e">
        <f>ROUND((P150*0.0036+SUMPRODUCT(Q150:AB150,VLOOKUP($Q$1:$AB$1,IngredientStats,2,FALSE)))/N150*IF('Ammo Input'!R150,0.5,1),2)</f>
        <v>#VALUE!</v>
      </c>
      <c r="P150" t="e">
        <f>(SUMPRODUCT(Q150:AB150,VLOOKUP($Q$1:$AB$1,IngredientStats,4,FALSE))*VLOOKUP(B150,AmmoTypeFactors,14,FALSE)*IF('Ammo Input'!R150,1.1,1))</f>
        <v>#VALUE!</v>
      </c>
      <c r="Q150">
        <f>IFERROR(__xludf.DUMMYFUNCTION("((IF(NOT(OR(REGEXMATCH(B150, ""Arrow""), B150 = ""Javelin"", B150 = ""Stick bomb"")), ROUNDUP(('Ammo Input'!E150 / 1000) * N150)) + IF(VLOOKUP(B150, AmmoTypeFactors, 9, FALSE) = ""Steel"", ROUNDUP(('Ammo Input'!H150 -'Ammo Input'!M150) * MAX(IF('Ammo Inpu"&amp;"t'!J150 &gt; 0, 'Ammo Input'!J150, 1), 1) * N150 / 1000))) / 'Ingredient stats'!$C$2) * IF(ISBLANK(VLOOKUP(B150,AmmoTypeFactors,15,False)),1,VLOOKUP(B150,AmmoTypeFactors,15,False))"),82)</f>
        <v>82</v>
      </c>
      <c r="R150">
        <f>IFERROR(__xludf.DUMMYFUNCTION("ROUNDUP((IF(REGEXMATCH(B150, ""Arrow"") + (B150 = ""Javelin""), 'Ammo Input'!E150) + IF(VLOOKUP(B150, AmmoTypeFactors, 9, FALSE) = ""Wood"", 'Ammo Input'!H150) + IF(B150 = ""Stick bomb"", 'Ammo Input'!E150)) * N150 / 'Ingredient stats'!$C$12 / 1000)"),0)</f>
        <v>0</v>
      </c>
      <c r="S150">
        <v>0</v>
      </c>
      <c r="T150">
        <v>0</v>
      </c>
      <c r="U150">
        <f>IF(VLOOKUP(B150,AmmoTypeFactors,9,FALSE)="Plasteel",ROUNDUP(('Ammo Input'!H150*MAX(IF('Ammo Input'!J150&gt;0,'Ammo Input'!J150,1)*N150/1000/'Ingredient stats'!$C$4)),0),0)</f>
        <v>0</v>
      </c>
      <c r="V150">
        <f>IFERROR(__xludf.DUMMYFUNCTION("ROUNDUP(IF(ISBLANK(VLOOKUP(B150,AmmoTypeFactors,16,False)),1,VLOOKUP(B150,AmmoTypeFactors,16,False)) * (IFS(REGEXMATCH(B150, ""EMP""), 'Ammo Input'!M150 * N150 / 'Ingredient stats'!$C$5, REGEXMATCH(B150, ""Charge""), (U150^0.75), true, 0) + (IF(VLOOKUP(B1"&amp;"50, AmmoTypeFactors, 10, false), 2,0) + IF('Ammo Input'!P150, 2,0) + IF('Ammo Input'!Q150,MIN(ROUNDUP(0.2*('Ammo Input'!H150/1000)*'Ammo Input'!O150,0),20),0))))"),0)</f>
        <v>0</v>
      </c>
      <c r="W150">
        <v>11</v>
      </c>
      <c r="X150">
        <v>0</v>
      </c>
      <c r="Y150">
        <v>0</v>
      </c>
      <c r="Z150">
        <v>0</v>
      </c>
      <c r="AA150">
        <v>0</v>
      </c>
      <c r="AB150" s="30">
        <f>IF(B150="Sling Bullet (Stone)",ROUNDUP(D150*0.02*E150/'Ingredient stats'!$C$8,0),0)</f>
        <v>0</v>
      </c>
      <c r="AC150" t="str">
        <f t="shared" si="8"/>
        <v>None</v>
      </c>
      <c r="AD150" t="str">
        <f>IF(OR(B150="Buck",B150="Bird",B150="Charge (Scatter)"),'Ammo Input'!J150,"None")</f>
        <v>None</v>
      </c>
      <c r="AE150" t="str">
        <f>_xlfn.IFS(ISTEXT(Calcs!N150),Calcs!N150,Calcs!N150&lt;=40,Calcs!N150,Calcs!N150&gt;41,"40")</f>
        <v>None</v>
      </c>
      <c r="AF150" t="str">
        <f>_xlfn.IFS(ISTEXT(Calcs!O150),Calcs!O150,Calcs!O150&lt;=80,Calcs!O150,Calcs!O150&gt;=81,"80")</f>
        <v>None</v>
      </c>
      <c r="AG150" s="25">
        <f t="shared" si="9"/>
        <v>1</v>
      </c>
      <c r="AH150" s="25">
        <f t="shared" si="10"/>
        <v>2.27</v>
      </c>
      <c r="AI150" s="25">
        <f t="shared" si="11"/>
        <v>1</v>
      </c>
    </row>
    <row r="151" ht="14.4" spans="1:35">
      <c r="A151" s="24" t="str">
        <f>'Ammo Input'!A151</f>
        <v>20x82mm Mauser</v>
      </c>
      <c r="B151" t="str">
        <f>'Ammo Input'!B151</f>
        <v>AP-HE</v>
      </c>
      <c r="C151">
        <f>ROUNDUP(('Ammo Input'!C151*(MAX('Ammo Input'!D151,'Ammo Input'!F151)*0.5)^2*PI())*3/1000000,2)</f>
        <v>0.22</v>
      </c>
      <c r="D151">
        <f>ROUNDUP(('Ammo Input'!E151+'Ammo Input'!H151*IF('Ammo Input'!J151&lt;&gt;"",MAX('Ammo Input'!J151,1),1))/1000,3)</f>
        <v>0.205</v>
      </c>
      <c r="E151">
        <f>MIN(5000,MAX(25,CEILING(Calcs!L151,_xlfn.IFS(Calcs!L151&lt;100,25,Calcs!L151&lt;250,50,Calcs!L151&lt;1000,250,Calcs!L151&gt;=1000,1000))))</f>
        <v>2000</v>
      </c>
      <c r="F151">
        <f>ROUNDUP('Ammo Input'!G151^(3/4),0)</f>
        <v>139</v>
      </c>
      <c r="G151">
        <f>ROUND((0.5*((IF(OR(B151="HEAT",B151="HEDP"),'Ammo Input'!N151,'Ammo Input'!H151)/1000)*(IF(B151="HEAT",9000,IF(B151="HEDP",1500,'Ammo Input'!G151))^2))),0)</f>
        <v>28512</v>
      </c>
      <c r="H151" s="25" t="str">
        <f>CONCATENATE(IF((B151="Foam")+(B151="Smoke"),"-",ROUND(Calcs!D151,0))," ",VLOOKUP(B151,AmmoTypeFactors,5,FALSE))</f>
        <v>57 Bullet</v>
      </c>
      <c r="I151" s="25" t="str">
        <f>IF(Calcs!E151=0,"None",CONCATENATE(ROUND(Calcs!E151,0)," ",VLOOKUP(B151,AmmoTypeFactors,6,FALSE)))</f>
        <v>33 Bomb_Secondary</v>
      </c>
      <c r="J151">
        <f>MROUND(2.42*'Ammo Input'!M151^(1/3)*VLOOKUP(B151,AmmoTypeFactors,3,FALSE),0.5)</f>
        <v>0</v>
      </c>
      <c r="K151" s="25" t="str">
        <f>IF(VLOOKUP(B151,AmmoTypeFactors,12,FALSE),MROUND(J151/3,0.5),"None")</f>
        <v>None</v>
      </c>
      <c r="L151" s="25">
        <f>IF(VLOOKUP(B151,AmmoTypeFactors,8,FALSE),"None",ROUNDUP(IF(Calcs!I151&gt;0,Calcs!I151,Calcs!H151),3))</f>
        <v>570.24</v>
      </c>
      <c r="M151" s="25">
        <f>IF(VLOOKUP(B151,AmmoTypeFactors,8,FALSE),"None",'Ammo Input'!L151)</f>
        <v>13</v>
      </c>
      <c r="N151">
        <f>'Ammo Input'!O151</f>
        <v>200</v>
      </c>
      <c r="O151" t="e">
        <f>ROUND((P151*0.0036+SUMPRODUCT(Q151:AB151,VLOOKUP($Q$1:$AB$1,IngredientStats,2,FALSE)))/N151*IF('Ammo Input'!R151,0.5,1),2)</f>
        <v>#VALUE!</v>
      </c>
      <c r="P151" t="e">
        <f>(SUMPRODUCT(Q151:AB151,VLOOKUP($Q$1:$AB$1,IngredientStats,4,FALSE))*VLOOKUP(B151,AmmoTypeFactors,14,FALSE)*IF('Ammo Input'!R151,1.1,1))</f>
        <v>#VALUE!</v>
      </c>
      <c r="Q151">
        <f>IFERROR(__xludf.DUMMYFUNCTION("((IF(NOT(OR(REGEXMATCH(B151, ""Arrow""), B151 = ""Javelin"", B151 = ""Stick bomb"")), ROUNDUP(('Ammo Input'!E151 / 1000) * N151)) + IF(VLOOKUP(B151, AmmoTypeFactors, 9, FALSE) = ""Steel"", ROUNDUP(('Ammo Input'!H151 -'Ammo Input'!M151) * MAX(IF('Ammo Inpu"&amp;"t'!J151 &gt; 0, 'Ammo Input'!J151, 1), 1) * N151 / 1000))) / 'Ingredient stats'!$C$2) * IF(ISBLANK(VLOOKUP(B151,AmmoTypeFactors,15,False)),1,VLOOKUP(B151,AmmoTypeFactors,15,False))"),82)</f>
        <v>82</v>
      </c>
      <c r="R151">
        <f>IFERROR(__xludf.DUMMYFUNCTION("ROUNDUP((IF(REGEXMATCH(B151, ""Arrow"") + (B151 = ""Javelin""), 'Ammo Input'!E151) + IF(VLOOKUP(B151, AmmoTypeFactors, 9, FALSE) = ""Wood"", 'Ammo Input'!H151) + IF(B151 = ""Stick bomb"", 'Ammo Input'!E151)) * N151 / 'Ingredient stats'!$C$12 / 1000)"),0)</f>
        <v>0</v>
      </c>
      <c r="S151">
        <v>0</v>
      </c>
      <c r="T151">
        <v>0</v>
      </c>
      <c r="U151">
        <f>IF(VLOOKUP(B151,AmmoTypeFactors,9,FALSE)="Plasteel",ROUNDUP(('Ammo Input'!H151*MAX(IF('Ammo Input'!J151&gt;0,'Ammo Input'!J151,1)*N151/1000/'Ingredient stats'!$C$4)),0),0)</f>
        <v>0</v>
      </c>
      <c r="V151">
        <f>IFERROR(__xludf.DUMMYFUNCTION("ROUNDUP(IF(ISBLANK(VLOOKUP(B151,AmmoTypeFactors,16,False)),1,VLOOKUP(B151,AmmoTypeFactors,16,False)) * (IFS(REGEXMATCH(B151, ""EMP""), 'Ammo Input'!M151 * N151 / 'Ingredient stats'!$C$5, REGEXMATCH(B151, ""Charge""), (U151^0.75), true, 0) + (IF(VLOOKUP(B1"&amp;"51, AmmoTypeFactors, 10, false), 2,0) + IF('Ammo Input'!P151, 2,0) + IF('Ammo Input'!Q151,MIN(ROUNDUP(0.2*('Ammo Input'!H151/1000)*'Ammo Input'!O151,0),20),0))))"),0)</f>
        <v>0</v>
      </c>
      <c r="W151">
        <v>0</v>
      </c>
      <c r="X151">
        <v>22</v>
      </c>
      <c r="Y151">
        <v>0</v>
      </c>
      <c r="Z151">
        <v>0</v>
      </c>
      <c r="AA151">
        <v>0</v>
      </c>
      <c r="AB151" s="30">
        <f>IF(B151="Sling Bullet (Stone)",ROUNDUP(D151*0.02*E151/'Ingredient stats'!$C$8,0),0)</f>
        <v>0</v>
      </c>
      <c r="AC151" t="str">
        <f t="shared" si="8"/>
        <v>None</v>
      </c>
      <c r="AD151" t="str">
        <f>IF(OR(B151="Buck",B151="Bird",B151="Charge (Scatter)"),'Ammo Input'!J151,"None")</f>
        <v>None</v>
      </c>
      <c r="AE151" t="str">
        <f>_xlfn.IFS(ISTEXT(Calcs!N151),Calcs!N151,Calcs!N151&lt;=40,Calcs!N151,Calcs!N151&gt;41,"40")</f>
        <v>None</v>
      </c>
      <c r="AF151" t="str">
        <f>_xlfn.IFS(ISTEXT(Calcs!O151),Calcs!O151,Calcs!O151&lt;=80,Calcs!O151,Calcs!O151&gt;=81,"80")</f>
        <v>None</v>
      </c>
      <c r="AG151" s="25">
        <f t="shared" si="9"/>
        <v>1</v>
      </c>
      <c r="AH151" s="25">
        <f t="shared" si="10"/>
        <v>2.27</v>
      </c>
      <c r="AI151" s="25">
        <f t="shared" si="11"/>
        <v>1</v>
      </c>
    </row>
    <row r="152" ht="14.4" spans="1:35">
      <c r="A152" s="24" t="str">
        <f>'Ammo Input'!A152</f>
        <v>20x82mm Mauser</v>
      </c>
      <c r="B152" t="str">
        <f>'Ammo Input'!B152</f>
        <v>Sabot</v>
      </c>
      <c r="C152">
        <f>ROUNDUP(('Ammo Input'!C152*(MAX('Ammo Input'!D152,'Ammo Input'!F152)*0.5)^2*PI())*3/1000000,2)</f>
        <v>0.22</v>
      </c>
      <c r="D152">
        <f>ROUNDUP(('Ammo Input'!E152+'Ammo Input'!H152*IF('Ammo Input'!J152&lt;&gt;"",MAX('Ammo Input'!J152,1),1))/1000,3)</f>
        <v>0.158</v>
      </c>
      <c r="E152">
        <f>MIN(5000,MAX(25,CEILING(Calcs!L152,_xlfn.IFS(Calcs!L152&lt;100,25,Calcs!L152&lt;250,50,Calcs!L152&lt;1000,250,Calcs!L152&gt;=1000,1000))))</f>
        <v>2000</v>
      </c>
      <c r="F152">
        <f>ROUNDUP('Ammo Input'!G152^(3/4),0)</f>
        <v>189</v>
      </c>
      <c r="G152">
        <f>ROUND((0.5*((IF(OR(B152="HEAT",B152="HEDP"),'Ammo Input'!N152,'Ammo Input'!H152)/1000)*(IF(B152="HEAT",9000,IF(B152="HEDP",1500,'Ammo Input'!G152))^2))),0)</f>
        <v>36742</v>
      </c>
      <c r="H152" s="25" t="str">
        <f>CONCATENATE(IF((B152="Foam")+(B152="Smoke"),"-",ROUND(Calcs!D152,0))," ",VLOOKUP(B152,AmmoTypeFactors,5,FALSE))</f>
        <v>30 Bullet</v>
      </c>
      <c r="I152" s="25" t="str">
        <f>IF(Calcs!E152=0,"None",CONCATENATE(ROUND(Calcs!E152,0)," ",VLOOKUP(B152,AmmoTypeFactors,6,FALSE)))</f>
        <v>None</v>
      </c>
      <c r="J152">
        <f>MROUND(2.42*'Ammo Input'!M152^(1/3)*VLOOKUP(B152,AmmoTypeFactors,3,FALSE),0.5)</f>
        <v>0</v>
      </c>
      <c r="K152" s="25" t="str">
        <f>IF(VLOOKUP(B152,AmmoTypeFactors,12,FALSE),MROUND(J152/3,0.5),"None")</f>
        <v>None</v>
      </c>
      <c r="L152" s="25">
        <f>IF(VLOOKUP(B152,AmmoTypeFactors,8,FALSE),"None",ROUNDUP(IF(Calcs!I152&gt;0,Calcs!I152,Calcs!H152),3))</f>
        <v>734.84</v>
      </c>
      <c r="M152" s="25">
        <f>IF(VLOOKUP(B152,AmmoTypeFactors,8,FALSE),"None",'Ammo Input'!L152)</f>
        <v>45.5</v>
      </c>
      <c r="N152">
        <f>'Ammo Input'!O152</f>
        <v>200</v>
      </c>
      <c r="O152" t="e">
        <f>ROUND((P152*0.0036+SUMPRODUCT(Q152:AB152,VLOOKUP($Q$1:$AB$1,IngredientStats,2,FALSE)))/N152*IF('Ammo Input'!R152,0.5,1),2)</f>
        <v>#VALUE!</v>
      </c>
      <c r="P152" t="e">
        <f>(SUMPRODUCT(Q152:AB152,VLOOKUP($Q$1:$AB$1,IngredientStats,4,FALSE))*VLOOKUP(B152,AmmoTypeFactors,14,FALSE)*IF('Ammo Input'!R152,1.1,1))</f>
        <v>#VALUE!</v>
      </c>
      <c r="Q152">
        <f>IFERROR(__xludf.DUMMYFUNCTION("((IF(NOT(OR(REGEXMATCH(B152, ""Arrow""), B152 = ""Javelin"", B152 = ""Stick bomb"")), ROUNDUP(('Ammo Input'!E152 / 1000) * N152)) + IF(VLOOKUP(B152, AmmoTypeFactors, 9, FALSE) = ""Steel"", ROUNDUP(('Ammo Input'!H152 -'Ammo Input'!M152) * MAX(IF('Ammo Inpu"&amp;"t'!J152 &gt; 0, 'Ammo Input'!J152, 1), 1) * N152 / 1000))) / 'Ingredient stats'!$C$2) * IF(ISBLANK(VLOOKUP(B152,AmmoTypeFactors,15,False)),1,VLOOKUP(B152,AmmoTypeFactors,15,False))"),38)</f>
        <v>38</v>
      </c>
      <c r="R152">
        <f>IFERROR(__xludf.DUMMYFUNCTION("ROUNDUP((IF(REGEXMATCH(B152, ""Arrow"") + (B152 = ""Javelin""), 'Ammo Input'!E152) + IF(VLOOKUP(B152, AmmoTypeFactors, 9, FALSE) = ""Wood"", 'Ammo Input'!H152) + IF(B152 = ""Stick bomb"", 'Ammo Input'!E152)) * N152 / 'Ingredient stats'!$C$12 / 1000)"),0)</f>
        <v>0</v>
      </c>
      <c r="S152">
        <v>13</v>
      </c>
      <c r="T152">
        <v>13</v>
      </c>
      <c r="U152">
        <f>IF(VLOOKUP(B152,AmmoTypeFactors,9,FALSE)="Plasteel",ROUNDUP(('Ammo Input'!H152*MAX(IF('Ammo Input'!J152&gt;0,'Ammo Input'!J152,1)*N152/1000/'Ingredient stats'!$C$4)),0),0)</f>
        <v>0</v>
      </c>
      <c r="V152">
        <f>IFERROR(__xludf.DUMMYFUNCTION("ROUNDUP(IF(ISBLANK(VLOOKUP(B152,AmmoTypeFactors,16,False)),1,VLOOKUP(B152,AmmoTypeFactors,16,False)) * (IFS(REGEXMATCH(B152, ""EMP""), 'Ammo Input'!M152 * N152 / 'Ingredient stats'!$C$5, REGEXMATCH(B152, ""Charge""), (U152^0.75), true, 0) + (IF(VLOOKUP(B1"&amp;"52, AmmoTypeFactors, 10, false), 2,0) + IF('Ammo Input'!P152, 2,0) + IF('Ammo Input'!Q152,MIN(ROUNDUP(0.2*('Ammo Input'!H152/1000)*'Ammo Input'!O152,0),20),0))))"),0)</f>
        <v>0</v>
      </c>
      <c r="W152">
        <v>0</v>
      </c>
      <c r="X152">
        <v>0</v>
      </c>
      <c r="Y152">
        <v>0</v>
      </c>
      <c r="Z152">
        <v>0</v>
      </c>
      <c r="AA152">
        <v>0</v>
      </c>
      <c r="AB152" s="30">
        <f>IF(B152="Sling Bullet (Stone)",ROUNDUP(D152*0.02*E152/'Ingredient stats'!$C$8,0),0)</f>
        <v>0</v>
      </c>
      <c r="AC152" t="str">
        <f t="shared" si="8"/>
        <v>None</v>
      </c>
      <c r="AD152" t="str">
        <f>IF(OR(B152="Buck",B152="Bird",B152="Charge (Scatter)"),'Ammo Input'!J152,"None")</f>
        <v>None</v>
      </c>
      <c r="AE152" t="str">
        <f>_xlfn.IFS(ISTEXT(Calcs!N152),Calcs!N152,Calcs!N152&lt;=40,Calcs!N152,Calcs!N152&gt;41,"40")</f>
        <v>None</v>
      </c>
      <c r="AF152" t="str">
        <f>_xlfn.IFS(ISTEXT(Calcs!O152),Calcs!O152,Calcs!O152&lt;=80,Calcs!O152,Calcs!O152&gt;=81,"80")</f>
        <v>None</v>
      </c>
      <c r="AG152" s="25">
        <f t="shared" si="9"/>
        <v>1</v>
      </c>
      <c r="AH152" s="25">
        <f t="shared" si="10"/>
        <v>3.08</v>
      </c>
      <c r="AI152" s="25">
        <f t="shared" si="11"/>
        <v>1</v>
      </c>
    </row>
    <row r="153" ht="14.4" spans="1:35">
      <c r="A153" s="24" t="str">
        <f>'Ammo Input'!A153</f>
        <v>20x99mm ShVAK</v>
      </c>
      <c r="B153" t="str">
        <f>'Ammo Input'!B153</f>
        <v>AP</v>
      </c>
      <c r="C153">
        <f>ROUNDUP(('Ammo Input'!C153*(MAX('Ammo Input'!D153,'Ammo Input'!F153)*0.5)^2*PI())*3/1000000,2)</f>
        <v>0.22</v>
      </c>
      <c r="D153">
        <f>ROUNDUP(('Ammo Input'!E153+'Ammo Input'!H153*IF('Ammo Input'!J153&lt;&gt;"",MAX('Ammo Input'!J153,1),1))/1000,3)</f>
        <v>0.216</v>
      </c>
      <c r="E153">
        <f>MIN(5000,MAX(25,CEILING(Calcs!L153,_xlfn.IFS(Calcs!L153&lt;100,25,Calcs!L153&lt;250,50,Calcs!L153&lt;1000,250,Calcs!L153&gt;=1000,1000))))</f>
        <v>2000</v>
      </c>
      <c r="F153">
        <f>ROUNDUP('Ammo Input'!G153^(3/4),0)</f>
        <v>144</v>
      </c>
      <c r="G153">
        <f>ROUND((0.5*((IF(OR(B153="HEAT",B153="HEDP"),'Ammo Input'!N153,'Ammo Input'!H153)/1000)*(IF(B153="HEAT",9000,IF(B153="HEDP",1500,'Ammo Input'!G153))^2))),0)</f>
        <v>27000</v>
      </c>
      <c r="H153" s="25" t="str">
        <f>CONCATENATE(IF((B153="Foam")+(B153="Smoke"),"-",ROUND(Calcs!D153,0))," ",VLOOKUP(B153,AmmoTypeFactors,5,FALSE))</f>
        <v>35 Bullet</v>
      </c>
      <c r="I153" s="25" t="str">
        <f>IF(Calcs!E153=0,"None",CONCATENATE(ROUND(Calcs!E153,0)," ",VLOOKUP(B153,AmmoTypeFactors,6,FALSE)))</f>
        <v>None</v>
      </c>
      <c r="J153">
        <f>MROUND(2.42*'Ammo Input'!M153^(1/3)*VLOOKUP(B153,AmmoTypeFactors,3,FALSE),0.5)</f>
        <v>0</v>
      </c>
      <c r="K153" s="25" t="str">
        <f>IF(VLOOKUP(B153,AmmoTypeFactors,12,FALSE),MROUND(J153/3,0.5),"None")</f>
        <v>None</v>
      </c>
      <c r="L153" s="25">
        <f>IF(VLOOKUP(B153,AmmoTypeFactors,8,FALSE),"None",ROUNDUP(IF(Calcs!I153&gt;0,Calcs!I153,Calcs!H153),3))</f>
        <v>540</v>
      </c>
      <c r="M153" s="25">
        <f>IF(VLOOKUP(B153,AmmoTypeFactors,8,FALSE),"None",'Ammo Input'!L153)</f>
        <v>32</v>
      </c>
      <c r="N153">
        <f>'Ammo Input'!O153</f>
        <v>200</v>
      </c>
      <c r="O153" t="e">
        <f>ROUND((P153*0.0036+SUMPRODUCT(Q153:AB153,VLOOKUP($Q$1:$AB$1,IngredientStats,2,FALSE)))/N153*IF('Ammo Input'!R153,0.5,1),2)</f>
        <v>#VALUE!</v>
      </c>
      <c r="P153" t="e">
        <f>(SUMPRODUCT(Q153:AB153,VLOOKUP($Q$1:$AB$1,IngredientStats,4,FALSE))*VLOOKUP(B153,AmmoTypeFactors,14,FALSE)*IF('Ammo Input'!R153,1.1,1))</f>
        <v>#VALUE!</v>
      </c>
      <c r="Q153">
        <f>IFERROR(__xludf.DUMMYFUNCTION("((IF(NOT(OR(REGEXMATCH(B153, ""Arrow""), B153 = ""Javelin"", B153 = ""Stick bomb"")), ROUNDUP(('Ammo Input'!E153 / 1000) * N153)) + IF(VLOOKUP(B153, AmmoTypeFactors, 9, FALSE) = ""Steel"", ROUNDUP(('Ammo Input'!H153 -'Ammo Input'!M153) * MAX(IF('Ammo Inpu"&amp;"t'!J153 &gt; 0, 'Ammo Input'!J153, 1), 1) * N153 / 1000))) / 'Ingredient stats'!$C$2) * IF(ISBLANK(VLOOKUP(B153,AmmoTypeFactors,15,False)),1,VLOOKUP(B153,AmmoTypeFactors,15,False))"),88)</f>
        <v>88</v>
      </c>
      <c r="R153">
        <f>IFERROR(__xludf.DUMMYFUNCTION("ROUNDUP((IF(REGEXMATCH(B153, ""Arrow"") + (B153 = ""Javelin""), 'Ammo Input'!E153) + IF(VLOOKUP(B153, AmmoTypeFactors, 9, FALSE) = ""Wood"", 'Ammo Input'!H153) + IF(B153 = ""Stick bomb"", 'Ammo Input'!E153)) * N153 / 'Ingredient stats'!$C$12 / 1000)"),0)</f>
        <v>0</v>
      </c>
      <c r="S153">
        <v>0</v>
      </c>
      <c r="T153">
        <v>0</v>
      </c>
      <c r="U153">
        <f>IF(VLOOKUP(B153,AmmoTypeFactors,9,FALSE)="Plasteel",ROUNDUP(('Ammo Input'!H153*MAX(IF('Ammo Input'!J153&gt;0,'Ammo Input'!J153,1)*N153/1000/'Ingredient stats'!$C$4)),0),0)</f>
        <v>0</v>
      </c>
      <c r="V153">
        <f>IFERROR(__xludf.DUMMYFUNCTION("ROUNDUP(IF(ISBLANK(VLOOKUP(B153,AmmoTypeFactors,16,False)),1,VLOOKUP(B153,AmmoTypeFactors,16,False)) * (IFS(REGEXMATCH(B153, ""EMP""), 'Ammo Input'!M153 * N153 / 'Ingredient stats'!$C$5, REGEXMATCH(B153, ""Charge""), (U153^0.75), true, 0) + (IF(VLOOKUP(B1"&amp;"53, AmmoTypeFactors, 10, false), 2,0) + IF('Ammo Input'!P153, 2,0) + IF('Ammo Input'!Q153,MIN(ROUNDUP(0.2*('Ammo Input'!H153/1000)*'Ammo Input'!O153,0),20),0))))"),0)</f>
        <v>0</v>
      </c>
      <c r="W153">
        <v>0</v>
      </c>
      <c r="X153">
        <v>0</v>
      </c>
      <c r="Y153">
        <v>0</v>
      </c>
      <c r="Z153">
        <v>0</v>
      </c>
      <c r="AA153">
        <v>0</v>
      </c>
      <c r="AB153" s="30">
        <f>IF(B153="Sling Bullet (Stone)",ROUNDUP(D153*0.02*E153/'Ingredient stats'!$C$8,0),0)</f>
        <v>0</v>
      </c>
      <c r="AC153" t="str">
        <f t="shared" si="8"/>
        <v>None</v>
      </c>
      <c r="AD153" t="str">
        <f>IF(OR(B153="Buck",B153="Bird",B153="Charge (Scatter)"),'Ammo Input'!J153,"None")</f>
        <v>None</v>
      </c>
      <c r="AE153" t="str">
        <f>_xlfn.IFS(ISTEXT(Calcs!N153),Calcs!N153,Calcs!N153&lt;=40,Calcs!N153,Calcs!N153&gt;41,"40")</f>
        <v>None</v>
      </c>
      <c r="AF153" t="str">
        <f>_xlfn.IFS(ISTEXT(Calcs!O153),Calcs!O153,Calcs!O153&lt;=80,Calcs!O153,Calcs!O153&gt;=81,"80")</f>
        <v>None</v>
      </c>
      <c r="AG153" s="25">
        <f t="shared" si="9"/>
        <v>1</v>
      </c>
      <c r="AH153" s="25">
        <f t="shared" si="10"/>
        <v>2.35</v>
      </c>
      <c r="AI153" s="25">
        <f t="shared" si="11"/>
        <v>1</v>
      </c>
    </row>
    <row r="154" ht="14.4" spans="1:35">
      <c r="A154" s="24" t="str">
        <f>'Ammo Input'!A154</f>
        <v>20x99mm ShVAK</v>
      </c>
      <c r="B154" t="str">
        <f>'Ammo Input'!B154</f>
        <v>AP-I</v>
      </c>
      <c r="C154">
        <f>ROUNDUP(('Ammo Input'!C154*(MAX('Ammo Input'!D154,'Ammo Input'!F154)*0.5)^2*PI())*3/1000000,2)</f>
        <v>0.22</v>
      </c>
      <c r="D154">
        <f>ROUNDUP(('Ammo Input'!E154+'Ammo Input'!H154*IF('Ammo Input'!J154&lt;&gt;"",MAX('Ammo Input'!J154,1),1))/1000,3)</f>
        <v>0.216</v>
      </c>
      <c r="E154">
        <f>MIN(5000,MAX(25,CEILING(Calcs!L154,_xlfn.IFS(Calcs!L154&lt;100,25,Calcs!L154&lt;250,50,Calcs!L154&lt;1000,250,Calcs!L154&gt;=1000,1000))))</f>
        <v>2000</v>
      </c>
      <c r="F154">
        <f>ROUNDUP('Ammo Input'!G154^(3/4),0)</f>
        <v>144</v>
      </c>
      <c r="G154">
        <f>ROUND((0.5*((IF(OR(B154="HEAT",B154="HEDP"),'Ammo Input'!N154,'Ammo Input'!H154)/1000)*(IF(B154="HEAT",9000,IF(B154="HEDP",1500,'Ammo Input'!G154))^2))),0)</f>
        <v>27000</v>
      </c>
      <c r="H154" s="25" t="str">
        <f>CONCATENATE(IF((B154="Foam")+(B154="Smoke"),"-",ROUND(Calcs!D154,0))," ",VLOOKUP(B154,AmmoTypeFactors,5,FALSE))</f>
        <v>35 Bullet</v>
      </c>
      <c r="I154" s="25" t="str">
        <f>IF(Calcs!E154=0,"None",CONCATENATE(ROUND(Calcs!E154,0)," ",VLOOKUP(B154,AmmoTypeFactors,6,FALSE)))</f>
        <v>22 Flame_Secondary</v>
      </c>
      <c r="J154">
        <f>MROUND(2.42*'Ammo Input'!M154^(1/3)*VLOOKUP(B154,AmmoTypeFactors,3,FALSE),0.5)</f>
        <v>0</v>
      </c>
      <c r="K154" s="25" t="str">
        <f>IF(VLOOKUP(B154,AmmoTypeFactors,12,FALSE),MROUND(J154/3,0.5),"None")</f>
        <v>None</v>
      </c>
      <c r="L154" s="25">
        <f>IF(VLOOKUP(B154,AmmoTypeFactors,8,FALSE),"None",ROUNDUP(IF(Calcs!I154&gt;0,Calcs!I154,Calcs!H154),3))</f>
        <v>540</v>
      </c>
      <c r="M154" s="25">
        <f>IF(VLOOKUP(B154,AmmoTypeFactors,8,FALSE),"None",'Ammo Input'!L154)</f>
        <v>32</v>
      </c>
      <c r="N154">
        <f>'Ammo Input'!O154</f>
        <v>200</v>
      </c>
      <c r="O154" t="e">
        <f>ROUND((P154*0.0036+SUMPRODUCT(Q154:AB154,VLOOKUP($Q$1:$AB$1,IngredientStats,2,FALSE)))/N154*IF('Ammo Input'!R154,0.5,1),2)</f>
        <v>#VALUE!</v>
      </c>
      <c r="P154" t="e">
        <f>(SUMPRODUCT(Q154:AB154,VLOOKUP($Q$1:$AB$1,IngredientStats,4,FALSE))*VLOOKUP(B154,AmmoTypeFactors,14,FALSE)*IF('Ammo Input'!R154,1.1,1))</f>
        <v>#VALUE!</v>
      </c>
      <c r="Q154">
        <f>IFERROR(__xludf.DUMMYFUNCTION("((IF(NOT(OR(REGEXMATCH(B154, ""Arrow""), B154 = ""Javelin"", B154 = ""Stick bomb"")), ROUNDUP(('Ammo Input'!E154 / 1000) * N154)) + IF(VLOOKUP(B154, AmmoTypeFactors, 9, FALSE) = ""Steel"", ROUNDUP(('Ammo Input'!H154 -'Ammo Input'!M154) * MAX(IF('Ammo Inpu"&amp;"t'!J154 &gt; 0, 'Ammo Input'!J154, 1), 1) * N154 / 1000))) / 'Ingredient stats'!$C$2) * IF(ISBLANK(VLOOKUP(B154,AmmoTypeFactors,15,False)),1,VLOOKUP(B154,AmmoTypeFactors,15,False))"),88)</f>
        <v>88</v>
      </c>
      <c r="R154">
        <f>IFERROR(__xludf.DUMMYFUNCTION("ROUNDUP((IF(REGEXMATCH(B154, ""Arrow"") + (B154 = ""Javelin""), 'Ammo Input'!E154) + IF(VLOOKUP(B154, AmmoTypeFactors, 9, FALSE) = ""Wood"", 'Ammo Input'!H154) + IF(B154 = ""Stick bomb"", 'Ammo Input'!E154)) * N154 / 'Ingredient stats'!$C$12 / 1000)"),0)</f>
        <v>0</v>
      </c>
      <c r="S154">
        <v>0</v>
      </c>
      <c r="T154">
        <v>0</v>
      </c>
      <c r="U154">
        <f>IF(VLOOKUP(B154,AmmoTypeFactors,9,FALSE)="Plasteel",ROUNDUP(('Ammo Input'!H154*MAX(IF('Ammo Input'!J154&gt;0,'Ammo Input'!J154,1)*N154/1000/'Ingredient stats'!$C$4)),0),0)</f>
        <v>0</v>
      </c>
      <c r="V154">
        <f>IFERROR(__xludf.DUMMYFUNCTION("ROUNDUP(IF(ISBLANK(VLOOKUP(B154,AmmoTypeFactors,16,False)),1,VLOOKUP(B154,AmmoTypeFactors,16,False)) * (IFS(REGEXMATCH(B154, ""EMP""), 'Ammo Input'!M154 * N154 / 'Ingredient stats'!$C$5, REGEXMATCH(B154, ""Charge""), (U154^0.75), true, 0) + (IF(VLOOKUP(B1"&amp;"54, AmmoTypeFactors, 10, false), 2,0) + IF('Ammo Input'!P154, 2,0) + IF('Ammo Input'!Q154,MIN(ROUNDUP(0.2*('Ammo Input'!H154/1000)*'Ammo Input'!O154,0),20),0))))"),0)</f>
        <v>0</v>
      </c>
      <c r="W154">
        <v>10</v>
      </c>
      <c r="X154">
        <v>0</v>
      </c>
      <c r="Y154">
        <v>0</v>
      </c>
      <c r="Z154">
        <v>0</v>
      </c>
      <c r="AA154">
        <v>0</v>
      </c>
      <c r="AB154" s="30">
        <f>IF(B154="Sling Bullet (Stone)",ROUNDUP(D154*0.02*E154/'Ingredient stats'!$C$8,0),0)</f>
        <v>0</v>
      </c>
      <c r="AC154" t="str">
        <f t="shared" si="8"/>
        <v>None</v>
      </c>
      <c r="AD154" t="str">
        <f>IF(OR(B154="Buck",B154="Bird",B154="Charge (Scatter)"),'Ammo Input'!J154,"None")</f>
        <v>None</v>
      </c>
      <c r="AE154" t="str">
        <f>_xlfn.IFS(ISTEXT(Calcs!N154),Calcs!N154,Calcs!N154&lt;=40,Calcs!N154,Calcs!N154&gt;41,"40")</f>
        <v>None</v>
      </c>
      <c r="AF154" t="str">
        <f>_xlfn.IFS(ISTEXT(Calcs!O154),Calcs!O154,Calcs!O154&lt;=80,Calcs!O154,Calcs!O154&gt;=81,"80")</f>
        <v>None</v>
      </c>
      <c r="AG154" s="25">
        <f t="shared" si="9"/>
        <v>1</v>
      </c>
      <c r="AH154" s="25">
        <f t="shared" si="10"/>
        <v>2.35</v>
      </c>
      <c r="AI154" s="25">
        <f t="shared" si="11"/>
        <v>1</v>
      </c>
    </row>
    <row r="155" ht="14.4" spans="1:35">
      <c r="A155" s="24" t="str">
        <f>'Ammo Input'!A155</f>
        <v>20x99mm ShVAK</v>
      </c>
      <c r="B155" t="str">
        <f>'Ammo Input'!B155</f>
        <v>AP-HE</v>
      </c>
      <c r="C155">
        <f>ROUNDUP(('Ammo Input'!C155*(MAX('Ammo Input'!D155,'Ammo Input'!F155)*0.5)^2*PI())*3/1000000,2)</f>
        <v>0.22</v>
      </c>
      <c r="D155">
        <f>ROUNDUP(('Ammo Input'!E155+'Ammo Input'!H155*IF('Ammo Input'!J155&lt;&gt;"",MAX('Ammo Input'!J155,1),1))/1000,3)</f>
        <v>0.216</v>
      </c>
      <c r="E155">
        <f>MIN(5000,MAX(25,CEILING(Calcs!L155,_xlfn.IFS(Calcs!L155&lt;100,25,Calcs!L155&lt;250,50,Calcs!L155&lt;1000,250,Calcs!L155&gt;=1000,1000))))</f>
        <v>2000</v>
      </c>
      <c r="F155">
        <f>ROUNDUP('Ammo Input'!G155^(3/4),0)</f>
        <v>144</v>
      </c>
      <c r="G155">
        <f>ROUND((0.5*((IF(OR(B155="HEAT",B155="HEDP"),'Ammo Input'!N155,'Ammo Input'!H155)/1000)*(IF(B155="HEAT",9000,IF(B155="HEDP",1500,'Ammo Input'!G155))^2))),0)</f>
        <v>27000</v>
      </c>
      <c r="H155" s="25" t="str">
        <f>CONCATENATE(IF((B155="Foam")+(B155="Smoke"),"-",ROUND(Calcs!D155,0))," ",VLOOKUP(B155,AmmoTypeFactors,5,FALSE))</f>
        <v>56 Bullet</v>
      </c>
      <c r="I155" s="25" t="str">
        <f>IF(Calcs!E155=0,"None",CONCATENATE(ROUND(Calcs!E155,0)," ",VLOOKUP(B155,AmmoTypeFactors,6,FALSE)))</f>
        <v>31 Bomb_Secondary</v>
      </c>
      <c r="J155">
        <f>MROUND(2.42*'Ammo Input'!M155^(1/3)*VLOOKUP(B155,AmmoTypeFactors,3,FALSE),0.5)</f>
        <v>0</v>
      </c>
      <c r="K155" s="25" t="str">
        <f>IF(VLOOKUP(B155,AmmoTypeFactors,12,FALSE),MROUND(J155/3,0.5),"None")</f>
        <v>None</v>
      </c>
      <c r="L155" s="25">
        <f>IF(VLOOKUP(B155,AmmoTypeFactors,8,FALSE),"None",ROUNDUP(IF(Calcs!I155&gt;0,Calcs!I155,Calcs!H155),3))</f>
        <v>540</v>
      </c>
      <c r="M155" s="25">
        <f>IF(VLOOKUP(B155,AmmoTypeFactors,8,FALSE),"None",'Ammo Input'!L155)</f>
        <v>16</v>
      </c>
      <c r="N155">
        <f>'Ammo Input'!O155</f>
        <v>200</v>
      </c>
      <c r="O155" t="e">
        <f>ROUND((P155*0.0036+SUMPRODUCT(Q155:AB155,VLOOKUP($Q$1:$AB$1,IngredientStats,2,FALSE)))/N155*IF('Ammo Input'!R155,0.5,1),2)</f>
        <v>#VALUE!</v>
      </c>
      <c r="P155" t="e">
        <f>(SUMPRODUCT(Q155:AB155,VLOOKUP($Q$1:$AB$1,IngredientStats,4,FALSE))*VLOOKUP(B155,AmmoTypeFactors,14,FALSE)*IF('Ammo Input'!R155,1.1,1))</f>
        <v>#VALUE!</v>
      </c>
      <c r="Q155">
        <f>IFERROR(__xludf.DUMMYFUNCTION("((IF(NOT(OR(REGEXMATCH(B155, ""Arrow""), B155 = ""Javelin"", B155 = ""Stick bomb"")), ROUNDUP(('Ammo Input'!E155 / 1000) * N155)) + IF(VLOOKUP(B155, AmmoTypeFactors, 9, FALSE) = ""Steel"", ROUNDUP(('Ammo Input'!H155 -'Ammo Input'!M155) * MAX(IF('Ammo Inpu"&amp;"t'!J155 &gt; 0, 'Ammo Input'!J155, 1), 1) * N155 / 1000))) / 'Ingredient stats'!$C$2) * IF(ISBLANK(VLOOKUP(B155,AmmoTypeFactors,15,False)),1,VLOOKUP(B155,AmmoTypeFactors,15,False))"),88)</f>
        <v>88</v>
      </c>
      <c r="R155">
        <f>IFERROR(__xludf.DUMMYFUNCTION("ROUNDUP((IF(REGEXMATCH(B155, ""Arrow"") + (B155 = ""Javelin""), 'Ammo Input'!E155) + IF(VLOOKUP(B155, AmmoTypeFactors, 9, FALSE) = ""Wood"", 'Ammo Input'!H155) + IF(B155 = ""Stick bomb"", 'Ammo Input'!E155)) * N155 / 'Ingredient stats'!$C$12 / 1000)"),0)</f>
        <v>0</v>
      </c>
      <c r="S155">
        <v>0</v>
      </c>
      <c r="T155">
        <v>0</v>
      </c>
      <c r="U155">
        <f>IF(VLOOKUP(B155,AmmoTypeFactors,9,FALSE)="Plasteel",ROUNDUP(('Ammo Input'!H155*MAX(IF('Ammo Input'!J155&gt;0,'Ammo Input'!J155,1)*N155/1000/'Ingredient stats'!$C$4)),0),0)</f>
        <v>0</v>
      </c>
      <c r="V155">
        <f>IFERROR(__xludf.DUMMYFUNCTION("ROUNDUP(IF(ISBLANK(VLOOKUP(B155,AmmoTypeFactors,16,False)),1,VLOOKUP(B155,AmmoTypeFactors,16,False)) * (IFS(REGEXMATCH(B155, ""EMP""), 'Ammo Input'!M155 * N155 / 'Ingredient stats'!$C$5, REGEXMATCH(B155, ""Charge""), (U155^0.75), true, 0) + (IF(VLOOKUP(B1"&amp;"55, AmmoTypeFactors, 10, false), 2,0) + IF('Ammo Input'!P155, 2,0) + IF('Ammo Input'!Q155,MIN(ROUNDUP(0.2*('Ammo Input'!H155/1000)*'Ammo Input'!O155,0),20),0))))"),0)</f>
        <v>0</v>
      </c>
      <c r="W155">
        <v>0</v>
      </c>
      <c r="X155">
        <v>19</v>
      </c>
      <c r="Y155">
        <v>0</v>
      </c>
      <c r="Z155">
        <v>0</v>
      </c>
      <c r="AA155">
        <v>0</v>
      </c>
      <c r="AB155" s="30">
        <f>IF(B155="Sling Bullet (Stone)",ROUNDUP(D155*0.02*E155/'Ingredient stats'!$C$8,0),0)</f>
        <v>0</v>
      </c>
      <c r="AC155" t="str">
        <f t="shared" si="8"/>
        <v>None</v>
      </c>
      <c r="AD155" t="str">
        <f>IF(OR(B155="Buck",B155="Bird",B155="Charge (Scatter)"),'Ammo Input'!J155,"None")</f>
        <v>None</v>
      </c>
      <c r="AE155" t="str">
        <f>_xlfn.IFS(ISTEXT(Calcs!N155),Calcs!N155,Calcs!N155&lt;=40,Calcs!N155,Calcs!N155&gt;41,"40")</f>
        <v>None</v>
      </c>
      <c r="AF155" t="str">
        <f>_xlfn.IFS(ISTEXT(Calcs!O155),Calcs!O155,Calcs!O155&lt;=80,Calcs!O155,Calcs!O155&gt;=81,"80")</f>
        <v>None</v>
      </c>
      <c r="AG155" s="25">
        <f t="shared" si="9"/>
        <v>1</v>
      </c>
      <c r="AH155" s="25">
        <f t="shared" si="10"/>
        <v>2.35</v>
      </c>
      <c r="AI155" s="25">
        <f t="shared" si="11"/>
        <v>1</v>
      </c>
    </row>
    <row r="156" ht="14.4" spans="1:35">
      <c r="A156" s="24" t="str">
        <f>'Ammo Input'!A156</f>
        <v>20x99mm ShVAK</v>
      </c>
      <c r="B156" t="str">
        <f>'Ammo Input'!B156</f>
        <v>Sabot</v>
      </c>
      <c r="C156">
        <f>ROUNDUP(('Ammo Input'!C156*(MAX('Ammo Input'!D156,'Ammo Input'!F156)*0.5)^2*PI())*3/1000000,2)</f>
        <v>0.22</v>
      </c>
      <c r="D156">
        <f>ROUNDUP(('Ammo Input'!E156+'Ammo Input'!H156*IF('Ammo Input'!J156&lt;&gt;"",MAX('Ammo Input'!J156,1),1))/1000,3)</f>
        <v>0.175</v>
      </c>
      <c r="E156">
        <f>MIN(5000,MAX(25,CEILING(Calcs!L156,_xlfn.IFS(Calcs!L156&lt;100,25,Calcs!L156&lt;250,50,Calcs!L156&lt;1000,250,Calcs!L156&gt;=1000,1000))))</f>
        <v>2000</v>
      </c>
      <c r="F156">
        <f>ROUNDUP('Ammo Input'!G156^(3/4),0)</f>
        <v>195</v>
      </c>
      <c r="G156">
        <f>ROUND((0.5*((IF(OR(B156="HEAT",B156="HEDP"),'Ammo Input'!N156,'Ammo Input'!H156)/1000)*(IF(B156="HEAT",9000,IF(B156="HEDP",1500,'Ammo Input'!G156))^2))),0)</f>
        <v>34805</v>
      </c>
      <c r="H156" s="25" t="str">
        <f>CONCATENATE(IF((B156="Foam")+(B156="Smoke"),"-",ROUND(Calcs!D156,0))," ",VLOOKUP(B156,AmmoTypeFactors,5,FALSE))</f>
        <v>30 Bullet</v>
      </c>
      <c r="I156" s="25" t="str">
        <f>IF(Calcs!E156=0,"None",CONCATENATE(ROUND(Calcs!E156,0)," ",VLOOKUP(B156,AmmoTypeFactors,6,FALSE)))</f>
        <v>None</v>
      </c>
      <c r="J156">
        <f>MROUND(2.42*'Ammo Input'!M156^(1/3)*VLOOKUP(B156,AmmoTypeFactors,3,FALSE),0.5)</f>
        <v>0</v>
      </c>
      <c r="K156" s="25" t="str">
        <f>IF(VLOOKUP(B156,AmmoTypeFactors,12,FALSE),MROUND(J156/3,0.5),"None")</f>
        <v>None</v>
      </c>
      <c r="L156" s="25">
        <f>IF(VLOOKUP(B156,AmmoTypeFactors,8,FALSE),"None",ROUNDUP(IF(Calcs!I156&gt;0,Calcs!I156,Calcs!H156),3))</f>
        <v>696.1</v>
      </c>
      <c r="M156" s="25">
        <f>IF(VLOOKUP(B156,AmmoTypeFactors,8,FALSE),"None",'Ammo Input'!L156)</f>
        <v>56</v>
      </c>
      <c r="N156">
        <f>'Ammo Input'!O156</f>
        <v>200</v>
      </c>
      <c r="O156" t="e">
        <f>ROUND((P156*0.0036+SUMPRODUCT(Q156:AB156,VLOOKUP($Q$1:$AB$1,IngredientStats,2,FALSE)))/N156*IF('Ammo Input'!R156,0.5,1),2)</f>
        <v>#VALUE!</v>
      </c>
      <c r="P156" t="e">
        <f>(SUMPRODUCT(Q156:AB156,VLOOKUP($Q$1:$AB$1,IngredientStats,4,FALSE))*VLOOKUP(B156,AmmoTypeFactors,14,FALSE)*IF('Ammo Input'!R156,1.1,1))</f>
        <v>#VALUE!</v>
      </c>
      <c r="Q156">
        <f>IFERROR(__xludf.DUMMYFUNCTION("((IF(NOT(OR(REGEXMATCH(B156, ""Arrow""), B156 = ""Javelin"", B156 = ""Stick bomb"")), ROUNDUP(('Ammo Input'!E156 / 1000) * N156)) + IF(VLOOKUP(B156, AmmoTypeFactors, 9, FALSE) = ""Steel"", ROUNDUP(('Ammo Input'!H156 -'Ammo Input'!M156) * MAX(IF('Ammo Inpu"&amp;"t'!J156 &gt; 0, 'Ammo Input'!J156, 1), 1) * N156 / 1000))) / 'Ingredient stats'!$C$2) * IF(ISBLANK(VLOOKUP(B156,AmmoTypeFactors,15,False)),1,VLOOKUP(B156,AmmoTypeFactors,15,False))"),48)</f>
        <v>48</v>
      </c>
      <c r="R156">
        <f>IFERROR(__xludf.DUMMYFUNCTION("ROUNDUP((IF(REGEXMATCH(B156, ""Arrow"") + (B156 = ""Javelin""), 'Ammo Input'!E156) + IF(VLOOKUP(B156, AmmoTypeFactors, 9, FALSE) = ""Wood"", 'Ammo Input'!H156) + IF(B156 = ""Stick bomb"", 'Ammo Input'!E156)) * N156 / 'Ingredient stats'!$C$12 / 1000)"),0)</f>
        <v>0</v>
      </c>
      <c r="S156">
        <v>11</v>
      </c>
      <c r="T156">
        <v>11</v>
      </c>
      <c r="U156">
        <f>IF(VLOOKUP(B156,AmmoTypeFactors,9,FALSE)="Plasteel",ROUNDUP(('Ammo Input'!H156*MAX(IF('Ammo Input'!J156&gt;0,'Ammo Input'!J156,1)*N156/1000/'Ingredient stats'!$C$4)),0),0)</f>
        <v>0</v>
      </c>
      <c r="V156">
        <f>IFERROR(__xludf.DUMMYFUNCTION("ROUNDUP(IF(ISBLANK(VLOOKUP(B156,AmmoTypeFactors,16,False)),1,VLOOKUP(B156,AmmoTypeFactors,16,False)) * (IFS(REGEXMATCH(B156, ""EMP""), 'Ammo Input'!M156 * N156 / 'Ingredient stats'!$C$5, REGEXMATCH(B156, ""Charge""), (U156^0.75), true, 0) + (IF(VLOOKUP(B1"&amp;"56, AmmoTypeFactors, 10, false), 2,0) + IF('Ammo Input'!P156, 2,0) + IF('Ammo Input'!Q156,MIN(ROUNDUP(0.2*('Ammo Input'!H156/1000)*'Ammo Input'!O156,0),20),0))))"),0)</f>
        <v>0</v>
      </c>
      <c r="W156">
        <v>0</v>
      </c>
      <c r="X156">
        <v>0</v>
      </c>
      <c r="Y156">
        <v>0</v>
      </c>
      <c r="Z156">
        <v>0</v>
      </c>
      <c r="AA156">
        <v>0</v>
      </c>
      <c r="AB156" s="30">
        <f>IF(B156="Sling Bullet (Stone)",ROUNDUP(D156*0.02*E156/'Ingredient stats'!$C$8,0),0)</f>
        <v>0</v>
      </c>
      <c r="AC156" t="str">
        <f t="shared" si="8"/>
        <v>None</v>
      </c>
      <c r="AD156" t="str">
        <f>IF(OR(B156="Buck",B156="Bird",B156="Charge (Scatter)"),'Ammo Input'!J156,"None")</f>
        <v>None</v>
      </c>
      <c r="AE156" t="str">
        <f>_xlfn.IFS(ISTEXT(Calcs!N156),Calcs!N156,Calcs!N156&lt;=40,Calcs!N156,Calcs!N156&gt;41,"40")</f>
        <v>None</v>
      </c>
      <c r="AF156" t="str">
        <f>_xlfn.IFS(ISTEXT(Calcs!O156),Calcs!O156,Calcs!O156&lt;=80,Calcs!O156,Calcs!O156&gt;=81,"80")</f>
        <v>None</v>
      </c>
      <c r="AG156" s="25">
        <f t="shared" si="9"/>
        <v>1</v>
      </c>
      <c r="AH156" s="25">
        <f t="shared" si="10"/>
        <v>3.17</v>
      </c>
      <c r="AI156" s="25">
        <f t="shared" si="11"/>
        <v>1</v>
      </c>
    </row>
    <row r="157" ht="14.4" spans="1:35">
      <c r="A157" s="24" t="str">
        <f>'Ammo Input'!A157</f>
        <v>20x102mm NATO</v>
      </c>
      <c r="B157" t="str">
        <f>'Ammo Input'!B157</f>
        <v>AP</v>
      </c>
      <c r="C157">
        <f>ROUNDUP(('Ammo Input'!C157*(MAX('Ammo Input'!D157,'Ammo Input'!F157)*0.5)^2*PI())*3/1000000,2)</f>
        <v>0.34</v>
      </c>
      <c r="D157">
        <f>ROUNDUP(('Ammo Input'!E157+'Ammo Input'!H157*IF('Ammo Input'!J157&lt;&gt;"",MAX('Ammo Input'!J157,1),1))/1000,3)</f>
        <v>0.254</v>
      </c>
      <c r="E157">
        <f>MIN(5000,MAX(25,CEILING(Calcs!L157,_xlfn.IFS(Calcs!L157&lt;100,25,Calcs!L157&lt;250,50,Calcs!L157&lt;1000,250,Calcs!L157&gt;=1000,1000))))</f>
        <v>1000</v>
      </c>
      <c r="F157">
        <f>ROUNDUP('Ammo Input'!G157^(3/4),0)</f>
        <v>182</v>
      </c>
      <c r="G157">
        <f>ROUND((0.5*((IF(OR(B157="HEAT",B157="HEDP"),'Ammo Input'!N157,'Ammo Input'!H157)/1000)*(IF(B157="HEAT",9000,IF(B157="HEDP",1500,'Ammo Input'!G157))^2))),0)</f>
        <v>51454</v>
      </c>
      <c r="H157" s="25" t="str">
        <f>CONCATENATE(IF((B157="Foam")+(B157="Smoke"),"-",ROUND(Calcs!D157,0))," ",VLOOKUP(B157,AmmoTypeFactors,5,FALSE))</f>
        <v>44 Bullet</v>
      </c>
      <c r="I157" s="25" t="str">
        <f>IF(Calcs!E157=0,"None",CONCATENATE(ROUND(Calcs!E157,0)," ",VLOOKUP(B157,AmmoTypeFactors,6,FALSE)))</f>
        <v>None</v>
      </c>
      <c r="J157">
        <f>MROUND(2.42*'Ammo Input'!M157^(1/3)*VLOOKUP(B157,AmmoTypeFactors,3,FALSE),0.5)</f>
        <v>0</v>
      </c>
      <c r="K157" s="25" t="str">
        <f>IF(VLOOKUP(B157,AmmoTypeFactors,12,FALSE),MROUND(J157/3,0.5),"None")</f>
        <v>None</v>
      </c>
      <c r="L157" s="25">
        <f>IF(VLOOKUP(B157,AmmoTypeFactors,8,FALSE),"None",ROUNDUP(IF(Calcs!I157&gt;0,Calcs!I157,Calcs!H157),3))</f>
        <v>1029.08</v>
      </c>
      <c r="M157" s="25">
        <f>IF(VLOOKUP(B157,AmmoTypeFactors,8,FALSE),"None",'Ammo Input'!L157)</f>
        <v>26</v>
      </c>
      <c r="N157">
        <f>'Ammo Input'!O157</f>
        <v>200</v>
      </c>
      <c r="O157" t="e">
        <f>ROUND((P157*0.0036+SUMPRODUCT(Q157:AB157,VLOOKUP($Q$1:$AB$1,IngredientStats,2,FALSE)))/N157*IF('Ammo Input'!R157,0.5,1),2)</f>
        <v>#VALUE!</v>
      </c>
      <c r="P157" t="e">
        <f>(SUMPRODUCT(Q157:AB157,VLOOKUP($Q$1:$AB$1,IngredientStats,4,FALSE))*VLOOKUP(B157,AmmoTypeFactors,14,FALSE)*IF('Ammo Input'!R157,1.1,1))</f>
        <v>#VALUE!</v>
      </c>
      <c r="Q157">
        <f>IFERROR(__xludf.DUMMYFUNCTION("((IF(NOT(OR(REGEXMATCH(B157, ""Arrow""), B157 = ""Javelin"", B157 = ""Stick bomb"")), ROUNDUP(('Ammo Input'!E157 / 1000) * N157)) + IF(VLOOKUP(B157, AmmoTypeFactors, 9, FALSE) = ""Steel"", ROUNDUP(('Ammo Input'!H157 -'Ammo Input'!M157) * MAX(IF('Ammo Inpu"&amp;"t'!J157 &gt; 0, 'Ammo Input'!J157, 1), 1) * N157 / 1000))) / 'Ingredient stats'!$C$2) * IF(ISBLANK(VLOOKUP(B157,AmmoTypeFactors,15,False)),1,VLOOKUP(B157,AmmoTypeFactors,15,False))"),104)</f>
        <v>104</v>
      </c>
      <c r="R157">
        <f>IFERROR(__xludf.DUMMYFUNCTION("ROUNDUP((IF(REGEXMATCH(B157, ""Arrow"") + (B157 = ""Javelin""), 'Ammo Input'!E157) + IF(VLOOKUP(B157, AmmoTypeFactors, 9, FALSE) = ""Wood"", 'Ammo Input'!H157) + IF(B157 = ""Stick bomb"", 'Ammo Input'!E157)) * N157 / 'Ingredient stats'!$C$12 / 1000)"),0)</f>
        <v>0</v>
      </c>
      <c r="S157">
        <v>0</v>
      </c>
      <c r="T157">
        <v>0</v>
      </c>
      <c r="U157">
        <f>IF(VLOOKUP(B157,AmmoTypeFactors,9,FALSE)="Plasteel",ROUNDUP(('Ammo Input'!H157*MAX(IF('Ammo Input'!J157&gt;0,'Ammo Input'!J157,1)*N157/1000/'Ingredient stats'!$C$4)),0),0)</f>
        <v>0</v>
      </c>
      <c r="V157">
        <f>IFERROR(__xludf.DUMMYFUNCTION("ROUNDUP(IF(ISBLANK(VLOOKUP(B157,AmmoTypeFactors,16,False)),1,VLOOKUP(B157,AmmoTypeFactors,16,False)) * (IFS(REGEXMATCH(B157, ""EMP""), 'Ammo Input'!M157 * N157 / 'Ingredient stats'!$C$5, REGEXMATCH(B157, ""Charge""), (U157^0.75), true, 0) + (IF(VLOOKUP(B1"&amp;"57, AmmoTypeFactors, 10, false), 2,0) + IF('Ammo Input'!P157, 2,0) + IF('Ammo Input'!Q157,MIN(ROUNDUP(0.2*('Ammo Input'!H157/1000)*'Ammo Input'!O157,0),20),0))))"),0)</f>
        <v>0</v>
      </c>
      <c r="W157">
        <v>0</v>
      </c>
      <c r="X157">
        <v>0</v>
      </c>
      <c r="Y157">
        <v>0</v>
      </c>
      <c r="Z157">
        <v>0</v>
      </c>
      <c r="AA157">
        <v>0</v>
      </c>
      <c r="AB157" s="30">
        <f>IF(B157="Sling Bullet (Stone)",ROUNDUP(D157*0.02*E157/'Ingredient stats'!$C$8,0),0)</f>
        <v>0</v>
      </c>
      <c r="AC157" t="str">
        <f t="shared" si="8"/>
        <v>None</v>
      </c>
      <c r="AD157" t="str">
        <f>IF(OR(B157="Buck",B157="Bird",B157="Charge (Scatter)"),'Ammo Input'!J157,"None")</f>
        <v>None</v>
      </c>
      <c r="AE157" t="str">
        <f>_xlfn.IFS(ISTEXT(Calcs!N157),Calcs!N157,Calcs!N157&lt;=40,Calcs!N157,Calcs!N157&gt;41,"40")</f>
        <v>None</v>
      </c>
      <c r="AF157" t="str">
        <f>_xlfn.IFS(ISTEXT(Calcs!O157),Calcs!O157,Calcs!O157&lt;=80,Calcs!O157,Calcs!O157&gt;=81,"80")</f>
        <v>None</v>
      </c>
      <c r="AG157" s="25">
        <f t="shared" si="9"/>
        <v>1</v>
      </c>
      <c r="AH157" s="25">
        <f t="shared" si="10"/>
        <v>2.99</v>
      </c>
      <c r="AI157" s="25">
        <f t="shared" si="11"/>
        <v>1</v>
      </c>
    </row>
    <row r="158" ht="14.4" spans="1:35">
      <c r="A158" s="24" t="str">
        <f>'Ammo Input'!A158</f>
        <v>20x102mm NATO</v>
      </c>
      <c r="B158" t="str">
        <f>'Ammo Input'!B158</f>
        <v>AP-I</v>
      </c>
      <c r="C158">
        <f>ROUNDUP(('Ammo Input'!C158*(MAX('Ammo Input'!D158,'Ammo Input'!F158)*0.5)^2*PI())*3/1000000,2)</f>
        <v>0.34</v>
      </c>
      <c r="D158">
        <f>ROUNDUP(('Ammo Input'!E158+'Ammo Input'!H158*IF('Ammo Input'!J158&lt;&gt;"",MAX('Ammo Input'!J158,1),1))/1000,3)</f>
        <v>0.254</v>
      </c>
      <c r="E158">
        <f>MIN(5000,MAX(25,CEILING(Calcs!L158,_xlfn.IFS(Calcs!L158&lt;100,25,Calcs!L158&lt;250,50,Calcs!L158&lt;1000,250,Calcs!L158&gt;=1000,1000))))</f>
        <v>1000</v>
      </c>
      <c r="F158">
        <f>ROUNDUP('Ammo Input'!G158^(3/4),0)</f>
        <v>182</v>
      </c>
      <c r="G158">
        <f>ROUND((0.5*((IF(OR(B158="HEAT",B158="HEDP"),'Ammo Input'!N158,'Ammo Input'!H158)/1000)*(IF(B158="HEAT",9000,IF(B158="HEDP",1500,'Ammo Input'!G158))^2))),0)</f>
        <v>51454</v>
      </c>
      <c r="H158" s="25" t="str">
        <f>CONCATENATE(IF((B158="Foam")+(B158="Smoke"),"-",ROUND(Calcs!D158,0))," ",VLOOKUP(B158,AmmoTypeFactors,5,FALSE))</f>
        <v>44 Bullet</v>
      </c>
      <c r="I158" s="25" t="str">
        <f>IF(Calcs!E158=0,"None",CONCATENATE(ROUND(Calcs!E158,0)," ",VLOOKUP(B158,AmmoTypeFactors,6,FALSE)))</f>
        <v>22 Flame_Secondary</v>
      </c>
      <c r="J158">
        <f>MROUND(2.42*'Ammo Input'!M158^(1/3)*VLOOKUP(B158,AmmoTypeFactors,3,FALSE),0.5)</f>
        <v>0</v>
      </c>
      <c r="K158" s="25" t="str">
        <f>IF(VLOOKUP(B158,AmmoTypeFactors,12,FALSE),MROUND(J158/3,0.5),"None")</f>
        <v>None</v>
      </c>
      <c r="L158" s="25">
        <f>IF(VLOOKUP(B158,AmmoTypeFactors,8,FALSE),"None",ROUNDUP(IF(Calcs!I158&gt;0,Calcs!I158,Calcs!H158),3))</f>
        <v>1029.08</v>
      </c>
      <c r="M158" s="25">
        <f>IF(VLOOKUP(B158,AmmoTypeFactors,8,FALSE),"None",'Ammo Input'!L158)</f>
        <v>26</v>
      </c>
      <c r="N158">
        <f>'Ammo Input'!O158</f>
        <v>200</v>
      </c>
      <c r="O158" t="e">
        <f>ROUND((P158*0.0036+SUMPRODUCT(Q158:AB158,VLOOKUP($Q$1:$AB$1,IngredientStats,2,FALSE)))/N158*IF('Ammo Input'!R158,0.5,1),2)</f>
        <v>#VALUE!</v>
      </c>
      <c r="P158" t="e">
        <f>(SUMPRODUCT(Q158:AB158,VLOOKUP($Q$1:$AB$1,IngredientStats,4,FALSE))*VLOOKUP(B158,AmmoTypeFactors,14,FALSE)*IF('Ammo Input'!R158,1.1,1))</f>
        <v>#VALUE!</v>
      </c>
      <c r="Q158">
        <f>IFERROR(__xludf.DUMMYFUNCTION("((IF(NOT(OR(REGEXMATCH(B158, ""Arrow""), B158 = ""Javelin"", B158 = ""Stick bomb"")), ROUNDUP(('Ammo Input'!E158 / 1000) * N158)) + IF(VLOOKUP(B158, AmmoTypeFactors, 9, FALSE) = ""Steel"", ROUNDUP(('Ammo Input'!H158 -'Ammo Input'!M158) * MAX(IF('Ammo Inpu"&amp;"t'!J158 &gt; 0, 'Ammo Input'!J158, 1), 1) * N158 / 1000))) / 'Ingredient stats'!$C$2) * IF(ISBLANK(VLOOKUP(B158,AmmoTypeFactors,15,False)),1,VLOOKUP(B158,AmmoTypeFactors,15,False))"),104)</f>
        <v>104</v>
      </c>
      <c r="R158">
        <f>IFERROR(__xludf.DUMMYFUNCTION("ROUNDUP((IF(REGEXMATCH(B158, ""Arrow"") + (B158 = ""Javelin""), 'Ammo Input'!E158) + IF(VLOOKUP(B158, AmmoTypeFactors, 9, FALSE) = ""Wood"", 'Ammo Input'!H158) + IF(B158 = ""Stick bomb"", 'Ammo Input'!E158)) * N158 / 'Ingredient stats'!$C$12 / 1000)"),0)</f>
        <v>0</v>
      </c>
      <c r="S158">
        <v>0</v>
      </c>
      <c r="T158">
        <v>0</v>
      </c>
      <c r="U158">
        <f>IF(VLOOKUP(B158,AmmoTypeFactors,9,FALSE)="Plasteel",ROUNDUP(('Ammo Input'!H158*MAX(IF('Ammo Input'!J158&gt;0,'Ammo Input'!J158,1)*N158/1000/'Ingredient stats'!$C$4)),0),0)</f>
        <v>0</v>
      </c>
      <c r="V158">
        <f>IFERROR(__xludf.DUMMYFUNCTION("ROUNDUP(IF(ISBLANK(VLOOKUP(B158,AmmoTypeFactors,16,False)),1,VLOOKUP(B158,AmmoTypeFactors,16,False)) * (IFS(REGEXMATCH(B158, ""EMP""), 'Ammo Input'!M158 * N158 / 'Ingredient stats'!$C$5, REGEXMATCH(B158, ""Charge""), (U158^0.75), true, 0) + (IF(VLOOKUP(B1"&amp;"58, AmmoTypeFactors, 10, false), 2,0) + IF('Ammo Input'!P158, 2,0) + IF('Ammo Input'!Q158,MIN(ROUNDUP(0.2*('Ammo Input'!H158/1000)*'Ammo Input'!O158,0),20),0))))"),0)</f>
        <v>0</v>
      </c>
      <c r="W158">
        <v>10</v>
      </c>
      <c r="X158">
        <v>0</v>
      </c>
      <c r="Y158">
        <v>0</v>
      </c>
      <c r="Z158">
        <v>0</v>
      </c>
      <c r="AA158">
        <v>0</v>
      </c>
      <c r="AB158" s="30">
        <f>IF(B158="Sling Bullet (Stone)",ROUNDUP(D158*0.02*E158/'Ingredient stats'!$C$8,0),0)</f>
        <v>0</v>
      </c>
      <c r="AC158" t="str">
        <f t="shared" si="8"/>
        <v>None</v>
      </c>
      <c r="AD158" t="str">
        <f>IF(OR(B158="Buck",B158="Bird",B158="Charge (Scatter)"),'Ammo Input'!J158,"None")</f>
        <v>None</v>
      </c>
      <c r="AE158" t="str">
        <f>_xlfn.IFS(ISTEXT(Calcs!N158),Calcs!N158,Calcs!N158&lt;=40,Calcs!N158,Calcs!N158&gt;41,"40")</f>
        <v>None</v>
      </c>
      <c r="AF158" t="str">
        <f>_xlfn.IFS(ISTEXT(Calcs!O158),Calcs!O158,Calcs!O158&lt;=80,Calcs!O158,Calcs!O158&gt;=81,"80")</f>
        <v>None</v>
      </c>
      <c r="AG158" s="25">
        <f t="shared" si="9"/>
        <v>1</v>
      </c>
      <c r="AH158" s="25">
        <f t="shared" si="10"/>
        <v>2.99</v>
      </c>
      <c r="AI158" s="25">
        <f t="shared" si="11"/>
        <v>1</v>
      </c>
    </row>
    <row r="159" ht="14.4" spans="1:35">
      <c r="A159" s="24" t="str">
        <f>'Ammo Input'!A159</f>
        <v>20x102mm NATO</v>
      </c>
      <c r="B159" t="str">
        <f>'Ammo Input'!B159</f>
        <v>AP-HE</v>
      </c>
      <c r="C159">
        <f>ROUNDUP(('Ammo Input'!C159*(MAX('Ammo Input'!D159,'Ammo Input'!F159)*0.5)^2*PI())*3/1000000,2)</f>
        <v>0.34</v>
      </c>
      <c r="D159">
        <f>ROUNDUP(('Ammo Input'!E159+'Ammo Input'!H159*IF('Ammo Input'!J159&lt;&gt;"",MAX('Ammo Input'!J159,1),1))/1000,3)</f>
        <v>0.254</v>
      </c>
      <c r="E159">
        <f>MIN(5000,MAX(25,CEILING(Calcs!L159,_xlfn.IFS(Calcs!L159&lt;100,25,Calcs!L159&lt;250,50,Calcs!L159&lt;1000,250,Calcs!L159&gt;=1000,1000))))</f>
        <v>1000</v>
      </c>
      <c r="F159">
        <f>ROUNDUP('Ammo Input'!G159^(3/4),0)</f>
        <v>182</v>
      </c>
      <c r="G159">
        <f>ROUND((0.5*((IF(OR(B159="HEAT",B159="HEDP"),'Ammo Input'!N159,'Ammo Input'!H159)/1000)*(IF(B159="HEAT",9000,IF(B159="HEDP",1500,'Ammo Input'!G159))^2))),0)</f>
        <v>51454</v>
      </c>
      <c r="H159" s="25" t="str">
        <f>CONCATENATE(IF((B159="Foam")+(B159="Smoke"),"-",ROUND(Calcs!D159,0))," ",VLOOKUP(B159,AmmoTypeFactors,5,FALSE))</f>
        <v>70 Bullet</v>
      </c>
      <c r="I159" s="25" t="str">
        <f>IF(Calcs!E159=0,"None",CONCATENATE(ROUND(Calcs!E159,0)," ",VLOOKUP(B159,AmmoTypeFactors,6,FALSE)))</f>
        <v>31 Bomb_Secondary</v>
      </c>
      <c r="J159">
        <f>MROUND(2.42*'Ammo Input'!M159^(1/3)*VLOOKUP(B159,AmmoTypeFactors,3,FALSE),0.5)</f>
        <v>0</v>
      </c>
      <c r="K159" s="25" t="str">
        <f>IF(VLOOKUP(B159,AmmoTypeFactors,12,FALSE),MROUND(J159/3,0.5),"None")</f>
        <v>None</v>
      </c>
      <c r="L159" s="25">
        <f>IF(VLOOKUP(B159,AmmoTypeFactors,8,FALSE),"None",ROUNDUP(IF(Calcs!I159&gt;0,Calcs!I159,Calcs!H159),3))</f>
        <v>1029.08</v>
      </c>
      <c r="M159" s="25">
        <f>IF(VLOOKUP(B159,AmmoTypeFactors,8,FALSE),"None",'Ammo Input'!L159)</f>
        <v>13</v>
      </c>
      <c r="N159">
        <f>'Ammo Input'!O159</f>
        <v>200</v>
      </c>
      <c r="O159" t="e">
        <f>ROUND((P159*0.0036+SUMPRODUCT(Q159:AB159,VLOOKUP($Q$1:$AB$1,IngredientStats,2,FALSE)))/N159*IF('Ammo Input'!R159,0.5,1),2)</f>
        <v>#VALUE!</v>
      </c>
      <c r="P159" t="e">
        <f>(SUMPRODUCT(Q159:AB159,VLOOKUP($Q$1:$AB$1,IngredientStats,4,FALSE))*VLOOKUP(B159,AmmoTypeFactors,14,FALSE)*IF('Ammo Input'!R159,1.1,1))</f>
        <v>#VALUE!</v>
      </c>
      <c r="Q159">
        <f>IFERROR(__xludf.DUMMYFUNCTION("((IF(NOT(OR(REGEXMATCH(B159, ""Arrow""), B159 = ""Javelin"", B159 = ""Stick bomb"")), ROUNDUP(('Ammo Input'!E159 / 1000) * N159)) + IF(VLOOKUP(B159, AmmoTypeFactors, 9, FALSE) = ""Steel"", ROUNDUP(('Ammo Input'!H159 -'Ammo Input'!M159) * MAX(IF('Ammo Inpu"&amp;"t'!J159 &gt; 0, 'Ammo Input'!J159, 1), 1) * N159 / 1000))) / 'Ingredient stats'!$C$2) * IF(ISBLANK(VLOOKUP(B159,AmmoTypeFactors,15,False)),1,VLOOKUP(B159,AmmoTypeFactors,15,False))"),104)</f>
        <v>104</v>
      </c>
      <c r="R159">
        <f>IFERROR(__xludf.DUMMYFUNCTION("ROUNDUP((IF(REGEXMATCH(B159, ""Arrow"") + (B159 = ""Javelin""), 'Ammo Input'!E159) + IF(VLOOKUP(B159, AmmoTypeFactors, 9, FALSE) = ""Wood"", 'Ammo Input'!H159) + IF(B159 = ""Stick bomb"", 'Ammo Input'!E159)) * N159 / 'Ingredient stats'!$C$12 / 1000)"),0)</f>
        <v>0</v>
      </c>
      <c r="S159">
        <v>0</v>
      </c>
      <c r="T159">
        <v>0</v>
      </c>
      <c r="U159">
        <f>IF(VLOOKUP(B159,AmmoTypeFactors,9,FALSE)="Plasteel",ROUNDUP(('Ammo Input'!H159*MAX(IF('Ammo Input'!J159&gt;0,'Ammo Input'!J159,1)*N159/1000/'Ingredient stats'!$C$4)),0),0)</f>
        <v>0</v>
      </c>
      <c r="V159">
        <f>IFERROR(__xludf.DUMMYFUNCTION("ROUNDUP(IF(ISBLANK(VLOOKUP(B159,AmmoTypeFactors,16,False)),1,VLOOKUP(B159,AmmoTypeFactors,16,False)) * (IFS(REGEXMATCH(B159, ""EMP""), 'Ammo Input'!M159 * N159 / 'Ingredient stats'!$C$5, REGEXMATCH(B159, ""Charge""), (U159^0.75), true, 0) + (IF(VLOOKUP(B1"&amp;"59, AmmoTypeFactors, 10, false), 2,0) + IF('Ammo Input'!P159, 2,0) + IF('Ammo Input'!Q159,MIN(ROUNDUP(0.2*('Ammo Input'!H159/1000)*'Ammo Input'!O159,0),20),0))))"),0)</f>
        <v>0</v>
      </c>
      <c r="W159">
        <v>0</v>
      </c>
      <c r="X159">
        <v>19</v>
      </c>
      <c r="Y159">
        <v>0</v>
      </c>
      <c r="Z159">
        <v>0</v>
      </c>
      <c r="AA159">
        <v>0</v>
      </c>
      <c r="AB159" s="30">
        <f>IF(B159="Sling Bullet (Stone)",ROUNDUP(D159*0.02*E159/'Ingredient stats'!$C$8,0),0)</f>
        <v>0</v>
      </c>
      <c r="AC159" t="str">
        <f t="shared" si="8"/>
        <v>None</v>
      </c>
      <c r="AD159" t="str">
        <f>IF(OR(B159="Buck",B159="Bird",B159="Charge (Scatter)"),'Ammo Input'!J159,"None")</f>
        <v>None</v>
      </c>
      <c r="AE159" t="str">
        <f>_xlfn.IFS(ISTEXT(Calcs!N159),Calcs!N159,Calcs!N159&lt;=40,Calcs!N159,Calcs!N159&gt;41,"40")</f>
        <v>None</v>
      </c>
      <c r="AF159" t="str">
        <f>_xlfn.IFS(ISTEXT(Calcs!O159),Calcs!O159,Calcs!O159&lt;=80,Calcs!O159,Calcs!O159&gt;=81,"80")</f>
        <v>None</v>
      </c>
      <c r="AG159" s="25">
        <f t="shared" si="9"/>
        <v>1</v>
      </c>
      <c r="AH159" s="25">
        <f t="shared" si="10"/>
        <v>2.99</v>
      </c>
      <c r="AI159" s="25">
        <f t="shared" si="11"/>
        <v>1</v>
      </c>
    </row>
    <row r="160" ht="14.4" spans="1:35">
      <c r="A160" s="24" t="str">
        <f>'Ammo Input'!A160</f>
        <v>20x102mm NATO</v>
      </c>
      <c r="B160" t="str">
        <f>'Ammo Input'!B160</f>
        <v>Sabot</v>
      </c>
      <c r="C160">
        <f>ROUNDUP(('Ammo Input'!C160*(MAX('Ammo Input'!D160,'Ammo Input'!F160)*0.5)^2*PI())*3/1000000,2)</f>
        <v>0.34</v>
      </c>
      <c r="D160">
        <f>ROUNDUP(('Ammo Input'!E160+'Ammo Input'!H160*IF('Ammo Input'!J160&lt;&gt;"",MAX('Ammo Input'!J160,1),1))/1000,3)</f>
        <v>0.213</v>
      </c>
      <c r="E160">
        <f>MIN(5000,MAX(25,CEILING(Calcs!L160,_xlfn.IFS(Calcs!L160&lt;100,25,Calcs!L160&lt;250,50,Calcs!L160&lt;1000,250,Calcs!L160&gt;=1000,1000))))</f>
        <v>1000</v>
      </c>
      <c r="F160">
        <f>ROUNDUP('Ammo Input'!G160^(3/4),0)</f>
        <v>247</v>
      </c>
      <c r="G160">
        <f>ROUND((0.5*((IF(OR(B160="HEAT",B160="HEDP"),'Ammo Input'!N160,'Ammo Input'!H160)/1000)*(IF(B160="HEAT",9000,IF(B160="HEDP",1500,'Ammo Input'!G160))^2))),0)</f>
        <v>66001</v>
      </c>
      <c r="H160" s="25" t="str">
        <f>CONCATENATE(IF((B160="Foam")+(B160="Smoke"),"-",ROUND(Calcs!D160,0))," ",VLOOKUP(B160,AmmoTypeFactors,5,FALSE))</f>
        <v>37 Bullet</v>
      </c>
      <c r="I160" s="25" t="str">
        <f>IF(Calcs!E160=0,"None",CONCATENATE(ROUND(Calcs!E160,0)," ",VLOOKUP(B160,AmmoTypeFactors,6,FALSE)))</f>
        <v>None</v>
      </c>
      <c r="J160">
        <f>MROUND(2.42*'Ammo Input'!M160^(1/3)*VLOOKUP(B160,AmmoTypeFactors,3,FALSE),0.5)</f>
        <v>0</v>
      </c>
      <c r="K160" s="25" t="str">
        <f>IF(VLOOKUP(B160,AmmoTypeFactors,12,FALSE),MROUND(J160/3,0.5),"None")</f>
        <v>None</v>
      </c>
      <c r="L160" s="25">
        <f>IF(VLOOKUP(B160,AmmoTypeFactors,8,FALSE),"None",ROUNDUP(IF(Calcs!I160&gt;0,Calcs!I160,Calcs!H160),3))</f>
        <v>1320.02</v>
      </c>
      <c r="M160" s="34">
        <f>IF(VLOOKUP(B160,AmmoTypeFactors,8,FALSE),"None",'Ammo Input'!L160)</f>
        <v>45.5</v>
      </c>
      <c r="N160">
        <f>'Ammo Input'!O160</f>
        <v>200</v>
      </c>
      <c r="O160" t="e">
        <f>ROUND((P160*0.0036+SUMPRODUCT(Q160:AB160,VLOOKUP($Q$1:$AB$1,IngredientStats,2,FALSE)))/N160*IF('Ammo Input'!R160,0.5,1),2)</f>
        <v>#VALUE!</v>
      </c>
      <c r="P160" t="e">
        <f>(SUMPRODUCT(Q160:AB160,VLOOKUP($Q$1:$AB$1,IngredientStats,4,FALSE))*VLOOKUP(B160,AmmoTypeFactors,14,FALSE)*IF('Ammo Input'!R160,1.1,1))</f>
        <v>#VALUE!</v>
      </c>
      <c r="Q160">
        <f>IFERROR(__xludf.DUMMYFUNCTION("((IF(NOT(OR(REGEXMATCH(B160, ""Arrow""), B160 = ""Javelin"", B160 = ""Stick bomb"")), ROUNDUP(('Ammo Input'!E160 / 1000) * N160)) + IF(VLOOKUP(B160, AmmoTypeFactors, 9, FALSE) = ""Steel"", ROUNDUP(('Ammo Input'!H160 -'Ammo Input'!M160) * MAX(IF('Ammo Inpu"&amp;"t'!J160 &gt; 0, 'Ammo Input'!J160, 1), 1) * N160 / 1000))) / 'Ingredient stats'!$C$2) * IF(ISBLANK(VLOOKUP(B160,AmmoTypeFactors,15,False)),1,VLOOKUP(B160,AmmoTypeFactors,15,False))"),64)</f>
        <v>64</v>
      </c>
      <c r="R160">
        <f>IFERROR(__xludf.DUMMYFUNCTION("ROUNDUP((IF(REGEXMATCH(B160, ""Arrow"") + (B160 = ""Javelin""), 'Ammo Input'!E160) + IF(VLOOKUP(B160, AmmoTypeFactors, 9, FALSE) = ""Wood"", 'Ammo Input'!H160) + IF(B160 = ""Stick bomb"", 'Ammo Input'!E160)) * N160 / 'Ingredient stats'!$C$12 / 1000)"),0)</f>
        <v>0</v>
      </c>
      <c r="S160">
        <v>12</v>
      </c>
      <c r="T160">
        <v>12</v>
      </c>
      <c r="U160">
        <f>IF(VLOOKUP(B160,AmmoTypeFactors,9,FALSE)="Plasteel",ROUNDUP(('Ammo Input'!H160*MAX(IF('Ammo Input'!J160&gt;0,'Ammo Input'!J160,1)*N160/1000/'Ingredient stats'!$C$4)),0),0)</f>
        <v>0</v>
      </c>
      <c r="V160">
        <f>IFERROR(__xludf.DUMMYFUNCTION("ROUNDUP(IF(ISBLANK(VLOOKUP(B160,AmmoTypeFactors,16,False)),1,VLOOKUP(B160,AmmoTypeFactors,16,False)) * (IFS(REGEXMATCH(B160, ""EMP""), 'Ammo Input'!M160 * N160 / 'Ingredient stats'!$C$5, REGEXMATCH(B160, ""Charge""), (U160^0.75), true, 0) + (IF(VLOOKUP(B1"&amp;"60, AmmoTypeFactors, 10, false), 2,0) + IF('Ammo Input'!P160, 2,0) + IF('Ammo Input'!Q160,MIN(ROUNDUP(0.2*('Ammo Input'!H160/1000)*'Ammo Input'!O160,0),20),0))))"),0)</f>
        <v>0</v>
      </c>
      <c r="W160">
        <v>0</v>
      </c>
      <c r="X160">
        <v>0</v>
      </c>
      <c r="Y160">
        <v>0</v>
      </c>
      <c r="Z160">
        <v>0</v>
      </c>
      <c r="AA160">
        <v>0</v>
      </c>
      <c r="AB160" s="30">
        <f>IF(B160="Sling Bullet (Stone)",ROUNDUP(D160*0.02*E160/'Ingredient stats'!$C$8,0),0)</f>
        <v>0</v>
      </c>
      <c r="AC160" t="str">
        <f t="shared" si="8"/>
        <v>None</v>
      </c>
      <c r="AD160" t="str">
        <f>IF(OR(B160="Buck",B160="Bird",B160="Charge (Scatter)"),'Ammo Input'!J160,"None")</f>
        <v>None</v>
      </c>
      <c r="AE160" t="str">
        <f>_xlfn.IFS(ISTEXT(Calcs!N160),Calcs!N160,Calcs!N160&lt;=40,Calcs!N160,Calcs!N160&gt;41,"40")</f>
        <v>None</v>
      </c>
      <c r="AF160" t="str">
        <f>_xlfn.IFS(ISTEXT(Calcs!O160),Calcs!O160,Calcs!O160&lt;=80,Calcs!O160,Calcs!O160&gt;=81,"80")</f>
        <v>None</v>
      </c>
      <c r="AG160" s="25">
        <f t="shared" si="9"/>
        <v>1</v>
      </c>
      <c r="AH160" s="25">
        <f t="shared" si="10"/>
        <v>4</v>
      </c>
      <c r="AI160" s="25">
        <f t="shared" si="11"/>
        <v>1</v>
      </c>
    </row>
    <row r="161" ht="14.4" spans="1:35">
      <c r="A161" s="24" t="str">
        <f>'Ammo Input'!A161</f>
        <v>20x110 Hispano</v>
      </c>
      <c r="B161" t="str">
        <f>'Ammo Input'!B161</f>
        <v>AP</v>
      </c>
      <c r="C161">
        <f>ROUNDUP(('Ammo Input'!C161*(MAX('Ammo Input'!D161,'Ammo Input'!F161)*0.5)^2*PI())*3/1000000,2)</f>
        <v>0.27</v>
      </c>
      <c r="D161">
        <f>ROUNDUP(('Ammo Input'!E161+'Ammo Input'!H161*IF('Ammo Input'!J161&lt;&gt;"",MAX('Ammo Input'!J161,1),1))/1000,3)</f>
        <v>0.257</v>
      </c>
      <c r="E161">
        <f>MIN(5000,MAX(25,CEILING(Calcs!L161,_xlfn.IFS(Calcs!L161&lt;100,25,Calcs!L161&lt;250,50,Calcs!L161&lt;1000,250,Calcs!L161&gt;=1000,1000))))</f>
        <v>2000</v>
      </c>
      <c r="F161">
        <f>ROUNDUP('Ammo Input'!G161^(3/4),0)</f>
        <v>157</v>
      </c>
      <c r="G161">
        <f>ROUND((0.5*((IF(OR(B161="HEAT",B161="HEDP"),'Ammo Input'!N161,'Ammo Input'!H161)/1000)*(IF(B161="HEAT",9000,IF(B161="HEDP",1500,'Ammo Input'!G161))^2))),0)</f>
        <v>43452</v>
      </c>
      <c r="H161" s="25" t="str">
        <f>CONCATENATE(IF((B161="Foam")+(B161="Smoke"),"-",ROUND(Calcs!D161,0))," ",VLOOKUP(B161,AmmoTypeFactors,5,FALSE))</f>
        <v>41 Bullet</v>
      </c>
      <c r="I161" s="25" t="str">
        <f>IF(Calcs!E161=0,"None",CONCATENATE(ROUND(Calcs!E161,0)," ",VLOOKUP(B161,AmmoTypeFactors,6,FALSE)))</f>
        <v>None</v>
      </c>
      <c r="J161">
        <f>MROUND(2.42*'Ammo Input'!M161^(1/3)*VLOOKUP(B161,AmmoTypeFactors,3,FALSE),0.5)</f>
        <v>0</v>
      </c>
      <c r="K161" s="25" t="str">
        <f>IF(VLOOKUP(B161,AmmoTypeFactors,12,FALSE),MROUND(J161/3,0.5),"None")</f>
        <v>None</v>
      </c>
      <c r="L161" s="25">
        <f>IF(VLOOKUP(B161,AmmoTypeFactors,8,FALSE),"None",ROUNDUP(IF(Calcs!I161&gt;0,Calcs!I161,Calcs!H161),3))</f>
        <v>869.04</v>
      </c>
      <c r="M161" s="25">
        <f>IF(VLOOKUP(B161,AmmoTypeFactors,8,FALSE),"None",'Ammo Input'!L161)</f>
        <v>28</v>
      </c>
      <c r="N161">
        <f>'Ammo Input'!O161</f>
        <v>200</v>
      </c>
      <c r="O161" t="e">
        <f>ROUND((P161*0.0036+SUMPRODUCT(Q161:AB161,VLOOKUP($Q$1:$AB$1,IngredientStats,2,FALSE)))/N161*IF('Ammo Input'!R161,0.5,1),2)</f>
        <v>#VALUE!</v>
      </c>
      <c r="P161" t="e">
        <f>(SUMPRODUCT(Q161:AB161,VLOOKUP($Q$1:$AB$1,IngredientStats,4,FALSE))*VLOOKUP(B161,AmmoTypeFactors,14,FALSE)*IF('Ammo Input'!R161,1.1,1))</f>
        <v>#VALUE!</v>
      </c>
      <c r="Q161">
        <f>IFERROR(__xludf.DUMMYFUNCTION("((IF(NOT(OR(REGEXMATCH(B161, ""Arrow""), B161 = ""Javelin"", B161 = ""Stick bomb"")), ROUNDUP(('Ammo Input'!E161 / 1000) * N161)) + IF(VLOOKUP(B161, AmmoTypeFactors, 9, FALSE) = ""Steel"", ROUNDUP(('Ammo Input'!H161 -'Ammo Input'!M161) * MAX(IF('Ammo Inpu"&amp;"t'!J161 &gt; 0, 'Ammo Input'!J161, 1), 1) * N161 / 1000))) / 'Ingredient stats'!$C$2) * IF(ISBLANK(VLOOKUP(B161,AmmoTypeFactors,15,False)),1,VLOOKUP(B161,AmmoTypeFactors,15,False))"),104)</f>
        <v>104</v>
      </c>
      <c r="R161">
        <f>IFERROR(__xludf.DUMMYFUNCTION("ROUNDUP((IF(REGEXMATCH(B161, ""Arrow"") + (B161 = ""Javelin""), 'Ammo Input'!E161) + IF(VLOOKUP(B161, AmmoTypeFactors, 9, FALSE) = ""Wood"", 'Ammo Input'!H161) + IF(B161 = ""Stick bomb"", 'Ammo Input'!E161)) * N161 / 'Ingredient stats'!$C$12 / 1000)"),0)</f>
        <v>0</v>
      </c>
      <c r="S161">
        <v>0</v>
      </c>
      <c r="T161">
        <v>0</v>
      </c>
      <c r="U161">
        <f>IF(VLOOKUP(B161,AmmoTypeFactors,9,FALSE)="Plasteel",ROUNDUP(('Ammo Input'!H161*MAX(IF('Ammo Input'!J161&gt;0,'Ammo Input'!J161,1)*N161/1000/'Ingredient stats'!$C$4)),0),0)</f>
        <v>0</v>
      </c>
      <c r="V161">
        <f>IFERROR(__xludf.DUMMYFUNCTION("ROUNDUP(IF(ISBLANK(VLOOKUP(B161,AmmoTypeFactors,16,False)),1,VLOOKUP(B161,AmmoTypeFactors,16,False)) * (IFS(REGEXMATCH(B161, ""EMP""), 'Ammo Input'!M161 * N161 / 'Ingredient stats'!$C$5, REGEXMATCH(B161, ""Charge""), (U161^0.75), true, 0) + (IF(VLOOKUP(B1"&amp;"61, AmmoTypeFactors, 10, false), 2,0) + IF('Ammo Input'!P161, 2,0) + IF('Ammo Input'!Q161,MIN(ROUNDUP(0.2*('Ammo Input'!H161/1000)*'Ammo Input'!O161,0),20),0))))"),0)</f>
        <v>0</v>
      </c>
      <c r="W161">
        <v>0</v>
      </c>
      <c r="X161">
        <v>0</v>
      </c>
      <c r="Y161">
        <v>0</v>
      </c>
      <c r="Z161">
        <v>0</v>
      </c>
      <c r="AA161">
        <v>0</v>
      </c>
      <c r="AB161" s="30">
        <f>IF(B161="Sling Bullet (Stone)",ROUNDUP(D161*0.02*E161/'Ingredient stats'!$C$8,0),0)</f>
        <v>0</v>
      </c>
      <c r="AC161" t="str">
        <f t="shared" si="8"/>
        <v>None</v>
      </c>
      <c r="AD161" t="str">
        <f>IF(OR(B161="Buck",B161="Bird",B161="Charge (Scatter)"),'Ammo Input'!J161,"None")</f>
        <v>None</v>
      </c>
      <c r="AE161" t="str">
        <f>_xlfn.IFS(ISTEXT(Calcs!N161),Calcs!N161,Calcs!N161&lt;=40,Calcs!N161,Calcs!N161&gt;41,"40")</f>
        <v>None</v>
      </c>
      <c r="AF161" t="str">
        <f>_xlfn.IFS(ISTEXT(Calcs!O161),Calcs!O161,Calcs!O161&lt;=80,Calcs!O161,Calcs!O161&gt;=81,"80")</f>
        <v>None</v>
      </c>
      <c r="AG161" s="25">
        <f t="shared" si="9"/>
        <v>1</v>
      </c>
      <c r="AH161" s="25">
        <f t="shared" si="10"/>
        <v>2.56</v>
      </c>
      <c r="AI161" s="25">
        <f t="shared" si="11"/>
        <v>1</v>
      </c>
    </row>
    <row r="162" ht="14.4" spans="1:35">
      <c r="A162" s="24" t="str">
        <f>'Ammo Input'!A162</f>
        <v>20x110 Hispano</v>
      </c>
      <c r="B162" t="str">
        <f>'Ammo Input'!B162</f>
        <v>AP-I</v>
      </c>
      <c r="C162">
        <f>ROUNDUP(('Ammo Input'!C162*(MAX('Ammo Input'!D162,'Ammo Input'!F162)*0.5)^2*PI())*3/1000000,2)</f>
        <v>0.27</v>
      </c>
      <c r="D162">
        <f>ROUNDUP(('Ammo Input'!E162+'Ammo Input'!H162*IF('Ammo Input'!J162&lt;&gt;"",MAX('Ammo Input'!J162,1),1))/1000,3)</f>
        <v>0.257</v>
      </c>
      <c r="E162">
        <f>MIN(5000,MAX(25,CEILING(Calcs!L162,_xlfn.IFS(Calcs!L162&lt;100,25,Calcs!L162&lt;250,50,Calcs!L162&lt;1000,250,Calcs!L162&gt;=1000,1000))))</f>
        <v>2000</v>
      </c>
      <c r="F162">
        <f>ROUNDUP('Ammo Input'!G162^(3/4),0)</f>
        <v>157</v>
      </c>
      <c r="G162">
        <f>ROUND((0.5*((IF(OR(B162="HEAT",B162="HEDP"),'Ammo Input'!N162,'Ammo Input'!H162)/1000)*(IF(B162="HEAT",9000,IF(B162="HEDP",1500,'Ammo Input'!G162))^2))),0)</f>
        <v>43452</v>
      </c>
      <c r="H162" s="25" t="str">
        <f>CONCATENATE(IF((B162="Foam")+(B162="Smoke"),"-",ROUND(Calcs!D162,0))," ",VLOOKUP(B162,AmmoTypeFactors,5,FALSE))</f>
        <v>41 Bullet</v>
      </c>
      <c r="I162" s="25" t="str">
        <f>IF(Calcs!E162=0,"None",CONCATENATE(ROUND(Calcs!E162,0)," ",VLOOKUP(B162,AmmoTypeFactors,6,FALSE)))</f>
        <v>26 Flame_Secondary</v>
      </c>
      <c r="J162">
        <f>MROUND(2.42*'Ammo Input'!M162^(1/3)*VLOOKUP(B162,AmmoTypeFactors,3,FALSE),0.5)</f>
        <v>0</v>
      </c>
      <c r="K162" s="25" t="str">
        <f>IF(VLOOKUP(B162,AmmoTypeFactors,12,FALSE),MROUND(J162/3,0.5),"None")</f>
        <v>None</v>
      </c>
      <c r="L162" s="25">
        <f>IF(VLOOKUP(B162,AmmoTypeFactors,8,FALSE),"None",ROUNDUP(IF(Calcs!I162&gt;0,Calcs!I162,Calcs!H162),3))</f>
        <v>869.04</v>
      </c>
      <c r="M162" s="25">
        <f>IF(VLOOKUP(B162,AmmoTypeFactors,8,FALSE),"None",'Ammo Input'!L162)</f>
        <v>28</v>
      </c>
      <c r="N162">
        <f>'Ammo Input'!O162</f>
        <v>200</v>
      </c>
      <c r="O162" t="e">
        <f>ROUND((P162*0.0036+SUMPRODUCT(Q162:AB162,VLOOKUP($Q$1:$AB$1,IngredientStats,2,FALSE)))/N162*IF('Ammo Input'!R162,0.5,1),2)</f>
        <v>#VALUE!</v>
      </c>
      <c r="P162" t="e">
        <f>(SUMPRODUCT(Q162:AB162,VLOOKUP($Q$1:$AB$1,IngredientStats,4,FALSE))*VLOOKUP(B162,AmmoTypeFactors,14,FALSE)*IF('Ammo Input'!R162,1.1,1))</f>
        <v>#VALUE!</v>
      </c>
      <c r="Q162">
        <f>IFERROR(__xludf.DUMMYFUNCTION("((IF(NOT(OR(REGEXMATCH(B162, ""Arrow""), B162 = ""Javelin"", B162 = ""Stick bomb"")), ROUNDUP(('Ammo Input'!E162 / 1000) * N162)) + IF(VLOOKUP(B162, AmmoTypeFactors, 9, FALSE) = ""Steel"", ROUNDUP(('Ammo Input'!H162 -'Ammo Input'!M162) * MAX(IF('Ammo Inpu"&amp;"t'!J162 &gt; 0, 'Ammo Input'!J162, 1), 1) * N162 / 1000))) / 'Ingredient stats'!$C$2) * IF(ISBLANK(VLOOKUP(B162,AmmoTypeFactors,15,False)),1,VLOOKUP(B162,AmmoTypeFactors,15,False))"),104)</f>
        <v>104</v>
      </c>
      <c r="R162">
        <f>IFERROR(__xludf.DUMMYFUNCTION("ROUNDUP((IF(REGEXMATCH(B162, ""Arrow"") + (B162 = ""Javelin""), 'Ammo Input'!E162) + IF(VLOOKUP(B162, AmmoTypeFactors, 9, FALSE) = ""Wood"", 'Ammo Input'!H162) + IF(B162 = ""Stick bomb"", 'Ammo Input'!E162)) * N162 / 'Ingredient stats'!$C$12 / 1000)"),0)</f>
        <v>0</v>
      </c>
      <c r="S162">
        <v>0</v>
      </c>
      <c r="T162">
        <v>0</v>
      </c>
      <c r="U162">
        <f>IF(VLOOKUP(B162,AmmoTypeFactors,9,FALSE)="Plasteel",ROUNDUP(('Ammo Input'!H162*MAX(IF('Ammo Input'!J162&gt;0,'Ammo Input'!J162,1)*N162/1000/'Ingredient stats'!$C$4)),0),0)</f>
        <v>0</v>
      </c>
      <c r="V162">
        <f>IFERROR(__xludf.DUMMYFUNCTION("ROUNDUP(IF(ISBLANK(VLOOKUP(B162,AmmoTypeFactors,16,False)),1,VLOOKUP(B162,AmmoTypeFactors,16,False)) * (IFS(REGEXMATCH(B162, ""EMP""), 'Ammo Input'!M162 * N162 / 'Ingredient stats'!$C$5, REGEXMATCH(B162, ""Charge""), (U162^0.75), true, 0) + (IF(VLOOKUP(B1"&amp;"62, AmmoTypeFactors, 10, false), 2,0) + IF('Ammo Input'!P162, 2,0) + IF('Ammo Input'!Q162,MIN(ROUNDUP(0.2*('Ammo Input'!H162/1000)*'Ammo Input'!O162,0),20),0))))"),0)</f>
        <v>0</v>
      </c>
      <c r="W162">
        <v>12</v>
      </c>
      <c r="X162">
        <v>0</v>
      </c>
      <c r="Y162">
        <v>0</v>
      </c>
      <c r="Z162">
        <v>0</v>
      </c>
      <c r="AA162">
        <v>0</v>
      </c>
      <c r="AB162" s="30">
        <f>IF(B162="Sling Bullet (Stone)",ROUNDUP(D162*0.02*E162/'Ingredient stats'!$C$8,0),0)</f>
        <v>0</v>
      </c>
      <c r="AC162" t="str">
        <f t="shared" si="8"/>
        <v>None</v>
      </c>
      <c r="AD162" t="str">
        <f>IF(OR(B162="Buck",B162="Bird",B162="Charge (Scatter)"),'Ammo Input'!J162,"None")</f>
        <v>None</v>
      </c>
      <c r="AE162" t="str">
        <f>_xlfn.IFS(ISTEXT(Calcs!N162),Calcs!N162,Calcs!N162&lt;=40,Calcs!N162,Calcs!N162&gt;41,"40")</f>
        <v>None</v>
      </c>
      <c r="AF162" t="str">
        <f>_xlfn.IFS(ISTEXT(Calcs!O162),Calcs!O162,Calcs!O162&lt;=80,Calcs!O162,Calcs!O162&gt;=81,"80")</f>
        <v>None</v>
      </c>
      <c r="AG162" s="25">
        <f t="shared" si="9"/>
        <v>1</v>
      </c>
      <c r="AH162" s="25">
        <f t="shared" si="10"/>
        <v>2.56</v>
      </c>
      <c r="AI162" s="25">
        <f t="shared" si="11"/>
        <v>1</v>
      </c>
    </row>
    <row r="163" ht="14.4" spans="1:35">
      <c r="A163" s="24" t="str">
        <f>'Ammo Input'!A163</f>
        <v>20x110 Hispano</v>
      </c>
      <c r="B163" t="str">
        <f>'Ammo Input'!B163</f>
        <v>AP-HE</v>
      </c>
      <c r="C163">
        <f>ROUNDUP(('Ammo Input'!C163*(MAX('Ammo Input'!D163,'Ammo Input'!F163)*0.5)^2*PI())*3/1000000,2)</f>
        <v>0.27</v>
      </c>
      <c r="D163">
        <f>ROUNDUP(('Ammo Input'!E163+'Ammo Input'!H163*IF('Ammo Input'!J163&lt;&gt;"",MAX('Ammo Input'!J163,1),1))/1000,3)</f>
        <v>0.257</v>
      </c>
      <c r="E163">
        <f>MIN(5000,MAX(25,CEILING(Calcs!L163,_xlfn.IFS(Calcs!L163&lt;100,25,Calcs!L163&lt;250,50,Calcs!L163&lt;1000,250,Calcs!L163&gt;=1000,1000))))</f>
        <v>2000</v>
      </c>
      <c r="F163">
        <f>ROUNDUP('Ammo Input'!G163^(3/4),0)</f>
        <v>157</v>
      </c>
      <c r="G163">
        <f>ROUND((0.5*((IF(OR(B163="HEAT",B163="HEDP"),'Ammo Input'!N163,'Ammo Input'!H163)/1000)*(IF(B163="HEAT",9000,IF(B163="HEDP",1500,'Ammo Input'!G163))^2))),0)</f>
        <v>43452</v>
      </c>
      <c r="H163" s="25" t="str">
        <f>CONCATENATE(IF((B163="Foam")+(B163="Smoke"),"-",ROUND(Calcs!D163,0))," ",VLOOKUP(B163,AmmoTypeFactors,5,FALSE))</f>
        <v>66 Bullet</v>
      </c>
      <c r="I163" s="25" t="str">
        <f>IF(Calcs!E163=0,"None",CONCATENATE(ROUND(Calcs!E163,0)," ",VLOOKUP(B163,AmmoTypeFactors,6,FALSE)))</f>
        <v>35 Bomb_Secondary</v>
      </c>
      <c r="J163">
        <f>MROUND(2.42*'Ammo Input'!M163^(1/3)*VLOOKUP(B163,AmmoTypeFactors,3,FALSE),0.5)</f>
        <v>0</v>
      </c>
      <c r="K163" s="25" t="str">
        <f>IF(VLOOKUP(B163,AmmoTypeFactors,12,FALSE),MROUND(J163/3,0.5),"None")</f>
        <v>None</v>
      </c>
      <c r="L163" s="25">
        <f>IF(VLOOKUP(B163,AmmoTypeFactors,8,FALSE),"None",ROUNDUP(IF(Calcs!I163&gt;0,Calcs!I163,Calcs!H163),3))</f>
        <v>869.04</v>
      </c>
      <c r="M163" s="25">
        <f>IF(VLOOKUP(B163,AmmoTypeFactors,8,FALSE),"None",'Ammo Input'!L163)</f>
        <v>14</v>
      </c>
      <c r="N163">
        <f>'Ammo Input'!O163</f>
        <v>200</v>
      </c>
      <c r="O163" t="e">
        <f>ROUND((P163*0.0036+SUMPRODUCT(Q163:AB163,VLOOKUP($Q$1:$AB$1,IngredientStats,2,FALSE)))/N163*IF('Ammo Input'!R163,0.5,1),2)</f>
        <v>#VALUE!</v>
      </c>
      <c r="P163" t="e">
        <f>(SUMPRODUCT(Q163:AB163,VLOOKUP($Q$1:$AB$1,IngredientStats,4,FALSE))*VLOOKUP(B163,AmmoTypeFactors,14,FALSE)*IF('Ammo Input'!R163,1.1,1))</f>
        <v>#VALUE!</v>
      </c>
      <c r="Q163">
        <f>IFERROR(__xludf.DUMMYFUNCTION("((IF(NOT(OR(REGEXMATCH(B163, ""Arrow""), B163 = ""Javelin"", B163 = ""Stick bomb"")), ROUNDUP(('Ammo Input'!E163 / 1000) * N163)) + IF(VLOOKUP(B163, AmmoTypeFactors, 9, FALSE) = ""Steel"", ROUNDUP(('Ammo Input'!H163 -'Ammo Input'!M163) * MAX(IF('Ammo Inpu"&amp;"t'!J163 &gt; 0, 'Ammo Input'!J163, 1), 1) * N163 / 1000))) / 'Ingredient stats'!$C$2) * IF(ISBLANK(VLOOKUP(B163,AmmoTypeFactors,15,False)),1,VLOOKUP(B163,AmmoTypeFactors,15,False))"),104)</f>
        <v>104</v>
      </c>
      <c r="R163">
        <f>IFERROR(__xludf.DUMMYFUNCTION("ROUNDUP((IF(REGEXMATCH(B163, ""Arrow"") + (B163 = ""Javelin""), 'Ammo Input'!E163) + IF(VLOOKUP(B163, AmmoTypeFactors, 9, FALSE) = ""Wood"", 'Ammo Input'!H163) + IF(B163 = ""Stick bomb"", 'Ammo Input'!E163)) * N163 / 'Ingredient stats'!$C$12 / 1000)"),0)</f>
        <v>0</v>
      </c>
      <c r="S163">
        <v>0</v>
      </c>
      <c r="T163">
        <v>0</v>
      </c>
      <c r="U163">
        <f>IF(VLOOKUP(B163,AmmoTypeFactors,9,FALSE)="Plasteel",ROUNDUP(('Ammo Input'!H163*MAX(IF('Ammo Input'!J163&gt;0,'Ammo Input'!J163,1)*N163/1000/'Ingredient stats'!$C$4)),0),0)</f>
        <v>0</v>
      </c>
      <c r="V163">
        <f>IFERROR(__xludf.DUMMYFUNCTION("ROUNDUP(IF(ISBLANK(VLOOKUP(B163,AmmoTypeFactors,16,False)),1,VLOOKUP(B163,AmmoTypeFactors,16,False)) * (IFS(REGEXMATCH(B163, ""EMP""), 'Ammo Input'!M163 * N163 / 'Ingredient stats'!$C$5, REGEXMATCH(B163, ""Charge""), (U163^0.75), true, 0) + (IF(VLOOKUP(B1"&amp;"63, AmmoTypeFactors, 10, false), 2,0) + IF('Ammo Input'!P163, 2,0) + IF('Ammo Input'!Q163,MIN(ROUNDUP(0.2*('Ammo Input'!H163/1000)*'Ammo Input'!O163,0),20),0))))"),0)</f>
        <v>0</v>
      </c>
      <c r="W163">
        <v>0</v>
      </c>
      <c r="X163">
        <v>23</v>
      </c>
      <c r="Y163">
        <v>0</v>
      </c>
      <c r="Z163">
        <v>0</v>
      </c>
      <c r="AA163">
        <v>0</v>
      </c>
      <c r="AB163" s="30">
        <f>IF(B163="Sling Bullet (Stone)",ROUNDUP(D163*0.02*E163/'Ingredient stats'!$C$8,0),0)</f>
        <v>0</v>
      </c>
      <c r="AC163" t="str">
        <f t="shared" si="8"/>
        <v>None</v>
      </c>
      <c r="AD163" t="str">
        <f>IF(OR(B163="Buck",B163="Bird",B163="Charge (Scatter)"),'Ammo Input'!J163,"None")</f>
        <v>None</v>
      </c>
      <c r="AE163" t="str">
        <f>_xlfn.IFS(ISTEXT(Calcs!N163),Calcs!N163,Calcs!N163&lt;=40,Calcs!N163,Calcs!N163&gt;41,"40")</f>
        <v>None</v>
      </c>
      <c r="AF163" t="str">
        <f>_xlfn.IFS(ISTEXT(Calcs!O163),Calcs!O163,Calcs!O163&lt;=80,Calcs!O163,Calcs!O163&gt;=81,"80")</f>
        <v>None</v>
      </c>
      <c r="AG163" s="25">
        <f t="shared" si="9"/>
        <v>1</v>
      </c>
      <c r="AH163" s="25">
        <f t="shared" si="10"/>
        <v>2.56</v>
      </c>
      <c r="AI163" s="25">
        <f t="shared" si="11"/>
        <v>1</v>
      </c>
    </row>
    <row r="164" ht="14.4" spans="1:35">
      <c r="A164" s="24" t="str">
        <f>'Ammo Input'!A164</f>
        <v>20x110 Hispano</v>
      </c>
      <c r="B164" t="str">
        <f>'Ammo Input'!B164</f>
        <v>Sabot</v>
      </c>
      <c r="C164">
        <f>ROUNDUP(('Ammo Input'!C164*(MAX('Ammo Input'!D164,'Ammo Input'!F164)*0.5)^2*PI())*3/1000000,2)</f>
        <v>0.27</v>
      </c>
      <c r="D164">
        <f>ROUNDUP(('Ammo Input'!E164+'Ammo Input'!H164*IF('Ammo Input'!J164&lt;&gt;"",MAX('Ammo Input'!J164,1),1))/1000,3)</f>
        <v>0.205</v>
      </c>
      <c r="E164">
        <f>MIN(5000,MAX(25,CEILING(Calcs!L164,_xlfn.IFS(Calcs!L164&lt;100,25,Calcs!L164&lt;250,50,Calcs!L164&lt;1000,250,Calcs!L164&gt;=1000,1000))))</f>
        <v>2000</v>
      </c>
      <c r="F164">
        <f>ROUNDUP('Ammo Input'!G164^(3/4),0)</f>
        <v>213</v>
      </c>
      <c r="G164">
        <f>ROUND((0.5*((IF(OR(B164="HEAT",B164="HEDP"),'Ammo Input'!N164,'Ammo Input'!H164)/1000)*(IF(B164="HEAT",9000,IF(B164="HEDP",1500,'Ammo Input'!G164))^2))),0)</f>
        <v>55696</v>
      </c>
      <c r="H164" s="25" t="str">
        <f>CONCATENATE(IF((B164="Foam")+(B164="Smoke"),"-",ROUND(Calcs!D164,0))," ",VLOOKUP(B164,AmmoTypeFactors,5,FALSE))</f>
        <v>35 Bullet</v>
      </c>
      <c r="I164" s="25" t="str">
        <f>IF(Calcs!E164=0,"None",CONCATENATE(ROUND(Calcs!E164,0)," ",VLOOKUP(B164,AmmoTypeFactors,6,FALSE)))</f>
        <v>None</v>
      </c>
      <c r="J164">
        <f>MROUND(2.42*'Ammo Input'!M164^(1/3)*VLOOKUP(B164,AmmoTypeFactors,3,FALSE),0.5)</f>
        <v>0</v>
      </c>
      <c r="K164" s="25" t="str">
        <f>IF(VLOOKUP(B164,AmmoTypeFactors,12,FALSE),MROUND(J164/3,0.5),"None")</f>
        <v>None</v>
      </c>
      <c r="L164" s="25">
        <f>IF(VLOOKUP(B164,AmmoTypeFactors,8,FALSE),"None",ROUNDUP(IF(Calcs!I164&gt;0,Calcs!I164,Calcs!H164),3))</f>
        <v>1113.92</v>
      </c>
      <c r="M164" s="25">
        <f>IF(VLOOKUP(B164,AmmoTypeFactors,8,FALSE),"None",'Ammo Input'!L164)</f>
        <v>70</v>
      </c>
      <c r="N164">
        <f>'Ammo Input'!O164</f>
        <v>200</v>
      </c>
      <c r="O164" t="e">
        <f>ROUND((P164*0.0036+SUMPRODUCT(Q164:AB164,VLOOKUP($Q$1:$AB$1,IngredientStats,2,FALSE)))/N164*IF('Ammo Input'!R164,0.5,1),2)</f>
        <v>#VALUE!</v>
      </c>
      <c r="P164" t="e">
        <f>(SUMPRODUCT(Q164:AB164,VLOOKUP($Q$1:$AB$1,IngredientStats,4,FALSE))*VLOOKUP(B164,AmmoTypeFactors,14,FALSE)*IF('Ammo Input'!R164,1.1,1))</f>
        <v>#VALUE!</v>
      </c>
      <c r="Q164">
        <f>IFERROR(__xludf.DUMMYFUNCTION("((IF(NOT(OR(REGEXMATCH(B164, ""Arrow""), B164 = ""Javelin"", B164 = ""Stick bomb"")), ROUNDUP(('Ammo Input'!E164 / 1000) * N164)) + IF(VLOOKUP(B164, AmmoTypeFactors, 9, FALSE) = ""Steel"", ROUNDUP(('Ammo Input'!H164 -'Ammo Input'!M164) * MAX(IF('Ammo Inpu"&amp;"t'!J164 &gt; 0, 'Ammo Input'!J164, 1), 1) * N164 / 1000))) / 'Ingredient stats'!$C$2) * IF(ISBLANK(VLOOKUP(B164,AmmoTypeFactors,15,False)),1,VLOOKUP(B164,AmmoTypeFactors,15,False))"),54)</f>
        <v>54</v>
      </c>
      <c r="R164">
        <f>IFERROR(__xludf.DUMMYFUNCTION("ROUNDUP((IF(REGEXMATCH(B164, ""Arrow"") + (B164 = ""Javelin""), 'Ammo Input'!E164) + IF(VLOOKUP(B164, AmmoTypeFactors, 9, FALSE) = ""Wood"", 'Ammo Input'!H164) + IF(B164 = ""Stick bomb"", 'Ammo Input'!E164)) * N164 / 'Ingredient stats'!$C$12 / 1000)"),0)</f>
        <v>0</v>
      </c>
      <c r="S164">
        <v>14</v>
      </c>
      <c r="T164">
        <v>14</v>
      </c>
      <c r="U164">
        <f>IF(VLOOKUP(B164,AmmoTypeFactors,9,FALSE)="Plasteel",ROUNDUP(('Ammo Input'!H164*MAX(IF('Ammo Input'!J164&gt;0,'Ammo Input'!J164,1)*N164/1000/'Ingredient stats'!$C$4)),0),0)</f>
        <v>0</v>
      </c>
      <c r="V164">
        <f>IFERROR(__xludf.DUMMYFUNCTION("ROUNDUP(IF(ISBLANK(VLOOKUP(B164,AmmoTypeFactors,16,False)),1,VLOOKUP(B164,AmmoTypeFactors,16,False)) * (IFS(REGEXMATCH(B164, ""EMP""), 'Ammo Input'!M164 * N164 / 'Ingredient stats'!$C$5, REGEXMATCH(B164, ""Charge""), (U164^0.75), true, 0) + (IF(VLOOKUP(B1"&amp;"64, AmmoTypeFactors, 10, false), 2,0) + IF('Ammo Input'!P164, 2,0) + IF('Ammo Input'!Q164,MIN(ROUNDUP(0.2*('Ammo Input'!H164/1000)*'Ammo Input'!O164,0),20),0))))"),0)</f>
        <v>0</v>
      </c>
      <c r="W164">
        <v>0</v>
      </c>
      <c r="X164">
        <v>0</v>
      </c>
      <c r="Y164">
        <v>0</v>
      </c>
      <c r="Z164">
        <v>0</v>
      </c>
      <c r="AA164">
        <v>0</v>
      </c>
      <c r="AB164" s="30">
        <f>IF(B164="Sling Bullet (Stone)",ROUNDUP(D164*0.02*E164/'Ingredient stats'!$C$8,0),0)</f>
        <v>0</v>
      </c>
      <c r="AC164" t="str">
        <f t="shared" si="8"/>
        <v>None</v>
      </c>
      <c r="AD164" t="str">
        <f>IF(OR(B164="Buck",B164="Bird",B164="Charge (Scatter)"),'Ammo Input'!J164,"None")</f>
        <v>None</v>
      </c>
      <c r="AE164" t="str">
        <f>_xlfn.IFS(ISTEXT(Calcs!N164),Calcs!N164,Calcs!N164&lt;=40,Calcs!N164,Calcs!N164&gt;41,"40")</f>
        <v>None</v>
      </c>
      <c r="AF164" t="str">
        <f>_xlfn.IFS(ISTEXT(Calcs!O164),Calcs!O164,Calcs!O164&lt;=80,Calcs!O164,Calcs!O164&gt;=81,"80")</f>
        <v>None</v>
      </c>
      <c r="AG164" s="25">
        <f t="shared" si="9"/>
        <v>1</v>
      </c>
      <c r="AH164" s="25">
        <f t="shared" si="10"/>
        <v>3.45</v>
      </c>
      <c r="AI164" s="25">
        <f t="shared" si="11"/>
        <v>1</v>
      </c>
    </row>
    <row r="165" ht="14.4" spans="1:35">
      <c r="A165" s="24" t="str">
        <f>'Ammo Input'!A165</f>
        <v>20x128mm Oerlikon</v>
      </c>
      <c r="B165" t="str">
        <f>'Ammo Input'!B165</f>
        <v>AP</v>
      </c>
      <c r="C165">
        <f>ROUNDUP(('Ammo Input'!C165*(MAX('Ammo Input'!D165,'Ammo Input'!F165)*0.5)^2*PI())*3/1000000,2)</f>
        <v>0.47</v>
      </c>
      <c r="D165">
        <f>ROUNDUP(('Ammo Input'!E165+'Ammo Input'!H165*IF('Ammo Input'!J165&lt;&gt;"",MAX('Ammo Input'!J165,1),1))/1000,3)</f>
        <v>0.353</v>
      </c>
      <c r="E165">
        <f>MIN(5000,MAX(25,CEILING(Calcs!L165,_xlfn.IFS(Calcs!L165&lt;100,25,Calcs!L165&lt;250,50,Calcs!L165&lt;1000,250,Calcs!L165&gt;=1000,1000))))</f>
        <v>750</v>
      </c>
      <c r="F165">
        <f>ROUNDUP('Ammo Input'!G165^(3/4),0)</f>
        <v>183</v>
      </c>
      <c r="G165">
        <f>ROUND((0.5*((IF(OR(B165="HEAT",B165="HEDP"),'Ammo Input'!N165,'Ammo Input'!H165)/1000)*(IF(B165="HEAT",9000,IF(B165="HEDP",1500,'Ammo Input'!G165))^2))),0)</f>
        <v>64006</v>
      </c>
      <c r="H165" s="25" t="str">
        <f>CONCATENATE(IF((B165="Foam")+(B165="Smoke"),"-",ROUND(Calcs!D165,0))," ",VLOOKUP(B165,AmmoTypeFactors,5,FALSE))</f>
        <v>47 Bullet</v>
      </c>
      <c r="I165" s="25" t="str">
        <f>IF(Calcs!E165=0,"None",CONCATENATE(ROUND(Calcs!E165,0)," ",VLOOKUP(B165,AmmoTypeFactors,6,FALSE)))</f>
        <v>None</v>
      </c>
      <c r="J165">
        <f>MROUND(2.42*'Ammo Input'!M165^(1/3)*VLOOKUP(B165,AmmoTypeFactors,3,FALSE),0.5)</f>
        <v>0</v>
      </c>
      <c r="K165" s="25" t="str">
        <f>IF(VLOOKUP(B165,AmmoTypeFactors,12,FALSE),MROUND(J165/3,0.5),"None")</f>
        <v>None</v>
      </c>
      <c r="L165" s="25">
        <f>IF(VLOOKUP(B165,AmmoTypeFactors,8,FALSE),"None",ROUNDUP(IF(Calcs!I165&gt;0,Calcs!I165,Calcs!H165),3))</f>
        <v>1280.12</v>
      </c>
      <c r="M165" s="25">
        <f>IF(VLOOKUP(B165,AmmoTypeFactors,8,FALSE),"None",'Ammo Input'!L165)</f>
        <v>36</v>
      </c>
      <c r="N165">
        <f>'Ammo Input'!O165</f>
        <v>200</v>
      </c>
      <c r="O165" t="e">
        <f>ROUND((P165*0.0036+SUMPRODUCT(Q165:AB165,VLOOKUP($Q$1:$AB$1,IngredientStats,2,FALSE)))/N165*IF('Ammo Input'!R165,0.5,1),2)</f>
        <v>#VALUE!</v>
      </c>
      <c r="P165" t="e">
        <f>(SUMPRODUCT(Q165:AB165,VLOOKUP($Q$1:$AB$1,IngredientStats,4,FALSE))*VLOOKUP(B165,AmmoTypeFactors,14,FALSE)*IF('Ammo Input'!R165,1.1,1))</f>
        <v>#VALUE!</v>
      </c>
      <c r="Q165">
        <f>IFERROR(__xludf.DUMMYFUNCTION("((IF(NOT(OR(REGEXMATCH(B165, ""Arrow""), B165 = ""Javelin"", B165 = ""Stick bomb"")), ROUNDUP(('Ammo Input'!E165 / 1000) * N165)) + IF(VLOOKUP(B165, AmmoTypeFactors, 9, FALSE) = ""Steel"", ROUNDUP(('Ammo Input'!H165 -'Ammo Input'!M165) * MAX(IF('Ammo Inpu"&amp;"t'!J165 &gt; 0, 'Ammo Input'!J165, 1), 1) * N165 / 1000))) / 'Ingredient stats'!$C$2) * IF(ISBLANK(VLOOKUP(B165,AmmoTypeFactors,15,False)),1,VLOOKUP(B165,AmmoTypeFactors,15,False))"),142)</f>
        <v>142</v>
      </c>
      <c r="R165">
        <f>IFERROR(__xludf.DUMMYFUNCTION("ROUNDUP((IF(REGEXMATCH(B165, ""Arrow"") + (B165 = ""Javelin""), 'Ammo Input'!E165) + IF(VLOOKUP(B165, AmmoTypeFactors, 9, FALSE) = ""Wood"", 'Ammo Input'!H165) + IF(B165 = ""Stick bomb"", 'Ammo Input'!E165)) * N165 / 'Ingredient stats'!$C$12 / 1000)"),0)</f>
        <v>0</v>
      </c>
      <c r="S165">
        <v>0</v>
      </c>
      <c r="T165">
        <v>0</v>
      </c>
      <c r="U165">
        <f>IF(VLOOKUP(B165,AmmoTypeFactors,9,FALSE)="Plasteel",ROUNDUP(('Ammo Input'!H165*MAX(IF('Ammo Input'!J165&gt;0,'Ammo Input'!J165,1)*N165/1000/'Ingredient stats'!$C$4)),0),0)</f>
        <v>0</v>
      </c>
      <c r="V165">
        <f>IFERROR(__xludf.DUMMYFUNCTION("ROUNDUP(IF(ISBLANK(VLOOKUP(B165,AmmoTypeFactors,16,False)),1,VLOOKUP(B165,AmmoTypeFactors,16,False)) * (IFS(REGEXMATCH(B165, ""EMP""), 'Ammo Input'!M165 * N165 / 'Ingredient stats'!$C$5, REGEXMATCH(B165, ""Charge""), (U165^0.75), true, 0) + (IF(VLOOKUP(B1"&amp;"65, AmmoTypeFactors, 10, false), 2,0) + IF('Ammo Input'!P165, 2,0) + IF('Ammo Input'!Q165,MIN(ROUNDUP(0.2*('Ammo Input'!H165/1000)*'Ammo Input'!O165,0),20),0))))"),0)</f>
        <v>0</v>
      </c>
      <c r="W165">
        <v>0</v>
      </c>
      <c r="X165">
        <v>0</v>
      </c>
      <c r="Y165">
        <v>0</v>
      </c>
      <c r="Z165">
        <v>0</v>
      </c>
      <c r="AA165">
        <v>0</v>
      </c>
      <c r="AB165" s="30">
        <f>IF(B165="Sling Bullet (Stone)",ROUNDUP(D165*0.02*E165/'Ingredient stats'!$C$8,0),0)</f>
        <v>0</v>
      </c>
      <c r="AC165" t="str">
        <f t="shared" si="8"/>
        <v>None</v>
      </c>
      <c r="AD165" t="str">
        <f>IF(OR(B165="Buck",B165="Bird",B165="Charge (Scatter)"),'Ammo Input'!J165,"None")</f>
        <v>None</v>
      </c>
      <c r="AE165" t="str">
        <f>_xlfn.IFS(ISTEXT(Calcs!N165),Calcs!N165,Calcs!N165&lt;=40,Calcs!N165,Calcs!N165&gt;41,"40")</f>
        <v>None</v>
      </c>
      <c r="AF165" t="str">
        <f>_xlfn.IFS(ISTEXT(Calcs!O165),Calcs!O165,Calcs!O165&lt;=80,Calcs!O165,Calcs!O165&gt;=81,"80")</f>
        <v>None</v>
      </c>
      <c r="AG165" s="25">
        <f t="shared" si="9"/>
        <v>1</v>
      </c>
      <c r="AH165" s="25">
        <f t="shared" si="10"/>
        <v>2.99</v>
      </c>
      <c r="AI165" s="25">
        <f t="shared" si="11"/>
        <v>1</v>
      </c>
    </row>
    <row r="166" ht="14.4" spans="1:35">
      <c r="A166" s="24" t="str">
        <f>'Ammo Input'!A166</f>
        <v>20x128mm Oerlikon</v>
      </c>
      <c r="B166" t="str">
        <f>'Ammo Input'!B166</f>
        <v>AP-I</v>
      </c>
      <c r="C166">
        <f>ROUNDUP(('Ammo Input'!C166*(MAX('Ammo Input'!D166,'Ammo Input'!F166)*0.5)^2*PI())*3/1000000,2)</f>
        <v>0.47</v>
      </c>
      <c r="D166">
        <f>ROUNDUP(('Ammo Input'!E166+'Ammo Input'!H166*IF('Ammo Input'!J166&lt;&gt;"",MAX('Ammo Input'!J166,1),1))/1000,3)</f>
        <v>0.353</v>
      </c>
      <c r="E166">
        <f>MIN(5000,MAX(25,CEILING(Calcs!L166,_xlfn.IFS(Calcs!L166&lt;100,25,Calcs!L166&lt;250,50,Calcs!L166&lt;1000,250,Calcs!L166&gt;=1000,1000))))</f>
        <v>750</v>
      </c>
      <c r="F166">
        <f>ROUNDUP('Ammo Input'!G166^(3/4),0)</f>
        <v>183</v>
      </c>
      <c r="G166">
        <f>ROUND((0.5*((IF(OR(B166="HEAT",B166="HEDP"),'Ammo Input'!N166,'Ammo Input'!H166)/1000)*(IF(B166="HEAT",9000,IF(B166="HEDP",1500,'Ammo Input'!G166))^2))),0)</f>
        <v>64006</v>
      </c>
      <c r="H166" s="25" t="str">
        <f>CONCATENATE(IF((B166="Foam")+(B166="Smoke"),"-",ROUND(Calcs!D166,0))," ",VLOOKUP(B166,AmmoTypeFactors,5,FALSE))</f>
        <v>47 Bullet</v>
      </c>
      <c r="I166" s="25" t="str">
        <f>IF(Calcs!E166=0,"None",CONCATENATE(ROUND(Calcs!E166,0)," ",VLOOKUP(B166,AmmoTypeFactors,6,FALSE)))</f>
        <v>25 Flame_Secondary</v>
      </c>
      <c r="J166">
        <f>MROUND(2.42*'Ammo Input'!M166^(1/3)*VLOOKUP(B166,AmmoTypeFactors,3,FALSE),0.5)</f>
        <v>0</v>
      </c>
      <c r="K166" s="25" t="str">
        <f>IF(VLOOKUP(B166,AmmoTypeFactors,12,FALSE),MROUND(J166/3,0.5),"None")</f>
        <v>None</v>
      </c>
      <c r="L166" s="25">
        <f>IF(VLOOKUP(B166,AmmoTypeFactors,8,FALSE),"None",ROUNDUP(IF(Calcs!I166&gt;0,Calcs!I166,Calcs!H166),3))</f>
        <v>1280.12</v>
      </c>
      <c r="M166" s="25">
        <f>IF(VLOOKUP(B166,AmmoTypeFactors,8,FALSE),"None",'Ammo Input'!L166)</f>
        <v>36</v>
      </c>
      <c r="N166">
        <f>'Ammo Input'!O166</f>
        <v>200</v>
      </c>
      <c r="O166" t="e">
        <f>ROUND((P166*0.0036+SUMPRODUCT(Q166:AB166,VLOOKUP($Q$1:$AB$1,IngredientStats,2,FALSE)))/N166*IF('Ammo Input'!R166,0.5,1),2)</f>
        <v>#VALUE!</v>
      </c>
      <c r="P166" t="e">
        <f>(SUMPRODUCT(Q166:AB166,VLOOKUP($Q$1:$AB$1,IngredientStats,4,FALSE))*VLOOKUP(B166,AmmoTypeFactors,14,FALSE)*IF('Ammo Input'!R166,1.1,1))</f>
        <v>#VALUE!</v>
      </c>
      <c r="Q166">
        <f>IFERROR(__xludf.DUMMYFUNCTION("((IF(NOT(OR(REGEXMATCH(B166, ""Arrow""), B166 = ""Javelin"", B166 = ""Stick bomb"")), ROUNDUP(('Ammo Input'!E166 / 1000) * N166)) + IF(VLOOKUP(B166, AmmoTypeFactors, 9, FALSE) = ""Steel"", ROUNDUP(('Ammo Input'!H166 -'Ammo Input'!M166) * MAX(IF('Ammo Inpu"&amp;"t'!J166 &gt; 0, 'Ammo Input'!J166, 1), 1) * N166 / 1000))) / 'Ingredient stats'!$C$2) * IF(ISBLANK(VLOOKUP(B166,AmmoTypeFactors,15,False)),1,VLOOKUP(B166,AmmoTypeFactors,15,False))"),142)</f>
        <v>142</v>
      </c>
      <c r="R166">
        <f>IFERROR(__xludf.DUMMYFUNCTION("ROUNDUP((IF(REGEXMATCH(B166, ""Arrow"") + (B166 = ""Javelin""), 'Ammo Input'!E166) + IF(VLOOKUP(B166, AmmoTypeFactors, 9, FALSE) = ""Wood"", 'Ammo Input'!H166) + IF(B166 = ""Stick bomb"", 'Ammo Input'!E166)) * N166 / 'Ingredient stats'!$C$12 / 1000)"),0)</f>
        <v>0</v>
      </c>
      <c r="S166">
        <v>0</v>
      </c>
      <c r="T166">
        <v>0</v>
      </c>
      <c r="U166">
        <f>IF(VLOOKUP(B166,AmmoTypeFactors,9,FALSE)="Plasteel",ROUNDUP(('Ammo Input'!H166*MAX(IF('Ammo Input'!J166&gt;0,'Ammo Input'!J166,1)*N166/1000/'Ingredient stats'!$C$4)),0),0)</f>
        <v>0</v>
      </c>
      <c r="V166">
        <f>IFERROR(__xludf.DUMMYFUNCTION("ROUNDUP(IF(ISBLANK(VLOOKUP(B166,AmmoTypeFactors,16,False)),1,VLOOKUP(B166,AmmoTypeFactors,16,False)) * (IFS(REGEXMATCH(B166, ""EMP""), 'Ammo Input'!M166 * N166 / 'Ingredient stats'!$C$5, REGEXMATCH(B166, ""Charge""), (U166^0.75), true, 0) + (IF(VLOOKUP(B1"&amp;"66, AmmoTypeFactors, 10, false), 2,0) + IF('Ammo Input'!P166, 2,0) + IF('Ammo Input'!Q166,MIN(ROUNDUP(0.2*('Ammo Input'!H166/1000)*'Ammo Input'!O166,0),20),0))))"),0)</f>
        <v>0</v>
      </c>
      <c r="W166">
        <v>12</v>
      </c>
      <c r="X166">
        <v>0</v>
      </c>
      <c r="Y166">
        <v>0</v>
      </c>
      <c r="Z166">
        <v>0</v>
      </c>
      <c r="AA166">
        <v>0</v>
      </c>
      <c r="AB166" s="30">
        <f>IF(B166="Sling Bullet (Stone)",ROUNDUP(D166*0.02*E166/'Ingredient stats'!$C$8,0),0)</f>
        <v>0</v>
      </c>
      <c r="AC166" t="str">
        <f t="shared" si="8"/>
        <v>None</v>
      </c>
      <c r="AD166" t="str">
        <f>IF(OR(B166="Buck",B166="Bird",B166="Charge (Scatter)"),'Ammo Input'!J166,"None")</f>
        <v>None</v>
      </c>
      <c r="AE166" t="str">
        <f>_xlfn.IFS(ISTEXT(Calcs!N166),Calcs!N166,Calcs!N166&lt;=40,Calcs!N166,Calcs!N166&gt;41,"40")</f>
        <v>None</v>
      </c>
      <c r="AF166" t="str">
        <f>_xlfn.IFS(ISTEXT(Calcs!O166),Calcs!O166,Calcs!O166&lt;=80,Calcs!O166,Calcs!O166&gt;=81,"80")</f>
        <v>None</v>
      </c>
      <c r="AG166" s="25">
        <f t="shared" si="9"/>
        <v>1</v>
      </c>
      <c r="AH166" s="25">
        <f t="shared" si="10"/>
        <v>2.99</v>
      </c>
      <c r="AI166" s="25">
        <f t="shared" si="11"/>
        <v>1</v>
      </c>
    </row>
    <row r="167" ht="14.4" spans="1:35">
      <c r="A167" s="24" t="str">
        <f>'Ammo Input'!A167</f>
        <v>20x128mm Oerlikon</v>
      </c>
      <c r="B167" t="str">
        <f>'Ammo Input'!B167</f>
        <v>AP-HE</v>
      </c>
      <c r="C167">
        <f>ROUNDUP(('Ammo Input'!C167*(MAX('Ammo Input'!D167,'Ammo Input'!F167)*0.5)^2*PI())*3/1000000,2)</f>
        <v>0.47</v>
      </c>
      <c r="D167">
        <f>ROUNDUP(('Ammo Input'!E167+'Ammo Input'!H167*IF('Ammo Input'!J167&lt;&gt;"",MAX('Ammo Input'!J167,1),1))/1000,3)</f>
        <v>0.353</v>
      </c>
      <c r="E167">
        <f>MIN(5000,MAX(25,CEILING(Calcs!L167,_xlfn.IFS(Calcs!L167&lt;100,25,Calcs!L167&lt;250,50,Calcs!L167&lt;1000,250,Calcs!L167&gt;=1000,1000))))</f>
        <v>750</v>
      </c>
      <c r="F167">
        <f>ROUNDUP('Ammo Input'!G167^(3/4),0)</f>
        <v>183</v>
      </c>
      <c r="G167">
        <f>ROUND((0.5*((IF(OR(B167="HEAT",B167="HEDP"),'Ammo Input'!N167,'Ammo Input'!H167)/1000)*(IF(B167="HEAT",9000,IF(B167="HEDP",1500,'Ammo Input'!G167))^2))),0)</f>
        <v>64006</v>
      </c>
      <c r="H167" s="25" t="str">
        <f>CONCATENATE(IF((B167="Foam")+(B167="Smoke"),"-",ROUND(Calcs!D167,0))," ",VLOOKUP(B167,AmmoTypeFactors,5,FALSE))</f>
        <v>75 Bullet</v>
      </c>
      <c r="I167" s="25" t="str">
        <f>IF(Calcs!E167=0,"None",CONCATENATE(ROUND(Calcs!E167,0)," ",VLOOKUP(B167,AmmoTypeFactors,6,FALSE)))</f>
        <v>35 Bomb_Secondary</v>
      </c>
      <c r="J167">
        <f>MROUND(2.42*'Ammo Input'!M167^(1/3)*VLOOKUP(B167,AmmoTypeFactors,3,FALSE),0.5)</f>
        <v>0</v>
      </c>
      <c r="K167" s="25" t="str">
        <f>IF(VLOOKUP(B167,AmmoTypeFactors,12,FALSE),MROUND(J167/3,0.5),"None")</f>
        <v>None</v>
      </c>
      <c r="L167" s="25">
        <f>IF(VLOOKUP(B167,AmmoTypeFactors,8,FALSE),"None",ROUNDUP(IF(Calcs!I167&gt;0,Calcs!I167,Calcs!H167),3))</f>
        <v>1280.12</v>
      </c>
      <c r="M167" s="25">
        <f>IF(VLOOKUP(B167,AmmoTypeFactors,8,FALSE),"None",'Ammo Input'!L167)</f>
        <v>18</v>
      </c>
      <c r="N167">
        <f>'Ammo Input'!O167</f>
        <v>200</v>
      </c>
      <c r="O167" t="e">
        <f>ROUND((P167*0.0036+SUMPRODUCT(Q167:AB167,VLOOKUP($Q$1:$AB$1,IngredientStats,2,FALSE)))/N167*IF('Ammo Input'!R167,0.5,1),2)</f>
        <v>#VALUE!</v>
      </c>
      <c r="P167" t="e">
        <f>(SUMPRODUCT(Q167:AB167,VLOOKUP($Q$1:$AB$1,IngredientStats,4,FALSE))*VLOOKUP(B167,AmmoTypeFactors,14,FALSE)*IF('Ammo Input'!R167,1.1,1))</f>
        <v>#VALUE!</v>
      </c>
      <c r="Q167">
        <f>IFERROR(__xludf.DUMMYFUNCTION("((IF(NOT(OR(REGEXMATCH(B167, ""Arrow""), B167 = ""Javelin"", B167 = ""Stick bomb"")), ROUNDUP(('Ammo Input'!E167 / 1000) * N167)) + IF(VLOOKUP(B167, AmmoTypeFactors, 9, FALSE) = ""Steel"", ROUNDUP(('Ammo Input'!H167 -'Ammo Input'!M167) * MAX(IF('Ammo Inpu"&amp;"t'!J167 &gt; 0, 'Ammo Input'!J167, 1), 1) * N167 / 1000))) / 'Ingredient stats'!$C$2) * IF(ISBLANK(VLOOKUP(B167,AmmoTypeFactors,15,False)),1,VLOOKUP(B167,AmmoTypeFactors,15,False))"),142)</f>
        <v>142</v>
      </c>
      <c r="R167">
        <f>IFERROR(__xludf.DUMMYFUNCTION("ROUNDUP((IF(REGEXMATCH(B167, ""Arrow"") + (B167 = ""Javelin""), 'Ammo Input'!E167) + IF(VLOOKUP(B167, AmmoTypeFactors, 9, FALSE) = ""Wood"", 'Ammo Input'!H167) + IF(B167 = ""Stick bomb"", 'Ammo Input'!E167)) * N167 / 'Ingredient stats'!$C$12 / 1000)"),0)</f>
        <v>0</v>
      </c>
      <c r="S167">
        <v>0</v>
      </c>
      <c r="T167">
        <v>0</v>
      </c>
      <c r="U167">
        <f>IF(VLOOKUP(B167,AmmoTypeFactors,9,FALSE)="Plasteel",ROUNDUP(('Ammo Input'!H167*MAX(IF('Ammo Input'!J167&gt;0,'Ammo Input'!J167,1)*N167/1000/'Ingredient stats'!$C$4)),0),0)</f>
        <v>0</v>
      </c>
      <c r="V167">
        <f>IFERROR(__xludf.DUMMYFUNCTION("ROUNDUP(IF(ISBLANK(VLOOKUP(B167,AmmoTypeFactors,16,False)),1,VLOOKUP(B167,AmmoTypeFactors,16,False)) * (IFS(REGEXMATCH(B167, ""EMP""), 'Ammo Input'!M167 * N167 / 'Ingredient stats'!$C$5, REGEXMATCH(B167, ""Charge""), (U167^0.75), true, 0) + (IF(VLOOKUP(B1"&amp;"67, AmmoTypeFactors, 10, false), 2,0) + IF('Ammo Input'!P167, 2,0) + IF('Ammo Input'!Q167,MIN(ROUNDUP(0.2*('Ammo Input'!H167/1000)*'Ammo Input'!O167,0),20),0))))"),0)</f>
        <v>0</v>
      </c>
      <c r="W167">
        <v>0</v>
      </c>
      <c r="X167">
        <v>23</v>
      </c>
      <c r="Y167">
        <v>0</v>
      </c>
      <c r="Z167">
        <v>0</v>
      </c>
      <c r="AA167">
        <v>0</v>
      </c>
      <c r="AB167" s="30">
        <f>IF(B167="Sling Bullet (Stone)",ROUNDUP(D167*0.02*E167/'Ingredient stats'!$C$8,0),0)</f>
        <v>0</v>
      </c>
      <c r="AC167" t="str">
        <f t="shared" si="8"/>
        <v>None</v>
      </c>
      <c r="AD167" t="str">
        <f>IF(OR(B167="Buck",B167="Bird",B167="Charge (Scatter)"),'Ammo Input'!J167,"None")</f>
        <v>None</v>
      </c>
      <c r="AE167" t="str">
        <f>_xlfn.IFS(ISTEXT(Calcs!N167),Calcs!N167,Calcs!N167&lt;=40,Calcs!N167,Calcs!N167&gt;41,"40")</f>
        <v>None</v>
      </c>
      <c r="AF167" t="str">
        <f>_xlfn.IFS(ISTEXT(Calcs!O167),Calcs!O167,Calcs!O167&lt;=80,Calcs!O167,Calcs!O167&gt;=81,"80")</f>
        <v>None</v>
      </c>
      <c r="AG167" s="25">
        <f t="shared" si="9"/>
        <v>1</v>
      </c>
      <c r="AH167" s="25">
        <f t="shared" si="10"/>
        <v>2.99</v>
      </c>
      <c r="AI167" s="25">
        <f t="shared" si="11"/>
        <v>1</v>
      </c>
    </row>
    <row r="168" ht="14.4" spans="1:35">
      <c r="A168" s="24" t="str">
        <f>'Ammo Input'!A168</f>
        <v>20x128mm Oerlikon</v>
      </c>
      <c r="B168" t="str">
        <f>'Ammo Input'!B168</f>
        <v>Sabot</v>
      </c>
      <c r="C168">
        <f>ROUNDUP(('Ammo Input'!C168*(MAX('Ammo Input'!D168,'Ammo Input'!F168)*0.5)^2*PI())*3/1000000,2)</f>
        <v>0.47</v>
      </c>
      <c r="D168">
        <f>ROUNDUP(('Ammo Input'!E168+'Ammo Input'!H168*IF('Ammo Input'!J168&lt;&gt;"",MAX('Ammo Input'!J168,1),1))/1000,3)</f>
        <v>0.302</v>
      </c>
      <c r="E168">
        <f>MIN(5000,MAX(25,CEILING(Calcs!L168,_xlfn.IFS(Calcs!L168&lt;100,25,Calcs!L168&lt;250,50,Calcs!L168&lt;1000,250,Calcs!L168&gt;=1000,1000))))</f>
        <v>750</v>
      </c>
      <c r="F168">
        <f>ROUNDUP('Ammo Input'!G168^(3/4),0)</f>
        <v>248</v>
      </c>
      <c r="G168">
        <f>ROUND((0.5*((IF(OR(B168="HEAT",B168="HEDP"),'Ammo Input'!N168,'Ammo Input'!H168)/1000)*(IF(B168="HEAT",9000,IF(B168="HEDP",1500,'Ammo Input'!G168))^2))),0)</f>
        <v>82122</v>
      </c>
      <c r="H168" s="25" t="str">
        <f>CONCATENATE(IF((B168="Foam")+(B168="Smoke"),"-",ROUND(Calcs!D168,0))," ",VLOOKUP(B168,AmmoTypeFactors,5,FALSE))</f>
        <v>40 Bullet</v>
      </c>
      <c r="I168" s="25" t="str">
        <f>IF(Calcs!E168=0,"None",CONCATENATE(ROUND(Calcs!E168,0)," ",VLOOKUP(B168,AmmoTypeFactors,6,FALSE)))</f>
        <v>None</v>
      </c>
      <c r="J168">
        <f>MROUND(2.42*'Ammo Input'!M168^(1/3)*VLOOKUP(B168,AmmoTypeFactors,3,FALSE),0.5)</f>
        <v>0</v>
      </c>
      <c r="K168" s="25" t="str">
        <f>IF(VLOOKUP(B168,AmmoTypeFactors,12,FALSE),MROUND(J168/3,0.5),"None")</f>
        <v>None</v>
      </c>
      <c r="L168" s="25">
        <f>IF(VLOOKUP(B168,AmmoTypeFactors,8,FALSE),"None",ROUNDUP(IF(Calcs!I168&gt;0,Calcs!I168,Calcs!H168),3))</f>
        <v>1642.44</v>
      </c>
      <c r="M168" s="25">
        <f>IF(VLOOKUP(B168,AmmoTypeFactors,8,FALSE),"None",'Ammo Input'!L168)</f>
        <v>63</v>
      </c>
      <c r="N168">
        <f>'Ammo Input'!O168</f>
        <v>200</v>
      </c>
      <c r="O168" t="e">
        <f>ROUND((P168*0.0036+SUMPRODUCT(Q168:AB168,VLOOKUP($Q$1:$AB$1,IngredientStats,2,FALSE)))/N168*IF('Ammo Input'!R168,0.5,1),2)</f>
        <v>#VALUE!</v>
      </c>
      <c r="P168" t="e">
        <f>(SUMPRODUCT(Q168:AB168,VLOOKUP($Q$1:$AB$1,IngredientStats,4,FALSE))*VLOOKUP(B168,AmmoTypeFactors,14,FALSE)*IF('Ammo Input'!R168,1.1,1))</f>
        <v>#VALUE!</v>
      </c>
      <c r="Q168">
        <f>IFERROR(__xludf.DUMMYFUNCTION("((IF(NOT(OR(REGEXMATCH(B168, ""Arrow""), B168 = ""Javelin"", B168 = ""Stick bomb"")), ROUNDUP(('Ammo Input'!E168 / 1000) * N168)) + IF(VLOOKUP(B168, AmmoTypeFactors, 9, FALSE) = ""Steel"", ROUNDUP(('Ammo Input'!H168 -'Ammo Input'!M168) * MAX(IF('Ammo Inpu"&amp;"t'!J168 &gt; 0, 'Ammo Input'!J168, 1), 1) * N168 / 1000))) / 'Ingredient stats'!$C$2) * IF(ISBLANK(VLOOKUP(B168,AmmoTypeFactors,15,False)),1,VLOOKUP(B168,AmmoTypeFactors,15,False))"),94)</f>
        <v>94</v>
      </c>
      <c r="R168">
        <f>IFERROR(__xludf.DUMMYFUNCTION("ROUNDUP((IF(REGEXMATCH(B168, ""Arrow"") + (B168 = ""Javelin""), 'Ammo Input'!E168) + IF(VLOOKUP(B168, AmmoTypeFactors, 9, FALSE) = ""Wood"", 'Ammo Input'!H168) + IF(B168 = ""Stick bomb"", 'Ammo Input'!E168)) * N168 / 'Ingredient stats'!$C$12 / 1000)"),0)</f>
        <v>0</v>
      </c>
      <c r="S168">
        <v>14</v>
      </c>
      <c r="T168">
        <v>14</v>
      </c>
      <c r="U168">
        <f>IF(VLOOKUP(B168,AmmoTypeFactors,9,FALSE)="Plasteel",ROUNDUP(('Ammo Input'!H168*MAX(IF('Ammo Input'!J168&gt;0,'Ammo Input'!J168,1)*N168/1000/'Ingredient stats'!$C$4)),0),0)</f>
        <v>0</v>
      </c>
      <c r="V168">
        <f>IFERROR(__xludf.DUMMYFUNCTION("ROUNDUP(IF(ISBLANK(VLOOKUP(B168,AmmoTypeFactors,16,False)),1,VLOOKUP(B168,AmmoTypeFactors,16,False)) * (IFS(REGEXMATCH(B168, ""EMP""), 'Ammo Input'!M168 * N168 / 'Ingredient stats'!$C$5, REGEXMATCH(B168, ""Charge""), (U168^0.75), true, 0) + (IF(VLOOKUP(B1"&amp;"68, AmmoTypeFactors, 10, false), 2,0) + IF('Ammo Input'!P168, 2,0) + IF('Ammo Input'!Q168,MIN(ROUNDUP(0.2*('Ammo Input'!H168/1000)*'Ammo Input'!O168,0),20),0))))"),0)</f>
        <v>0</v>
      </c>
      <c r="W168">
        <v>0</v>
      </c>
      <c r="X168">
        <v>0</v>
      </c>
      <c r="Y168">
        <v>0</v>
      </c>
      <c r="Z168">
        <v>0</v>
      </c>
      <c r="AA168">
        <v>0</v>
      </c>
      <c r="AB168" s="30">
        <f>IF(B168="Sling Bullet (Stone)",ROUNDUP(D168*0.02*E168/'Ingredient stats'!$C$8,0),0)</f>
        <v>0</v>
      </c>
      <c r="AC168" t="str">
        <f t="shared" si="8"/>
        <v>None</v>
      </c>
      <c r="AD168" t="str">
        <f>IF(OR(B168="Buck",B168="Bird",B168="Charge (Scatter)"),'Ammo Input'!J168,"None")</f>
        <v>None</v>
      </c>
      <c r="AE168" t="str">
        <f>_xlfn.IFS(ISTEXT(Calcs!N168),Calcs!N168,Calcs!N168&lt;=40,Calcs!N168,Calcs!N168&gt;41,"40")</f>
        <v>None</v>
      </c>
      <c r="AF168" t="str">
        <f>_xlfn.IFS(ISTEXT(Calcs!O168),Calcs!O168,Calcs!O168&lt;=80,Calcs!O168,Calcs!O168&gt;=81,"80")</f>
        <v>None</v>
      </c>
      <c r="AG168" s="25">
        <f t="shared" si="9"/>
        <v>1</v>
      </c>
      <c r="AH168" s="25">
        <f t="shared" si="10"/>
        <v>4</v>
      </c>
      <c r="AI168" s="25">
        <f t="shared" si="11"/>
        <v>1</v>
      </c>
    </row>
    <row r="169" ht="14.4" spans="1:35">
      <c r="A169" s="24" t="str">
        <f>'Ammo Input'!A169</f>
        <v>20x138mmB</v>
      </c>
      <c r="B169" t="str">
        <f>'Ammo Input'!B169</f>
        <v>AP</v>
      </c>
      <c r="C169">
        <f>ROUNDUP(('Ammo Input'!C169*(MAX('Ammo Input'!D169,'Ammo Input'!F169)*0.5)^2*PI())*3/1000000,2)</f>
        <v>0.26</v>
      </c>
      <c r="D169">
        <f>ROUNDUP(('Ammo Input'!E169+'Ammo Input'!H169*IF('Ammo Input'!J169&lt;&gt;"",MAX('Ammo Input'!J169,1),1))/1000,3)</f>
        <v>0.3</v>
      </c>
      <c r="E169">
        <f>MIN(5000,MAX(25,CEILING(Calcs!L169,_xlfn.IFS(Calcs!L169&lt;100,25,Calcs!L169&lt;250,50,Calcs!L169&lt;1000,250,Calcs!L169&gt;=1000,1000))))</f>
        <v>2000</v>
      </c>
      <c r="F169">
        <f>ROUNDUP('Ammo Input'!G169^(3/4),0)</f>
        <v>165</v>
      </c>
      <c r="G169">
        <f>ROUND((0.5*((IF(OR(B169="HEAT",B169="HEDP"),'Ammo Input'!N169,'Ammo Input'!H169)/1000)*(IF(B169="HEAT",9000,IF(B169="HEDP",1500,'Ammo Input'!G169))^2))),0)</f>
        <v>48600</v>
      </c>
      <c r="H169" s="25" t="str">
        <f>CONCATENATE(IF((B169="Foam")+(B169="Smoke"),"-",ROUND(Calcs!D169,0))," ",VLOOKUP(B169,AmmoTypeFactors,5,FALSE))</f>
        <v>43 Bullet</v>
      </c>
      <c r="I169" s="25" t="str">
        <f>IF(Calcs!E169=0,"None",CONCATENATE(ROUND(Calcs!E169,0)," ",VLOOKUP(B169,AmmoTypeFactors,6,FALSE)))</f>
        <v>None</v>
      </c>
      <c r="J169">
        <f>MROUND(2.42*'Ammo Input'!M169^(1/3)*VLOOKUP(B169,AmmoTypeFactors,3,FALSE),0.5)</f>
        <v>0</v>
      </c>
      <c r="K169" s="25" t="str">
        <f>IF(VLOOKUP(B169,AmmoTypeFactors,12,FALSE),MROUND(J169/3,0.5),"None")</f>
        <v>None</v>
      </c>
      <c r="L169" s="25">
        <f>IF(VLOOKUP(B169,AmmoTypeFactors,8,FALSE),"None",ROUNDUP(IF(Calcs!I169&gt;0,Calcs!I169,Calcs!H169),3))</f>
        <v>972</v>
      </c>
      <c r="M169" s="25">
        <f>IF(VLOOKUP(B169,AmmoTypeFactors,8,FALSE),"None",'Ammo Input'!L169)</f>
        <v>34</v>
      </c>
      <c r="N169">
        <f>'Ammo Input'!O169</f>
        <v>200</v>
      </c>
      <c r="O169" t="e">
        <f>ROUND((P169*0.0036+SUMPRODUCT(Q169:AB169,VLOOKUP($Q$1:$AB$1,IngredientStats,2,FALSE)))/N169*IF('Ammo Input'!R169,0.5,1),2)</f>
        <v>#VALUE!</v>
      </c>
      <c r="P169" t="e">
        <f>(SUMPRODUCT(Q169:AB169,VLOOKUP($Q$1:$AB$1,IngredientStats,4,FALSE))*VLOOKUP(B169,AmmoTypeFactors,14,FALSE)*IF('Ammo Input'!R169,1.1,1))</f>
        <v>#VALUE!</v>
      </c>
      <c r="Q169">
        <f>IFERROR(__xludf.DUMMYFUNCTION("((IF(NOT(OR(REGEXMATCH(B169, ""Arrow""), B169 = ""Javelin"", B169 = ""Stick bomb"")), ROUNDUP(('Ammo Input'!E169 / 1000) * N169)) + IF(VLOOKUP(B169, AmmoTypeFactors, 9, FALSE) = ""Steel"", ROUNDUP(('Ammo Input'!H169 -'Ammo Input'!M169) * MAX(IF('Ammo Inpu"&amp;"t'!J169 &gt; 0, 'Ammo Input'!J169, 1), 1) * N169 / 1000))) / 'Ingredient stats'!$C$2) * IF(ISBLANK(VLOOKUP(B169,AmmoTypeFactors,15,False)),1,VLOOKUP(B169,AmmoTypeFactors,15,False))"),120)</f>
        <v>120</v>
      </c>
      <c r="R169">
        <f>IFERROR(__xludf.DUMMYFUNCTION("ROUNDUP((IF(REGEXMATCH(B169, ""Arrow"") + (B169 = ""Javelin""), 'Ammo Input'!E169) + IF(VLOOKUP(B169, AmmoTypeFactors, 9, FALSE) = ""Wood"", 'Ammo Input'!H169) + IF(B169 = ""Stick bomb"", 'Ammo Input'!E169)) * N169 / 'Ingredient stats'!$C$12 / 1000)"),0)</f>
        <v>0</v>
      </c>
      <c r="S169">
        <v>0</v>
      </c>
      <c r="T169">
        <v>0</v>
      </c>
      <c r="U169">
        <f>IF(VLOOKUP(B169,AmmoTypeFactors,9,FALSE)="Plasteel",ROUNDUP(('Ammo Input'!H169*MAX(IF('Ammo Input'!J169&gt;0,'Ammo Input'!J169,1)*N169/1000/'Ingredient stats'!$C$4)),0),0)</f>
        <v>0</v>
      </c>
      <c r="V169">
        <f>IFERROR(__xludf.DUMMYFUNCTION("ROUNDUP(IF(ISBLANK(VLOOKUP(B169,AmmoTypeFactors,16,False)),1,VLOOKUP(B169,AmmoTypeFactors,16,False)) * (IFS(REGEXMATCH(B169, ""EMP""), 'Ammo Input'!M169 * N169 / 'Ingredient stats'!$C$5, REGEXMATCH(B169, ""Charge""), (U169^0.75), true, 0) + (IF(VLOOKUP(B1"&amp;"69, AmmoTypeFactors, 10, false), 2,0) + IF('Ammo Input'!P169, 2,0) + IF('Ammo Input'!Q169,MIN(ROUNDUP(0.2*('Ammo Input'!H169/1000)*'Ammo Input'!O169,0),20),0))))"),0)</f>
        <v>0</v>
      </c>
      <c r="W169">
        <v>0</v>
      </c>
      <c r="X169">
        <v>0</v>
      </c>
      <c r="Y169">
        <v>0</v>
      </c>
      <c r="Z169">
        <v>0</v>
      </c>
      <c r="AA169">
        <v>0</v>
      </c>
      <c r="AB169" s="30">
        <f>IF(B169="Sling Bullet (Stone)",ROUNDUP(D169*0.02*E169/'Ingredient stats'!$C$8,0),0)</f>
        <v>0</v>
      </c>
      <c r="AC169" t="str">
        <f t="shared" si="8"/>
        <v>None</v>
      </c>
      <c r="AD169" t="str">
        <f>IF(OR(B169="Buck",B169="Bird",B169="Charge (Scatter)"),'Ammo Input'!J169,"None")</f>
        <v>None</v>
      </c>
      <c r="AE169" t="str">
        <f>_xlfn.IFS(ISTEXT(Calcs!N169),Calcs!N169,Calcs!N169&lt;=40,Calcs!N169,Calcs!N169&gt;41,"40")</f>
        <v>None</v>
      </c>
      <c r="AF169" t="str">
        <f>_xlfn.IFS(ISTEXT(Calcs!O169),Calcs!O169,Calcs!O169&lt;=80,Calcs!O169,Calcs!O169&gt;=81,"80")</f>
        <v>None</v>
      </c>
      <c r="AG169" s="25">
        <f t="shared" si="9"/>
        <v>1</v>
      </c>
      <c r="AH169" s="25">
        <f t="shared" si="10"/>
        <v>2.7</v>
      </c>
      <c r="AI169" s="25">
        <f t="shared" si="11"/>
        <v>1</v>
      </c>
    </row>
    <row r="170" ht="14.4" spans="1:35">
      <c r="A170" s="24" t="str">
        <f>'Ammo Input'!A170</f>
        <v>20x138mmB</v>
      </c>
      <c r="B170" t="str">
        <f>'Ammo Input'!B170</f>
        <v>AP-I</v>
      </c>
      <c r="C170">
        <f>ROUNDUP(('Ammo Input'!C170*(MAX('Ammo Input'!D170,'Ammo Input'!F170)*0.5)^2*PI())*3/1000000,2)</f>
        <v>0.26</v>
      </c>
      <c r="D170">
        <f>ROUNDUP(('Ammo Input'!E170+'Ammo Input'!H170*IF('Ammo Input'!J170&lt;&gt;"",MAX('Ammo Input'!J170,1),1))/1000,3)</f>
        <v>0.3</v>
      </c>
      <c r="E170">
        <f>MIN(5000,MAX(25,CEILING(Calcs!L170,_xlfn.IFS(Calcs!L170&lt;100,25,Calcs!L170&lt;250,50,Calcs!L170&lt;1000,250,Calcs!L170&gt;=1000,1000))))</f>
        <v>2000</v>
      </c>
      <c r="F170">
        <f>ROUNDUP('Ammo Input'!G170^(3/4),0)</f>
        <v>165</v>
      </c>
      <c r="G170">
        <f>ROUND((0.5*((IF(OR(B170="HEAT",B170="HEDP"),'Ammo Input'!N170,'Ammo Input'!H170)/1000)*(IF(B170="HEAT",9000,IF(B170="HEDP",1500,'Ammo Input'!G170))^2))),0)</f>
        <v>48600</v>
      </c>
      <c r="H170" s="25" t="str">
        <f>CONCATENATE(IF((B170="Foam")+(B170="Smoke"),"-",ROUND(Calcs!D170,0))," ",VLOOKUP(B170,AmmoTypeFactors,5,FALSE))</f>
        <v>43 Bullet</v>
      </c>
      <c r="I170" s="25" t="str">
        <f>IF(Calcs!E170=0,"None",CONCATENATE(ROUND(Calcs!E170,0)," ",VLOOKUP(B170,AmmoTypeFactors,6,FALSE)))</f>
        <v>26 Flame_Secondary</v>
      </c>
      <c r="J170">
        <f>MROUND(2.42*'Ammo Input'!M170^(1/3)*VLOOKUP(B170,AmmoTypeFactors,3,FALSE),0.5)</f>
        <v>0</v>
      </c>
      <c r="K170" s="25" t="str">
        <f>IF(VLOOKUP(B170,AmmoTypeFactors,12,FALSE),MROUND(J170/3,0.5),"None")</f>
        <v>None</v>
      </c>
      <c r="L170" s="25">
        <f>IF(VLOOKUP(B170,AmmoTypeFactors,8,FALSE),"None",ROUNDUP(IF(Calcs!I170&gt;0,Calcs!I170,Calcs!H170),3))</f>
        <v>972</v>
      </c>
      <c r="M170" s="25">
        <f>IF(VLOOKUP(B170,AmmoTypeFactors,8,FALSE),"None",'Ammo Input'!L170)</f>
        <v>34</v>
      </c>
      <c r="N170">
        <f>'Ammo Input'!O170</f>
        <v>200</v>
      </c>
      <c r="O170" t="e">
        <f>ROUND((P170*0.0036+SUMPRODUCT(Q170:AB170,VLOOKUP($Q$1:$AB$1,IngredientStats,2,FALSE)))/N170*IF('Ammo Input'!R170,0.5,1),2)</f>
        <v>#VALUE!</v>
      </c>
      <c r="P170" t="e">
        <f>(SUMPRODUCT(Q170:AB170,VLOOKUP($Q$1:$AB$1,IngredientStats,4,FALSE))*VLOOKUP(B170,AmmoTypeFactors,14,FALSE)*IF('Ammo Input'!R170,1.1,1))</f>
        <v>#VALUE!</v>
      </c>
      <c r="Q170">
        <f>IFERROR(__xludf.DUMMYFUNCTION("((IF(NOT(OR(REGEXMATCH(B170, ""Arrow""), B170 = ""Javelin"", B170 = ""Stick bomb"")), ROUNDUP(('Ammo Input'!E170 / 1000) * N170)) + IF(VLOOKUP(B170, AmmoTypeFactors, 9, FALSE) = ""Steel"", ROUNDUP(('Ammo Input'!H170 -'Ammo Input'!M170) * MAX(IF('Ammo Inpu"&amp;"t'!J170 &gt; 0, 'Ammo Input'!J170, 1), 1) * N170 / 1000))) / 'Ingredient stats'!$C$2) * IF(ISBLANK(VLOOKUP(B170,AmmoTypeFactors,15,False)),1,VLOOKUP(B170,AmmoTypeFactors,15,False))"),120)</f>
        <v>120</v>
      </c>
      <c r="R170">
        <f>IFERROR(__xludf.DUMMYFUNCTION("ROUNDUP((IF(REGEXMATCH(B170, ""Arrow"") + (B170 = ""Javelin""), 'Ammo Input'!E170) + IF(VLOOKUP(B170, AmmoTypeFactors, 9, FALSE) = ""Wood"", 'Ammo Input'!H170) + IF(B170 = ""Stick bomb"", 'Ammo Input'!E170)) * N170 / 'Ingredient stats'!$C$12 / 1000)"),0)</f>
        <v>0</v>
      </c>
      <c r="S170">
        <v>0</v>
      </c>
      <c r="T170">
        <v>0</v>
      </c>
      <c r="U170">
        <f>IF(VLOOKUP(B170,AmmoTypeFactors,9,FALSE)="Plasteel",ROUNDUP(('Ammo Input'!H170*MAX(IF('Ammo Input'!J170&gt;0,'Ammo Input'!J170,1)*N170/1000/'Ingredient stats'!$C$4)),0),0)</f>
        <v>0</v>
      </c>
      <c r="V170">
        <f>IFERROR(__xludf.DUMMYFUNCTION("ROUNDUP(IF(ISBLANK(VLOOKUP(B170,AmmoTypeFactors,16,False)),1,VLOOKUP(B170,AmmoTypeFactors,16,False)) * (IFS(REGEXMATCH(B170, ""EMP""), 'Ammo Input'!M170 * N170 / 'Ingredient stats'!$C$5, REGEXMATCH(B170, ""Charge""), (U170^0.75), true, 0) + (IF(VLOOKUP(B1"&amp;"70, AmmoTypeFactors, 10, false), 2,0) + IF('Ammo Input'!P170, 2,0) + IF('Ammo Input'!Q170,MIN(ROUNDUP(0.2*('Ammo Input'!H170/1000)*'Ammo Input'!O170,0),20),0))))"),0)</f>
        <v>0</v>
      </c>
      <c r="W170">
        <v>12</v>
      </c>
      <c r="X170">
        <v>0</v>
      </c>
      <c r="Y170">
        <v>0</v>
      </c>
      <c r="Z170">
        <v>0</v>
      </c>
      <c r="AA170">
        <v>0</v>
      </c>
      <c r="AB170" s="30">
        <f>IF(B170="Sling Bullet (Stone)",ROUNDUP(D170*0.02*E170/'Ingredient stats'!$C$8,0),0)</f>
        <v>0</v>
      </c>
      <c r="AC170" t="str">
        <f t="shared" si="8"/>
        <v>None</v>
      </c>
      <c r="AD170" t="str">
        <f>IF(OR(B170="Buck",B170="Bird",B170="Charge (Scatter)"),'Ammo Input'!J170,"None")</f>
        <v>None</v>
      </c>
      <c r="AE170" t="str">
        <f>_xlfn.IFS(ISTEXT(Calcs!N170),Calcs!N170,Calcs!N170&lt;=40,Calcs!N170,Calcs!N170&gt;41,"40")</f>
        <v>None</v>
      </c>
      <c r="AF170" t="str">
        <f>_xlfn.IFS(ISTEXT(Calcs!O170),Calcs!O170,Calcs!O170&lt;=80,Calcs!O170,Calcs!O170&gt;=81,"80")</f>
        <v>None</v>
      </c>
      <c r="AG170" s="25">
        <f t="shared" si="9"/>
        <v>1</v>
      </c>
      <c r="AH170" s="25">
        <f t="shared" si="10"/>
        <v>2.7</v>
      </c>
      <c r="AI170" s="25">
        <f t="shared" si="11"/>
        <v>1</v>
      </c>
    </row>
    <row r="171" ht="14.4" spans="1:35">
      <c r="A171" s="24" t="str">
        <f>'Ammo Input'!A171</f>
        <v>20x138mmB</v>
      </c>
      <c r="B171" t="str">
        <f>'Ammo Input'!B171</f>
        <v>AP-HE</v>
      </c>
      <c r="C171">
        <f>ROUNDUP(('Ammo Input'!C171*(MAX('Ammo Input'!D171,'Ammo Input'!F171)*0.5)^2*PI())*3/1000000,2)</f>
        <v>0.26</v>
      </c>
      <c r="D171">
        <f>ROUNDUP(('Ammo Input'!E171+'Ammo Input'!H171*IF('Ammo Input'!J171&lt;&gt;"",MAX('Ammo Input'!J171,1),1))/1000,3)</f>
        <v>0.3</v>
      </c>
      <c r="E171">
        <f>MIN(5000,MAX(25,CEILING(Calcs!L171,_xlfn.IFS(Calcs!L171&lt;100,25,Calcs!L171&lt;250,50,Calcs!L171&lt;1000,250,Calcs!L171&gt;=1000,1000))))</f>
        <v>2000</v>
      </c>
      <c r="F171">
        <f>ROUNDUP('Ammo Input'!G171^(3/4),0)</f>
        <v>165</v>
      </c>
      <c r="G171">
        <f>ROUND((0.5*((IF(OR(B171="HEAT",B171="HEDP"),'Ammo Input'!N171,'Ammo Input'!H171)/1000)*(IF(B171="HEAT",9000,IF(B171="HEDP",1500,'Ammo Input'!G171))^2))),0)</f>
        <v>48600</v>
      </c>
      <c r="H171" s="25" t="str">
        <f>CONCATENATE(IF((B171="Foam")+(B171="Smoke"),"-",ROUND(Calcs!D171,0))," ",VLOOKUP(B171,AmmoTypeFactors,5,FALSE))</f>
        <v>68 Bullet</v>
      </c>
      <c r="I171" s="25" t="str">
        <f>IF(Calcs!E171=0,"None",CONCATENATE(ROUND(Calcs!E171,0)," ",VLOOKUP(B171,AmmoTypeFactors,6,FALSE)))</f>
        <v>35 Bomb_Secondary</v>
      </c>
      <c r="J171">
        <f>MROUND(2.42*'Ammo Input'!M171^(1/3)*VLOOKUP(B171,AmmoTypeFactors,3,FALSE),0.5)</f>
        <v>0</v>
      </c>
      <c r="K171" s="25" t="str">
        <f>IF(VLOOKUP(B171,AmmoTypeFactors,12,FALSE),MROUND(J171/3,0.5),"None")</f>
        <v>None</v>
      </c>
      <c r="L171" s="25">
        <f>IF(VLOOKUP(B171,AmmoTypeFactors,8,FALSE),"None",ROUNDUP(IF(Calcs!I171&gt;0,Calcs!I171,Calcs!H171),3))</f>
        <v>972</v>
      </c>
      <c r="M171" s="25">
        <f>IF(VLOOKUP(B171,AmmoTypeFactors,8,FALSE),"None",'Ammo Input'!L171)</f>
        <v>17</v>
      </c>
      <c r="N171">
        <f>'Ammo Input'!O171</f>
        <v>200</v>
      </c>
      <c r="O171" t="e">
        <f>ROUND((P171*0.0036+SUMPRODUCT(Q171:AB171,VLOOKUP($Q$1:$AB$1,IngredientStats,2,FALSE)))/N171*IF('Ammo Input'!R171,0.5,1),2)</f>
        <v>#VALUE!</v>
      </c>
      <c r="P171" t="e">
        <f>(SUMPRODUCT(Q171:AB171,VLOOKUP($Q$1:$AB$1,IngredientStats,4,FALSE))*VLOOKUP(B171,AmmoTypeFactors,14,FALSE)*IF('Ammo Input'!R171,1.1,1))</f>
        <v>#VALUE!</v>
      </c>
      <c r="Q171">
        <f>IFERROR(__xludf.DUMMYFUNCTION("((IF(NOT(OR(REGEXMATCH(B171, ""Arrow""), B171 = ""Javelin"", B171 = ""Stick bomb"")), ROUNDUP(('Ammo Input'!E171 / 1000) * N171)) + IF(VLOOKUP(B171, AmmoTypeFactors, 9, FALSE) = ""Steel"", ROUNDUP(('Ammo Input'!H171 -'Ammo Input'!M171) * MAX(IF('Ammo Inpu"&amp;"t'!J171 &gt; 0, 'Ammo Input'!J171, 1), 1) * N171 / 1000))) / 'Ingredient stats'!$C$2) * IF(ISBLANK(VLOOKUP(B171,AmmoTypeFactors,15,False)),1,VLOOKUP(B171,AmmoTypeFactors,15,False))"),120)</f>
        <v>120</v>
      </c>
      <c r="R171">
        <f>IFERROR(__xludf.DUMMYFUNCTION("ROUNDUP((IF(REGEXMATCH(B171, ""Arrow"") + (B171 = ""Javelin""), 'Ammo Input'!E171) + IF(VLOOKUP(B171, AmmoTypeFactors, 9, FALSE) = ""Wood"", 'Ammo Input'!H171) + IF(B171 = ""Stick bomb"", 'Ammo Input'!E171)) * N171 / 'Ingredient stats'!$C$12 / 1000)"),0)</f>
        <v>0</v>
      </c>
      <c r="S171">
        <v>0</v>
      </c>
      <c r="T171">
        <v>0</v>
      </c>
      <c r="U171">
        <f>IF(VLOOKUP(B171,AmmoTypeFactors,9,FALSE)="Plasteel",ROUNDUP(('Ammo Input'!H171*MAX(IF('Ammo Input'!J171&gt;0,'Ammo Input'!J171,1)*N171/1000/'Ingredient stats'!$C$4)),0),0)</f>
        <v>0</v>
      </c>
      <c r="V171">
        <f>IFERROR(__xludf.DUMMYFUNCTION("ROUNDUP(IF(ISBLANK(VLOOKUP(B171,AmmoTypeFactors,16,False)),1,VLOOKUP(B171,AmmoTypeFactors,16,False)) * (IFS(REGEXMATCH(B171, ""EMP""), 'Ammo Input'!M171 * N171 / 'Ingredient stats'!$C$5, REGEXMATCH(B171, ""Charge""), (U171^0.75), true, 0) + (IF(VLOOKUP(B1"&amp;"71, AmmoTypeFactors, 10, false), 2,0) + IF('Ammo Input'!P171, 2,0) + IF('Ammo Input'!Q171,MIN(ROUNDUP(0.2*('Ammo Input'!H171/1000)*'Ammo Input'!O171,0),20),0))))"),0)</f>
        <v>0</v>
      </c>
      <c r="W171">
        <v>0</v>
      </c>
      <c r="X171">
        <v>23</v>
      </c>
      <c r="Y171">
        <v>0</v>
      </c>
      <c r="Z171">
        <v>0</v>
      </c>
      <c r="AA171">
        <v>0</v>
      </c>
      <c r="AB171" s="30">
        <f>IF(B171="Sling Bullet (Stone)",ROUNDUP(D171*0.02*E171/'Ingredient stats'!$C$8,0),0)</f>
        <v>0</v>
      </c>
      <c r="AC171" t="str">
        <f t="shared" si="8"/>
        <v>None</v>
      </c>
      <c r="AD171" t="str">
        <f>IF(OR(B171="Buck",B171="Bird",B171="Charge (Scatter)"),'Ammo Input'!J171,"None")</f>
        <v>None</v>
      </c>
      <c r="AE171" t="str">
        <f>_xlfn.IFS(ISTEXT(Calcs!N171),Calcs!N171,Calcs!N171&lt;=40,Calcs!N171,Calcs!N171&gt;41,"40")</f>
        <v>None</v>
      </c>
      <c r="AF171" t="str">
        <f>_xlfn.IFS(ISTEXT(Calcs!O171),Calcs!O171,Calcs!O171&lt;=80,Calcs!O171,Calcs!O171&gt;=81,"80")</f>
        <v>None</v>
      </c>
      <c r="AG171" s="25">
        <f t="shared" si="9"/>
        <v>1</v>
      </c>
      <c r="AH171" s="25">
        <f t="shared" si="10"/>
        <v>2.7</v>
      </c>
      <c r="AI171" s="25">
        <f t="shared" si="11"/>
        <v>1</v>
      </c>
    </row>
    <row r="172" ht="14.4" spans="1:35">
      <c r="A172" s="24" t="str">
        <f>'Ammo Input'!A172</f>
        <v>20x138mmB</v>
      </c>
      <c r="B172" t="str">
        <f>'Ammo Input'!B172</f>
        <v>Sabot</v>
      </c>
      <c r="C172">
        <f>ROUNDUP(('Ammo Input'!C172*(MAX('Ammo Input'!D172,'Ammo Input'!F172)*0.5)^2*PI())*3/1000000,2)</f>
        <v>0.26</v>
      </c>
      <c r="D172">
        <f>ROUNDUP(('Ammo Input'!E172+'Ammo Input'!H172*IF('Ammo Input'!J172&lt;&gt;"",MAX('Ammo Input'!J172,1),1))/1000,3)</f>
        <v>0.249</v>
      </c>
      <c r="E172">
        <f>MIN(5000,MAX(25,CEILING(Calcs!L172,_xlfn.IFS(Calcs!L172&lt;100,25,Calcs!L172&lt;250,50,Calcs!L172&lt;1000,250,Calcs!L172&gt;=1000,1000))))</f>
        <v>2000</v>
      </c>
      <c r="F172">
        <f>ROUNDUP('Ammo Input'!G172^(3/4),0)</f>
        <v>223</v>
      </c>
      <c r="G172">
        <f>ROUND((0.5*((IF(OR(B172="HEAT",B172="HEDP"),'Ammo Input'!N172,'Ammo Input'!H172)/1000)*(IF(B172="HEAT",9000,IF(B172="HEDP",1500,'Ammo Input'!G172))^2))),0)</f>
        <v>62876</v>
      </c>
      <c r="H172" s="25" t="str">
        <f>CONCATENATE(IF((B172="Foam")+(B172="Smoke"),"-",ROUND(Calcs!D172,0))," ",VLOOKUP(B172,AmmoTypeFactors,5,FALSE))</f>
        <v>36 Bullet</v>
      </c>
      <c r="I172" s="25" t="str">
        <f>IF(Calcs!E172=0,"None",CONCATENATE(ROUND(Calcs!E172,0)," ",VLOOKUP(B172,AmmoTypeFactors,6,FALSE)))</f>
        <v>None</v>
      </c>
      <c r="J172">
        <f>MROUND(2.42*'Ammo Input'!M172^(1/3)*VLOOKUP(B172,AmmoTypeFactors,3,FALSE),0.5)</f>
        <v>0</v>
      </c>
      <c r="K172" s="25" t="str">
        <f>IF(VLOOKUP(B172,AmmoTypeFactors,12,FALSE),MROUND(J172/3,0.5),"None")</f>
        <v>None</v>
      </c>
      <c r="L172" s="25">
        <f>IF(VLOOKUP(B172,AmmoTypeFactors,8,FALSE),"None",ROUNDUP(IF(Calcs!I172&gt;0,Calcs!I172,Calcs!H172),3))</f>
        <v>1257.52</v>
      </c>
      <c r="M172" s="25">
        <f>IF(VLOOKUP(B172,AmmoTypeFactors,8,FALSE),"None",'Ammo Input'!L172)</f>
        <v>60</v>
      </c>
      <c r="N172">
        <f>'Ammo Input'!O172</f>
        <v>200</v>
      </c>
      <c r="O172" t="e">
        <f>ROUND((P172*0.0036+SUMPRODUCT(Q172:AB172,VLOOKUP($Q$1:$AB$1,IngredientStats,2,FALSE)))/N172*IF('Ammo Input'!R172,0.5,1),2)</f>
        <v>#VALUE!</v>
      </c>
      <c r="P172" t="e">
        <f>(SUMPRODUCT(Q172:AB172,VLOOKUP($Q$1:$AB$1,IngredientStats,4,FALSE))*VLOOKUP(B172,AmmoTypeFactors,14,FALSE)*IF('Ammo Input'!R172,1.1,1))</f>
        <v>#VALUE!</v>
      </c>
      <c r="Q172">
        <f>IFERROR(__xludf.DUMMYFUNCTION("((IF(NOT(OR(REGEXMATCH(B172, ""Arrow""), B172 = ""Javelin"", B172 = ""Stick bomb"")), ROUNDUP(('Ammo Input'!E172 / 1000) * N172)) + IF(VLOOKUP(B172, AmmoTypeFactors, 9, FALSE) = ""Steel"", ROUNDUP(('Ammo Input'!H172 -'Ammo Input'!M172) * MAX(IF('Ammo Inpu"&amp;"t'!J172 &gt; 0, 'Ammo Input'!J172, 1), 1) * N172 / 1000))) / 'Ingredient stats'!$C$2) * IF(ISBLANK(VLOOKUP(B172,AmmoTypeFactors,15,False)),1,VLOOKUP(B172,AmmoTypeFactors,15,False))"),72)</f>
        <v>72</v>
      </c>
      <c r="R172">
        <f>IFERROR(__xludf.DUMMYFUNCTION("ROUNDUP((IF(REGEXMATCH(B172, ""Arrow"") + (B172 = ""Javelin""), 'Ammo Input'!E172) + IF(VLOOKUP(B172, AmmoTypeFactors, 9, FALSE) = ""Wood"", 'Ammo Input'!H172) + IF(B172 = ""Stick bomb"", 'Ammo Input'!E172)) * N172 / 'Ingredient stats'!$C$12 / 1000)"),0)</f>
        <v>0</v>
      </c>
      <c r="S172">
        <v>14</v>
      </c>
      <c r="T172">
        <v>14</v>
      </c>
      <c r="U172">
        <f>IF(VLOOKUP(B172,AmmoTypeFactors,9,FALSE)="Plasteel",ROUNDUP(('Ammo Input'!H172*MAX(IF('Ammo Input'!J172&gt;0,'Ammo Input'!J172,1)*N172/1000/'Ingredient stats'!$C$4)),0),0)</f>
        <v>0</v>
      </c>
      <c r="V172">
        <f>IFERROR(__xludf.DUMMYFUNCTION("ROUNDUP(IF(ISBLANK(VLOOKUP(B172,AmmoTypeFactors,16,False)),1,VLOOKUP(B172,AmmoTypeFactors,16,False)) * (IFS(REGEXMATCH(B172, ""EMP""), 'Ammo Input'!M172 * N172 / 'Ingredient stats'!$C$5, REGEXMATCH(B172, ""Charge""), (U172^0.75), true, 0) + (IF(VLOOKUP(B1"&amp;"72, AmmoTypeFactors, 10, false), 2,0) + IF('Ammo Input'!P172, 2,0) + IF('Ammo Input'!Q172,MIN(ROUNDUP(0.2*('Ammo Input'!H172/1000)*'Ammo Input'!O172,0),20),0))))"),0)</f>
        <v>0</v>
      </c>
      <c r="W172">
        <v>0</v>
      </c>
      <c r="X172">
        <v>0</v>
      </c>
      <c r="Y172">
        <v>0</v>
      </c>
      <c r="Z172">
        <v>0</v>
      </c>
      <c r="AA172">
        <v>0</v>
      </c>
      <c r="AB172" s="30">
        <f>IF(B172="Sling Bullet (Stone)",ROUNDUP(D172*0.02*E172/'Ingredient stats'!$C$8,0),0)</f>
        <v>0</v>
      </c>
      <c r="AC172" t="str">
        <f t="shared" si="8"/>
        <v>None</v>
      </c>
      <c r="AD172" t="str">
        <f>IF(OR(B172="Buck",B172="Bird",B172="Charge (Scatter)"),'Ammo Input'!J172,"None")</f>
        <v>None</v>
      </c>
      <c r="AE172" t="str">
        <f>_xlfn.IFS(ISTEXT(Calcs!N172),Calcs!N172,Calcs!N172&lt;=40,Calcs!N172,Calcs!N172&gt;41,"40")</f>
        <v>None</v>
      </c>
      <c r="AF172" t="str">
        <f>_xlfn.IFS(ISTEXT(Calcs!O172),Calcs!O172,Calcs!O172&lt;=80,Calcs!O172,Calcs!O172&gt;=81,"80")</f>
        <v>None</v>
      </c>
      <c r="AG172" s="25">
        <f t="shared" si="9"/>
        <v>1</v>
      </c>
      <c r="AH172" s="25">
        <f t="shared" si="10"/>
        <v>3.64</v>
      </c>
      <c r="AI172" s="25">
        <f t="shared" si="11"/>
        <v>1</v>
      </c>
    </row>
    <row r="173" ht="14.4" spans="1:35">
      <c r="A173" s="24" t="str">
        <f>'Ammo Input'!A173</f>
        <v>20x139mm</v>
      </c>
      <c r="B173" t="str">
        <f>'Ammo Input'!B173</f>
        <v>AP</v>
      </c>
      <c r="C173">
        <f>ROUNDUP(('Ammo Input'!C173*(MAX('Ammo Input'!D173,'Ammo Input'!F173)*0.5)^2*PI())*3/1000000,2)</f>
        <v>0.34</v>
      </c>
      <c r="D173">
        <f>ROUNDUP(('Ammo Input'!E173+'Ammo Input'!H173*IF('Ammo Input'!J173&lt;&gt;"",MAX('Ammo Input'!J173,1),1))/1000,3)</f>
        <v>0.302</v>
      </c>
      <c r="E173">
        <f>MIN(5000,MAX(25,CEILING(Calcs!L173,_xlfn.IFS(Calcs!L173&lt;100,25,Calcs!L173&lt;250,50,Calcs!L173&lt;1000,250,Calcs!L173&gt;=1000,1000))))</f>
        <v>2000</v>
      </c>
      <c r="F173">
        <f>ROUNDUP('Ammo Input'!G173^(3/4),0)</f>
        <v>185</v>
      </c>
      <c r="G173">
        <f>ROUND((0.5*((IF(OR(B173="HEAT",B173="HEDP"),'Ammo Input'!N173,'Ammo Input'!H173)/1000)*(IF(B173="HEAT",9000,IF(B173="HEDP",1500,'Ammo Input'!G173))^2))),0)</f>
        <v>67253</v>
      </c>
      <c r="H173" s="25" t="str">
        <f>CONCATENATE(IF((B173="Foam")+(B173="Smoke"),"-",ROUND(Calcs!D173,0))," ",VLOOKUP(B173,AmmoTypeFactors,5,FALSE))</f>
        <v>48 Bullet</v>
      </c>
      <c r="I173" s="25" t="str">
        <f>IF(Calcs!E173=0,"None",CONCATENATE(ROUND(Calcs!E173,0)," ",VLOOKUP(B173,AmmoTypeFactors,6,FALSE)))</f>
        <v>None</v>
      </c>
      <c r="J173">
        <f>MROUND(2.42*'Ammo Input'!M173^(1/3)*VLOOKUP(B173,AmmoTypeFactors,3,FALSE),0.5)</f>
        <v>0</v>
      </c>
      <c r="K173" s="25" t="str">
        <f>IF(VLOOKUP(B173,AmmoTypeFactors,12,FALSE),MROUND(J173/3,0.5),"None")</f>
        <v>None</v>
      </c>
      <c r="L173" s="25">
        <f>IF(VLOOKUP(B173,AmmoTypeFactors,8,FALSE),"None",ROUNDUP(IF(Calcs!I173&gt;0,Calcs!I173,Calcs!H173),3))</f>
        <v>1345.06</v>
      </c>
      <c r="M173" s="25">
        <f>IF(VLOOKUP(B173,AmmoTypeFactors,8,FALSE),"None",'Ammo Input'!L173)</f>
        <v>38</v>
      </c>
      <c r="N173">
        <f>'Ammo Input'!O173</f>
        <v>200</v>
      </c>
      <c r="O173" t="e">
        <f>ROUND((P173*0.0036+SUMPRODUCT(Q173:AB173,VLOOKUP($Q$1:$AB$1,IngredientStats,2,FALSE)))/N173*IF('Ammo Input'!R173,0.5,1),2)</f>
        <v>#VALUE!</v>
      </c>
      <c r="P173" t="e">
        <f>(SUMPRODUCT(Q173:AB173,VLOOKUP($Q$1:$AB$1,IngredientStats,4,FALSE))*VLOOKUP(B173,AmmoTypeFactors,14,FALSE)*IF('Ammo Input'!R173,1.1,1))</f>
        <v>#VALUE!</v>
      </c>
      <c r="Q173">
        <f>IFERROR(__xludf.DUMMYFUNCTION("((IF(NOT(OR(REGEXMATCH(B173, ""Arrow""), B173 = ""Javelin"", B173 = ""Stick bomb"")), ROUNDUP(('Ammo Input'!E173 / 1000) * N173)) + IF(VLOOKUP(B173, AmmoTypeFactors, 9, FALSE) = ""Steel"", ROUNDUP(('Ammo Input'!H173 -'Ammo Input'!M173) * MAX(IF('Ammo Inpu"&amp;"t'!J173 &gt; 0, 'Ammo Input'!J173, 1), 1) * N173 / 1000))) / 'Ingredient stats'!$C$2) * IF(ISBLANK(VLOOKUP(B173,AmmoTypeFactors,15,False)),1,VLOOKUP(B173,AmmoTypeFactors,15,False))"),122)</f>
        <v>122</v>
      </c>
      <c r="R173">
        <f>IFERROR(__xludf.DUMMYFUNCTION("ROUNDUP((IF(REGEXMATCH(B173, ""Arrow"") + (B173 = ""Javelin""), 'Ammo Input'!E173) + IF(VLOOKUP(B173, AmmoTypeFactors, 9, FALSE) = ""Wood"", 'Ammo Input'!H173) + IF(B173 = ""Stick bomb"", 'Ammo Input'!E173)) * N173 / 'Ingredient stats'!$C$12 / 1000)"),0)</f>
        <v>0</v>
      </c>
      <c r="S173">
        <v>0</v>
      </c>
      <c r="T173">
        <v>0</v>
      </c>
      <c r="U173">
        <f>IF(VLOOKUP(B173,AmmoTypeFactors,9,FALSE)="Plasteel",ROUNDUP(('Ammo Input'!H173*MAX(IF('Ammo Input'!J173&gt;0,'Ammo Input'!J173,1)*N173/1000/'Ingredient stats'!$C$4)),0),0)</f>
        <v>0</v>
      </c>
      <c r="V173">
        <f>IFERROR(__xludf.DUMMYFUNCTION("ROUNDUP(IF(ISBLANK(VLOOKUP(B173,AmmoTypeFactors,16,False)),1,VLOOKUP(B173,AmmoTypeFactors,16,False)) * (IFS(REGEXMATCH(B173, ""EMP""), 'Ammo Input'!M173 * N173 / 'Ingredient stats'!$C$5, REGEXMATCH(B173, ""Charge""), (U173^0.75), true, 0) + (IF(VLOOKUP(B1"&amp;"73, AmmoTypeFactors, 10, false), 2,0) + IF('Ammo Input'!P173, 2,0) + IF('Ammo Input'!Q173,MIN(ROUNDUP(0.2*('Ammo Input'!H173/1000)*'Ammo Input'!O173,0),20),0))))"),0)</f>
        <v>0</v>
      </c>
      <c r="W173">
        <v>0</v>
      </c>
      <c r="X173">
        <v>0</v>
      </c>
      <c r="Y173">
        <v>0</v>
      </c>
      <c r="Z173">
        <v>0</v>
      </c>
      <c r="AA173">
        <v>0</v>
      </c>
      <c r="AB173" s="30">
        <f>IF(B173="Sling Bullet (Stone)",ROUNDUP(D173*0.02*E173/'Ingredient stats'!$C$8,0),0)</f>
        <v>0</v>
      </c>
      <c r="AC173" t="str">
        <f t="shared" si="8"/>
        <v>None</v>
      </c>
      <c r="AD173" t="str">
        <f>IF(OR(B173="Buck",B173="Bird",B173="Charge (Scatter)"),'Ammo Input'!J173,"None")</f>
        <v>None</v>
      </c>
      <c r="AE173" t="str">
        <f>_xlfn.IFS(ISTEXT(Calcs!N173),Calcs!N173,Calcs!N173&lt;=40,Calcs!N173,Calcs!N173&gt;41,"40")</f>
        <v>None</v>
      </c>
      <c r="AF173" t="str">
        <f>_xlfn.IFS(ISTEXT(Calcs!O173),Calcs!O173,Calcs!O173&lt;=80,Calcs!O173,Calcs!O173&gt;=81,"80")</f>
        <v>None</v>
      </c>
      <c r="AG173" s="25">
        <f t="shared" si="9"/>
        <v>1</v>
      </c>
      <c r="AH173" s="25">
        <f t="shared" si="10"/>
        <v>3.03</v>
      </c>
      <c r="AI173" s="25">
        <f t="shared" si="11"/>
        <v>1</v>
      </c>
    </row>
    <row r="174" ht="14.4" spans="1:35">
      <c r="A174" s="24" t="str">
        <f>'Ammo Input'!A174</f>
        <v>20x139mm</v>
      </c>
      <c r="B174" t="str">
        <f>'Ammo Input'!B174</f>
        <v>AP-I</v>
      </c>
      <c r="C174">
        <f>ROUNDUP(('Ammo Input'!C174*(MAX('Ammo Input'!D174,'Ammo Input'!F174)*0.5)^2*PI())*3/1000000,2)</f>
        <v>0.34</v>
      </c>
      <c r="D174">
        <f>ROUNDUP(('Ammo Input'!E174+'Ammo Input'!H174*IF('Ammo Input'!J174&lt;&gt;"",MAX('Ammo Input'!J174,1),1))/1000,3)</f>
        <v>0.302</v>
      </c>
      <c r="E174">
        <f>MIN(5000,MAX(25,CEILING(Calcs!L174,_xlfn.IFS(Calcs!L174&lt;100,25,Calcs!L174&lt;250,50,Calcs!L174&lt;1000,250,Calcs!L174&gt;=1000,1000))))</f>
        <v>2000</v>
      </c>
      <c r="F174">
        <f>ROUNDUP('Ammo Input'!G174^(3/4),0)</f>
        <v>185</v>
      </c>
      <c r="G174">
        <f>ROUND((0.5*((IF(OR(B174="HEAT",B174="HEDP"),'Ammo Input'!N174,'Ammo Input'!H174)/1000)*(IF(B174="HEAT",9000,IF(B174="HEDP",1500,'Ammo Input'!G174))^2))),0)</f>
        <v>67253</v>
      </c>
      <c r="H174" s="25" t="str">
        <f>CONCATENATE(IF((B174="Foam")+(B174="Smoke"),"-",ROUND(Calcs!D174,0))," ",VLOOKUP(B174,AmmoTypeFactors,5,FALSE))</f>
        <v>48 Bullet</v>
      </c>
      <c r="I174" s="25" t="str">
        <f>IF(Calcs!E174=0,"None",CONCATENATE(ROUND(Calcs!E174,0)," ",VLOOKUP(B174,AmmoTypeFactors,6,FALSE)))</f>
        <v>26 Flame_Secondary</v>
      </c>
      <c r="J174">
        <f>MROUND(2.42*'Ammo Input'!M174^(1/3)*VLOOKUP(B174,AmmoTypeFactors,3,FALSE),0.5)</f>
        <v>0</v>
      </c>
      <c r="K174" s="25" t="str">
        <f>IF(VLOOKUP(B174,AmmoTypeFactors,12,FALSE),MROUND(J174/3,0.5),"None")</f>
        <v>None</v>
      </c>
      <c r="L174" s="25">
        <f>IF(VLOOKUP(B174,AmmoTypeFactors,8,FALSE),"None",ROUNDUP(IF(Calcs!I174&gt;0,Calcs!I174,Calcs!H174),3))</f>
        <v>1345.06</v>
      </c>
      <c r="M174" s="25">
        <f>IF(VLOOKUP(B174,AmmoTypeFactors,8,FALSE),"None",'Ammo Input'!L174)</f>
        <v>38</v>
      </c>
      <c r="N174">
        <f>'Ammo Input'!O174</f>
        <v>200</v>
      </c>
      <c r="O174" t="e">
        <f>ROUND((P174*0.0036+SUMPRODUCT(Q174:AB174,VLOOKUP($Q$1:$AB$1,IngredientStats,2,FALSE)))/N174*IF('Ammo Input'!R174,0.5,1),2)</f>
        <v>#VALUE!</v>
      </c>
      <c r="P174" t="e">
        <f>(SUMPRODUCT(Q174:AB174,VLOOKUP($Q$1:$AB$1,IngredientStats,4,FALSE))*VLOOKUP(B174,AmmoTypeFactors,14,FALSE)*IF('Ammo Input'!R174,1.1,1))</f>
        <v>#VALUE!</v>
      </c>
      <c r="Q174">
        <f>IFERROR(__xludf.DUMMYFUNCTION("((IF(NOT(OR(REGEXMATCH(B174, ""Arrow""), B174 = ""Javelin"", B174 = ""Stick bomb"")), ROUNDUP(('Ammo Input'!E174 / 1000) * N174)) + IF(VLOOKUP(B174, AmmoTypeFactors, 9, FALSE) = ""Steel"", ROUNDUP(('Ammo Input'!H174 -'Ammo Input'!M174) * MAX(IF('Ammo Inpu"&amp;"t'!J174 &gt; 0, 'Ammo Input'!J174, 1), 1) * N174 / 1000))) / 'Ingredient stats'!$C$2) * IF(ISBLANK(VLOOKUP(B174,AmmoTypeFactors,15,False)),1,VLOOKUP(B174,AmmoTypeFactors,15,False))"),122)</f>
        <v>122</v>
      </c>
      <c r="R174">
        <f>IFERROR(__xludf.DUMMYFUNCTION("ROUNDUP((IF(REGEXMATCH(B174, ""Arrow"") + (B174 = ""Javelin""), 'Ammo Input'!E174) + IF(VLOOKUP(B174, AmmoTypeFactors, 9, FALSE) = ""Wood"", 'Ammo Input'!H174) + IF(B174 = ""Stick bomb"", 'Ammo Input'!E174)) * N174 / 'Ingredient stats'!$C$12 / 1000)"),0)</f>
        <v>0</v>
      </c>
      <c r="S174">
        <v>0</v>
      </c>
      <c r="T174">
        <v>0</v>
      </c>
      <c r="U174">
        <f>IF(VLOOKUP(B174,AmmoTypeFactors,9,FALSE)="Plasteel",ROUNDUP(('Ammo Input'!H174*MAX(IF('Ammo Input'!J174&gt;0,'Ammo Input'!J174,1)*N174/1000/'Ingredient stats'!$C$4)),0),0)</f>
        <v>0</v>
      </c>
      <c r="V174">
        <f>IFERROR(__xludf.DUMMYFUNCTION("ROUNDUP(IF(ISBLANK(VLOOKUP(B174,AmmoTypeFactors,16,False)),1,VLOOKUP(B174,AmmoTypeFactors,16,False)) * (IFS(REGEXMATCH(B174, ""EMP""), 'Ammo Input'!M174 * N174 / 'Ingredient stats'!$C$5, REGEXMATCH(B174, ""Charge""), (U174^0.75), true, 0) + (IF(VLOOKUP(B1"&amp;"74, AmmoTypeFactors, 10, false), 2,0) + IF('Ammo Input'!P174, 2,0) + IF('Ammo Input'!Q174,MIN(ROUNDUP(0.2*('Ammo Input'!H174/1000)*'Ammo Input'!O174,0),20),0))))"),0)</f>
        <v>0</v>
      </c>
      <c r="W174">
        <v>12</v>
      </c>
      <c r="X174">
        <v>0</v>
      </c>
      <c r="Y174">
        <v>0</v>
      </c>
      <c r="Z174">
        <v>0</v>
      </c>
      <c r="AA174">
        <v>0</v>
      </c>
      <c r="AB174" s="30">
        <f>IF(B174="Sling Bullet (Stone)",ROUNDUP(D174*0.02*E174/'Ingredient stats'!$C$8,0),0)</f>
        <v>0</v>
      </c>
      <c r="AC174" t="str">
        <f t="shared" si="8"/>
        <v>None</v>
      </c>
      <c r="AD174" t="str">
        <f>IF(OR(B174="Buck",B174="Bird",B174="Charge (Scatter)"),'Ammo Input'!J174,"None")</f>
        <v>None</v>
      </c>
      <c r="AE174" t="str">
        <f>_xlfn.IFS(ISTEXT(Calcs!N174),Calcs!N174,Calcs!N174&lt;=40,Calcs!N174,Calcs!N174&gt;41,"40")</f>
        <v>None</v>
      </c>
      <c r="AF174" t="str">
        <f>_xlfn.IFS(ISTEXT(Calcs!O174),Calcs!O174,Calcs!O174&lt;=80,Calcs!O174,Calcs!O174&gt;=81,"80")</f>
        <v>None</v>
      </c>
      <c r="AG174" s="25">
        <f t="shared" si="9"/>
        <v>1</v>
      </c>
      <c r="AH174" s="25">
        <f t="shared" si="10"/>
        <v>3.03</v>
      </c>
      <c r="AI174" s="25">
        <f t="shared" si="11"/>
        <v>1</v>
      </c>
    </row>
    <row r="175" ht="14.4" spans="1:35">
      <c r="A175" s="24" t="str">
        <f>'Ammo Input'!A175</f>
        <v>20x139mm</v>
      </c>
      <c r="B175" t="str">
        <f>'Ammo Input'!B175</f>
        <v>AP-HE</v>
      </c>
      <c r="C175">
        <f>ROUNDUP(('Ammo Input'!C175*(MAX('Ammo Input'!D175,'Ammo Input'!F175)*0.5)^2*PI())*3/1000000,2)</f>
        <v>0.34</v>
      </c>
      <c r="D175">
        <f>ROUNDUP(('Ammo Input'!E175+'Ammo Input'!H175*IF('Ammo Input'!J175&lt;&gt;"",MAX('Ammo Input'!J175,1),1))/1000,3)</f>
        <v>0.302</v>
      </c>
      <c r="E175">
        <f>MIN(5000,MAX(25,CEILING(Calcs!L175,_xlfn.IFS(Calcs!L175&lt;100,25,Calcs!L175&lt;250,50,Calcs!L175&lt;1000,250,Calcs!L175&gt;=1000,1000))))</f>
        <v>2000</v>
      </c>
      <c r="F175">
        <f>ROUNDUP('Ammo Input'!G175^(3/4),0)</f>
        <v>185</v>
      </c>
      <c r="G175">
        <f>ROUND((0.5*((IF(OR(B175="HEAT",B175="HEDP"),'Ammo Input'!N175,'Ammo Input'!H175)/1000)*(IF(B175="HEAT",9000,IF(B175="HEDP",1500,'Ammo Input'!G175))^2))),0)</f>
        <v>67253</v>
      </c>
      <c r="H175" s="25" t="str">
        <f>CONCATENATE(IF((B175="Foam")+(B175="Smoke"),"-",ROUND(Calcs!D175,0))," ",VLOOKUP(B175,AmmoTypeFactors,5,FALSE))</f>
        <v>76 Bullet</v>
      </c>
      <c r="I175" s="25" t="str">
        <f>IF(Calcs!E175=0,"None",CONCATENATE(ROUND(Calcs!E175,0)," ",VLOOKUP(B175,AmmoTypeFactors,6,FALSE)))</f>
        <v>35 Bomb_Secondary</v>
      </c>
      <c r="J175">
        <f>MROUND(2.42*'Ammo Input'!M175^(1/3)*VLOOKUP(B175,AmmoTypeFactors,3,FALSE),0.5)</f>
        <v>0</v>
      </c>
      <c r="K175" s="25" t="str">
        <f>IF(VLOOKUP(B175,AmmoTypeFactors,12,FALSE),MROUND(J175/3,0.5),"None")</f>
        <v>None</v>
      </c>
      <c r="L175" s="25">
        <f>IF(VLOOKUP(B175,AmmoTypeFactors,8,FALSE),"None",ROUNDUP(IF(Calcs!I175&gt;0,Calcs!I175,Calcs!H175),3))</f>
        <v>1345.06</v>
      </c>
      <c r="M175" s="25">
        <f>IF(VLOOKUP(B175,AmmoTypeFactors,8,FALSE),"None",'Ammo Input'!L175)</f>
        <v>19</v>
      </c>
      <c r="N175">
        <f>'Ammo Input'!O175</f>
        <v>200</v>
      </c>
      <c r="O175" t="e">
        <f>ROUND((P175*0.0036+SUMPRODUCT(Q175:AB175,VLOOKUP($Q$1:$AB$1,IngredientStats,2,FALSE)))/N175*IF('Ammo Input'!R175,0.5,1),2)</f>
        <v>#VALUE!</v>
      </c>
      <c r="P175" t="e">
        <f>(SUMPRODUCT(Q175:AB175,VLOOKUP($Q$1:$AB$1,IngredientStats,4,FALSE))*VLOOKUP(B175,AmmoTypeFactors,14,FALSE)*IF('Ammo Input'!R175,1.1,1))</f>
        <v>#VALUE!</v>
      </c>
      <c r="Q175">
        <f>IFERROR(__xludf.DUMMYFUNCTION("((IF(NOT(OR(REGEXMATCH(B175, ""Arrow""), B175 = ""Javelin"", B175 = ""Stick bomb"")), ROUNDUP(('Ammo Input'!E175 / 1000) * N175)) + IF(VLOOKUP(B175, AmmoTypeFactors, 9, FALSE) = ""Steel"", ROUNDUP(('Ammo Input'!H175 -'Ammo Input'!M175) * MAX(IF('Ammo Inpu"&amp;"t'!J175 &gt; 0, 'Ammo Input'!J175, 1), 1) * N175 / 1000))) / 'Ingredient stats'!$C$2) * IF(ISBLANK(VLOOKUP(B175,AmmoTypeFactors,15,False)),1,VLOOKUP(B175,AmmoTypeFactors,15,False))"),122)</f>
        <v>122</v>
      </c>
      <c r="R175">
        <f>IFERROR(__xludf.DUMMYFUNCTION("ROUNDUP((IF(REGEXMATCH(B175, ""Arrow"") + (B175 = ""Javelin""), 'Ammo Input'!E175) + IF(VLOOKUP(B175, AmmoTypeFactors, 9, FALSE) = ""Wood"", 'Ammo Input'!H175) + IF(B175 = ""Stick bomb"", 'Ammo Input'!E175)) * N175 / 'Ingredient stats'!$C$12 / 1000)"),0)</f>
        <v>0</v>
      </c>
      <c r="S175">
        <v>0</v>
      </c>
      <c r="T175">
        <v>0</v>
      </c>
      <c r="U175">
        <f>IF(VLOOKUP(B175,AmmoTypeFactors,9,FALSE)="Plasteel",ROUNDUP(('Ammo Input'!H175*MAX(IF('Ammo Input'!J175&gt;0,'Ammo Input'!J175,1)*N175/1000/'Ingredient stats'!$C$4)),0),0)</f>
        <v>0</v>
      </c>
      <c r="V175">
        <f>IFERROR(__xludf.DUMMYFUNCTION("ROUNDUP(IF(ISBLANK(VLOOKUP(B175,AmmoTypeFactors,16,False)),1,VLOOKUP(B175,AmmoTypeFactors,16,False)) * (IFS(REGEXMATCH(B175, ""EMP""), 'Ammo Input'!M175 * N175 / 'Ingredient stats'!$C$5, REGEXMATCH(B175, ""Charge""), (U175^0.75), true, 0) + (IF(VLOOKUP(B1"&amp;"75, AmmoTypeFactors, 10, false), 2,0) + IF('Ammo Input'!P175, 2,0) + IF('Ammo Input'!Q175,MIN(ROUNDUP(0.2*('Ammo Input'!H175/1000)*'Ammo Input'!O175,0),20),0))))"),0)</f>
        <v>0</v>
      </c>
      <c r="W175">
        <v>0</v>
      </c>
      <c r="X175">
        <v>23</v>
      </c>
      <c r="Y175">
        <v>0</v>
      </c>
      <c r="Z175">
        <v>0</v>
      </c>
      <c r="AA175">
        <v>0</v>
      </c>
      <c r="AB175" s="30">
        <f>IF(B175="Sling Bullet (Stone)",ROUNDUP(D175*0.02*E175/'Ingredient stats'!$C$8,0),0)</f>
        <v>0</v>
      </c>
      <c r="AC175" t="str">
        <f t="shared" si="8"/>
        <v>None</v>
      </c>
      <c r="AD175" t="str">
        <f>IF(OR(B175="Buck",B175="Bird",B175="Charge (Scatter)"),'Ammo Input'!J175,"None")</f>
        <v>None</v>
      </c>
      <c r="AE175" t="str">
        <f>_xlfn.IFS(ISTEXT(Calcs!N175),Calcs!N175,Calcs!N175&lt;=40,Calcs!N175,Calcs!N175&gt;41,"40")</f>
        <v>None</v>
      </c>
      <c r="AF175" t="str">
        <f>_xlfn.IFS(ISTEXT(Calcs!O175),Calcs!O175,Calcs!O175&lt;=80,Calcs!O175,Calcs!O175&gt;=81,"80")</f>
        <v>None</v>
      </c>
      <c r="AG175" s="25">
        <f t="shared" si="9"/>
        <v>1</v>
      </c>
      <c r="AH175" s="25">
        <f t="shared" si="10"/>
        <v>3.03</v>
      </c>
      <c r="AI175" s="25">
        <f t="shared" si="11"/>
        <v>1</v>
      </c>
    </row>
    <row r="176" ht="14.4" spans="1:35">
      <c r="A176" s="24" t="str">
        <f>'Ammo Input'!A176</f>
        <v>20x139mm</v>
      </c>
      <c r="B176" t="str">
        <f>'Ammo Input'!B176</f>
        <v>Sabot</v>
      </c>
      <c r="C176">
        <f>ROUNDUP(('Ammo Input'!C176*(MAX('Ammo Input'!D176,'Ammo Input'!F176)*0.5)^2*PI())*3/1000000,2)</f>
        <v>0.34</v>
      </c>
      <c r="D176">
        <f>ROUNDUP(('Ammo Input'!E176+'Ammo Input'!H176*IF('Ammo Input'!J176&lt;&gt;"",MAX('Ammo Input'!J176,1),1))/1000,3)</f>
        <v>0.25</v>
      </c>
      <c r="E176">
        <f>MIN(5000,MAX(25,CEILING(Calcs!L176,_xlfn.IFS(Calcs!L176&lt;100,25,Calcs!L176&lt;250,50,Calcs!L176&lt;1000,250,Calcs!L176&gt;=1000,1000))))</f>
        <v>2000</v>
      </c>
      <c r="F176">
        <f>ROUNDUP('Ammo Input'!G176^(3/4),0)</f>
        <v>251</v>
      </c>
      <c r="G176">
        <f>ROUND((0.5*((IF(OR(B176="HEAT",B176="HEDP"),'Ammo Input'!N176,'Ammo Input'!H176)/1000)*(IF(B176="HEAT",9000,IF(B176="HEDP",1500,'Ammo Input'!G176))^2))),0)</f>
        <v>86822</v>
      </c>
      <c r="H176" s="25" t="str">
        <f>CONCATENATE(IF((B176="Foam")+(B176="Smoke"),"-",ROUND(Calcs!D176,0))," ",VLOOKUP(B176,AmmoTypeFactors,5,FALSE))</f>
        <v>41 Bullet</v>
      </c>
      <c r="I176" s="25" t="str">
        <f>IF(Calcs!E176=0,"None",CONCATENATE(ROUND(Calcs!E176,0)," ",VLOOKUP(B176,AmmoTypeFactors,6,FALSE)))</f>
        <v>None</v>
      </c>
      <c r="J176">
        <f>MROUND(2.42*'Ammo Input'!M176^(1/3)*VLOOKUP(B176,AmmoTypeFactors,3,FALSE),0.5)</f>
        <v>0</v>
      </c>
      <c r="K176" s="25" t="str">
        <f>IF(VLOOKUP(B176,AmmoTypeFactors,12,FALSE),MROUND(J176/3,0.5),"None")</f>
        <v>None</v>
      </c>
      <c r="L176" s="25">
        <f>IF(VLOOKUP(B176,AmmoTypeFactors,8,FALSE),"None",ROUNDUP(IF(Calcs!I176&gt;0,Calcs!I176,Calcs!H176),3))</f>
        <v>1736.44</v>
      </c>
      <c r="M176" s="25">
        <f>IF(VLOOKUP(B176,AmmoTypeFactors,8,FALSE),"None",'Ammo Input'!L176)</f>
        <v>66.5</v>
      </c>
      <c r="N176">
        <f>'Ammo Input'!O176</f>
        <v>200</v>
      </c>
      <c r="O176" t="e">
        <f>ROUND((P176*0.0036+SUMPRODUCT(Q176:AB176,VLOOKUP($Q$1:$AB$1,IngredientStats,2,FALSE)))/N176*IF('Ammo Input'!R176,0.5,1),2)</f>
        <v>#VALUE!</v>
      </c>
      <c r="P176" t="e">
        <f>(SUMPRODUCT(Q176:AB176,VLOOKUP($Q$1:$AB$1,IngredientStats,4,FALSE))*VLOOKUP(B176,AmmoTypeFactors,14,FALSE)*IF('Ammo Input'!R176,1.1,1))</f>
        <v>#VALUE!</v>
      </c>
      <c r="Q176">
        <f>IFERROR(__xludf.DUMMYFUNCTION("((IF(NOT(OR(REGEXMATCH(B176, ""Arrow""), B176 = ""Javelin"", B176 = ""Stick bomb"")), ROUNDUP(('Ammo Input'!E176 / 1000) * N176)) + IF(VLOOKUP(B176, AmmoTypeFactors, 9, FALSE) = ""Steel"", ROUNDUP(('Ammo Input'!H176 -'Ammo Input'!M176) * MAX(IF('Ammo Inpu"&amp;"t'!J176 &gt; 0, 'Ammo Input'!J176, 1), 1) * N176 / 1000))) / 'Ingredient stats'!$C$2) * IF(ISBLANK(VLOOKUP(B176,AmmoTypeFactors,15,False)),1,VLOOKUP(B176,AmmoTypeFactors,15,False))"),72)</f>
        <v>72</v>
      </c>
      <c r="R176">
        <f>IFERROR(__xludf.DUMMYFUNCTION("ROUNDUP((IF(REGEXMATCH(B176, ""Arrow"") + (B176 = ""Javelin""), 'Ammo Input'!E176) + IF(VLOOKUP(B176, AmmoTypeFactors, 9, FALSE) = ""Wood"", 'Ammo Input'!H176) + IF(B176 = ""Stick bomb"", 'Ammo Input'!E176)) * N176 / 'Ingredient stats'!$C$12 / 1000)"),0)</f>
        <v>0</v>
      </c>
      <c r="S176">
        <v>14</v>
      </c>
      <c r="T176">
        <v>14</v>
      </c>
      <c r="U176">
        <f>IF(VLOOKUP(B176,AmmoTypeFactors,9,FALSE)="Plasteel",ROUNDUP(('Ammo Input'!H176*MAX(IF('Ammo Input'!J176&gt;0,'Ammo Input'!J176,1)*N176/1000/'Ingredient stats'!$C$4)),0),0)</f>
        <v>0</v>
      </c>
      <c r="V176">
        <f>IFERROR(__xludf.DUMMYFUNCTION("ROUNDUP(IF(ISBLANK(VLOOKUP(B176,AmmoTypeFactors,16,False)),1,VLOOKUP(B176,AmmoTypeFactors,16,False)) * (IFS(REGEXMATCH(B176, ""EMP""), 'Ammo Input'!M176 * N176 / 'Ingredient stats'!$C$5, REGEXMATCH(B176, ""Charge""), (U176^0.75), true, 0) + (IF(VLOOKUP(B1"&amp;"76, AmmoTypeFactors, 10, false), 2,0) + IF('Ammo Input'!P176, 2,0) + IF('Ammo Input'!Q176,MIN(ROUNDUP(0.2*('Ammo Input'!H176/1000)*'Ammo Input'!O176,0),20),0))))"),0)</f>
        <v>0</v>
      </c>
      <c r="W176">
        <v>0</v>
      </c>
      <c r="X176">
        <v>0</v>
      </c>
      <c r="Y176">
        <v>0</v>
      </c>
      <c r="Z176">
        <v>0</v>
      </c>
      <c r="AA176">
        <v>0</v>
      </c>
      <c r="AB176" s="30">
        <f>IF(B176="Sling Bullet (Stone)",ROUNDUP(D176*0.02*E176/'Ingredient stats'!$C$8,0),0)</f>
        <v>0</v>
      </c>
      <c r="AC176" t="str">
        <f t="shared" si="8"/>
        <v>None</v>
      </c>
      <c r="AD176" t="str">
        <f>IF(OR(B176="Buck",B176="Bird",B176="Charge (Scatter)"),'Ammo Input'!J176,"None")</f>
        <v>None</v>
      </c>
      <c r="AE176" t="str">
        <f>_xlfn.IFS(ISTEXT(Calcs!N176),Calcs!N176,Calcs!N176&lt;=40,Calcs!N176,Calcs!N176&gt;41,"40")</f>
        <v>None</v>
      </c>
      <c r="AF176" t="str">
        <f>_xlfn.IFS(ISTEXT(Calcs!O176),Calcs!O176,Calcs!O176&lt;=80,Calcs!O176,Calcs!O176&gt;=81,"80")</f>
        <v>None</v>
      </c>
      <c r="AG176" s="25">
        <f t="shared" si="9"/>
        <v>1</v>
      </c>
      <c r="AH176" s="25">
        <f t="shared" si="10"/>
        <v>4.08</v>
      </c>
      <c r="AI176" s="25">
        <f t="shared" si="11"/>
        <v>1</v>
      </c>
    </row>
    <row r="177" ht="14.4" spans="1:35">
      <c r="A177" s="24" t="str">
        <f>'Ammo Input'!A177</f>
        <v>23x152mmB</v>
      </c>
      <c r="B177" t="str">
        <f>'Ammo Input'!B177</f>
        <v>AP</v>
      </c>
      <c r="C177">
        <f>ROUNDUP(('Ammo Input'!C177*(MAX('Ammo Input'!D177,'Ammo Input'!F177)*0.5)^2*PI())*3/1000000,2)</f>
        <v>0.62</v>
      </c>
      <c r="D177">
        <f>ROUNDUP(('Ammo Input'!E177+'Ammo Input'!H177*IF('Ammo Input'!J177&lt;&gt;"",MAX('Ammo Input'!J177,1),1))/1000,3)</f>
        <v>0.45</v>
      </c>
      <c r="E177">
        <f>MIN(5000,MAX(25,CEILING(Calcs!L177,_xlfn.IFS(Calcs!L177&lt;100,25,Calcs!L177&lt;250,50,Calcs!L177&lt;1000,250,Calcs!L177&gt;=1000,1000))))</f>
        <v>500</v>
      </c>
      <c r="F177">
        <f>ROUNDUP('Ammo Input'!G177^(3/4),0)</f>
        <v>174</v>
      </c>
      <c r="G177">
        <f>ROUND((0.5*((IF(OR(B177="HEAT",B177="HEDP"),'Ammo Input'!N177,'Ammo Input'!H177)/1000)*(IF(B177="HEAT",9000,IF(B177="HEDP",1500,'Ammo Input'!G177))^2))),0)</f>
        <v>89386</v>
      </c>
      <c r="H177" s="25" t="str">
        <f>CONCATENATE(IF((B177="Foam")+(B177="Smoke"),"-",ROUND(Calcs!D177,0))," ",VLOOKUP(B177,AmmoTypeFactors,5,FALSE))</f>
        <v>56 Bullet</v>
      </c>
      <c r="I177" s="25" t="str">
        <f>IF(Calcs!E177=0,"None",CONCATENATE(ROUND(Calcs!E177,0)," ",VLOOKUP(B177,AmmoTypeFactors,6,FALSE)))</f>
        <v>None</v>
      </c>
      <c r="J177">
        <f>MROUND(2.42*'Ammo Input'!M177^(1/3)*VLOOKUP(B177,AmmoTypeFactors,3,FALSE),0.5)</f>
        <v>0</v>
      </c>
      <c r="K177" s="25" t="str">
        <f>IF(VLOOKUP(B177,AmmoTypeFactors,12,FALSE),MROUND(J177/3,0.5),"None")</f>
        <v>None</v>
      </c>
      <c r="L177" s="25">
        <f>IF(VLOOKUP(B177,AmmoTypeFactors,8,FALSE),"None",ROUNDUP(IF(Calcs!I177&gt;0,Calcs!I177,Calcs!H177),3))</f>
        <v>1787.72</v>
      </c>
      <c r="M177" s="25">
        <f>IF(VLOOKUP(B177,AmmoTypeFactors,8,FALSE),"None",'Ammo Input'!L177)</f>
        <v>45</v>
      </c>
      <c r="N177">
        <f>'Ammo Input'!O177</f>
        <v>200</v>
      </c>
      <c r="O177" t="e">
        <f>ROUND((P177*0.0036+SUMPRODUCT(Q177:AB177,VLOOKUP($Q$1:$AB$1,IngredientStats,2,FALSE)))/N177*IF('Ammo Input'!R177,0.5,1),2)</f>
        <v>#VALUE!</v>
      </c>
      <c r="P177" t="e">
        <f>(SUMPRODUCT(Q177:AB177,VLOOKUP($Q$1:$AB$1,IngredientStats,4,FALSE))*VLOOKUP(B177,AmmoTypeFactors,14,FALSE)*IF('Ammo Input'!R177,1.1,1))</f>
        <v>#VALUE!</v>
      </c>
      <c r="Q177">
        <f>IFERROR(__xludf.DUMMYFUNCTION("((IF(NOT(OR(REGEXMATCH(B177, ""Arrow""), B177 = ""Javelin"", B177 = ""Stick bomb"")), ROUNDUP(('Ammo Input'!E177 / 1000) * N177)) + IF(VLOOKUP(B177, AmmoTypeFactors, 9, FALSE) = ""Steel"", ROUNDUP(('Ammo Input'!H177 -'Ammo Input'!M177) * MAX(IF('Ammo Inpu"&amp;"t'!J177 &gt; 0, 'Ammo Input'!J177, 1), 1) * N177 / 1000))) / 'Ingredient stats'!$C$2) * IF(ISBLANK(VLOOKUP(B177,AmmoTypeFactors,15,False)),1,VLOOKUP(B177,AmmoTypeFactors,15,False))"),180)</f>
        <v>180</v>
      </c>
      <c r="R177">
        <f>IFERROR(__xludf.DUMMYFUNCTION("ROUNDUP((IF(REGEXMATCH(B177, ""Arrow"") + (B177 = ""Javelin""), 'Ammo Input'!E177) + IF(VLOOKUP(B177, AmmoTypeFactors, 9, FALSE) = ""Wood"", 'Ammo Input'!H177) + IF(B177 = ""Stick bomb"", 'Ammo Input'!E177)) * N177 / 'Ingredient stats'!$C$12 / 1000)"),0)</f>
        <v>0</v>
      </c>
      <c r="S177">
        <v>0</v>
      </c>
      <c r="T177">
        <v>0</v>
      </c>
      <c r="U177">
        <f>IF(VLOOKUP(B177,AmmoTypeFactors,9,FALSE)="Plasteel",ROUNDUP(('Ammo Input'!H177*MAX(IF('Ammo Input'!J177&gt;0,'Ammo Input'!J177,1)*N177/1000/'Ingredient stats'!$C$4)),0),0)</f>
        <v>0</v>
      </c>
      <c r="V177">
        <f>IFERROR(__xludf.DUMMYFUNCTION("ROUNDUP(IF(ISBLANK(VLOOKUP(B177,AmmoTypeFactors,16,False)),1,VLOOKUP(B177,AmmoTypeFactors,16,False)) * (IFS(REGEXMATCH(B177, ""EMP""), 'Ammo Input'!M177 * N177 / 'Ingredient stats'!$C$5, REGEXMATCH(B177, ""Charge""), (U177^0.75), true, 0) + (IF(VLOOKUP(B1"&amp;"77, AmmoTypeFactors, 10, false), 2,0) + IF('Ammo Input'!P177, 2,0) + IF('Ammo Input'!Q177,MIN(ROUNDUP(0.2*('Ammo Input'!H177/1000)*'Ammo Input'!O177,0),20),0))))"),0)</f>
        <v>0</v>
      </c>
      <c r="W177">
        <v>0</v>
      </c>
      <c r="X177">
        <v>0</v>
      </c>
      <c r="Y177">
        <v>0</v>
      </c>
      <c r="Z177">
        <v>0</v>
      </c>
      <c r="AA177">
        <v>0</v>
      </c>
      <c r="AB177" s="30">
        <f>IF(B177="Sling Bullet (Stone)",ROUNDUP(D177*0.02*E177/'Ingredient stats'!$C$8,0),0)</f>
        <v>0</v>
      </c>
      <c r="AC177" t="str">
        <f t="shared" si="8"/>
        <v>None</v>
      </c>
      <c r="AD177" t="str">
        <f>IF(OR(B177="Buck",B177="Bird",B177="Charge (Scatter)"),'Ammo Input'!J177,"None")</f>
        <v>None</v>
      </c>
      <c r="AE177" t="str">
        <f>_xlfn.IFS(ISTEXT(Calcs!N177),Calcs!N177,Calcs!N177&lt;=40,Calcs!N177,Calcs!N177&gt;41,"40")</f>
        <v>None</v>
      </c>
      <c r="AF177" t="str">
        <f>_xlfn.IFS(ISTEXT(Calcs!O177),Calcs!O177,Calcs!O177&lt;=80,Calcs!O177,Calcs!O177&gt;=81,"80")</f>
        <v>None</v>
      </c>
      <c r="AG177" s="25">
        <f t="shared" si="9"/>
        <v>1</v>
      </c>
      <c r="AH177" s="25">
        <f t="shared" si="10"/>
        <v>2.86</v>
      </c>
      <c r="AI177" s="25">
        <f t="shared" si="11"/>
        <v>1</v>
      </c>
    </row>
    <row r="178" ht="14.4" spans="1:35">
      <c r="A178" s="24" t="str">
        <f>'Ammo Input'!A178</f>
        <v>23x152mmB</v>
      </c>
      <c r="B178" t="str">
        <f>'Ammo Input'!B178</f>
        <v>AP-I</v>
      </c>
      <c r="C178">
        <f>ROUNDUP(('Ammo Input'!C178*(MAX('Ammo Input'!D178,'Ammo Input'!F178)*0.5)^2*PI())*3/1000000,2)</f>
        <v>0.62</v>
      </c>
      <c r="D178">
        <f>ROUNDUP(('Ammo Input'!E178+'Ammo Input'!H178*IF('Ammo Input'!J178&lt;&gt;"",MAX('Ammo Input'!J178,1),1))/1000,3)</f>
        <v>0.45</v>
      </c>
      <c r="E178">
        <f>MIN(5000,MAX(25,CEILING(Calcs!L178,_xlfn.IFS(Calcs!L178&lt;100,25,Calcs!L178&lt;250,50,Calcs!L178&lt;1000,250,Calcs!L178&gt;=1000,1000))))</f>
        <v>500</v>
      </c>
      <c r="F178">
        <f>ROUNDUP('Ammo Input'!G178^(3/4),0)</f>
        <v>174</v>
      </c>
      <c r="G178">
        <f>ROUND((0.5*((IF(OR(B178="HEAT",B178="HEDP"),'Ammo Input'!N178,'Ammo Input'!H178)/1000)*(IF(B178="HEAT",9000,IF(B178="HEDP",1500,'Ammo Input'!G178))^2))),0)</f>
        <v>89386</v>
      </c>
      <c r="H178" s="25" t="str">
        <f>CONCATENATE(IF((B178="Foam")+(B178="Smoke"),"-",ROUND(Calcs!D178,0))," ",VLOOKUP(B178,AmmoTypeFactors,5,FALSE))</f>
        <v>56 Bullet</v>
      </c>
      <c r="I178" s="25" t="str">
        <f>IF(Calcs!E178=0,"None",CONCATENATE(ROUND(Calcs!E178,0)," ",VLOOKUP(B178,AmmoTypeFactors,6,FALSE)))</f>
        <v>34 Flame_Secondary</v>
      </c>
      <c r="J178">
        <f>MROUND(2.42*'Ammo Input'!M178^(1/3)*VLOOKUP(B178,AmmoTypeFactors,3,FALSE),0.5)</f>
        <v>0</v>
      </c>
      <c r="K178" s="25" t="str">
        <f>IF(VLOOKUP(B178,AmmoTypeFactors,12,FALSE),MROUND(J178/3,0.5),"None")</f>
        <v>None</v>
      </c>
      <c r="L178" s="25">
        <f>IF(VLOOKUP(B178,AmmoTypeFactors,8,FALSE),"None",ROUNDUP(IF(Calcs!I178&gt;0,Calcs!I178,Calcs!H178),3))</f>
        <v>1787.72</v>
      </c>
      <c r="M178" s="25">
        <f>IF(VLOOKUP(B178,AmmoTypeFactors,8,FALSE),"None",'Ammo Input'!L178)</f>
        <v>45</v>
      </c>
      <c r="N178">
        <f>'Ammo Input'!O178</f>
        <v>200</v>
      </c>
      <c r="O178" t="e">
        <f>ROUND((P178*0.0036+SUMPRODUCT(Q178:AB178,VLOOKUP($Q$1:$AB$1,IngredientStats,2,FALSE)))/N178*IF('Ammo Input'!R178,0.5,1),2)</f>
        <v>#VALUE!</v>
      </c>
      <c r="P178" t="e">
        <f>(SUMPRODUCT(Q178:AB178,VLOOKUP($Q$1:$AB$1,IngredientStats,4,FALSE))*VLOOKUP(B178,AmmoTypeFactors,14,FALSE)*IF('Ammo Input'!R178,1.1,1))</f>
        <v>#VALUE!</v>
      </c>
      <c r="Q178">
        <f>IFERROR(__xludf.DUMMYFUNCTION("((IF(NOT(OR(REGEXMATCH(B178, ""Arrow""), B178 = ""Javelin"", B178 = ""Stick bomb"")), ROUNDUP(('Ammo Input'!E178 / 1000) * N178)) + IF(VLOOKUP(B178, AmmoTypeFactors, 9, FALSE) = ""Steel"", ROUNDUP(('Ammo Input'!H178 -'Ammo Input'!M178) * MAX(IF('Ammo Inpu"&amp;"t'!J178 &gt; 0, 'Ammo Input'!J178, 1), 1) * N178 / 1000))) / 'Ingredient stats'!$C$2) * IF(ISBLANK(VLOOKUP(B178,AmmoTypeFactors,15,False)),1,VLOOKUP(B178,AmmoTypeFactors,15,False))"),180)</f>
        <v>180</v>
      </c>
      <c r="R178">
        <f>IFERROR(__xludf.DUMMYFUNCTION("ROUNDUP((IF(REGEXMATCH(B178, ""Arrow"") + (B178 = ""Javelin""), 'Ammo Input'!E178) + IF(VLOOKUP(B178, AmmoTypeFactors, 9, FALSE) = ""Wood"", 'Ammo Input'!H178) + IF(B178 = ""Stick bomb"", 'Ammo Input'!E178)) * N178 / 'Ingredient stats'!$C$12 / 1000)"),0)</f>
        <v>0</v>
      </c>
      <c r="S178">
        <v>0</v>
      </c>
      <c r="T178">
        <v>0</v>
      </c>
      <c r="U178">
        <f>IF(VLOOKUP(B178,AmmoTypeFactors,9,FALSE)="Plasteel",ROUNDUP(('Ammo Input'!H178*MAX(IF('Ammo Input'!J178&gt;0,'Ammo Input'!J178,1)*N178/1000/'Ingredient stats'!$C$4)),0),0)</f>
        <v>0</v>
      </c>
      <c r="V178">
        <f>IFERROR(__xludf.DUMMYFUNCTION("ROUNDUP(IF(ISBLANK(VLOOKUP(B178,AmmoTypeFactors,16,False)),1,VLOOKUP(B178,AmmoTypeFactors,16,False)) * (IFS(REGEXMATCH(B178, ""EMP""), 'Ammo Input'!M178 * N178 / 'Ingredient stats'!$C$5, REGEXMATCH(B178, ""Charge""), (U178^0.75), true, 0) + (IF(VLOOKUP(B1"&amp;"78, AmmoTypeFactors, 10, false), 2,0) + IF('Ammo Input'!P178, 2,0) + IF('Ammo Input'!Q178,MIN(ROUNDUP(0.2*('Ammo Input'!H178/1000)*'Ammo Input'!O178,0),20),0))))"),0)</f>
        <v>0</v>
      </c>
      <c r="W178">
        <v>19</v>
      </c>
      <c r="X178">
        <v>0</v>
      </c>
      <c r="Y178">
        <v>0</v>
      </c>
      <c r="Z178">
        <v>0</v>
      </c>
      <c r="AA178">
        <v>0</v>
      </c>
      <c r="AB178" s="30">
        <f>IF(B178="Sling Bullet (Stone)",ROUNDUP(D178*0.02*E178/'Ingredient stats'!$C$8,0),0)</f>
        <v>0</v>
      </c>
      <c r="AC178" t="str">
        <f t="shared" si="8"/>
        <v>None</v>
      </c>
      <c r="AD178" t="str">
        <f>IF(OR(B178="Buck",B178="Bird",B178="Charge (Scatter)"),'Ammo Input'!J178,"None")</f>
        <v>None</v>
      </c>
      <c r="AE178" t="str">
        <f>_xlfn.IFS(ISTEXT(Calcs!N178),Calcs!N178,Calcs!N178&lt;=40,Calcs!N178,Calcs!N178&gt;41,"40")</f>
        <v>None</v>
      </c>
      <c r="AF178" t="str">
        <f>_xlfn.IFS(ISTEXT(Calcs!O178),Calcs!O178,Calcs!O178&lt;=80,Calcs!O178,Calcs!O178&gt;=81,"80")</f>
        <v>None</v>
      </c>
      <c r="AG178" s="25">
        <f t="shared" si="9"/>
        <v>1</v>
      </c>
      <c r="AH178" s="25">
        <f t="shared" si="10"/>
        <v>2.86</v>
      </c>
      <c r="AI178" s="25">
        <f t="shared" si="11"/>
        <v>1</v>
      </c>
    </row>
    <row r="179" ht="14.4" spans="1:35">
      <c r="A179" s="24" t="str">
        <f>'Ammo Input'!A179</f>
        <v>23x152mmB</v>
      </c>
      <c r="B179" t="str">
        <f>'Ammo Input'!B179</f>
        <v>AP-HE</v>
      </c>
      <c r="C179">
        <f>ROUNDUP(('Ammo Input'!C179*(MAX('Ammo Input'!D179,'Ammo Input'!F179)*0.5)^2*PI())*3/1000000,2)</f>
        <v>0.62</v>
      </c>
      <c r="D179">
        <f>ROUNDUP(('Ammo Input'!E179+'Ammo Input'!H179*IF('Ammo Input'!J179&lt;&gt;"",MAX('Ammo Input'!J179,1),1))/1000,3)</f>
        <v>0.45</v>
      </c>
      <c r="E179">
        <f>MIN(5000,MAX(25,CEILING(Calcs!L179,_xlfn.IFS(Calcs!L179&lt;100,25,Calcs!L179&lt;250,50,Calcs!L179&lt;1000,250,Calcs!L179&gt;=1000,1000))))</f>
        <v>500</v>
      </c>
      <c r="F179">
        <f>ROUNDUP('Ammo Input'!G179^(3/4),0)</f>
        <v>174</v>
      </c>
      <c r="G179">
        <f>ROUND((0.5*((IF(OR(B179="HEAT",B179="HEDP"),'Ammo Input'!N179,'Ammo Input'!H179)/1000)*(IF(B179="HEAT",9000,IF(B179="HEDP",1500,'Ammo Input'!G179))^2))),0)</f>
        <v>89386</v>
      </c>
      <c r="H179" s="25" t="str">
        <f>CONCATENATE(IF((B179="Foam")+(B179="Smoke"),"-",ROUND(Calcs!D179,0))," ",VLOOKUP(B179,AmmoTypeFactors,5,FALSE))</f>
        <v>89 Bullet</v>
      </c>
      <c r="I179" s="25" t="str">
        <f>IF(Calcs!E179=0,"None",CONCATENATE(ROUND(Calcs!E179,0)," ",VLOOKUP(B179,AmmoTypeFactors,6,FALSE)))</f>
        <v>46 Bomb_Secondary</v>
      </c>
      <c r="J179">
        <f>MROUND(2.42*'Ammo Input'!M179^(1/3)*VLOOKUP(B179,AmmoTypeFactors,3,FALSE),0.5)</f>
        <v>0</v>
      </c>
      <c r="K179" s="25" t="str">
        <f>IF(VLOOKUP(B179,AmmoTypeFactors,12,FALSE),MROUND(J179/3,0.5),"None")</f>
        <v>None</v>
      </c>
      <c r="L179" s="25">
        <f>IF(VLOOKUP(B179,AmmoTypeFactors,8,FALSE),"None",ROUNDUP(IF(Calcs!I179&gt;0,Calcs!I179,Calcs!H179),3))</f>
        <v>1787.72</v>
      </c>
      <c r="M179" s="25">
        <f>IF(VLOOKUP(B179,AmmoTypeFactors,8,FALSE),"None",'Ammo Input'!L179)</f>
        <v>22.5</v>
      </c>
      <c r="N179">
        <f>'Ammo Input'!O179</f>
        <v>200</v>
      </c>
      <c r="O179" t="e">
        <f>ROUND((P179*0.0036+SUMPRODUCT(Q179:AB179,VLOOKUP($Q$1:$AB$1,IngredientStats,2,FALSE)))/N179*IF('Ammo Input'!R179,0.5,1),2)</f>
        <v>#VALUE!</v>
      </c>
      <c r="P179" t="e">
        <f>(SUMPRODUCT(Q179:AB179,VLOOKUP($Q$1:$AB$1,IngredientStats,4,FALSE))*VLOOKUP(B179,AmmoTypeFactors,14,FALSE)*IF('Ammo Input'!R179,1.1,1))</f>
        <v>#VALUE!</v>
      </c>
      <c r="Q179">
        <f>IFERROR(__xludf.DUMMYFUNCTION("((IF(NOT(OR(REGEXMATCH(B179, ""Arrow""), B179 = ""Javelin"", B179 = ""Stick bomb"")), ROUNDUP(('Ammo Input'!E179 / 1000) * N179)) + IF(VLOOKUP(B179, AmmoTypeFactors, 9, FALSE) = ""Steel"", ROUNDUP(('Ammo Input'!H179 -'Ammo Input'!M179) * MAX(IF('Ammo Inpu"&amp;"t'!J179 &gt; 0, 'Ammo Input'!J179, 1), 1) * N179 / 1000))) / 'Ingredient stats'!$C$2) * IF(ISBLANK(VLOOKUP(B179,AmmoTypeFactors,15,False)),1,VLOOKUP(B179,AmmoTypeFactors,15,False))"),180)</f>
        <v>180</v>
      </c>
      <c r="R179">
        <f>IFERROR(__xludf.DUMMYFUNCTION("ROUNDUP((IF(REGEXMATCH(B179, ""Arrow"") + (B179 = ""Javelin""), 'Ammo Input'!E179) + IF(VLOOKUP(B179, AmmoTypeFactors, 9, FALSE) = ""Wood"", 'Ammo Input'!H179) + IF(B179 = ""Stick bomb"", 'Ammo Input'!E179)) * N179 / 'Ingredient stats'!$C$12 / 1000)"),0)</f>
        <v>0</v>
      </c>
      <c r="S179">
        <v>0</v>
      </c>
      <c r="T179">
        <v>0</v>
      </c>
      <c r="U179">
        <f>IF(VLOOKUP(B179,AmmoTypeFactors,9,FALSE)="Plasteel",ROUNDUP(('Ammo Input'!H179*MAX(IF('Ammo Input'!J179&gt;0,'Ammo Input'!J179,1)*N179/1000/'Ingredient stats'!$C$4)),0),0)</f>
        <v>0</v>
      </c>
      <c r="V179">
        <f>IFERROR(__xludf.DUMMYFUNCTION("ROUNDUP(IF(ISBLANK(VLOOKUP(B179,AmmoTypeFactors,16,False)),1,VLOOKUP(B179,AmmoTypeFactors,16,False)) * (IFS(REGEXMATCH(B179, ""EMP""), 'Ammo Input'!M179 * N179 / 'Ingredient stats'!$C$5, REGEXMATCH(B179, ""Charge""), (U179^0.75), true, 0) + (IF(VLOOKUP(B1"&amp;"79, AmmoTypeFactors, 10, false), 2,0) + IF('Ammo Input'!P179, 2,0) + IF('Ammo Input'!Q179,MIN(ROUNDUP(0.2*('Ammo Input'!H179/1000)*'Ammo Input'!O179,0),20),0))))"),0)</f>
        <v>0</v>
      </c>
      <c r="W179">
        <v>0</v>
      </c>
      <c r="X179">
        <v>35</v>
      </c>
      <c r="Y179">
        <v>0</v>
      </c>
      <c r="Z179">
        <v>0</v>
      </c>
      <c r="AA179">
        <v>0</v>
      </c>
      <c r="AB179" s="30">
        <f>IF(B179="Sling Bullet (Stone)",ROUNDUP(D179*0.02*E179/'Ingredient stats'!$C$8,0),0)</f>
        <v>0</v>
      </c>
      <c r="AC179" t="str">
        <f t="shared" si="8"/>
        <v>None</v>
      </c>
      <c r="AD179" t="str">
        <f>IF(OR(B179="Buck",B179="Bird",B179="Charge (Scatter)"),'Ammo Input'!J179,"None")</f>
        <v>None</v>
      </c>
      <c r="AE179" t="str">
        <f>_xlfn.IFS(ISTEXT(Calcs!N179),Calcs!N179,Calcs!N179&lt;=40,Calcs!N179,Calcs!N179&gt;41,"40")</f>
        <v>None</v>
      </c>
      <c r="AF179" t="str">
        <f>_xlfn.IFS(ISTEXT(Calcs!O179),Calcs!O179,Calcs!O179&lt;=80,Calcs!O179,Calcs!O179&gt;=81,"80")</f>
        <v>None</v>
      </c>
      <c r="AG179" s="25">
        <f t="shared" si="9"/>
        <v>1</v>
      </c>
      <c r="AH179" s="25">
        <f t="shared" si="10"/>
        <v>2.86</v>
      </c>
      <c r="AI179" s="25">
        <f t="shared" si="11"/>
        <v>1</v>
      </c>
    </row>
    <row r="180" ht="15.15" spans="1:35">
      <c r="A180" s="24" t="str">
        <f>'Ammo Input'!A180</f>
        <v>23x152mmB</v>
      </c>
      <c r="B180" t="str">
        <f>'Ammo Input'!B180</f>
        <v>Sabot</v>
      </c>
      <c r="C180">
        <f>ROUNDUP(('Ammo Input'!C180*(MAX('Ammo Input'!D180,'Ammo Input'!F180)*0.5)^2*PI())*3/1000000,2)</f>
        <v>0.62</v>
      </c>
      <c r="D180">
        <f>ROUNDUP(('Ammo Input'!E180+'Ammo Input'!H180*IF('Ammo Input'!J180&lt;&gt;"",MAX('Ammo Input'!J180,1),1))/1000,3)</f>
        <v>0.368</v>
      </c>
      <c r="E180">
        <f>MIN(5000,MAX(25,CEILING(Calcs!L180,_xlfn.IFS(Calcs!L180&lt;100,25,Calcs!L180&lt;250,50,Calcs!L180&lt;1000,250,Calcs!L180&gt;=1000,1000))))</f>
        <v>500</v>
      </c>
      <c r="F180">
        <f>ROUNDUP('Ammo Input'!G180^(3/4),0)</f>
        <v>236</v>
      </c>
      <c r="G180">
        <f>ROUND((0.5*((IF(OR(B180="HEAT",B180="HEDP"),'Ammo Input'!N180,'Ammo Input'!H180)/1000)*(IF(B180="HEAT",9000,IF(B180="HEDP",1500,'Ammo Input'!G180))^2))),0)</f>
        <v>114319</v>
      </c>
      <c r="H180" s="25" t="str">
        <f>CONCATENATE(IF((B180="Foam")+(B180="Smoke"),"-",ROUND(Calcs!D180,0))," ",VLOOKUP(B180,AmmoTypeFactors,5,FALSE))</f>
        <v>53 Bullet</v>
      </c>
      <c r="I180" s="25" t="str">
        <f>IF(Calcs!E180=0,"None",CONCATENATE(ROUND(Calcs!E180,0)," ",VLOOKUP(B180,AmmoTypeFactors,6,FALSE)))</f>
        <v>None</v>
      </c>
      <c r="J180">
        <f>MROUND(2.42*'Ammo Input'!M180^(1/3)*VLOOKUP(B180,AmmoTypeFactors,3,FALSE),0.5)</f>
        <v>0</v>
      </c>
      <c r="K180" s="25" t="str">
        <f>IF(VLOOKUP(B180,AmmoTypeFactors,12,FALSE),MROUND(J180/3,0.5),"None")</f>
        <v>None</v>
      </c>
      <c r="L180" s="25">
        <f>IF(VLOOKUP(B180,AmmoTypeFactors,8,FALSE),"None",ROUNDUP(IF(Calcs!I180&gt;0,Calcs!I180,Calcs!H180),3))</f>
        <v>2286.38</v>
      </c>
      <c r="M180" s="25">
        <f>IF(VLOOKUP(B180,AmmoTypeFactors,8,FALSE),"None",'Ammo Input'!L180)</f>
        <v>78.5</v>
      </c>
      <c r="N180">
        <f>'Ammo Input'!O180</f>
        <v>200</v>
      </c>
      <c r="O180" t="e">
        <f>ROUND((P180*0.0036+SUMPRODUCT(Q180:AB180,VLOOKUP($Q$1:$AB$1,IngredientStats,2,FALSE)))/N180*IF('Ammo Input'!R180,0.5,1),2)</f>
        <v>#VALUE!</v>
      </c>
      <c r="P180" t="e">
        <f>(SUMPRODUCT(Q180:AB180,VLOOKUP($Q$1:$AB$1,IngredientStats,4,FALSE))*VLOOKUP(B180,AmmoTypeFactors,14,FALSE)*IF('Ammo Input'!R180,1.1,1))</f>
        <v>#VALUE!</v>
      </c>
      <c r="Q180">
        <f>IFERROR(__xludf.DUMMYFUNCTION("((IF(NOT(OR(REGEXMATCH(B180, ""Arrow""), B180 = ""Javelin"", B180 = ""Stick bomb"")), ROUNDUP(('Ammo Input'!E180 / 1000) * N180)) + IF(VLOOKUP(B180, AmmoTypeFactors, 9, FALSE) = ""Steel"", ROUNDUP(('Ammo Input'!H180 -'Ammo Input'!M180) * MAX(IF('Ammo Inpu"&amp;"t'!J180 &gt; 0, 'Ammo Input'!J180, 1), 1) * N180 / 1000))) / 'Ingredient stats'!$C$2) * IF(ISBLANK(VLOOKUP(B180,AmmoTypeFactors,15,False)),1,VLOOKUP(B180,AmmoTypeFactors,15,False))"),104)</f>
        <v>104</v>
      </c>
      <c r="R180">
        <f>IFERROR(__xludf.DUMMYFUNCTION("ROUNDUP((IF(REGEXMATCH(B180, ""Arrow"") + (B180 = ""Javelin""), 'Ammo Input'!E180) + IF(VLOOKUP(B180, AmmoTypeFactors, 9, FALSE) = ""Wood"", 'Ammo Input'!H180) + IF(B180 = ""Stick bomb"", 'Ammo Input'!E180)) * N180 / 'Ingredient stats'!$C$12 / 1000)"),0)</f>
        <v>0</v>
      </c>
      <c r="S180">
        <v>22</v>
      </c>
      <c r="T180">
        <v>22</v>
      </c>
      <c r="U180">
        <f>IF(VLOOKUP(B180,AmmoTypeFactors,9,FALSE)="Plasteel",ROUNDUP(('Ammo Input'!H180*MAX(IF('Ammo Input'!J180&gt;0,'Ammo Input'!J180,1)*N180/1000/'Ingredient stats'!$C$4)),0),0)</f>
        <v>0</v>
      </c>
      <c r="V180">
        <f>IFERROR(__xludf.DUMMYFUNCTION("ROUNDUP(IF(ISBLANK(VLOOKUP(B180,AmmoTypeFactors,16,False)),1,VLOOKUP(B180,AmmoTypeFactors,16,False)) * (IFS(REGEXMATCH(B180, ""EMP""), 'Ammo Input'!M180 * N180 / 'Ingredient stats'!$C$5, REGEXMATCH(B180, ""Charge""), (U180^0.75), true, 0) + (IF(VLOOKUP(B1"&amp;"80, AmmoTypeFactors, 10, false), 2,0) + IF('Ammo Input'!P180, 2,0) + IF('Ammo Input'!Q180,MIN(ROUNDUP(0.2*('Ammo Input'!H180/1000)*'Ammo Input'!O180,0),20),0))))"),0)</f>
        <v>0</v>
      </c>
      <c r="W180">
        <v>0</v>
      </c>
      <c r="X180">
        <v>0</v>
      </c>
      <c r="Y180">
        <v>0</v>
      </c>
      <c r="Z180">
        <v>0</v>
      </c>
      <c r="AA180">
        <v>0</v>
      </c>
      <c r="AB180" s="30">
        <f>IF(B180="Sling Bullet (Stone)",ROUNDUP(D180*0.02*E180/'Ingredient stats'!$C$8,0),0)</f>
        <v>0</v>
      </c>
      <c r="AC180" t="str">
        <f t="shared" si="8"/>
        <v>None</v>
      </c>
      <c r="AD180" t="str">
        <f>IF(OR(B180="Buck",B180="Bird",B180="Charge (Scatter)"),'Ammo Input'!J180,"None")</f>
        <v>None</v>
      </c>
      <c r="AE180" t="str">
        <f>_xlfn.IFS(ISTEXT(Calcs!N180),Calcs!N180,Calcs!N180&lt;=40,Calcs!N180,Calcs!N180&gt;41,"40")</f>
        <v>None</v>
      </c>
      <c r="AF180" t="str">
        <f>_xlfn.IFS(ISTEXT(Calcs!O180),Calcs!O180,Calcs!O180&lt;=80,Calcs!O180,Calcs!O180&gt;=81,"80")</f>
        <v>None</v>
      </c>
      <c r="AG180" s="25">
        <f t="shared" si="9"/>
        <v>1</v>
      </c>
      <c r="AH180" s="25">
        <f t="shared" si="10"/>
        <v>3.85</v>
      </c>
      <c r="AI180" s="25">
        <f t="shared" si="11"/>
        <v>1</v>
      </c>
    </row>
    <row r="181" ht="14.4" spans="1:35">
      <c r="A181" s="31" t="str">
        <f>'Ammo Input'!A181</f>
        <v>30x170mm</v>
      </c>
      <c r="B181" t="str">
        <f>'Ammo Input'!B181</f>
        <v>AP</v>
      </c>
      <c r="C181">
        <f>ROUNDUP(('Ammo Input'!C181*(MAX('Ammo Input'!D181,'Ammo Input'!F181)*0.5)^2*PI())*3/1000000,2)</f>
        <v>1.25</v>
      </c>
      <c r="D181">
        <f>ROUNDUP(('Ammo Input'!E181+'Ammo Input'!H181*IF('Ammo Input'!J181&lt;&gt;"",MAX('Ammo Input'!J181,1),1))/1000,3)</f>
        <v>0.71</v>
      </c>
      <c r="E181">
        <f>MIN(5000,MAX(25,CEILING(Calcs!L181,_xlfn.IFS(Calcs!L181&lt;100,25,Calcs!L181&lt;250,50,Calcs!L181&lt;1000,250,Calcs!L181&gt;=1000,1000))))</f>
        <v>150</v>
      </c>
      <c r="F181">
        <f>ROUNDUP('Ammo Input'!G181^(3/4),0)</f>
        <v>189</v>
      </c>
      <c r="G181">
        <f>ROUND((0.5*((IF(OR(B181="HEAT",B181="HEDP"),'Ammo Input'!N181,'Ammo Input'!H181)/1000)*(IF(B181="HEAT",9000,IF(B181="HEDP",1500,'Ammo Input'!G181))^2))),0)</f>
        <v>209952</v>
      </c>
      <c r="H181" s="25" t="str">
        <f>CONCATENATE(IF((B181="Foam")+(B181="Smoke"),"-",ROUND(Calcs!D181,0))," ",VLOOKUP(B181,AmmoTypeFactors,5,FALSE))</f>
        <v>82 Bullet</v>
      </c>
      <c r="I181" s="25" t="str">
        <f>IF(Calcs!E181=0,"None",CONCATENATE(ROUND(Calcs!E181,0)," ",VLOOKUP(B181,AmmoTypeFactors,6,FALSE)))</f>
        <v>None</v>
      </c>
      <c r="J181">
        <f>MROUND(2.42*'Ammo Input'!M181^(1/3)*VLOOKUP(B181,AmmoTypeFactors,3,FALSE),0.5)</f>
        <v>0</v>
      </c>
      <c r="K181" s="25" t="str">
        <f>IF(VLOOKUP(B181,AmmoTypeFactors,12,FALSE),MROUND(J181/3,0.5),"None")</f>
        <v>None</v>
      </c>
      <c r="L181" s="25">
        <f>IF(VLOOKUP(B181,AmmoTypeFactors,8,FALSE),"None",ROUNDUP(IF(Calcs!I181&gt;0,Calcs!I181,Calcs!H181),3))</f>
        <v>4199.04</v>
      </c>
      <c r="M181" s="25">
        <f>IF(VLOOKUP(B181,AmmoTypeFactors,8,FALSE),"None",'Ammo Input'!L181)</f>
        <v>78</v>
      </c>
      <c r="N181">
        <f>'Ammo Input'!O181</f>
        <v>100</v>
      </c>
      <c r="O181" t="e">
        <f>ROUND((P181*0.0036+SUMPRODUCT(Q181:AB181,VLOOKUP($Q$1:$AB$1,IngredientStats,2,FALSE)))/N181*IF('Ammo Input'!R181,0.5,1),2)</f>
        <v>#VALUE!</v>
      </c>
      <c r="P181" t="e">
        <f>(SUMPRODUCT(Q181:AB181,VLOOKUP($Q$1:$AB$1,IngredientStats,4,FALSE))*VLOOKUP(B181,AmmoTypeFactors,14,FALSE)*IF('Ammo Input'!R181,1.1,1))</f>
        <v>#VALUE!</v>
      </c>
      <c r="Q181">
        <f>IFERROR(__xludf.DUMMYFUNCTION("((IF(NOT(OR(REGEXMATCH(B181, ""Arrow""), B181 = ""Javelin"", B181 = ""Stick bomb"")), ROUNDUP(('Ammo Input'!E181 / 1000) * N181)) + IF(VLOOKUP(B181, AmmoTypeFactors, 9, FALSE) = ""Steel"", ROUNDUP(('Ammo Input'!H181 -'Ammo Input'!M181) * MAX(IF('Ammo Inpu"&amp;"t'!J181 &gt; 0, 'Ammo Input'!J181, 1), 1) * N181 / 1000))) / 'Ingredient stats'!$C$2) * IF(ISBLANK(VLOOKUP(B181,AmmoTypeFactors,15,False)),1,VLOOKUP(B181,AmmoTypeFactors,15,False))"),202)</f>
        <v>202</v>
      </c>
      <c r="R181">
        <f>IFERROR(__xludf.DUMMYFUNCTION("ROUNDUP((IF(REGEXMATCH(B181, ""Arrow"") + (B181 = ""Javelin""), 'Ammo Input'!E181) + IF(VLOOKUP(B181, AmmoTypeFactors, 9, FALSE) = ""Wood"", 'Ammo Input'!H181) + IF(B181 = ""Stick bomb"", 'Ammo Input'!E181)) * N181 / 'Ingredient stats'!$C$12 / 1000)"),0)</f>
        <v>0</v>
      </c>
      <c r="S181">
        <v>0</v>
      </c>
      <c r="T181">
        <v>0</v>
      </c>
      <c r="U181">
        <f>IF(VLOOKUP(B181,AmmoTypeFactors,9,FALSE)="Plasteel",ROUNDUP(('Ammo Input'!H181*MAX(IF('Ammo Input'!J181&gt;0,'Ammo Input'!J181,1)*N181/1000/'Ingredient stats'!$C$4)),0),0)</f>
        <v>0</v>
      </c>
      <c r="V181">
        <f>IFERROR(__xludf.DUMMYFUNCTION("ROUNDUP(IF(ISBLANK(VLOOKUP(B181,AmmoTypeFactors,16,False)),1,VLOOKUP(B181,AmmoTypeFactors,16,False)) * (IFS(REGEXMATCH(B181, ""EMP""), 'Ammo Input'!M181 * N181 / 'Ingredient stats'!$C$5, REGEXMATCH(B181, ""Charge""), (U181^0.75), true, 0) + (IF(VLOOKUP(B1"&amp;"81, AmmoTypeFactors, 10, false), 2,0) + IF('Ammo Input'!P181, 2,0) + IF('Ammo Input'!Q181,MIN(ROUNDUP(0.2*('Ammo Input'!H181/1000)*'Ammo Input'!O181,0),20),0))))"),0)</f>
        <v>0</v>
      </c>
      <c r="W181">
        <v>0</v>
      </c>
      <c r="X181">
        <v>0</v>
      </c>
      <c r="Y181">
        <v>0</v>
      </c>
      <c r="Z181">
        <v>0</v>
      </c>
      <c r="AA181">
        <v>0</v>
      </c>
      <c r="AB181" s="30">
        <f>IF(B181="Sling Bullet (Stone)",ROUNDUP(D181*0.02*E181/'Ingredient stats'!$C$8,0),0)</f>
        <v>0</v>
      </c>
      <c r="AC181" t="str">
        <f t="shared" si="8"/>
        <v>None</v>
      </c>
      <c r="AD181" t="str">
        <f>IF(OR(B181="Buck",B181="Bird",B181="Charge (Scatter)"),'Ammo Input'!J181,"None")</f>
        <v>None</v>
      </c>
      <c r="AE181" t="str">
        <f>_xlfn.IFS(ISTEXT(Calcs!N181),Calcs!N181,Calcs!N181&lt;=40,Calcs!N181,Calcs!N181&gt;41,"40")</f>
        <v>None</v>
      </c>
      <c r="AF181" t="str">
        <f>_xlfn.IFS(ISTEXT(Calcs!O181),Calcs!O181,Calcs!O181&lt;=80,Calcs!O181,Calcs!O181&gt;=81,"80")</f>
        <v>None</v>
      </c>
      <c r="AG181" s="25">
        <f t="shared" si="9"/>
        <v>1</v>
      </c>
      <c r="AH181" s="25">
        <f t="shared" si="10"/>
        <v>3.08</v>
      </c>
      <c r="AI181" s="25">
        <f t="shared" si="11"/>
        <v>1</v>
      </c>
    </row>
    <row r="182" ht="14.4" spans="1:35">
      <c r="A182" s="32" t="str">
        <f>'Ammo Input'!A182</f>
        <v>30x170mm</v>
      </c>
      <c r="B182" t="str">
        <f>'Ammo Input'!B182</f>
        <v>AP-I</v>
      </c>
      <c r="C182">
        <f>ROUNDUP(('Ammo Input'!C182*(MAX('Ammo Input'!D182,'Ammo Input'!F182)*0.5)^2*PI())*3/1000000,2)</f>
        <v>1.25</v>
      </c>
      <c r="D182">
        <f>ROUNDUP(('Ammo Input'!E182+'Ammo Input'!H182*IF('Ammo Input'!J182&lt;&gt;"",MAX('Ammo Input'!J182,1),1))/1000,3)</f>
        <v>0.71</v>
      </c>
      <c r="E182">
        <f>MIN(5000,MAX(25,CEILING(Calcs!L182,_xlfn.IFS(Calcs!L182&lt;100,25,Calcs!L182&lt;250,50,Calcs!L182&lt;1000,250,Calcs!L182&gt;=1000,1000))))</f>
        <v>150</v>
      </c>
      <c r="F182">
        <f>ROUNDUP('Ammo Input'!G182^(3/4),0)</f>
        <v>189</v>
      </c>
      <c r="G182">
        <f>ROUND((0.5*((IF(OR(B182="HEAT",B182="HEDP"),'Ammo Input'!N182,'Ammo Input'!H182)/1000)*(IF(B182="HEAT",9000,IF(B182="HEDP",1500,'Ammo Input'!G182))^2))),0)</f>
        <v>209952</v>
      </c>
      <c r="H182" s="25" t="str">
        <f>CONCATENATE(IF((B182="Foam")+(B182="Smoke"),"-",ROUND(Calcs!D182,0))," ",VLOOKUP(B182,AmmoTypeFactors,5,FALSE))</f>
        <v>82 Bullet</v>
      </c>
      <c r="I182" s="25" t="str">
        <f>IF(Calcs!E182=0,"None",CONCATENATE(ROUND(Calcs!E182,0)," ",VLOOKUP(B182,AmmoTypeFactors,6,FALSE)))</f>
        <v>49 Flame_Secondary</v>
      </c>
      <c r="J182">
        <f>MROUND(2.42*'Ammo Input'!M182^(1/3)*VLOOKUP(B182,AmmoTypeFactors,3,FALSE),0.5)</f>
        <v>0</v>
      </c>
      <c r="K182" s="25" t="str">
        <f>IF(VLOOKUP(B182,AmmoTypeFactors,12,FALSE),MROUND(J182/3,0.5),"None")</f>
        <v>None</v>
      </c>
      <c r="L182" s="25">
        <f>IF(VLOOKUP(B182,AmmoTypeFactors,8,FALSE),"None",ROUNDUP(IF(Calcs!I182&gt;0,Calcs!I182,Calcs!H182),3))</f>
        <v>4199.04</v>
      </c>
      <c r="M182" s="34">
        <f>IF(VLOOKUP(B182,AmmoTypeFactors,8,FALSE),"None",'Ammo Input'!L182)</f>
        <v>78</v>
      </c>
      <c r="N182">
        <f>'Ammo Input'!O182</f>
        <v>100</v>
      </c>
      <c r="O182" t="e">
        <f>ROUND((P182*0.0036+SUMPRODUCT(Q182:AB182,VLOOKUP($Q$1:$AB$1,IngredientStats,2,FALSE)))/N182*IF('Ammo Input'!R182,0.5,1),2)</f>
        <v>#VALUE!</v>
      </c>
      <c r="P182" t="e">
        <f>(SUMPRODUCT(Q182:AB182,VLOOKUP($Q$1:$AB$1,IngredientStats,4,FALSE))*VLOOKUP(B182,AmmoTypeFactors,14,FALSE)*IF('Ammo Input'!R182,1.1,1))</f>
        <v>#VALUE!</v>
      </c>
      <c r="Q182">
        <f>IFERROR(__xludf.DUMMYFUNCTION("((IF(NOT(OR(REGEXMATCH(B182, ""Arrow""), B182 = ""Javelin"", B182 = ""Stick bomb"")), ROUNDUP(('Ammo Input'!E182 / 1000) * N182)) + IF(VLOOKUP(B182, AmmoTypeFactors, 9, FALSE) = ""Steel"", ROUNDUP(('Ammo Input'!H182 -'Ammo Input'!M182) * MAX(IF('Ammo Inpu"&amp;"t'!J182 &gt; 0, 'Ammo Input'!J182, 1), 1) * N182 / 1000))) / 'Ingredient stats'!$C$2) * IF(ISBLANK(VLOOKUP(B182,AmmoTypeFactors,15,False)),1,VLOOKUP(B182,AmmoTypeFactors,15,False))"),202)</f>
        <v>202</v>
      </c>
      <c r="R182">
        <f>IFERROR(__xludf.DUMMYFUNCTION("ROUNDUP((IF(REGEXMATCH(B182, ""Arrow"") + (B182 = ""Javelin""), 'Ammo Input'!E182) + IF(VLOOKUP(B182, AmmoTypeFactors, 9, FALSE) = ""Wood"", 'Ammo Input'!H182) + IF(B182 = ""Stick bomb"", 'Ammo Input'!E182)) * N182 / 'Ingredient stats'!$C$12 / 1000)"),0)</f>
        <v>0</v>
      </c>
      <c r="S182">
        <v>0</v>
      </c>
      <c r="T182">
        <v>0</v>
      </c>
      <c r="U182">
        <f>IF(VLOOKUP(B182,AmmoTypeFactors,9,FALSE)="Plasteel",ROUNDUP(('Ammo Input'!H182*MAX(IF('Ammo Input'!J182&gt;0,'Ammo Input'!J182,1)*N182/1000/'Ingredient stats'!$C$4)),0),0)</f>
        <v>0</v>
      </c>
      <c r="V182">
        <f>IFERROR(__xludf.DUMMYFUNCTION("ROUNDUP(IF(ISBLANK(VLOOKUP(B182,AmmoTypeFactors,16,False)),1,VLOOKUP(B182,AmmoTypeFactors,16,False)) * (IFS(REGEXMATCH(B182, ""EMP""), 'Ammo Input'!M182 * N182 / 'Ingredient stats'!$C$5, REGEXMATCH(B182, ""Charge""), (U182^0.75), true, 0) + (IF(VLOOKUP(B1"&amp;"82, AmmoTypeFactors, 10, false), 2,0) + IF('Ammo Input'!P182, 2,0) + IF('Ammo Input'!Q182,MIN(ROUNDUP(0.2*('Ammo Input'!H182/1000)*'Ammo Input'!O182,0),20),0))))"),0)</f>
        <v>0</v>
      </c>
      <c r="W182">
        <v>18</v>
      </c>
      <c r="X182">
        <v>0</v>
      </c>
      <c r="Y182">
        <v>0</v>
      </c>
      <c r="Z182">
        <v>0</v>
      </c>
      <c r="AA182">
        <v>0</v>
      </c>
      <c r="AB182" s="30">
        <f>IF(B182="Sling Bullet (Stone)",ROUNDUP(D182*0.02*E182/'Ingredient stats'!$C$8,0),0)</f>
        <v>0</v>
      </c>
      <c r="AC182" t="str">
        <f t="shared" si="8"/>
        <v>None</v>
      </c>
      <c r="AD182" t="str">
        <f>IF(OR(B182="Buck",B182="Bird",B182="Charge (Scatter)"),'Ammo Input'!J182,"None")</f>
        <v>None</v>
      </c>
      <c r="AE182" t="str">
        <f>_xlfn.IFS(ISTEXT(Calcs!N182),Calcs!N182,Calcs!N182&lt;=40,Calcs!N182,Calcs!N182&gt;41,"40")</f>
        <v>None</v>
      </c>
      <c r="AF182" t="str">
        <f>_xlfn.IFS(ISTEXT(Calcs!O182),Calcs!O182,Calcs!O182&lt;=80,Calcs!O182,Calcs!O182&gt;=81,"80")</f>
        <v>None</v>
      </c>
      <c r="AG182" s="25">
        <f t="shared" si="9"/>
        <v>1</v>
      </c>
      <c r="AH182" s="25">
        <f t="shared" si="10"/>
        <v>3.08</v>
      </c>
      <c r="AI182" s="25">
        <f t="shared" si="11"/>
        <v>1</v>
      </c>
    </row>
    <row r="183" ht="14.4" spans="1:35">
      <c r="A183" s="32" t="str">
        <f>'Ammo Input'!A183</f>
        <v>30x170mm</v>
      </c>
      <c r="B183" t="str">
        <f>'Ammo Input'!B183</f>
        <v>AP-HE</v>
      </c>
      <c r="C183">
        <f>ROUNDUP(('Ammo Input'!C183*(MAX('Ammo Input'!D183,'Ammo Input'!F183)*0.5)^2*PI())*3/1000000,2)</f>
        <v>1.25</v>
      </c>
      <c r="D183">
        <f>ROUNDUP(('Ammo Input'!E183+'Ammo Input'!H183*IF('Ammo Input'!J183&lt;&gt;"",MAX('Ammo Input'!J183,1),1))/1000,3)</f>
        <v>0.71</v>
      </c>
      <c r="E183">
        <f>MIN(5000,MAX(25,CEILING(Calcs!L183,_xlfn.IFS(Calcs!L183&lt;100,25,Calcs!L183&lt;250,50,Calcs!L183&lt;1000,250,Calcs!L183&gt;=1000,1000))))</f>
        <v>150</v>
      </c>
      <c r="F183">
        <f>ROUNDUP('Ammo Input'!G183^(3/4),0)</f>
        <v>189</v>
      </c>
      <c r="G183">
        <f>ROUND((0.5*((IF(OR(B183="HEAT",B183="HEDP"),'Ammo Input'!N183,'Ammo Input'!H183)/1000)*(IF(B183="HEAT",9000,IF(B183="HEDP",1500,'Ammo Input'!G183))^2))),0)</f>
        <v>209952</v>
      </c>
      <c r="H183" s="25" t="str">
        <f>CONCATENATE(IF((B183="Foam")+(B183="Smoke"),"-",ROUND(Calcs!D183,0))," ",VLOOKUP(B183,AmmoTypeFactors,5,FALSE))</f>
        <v>130 Bullet</v>
      </c>
      <c r="I183" s="25" t="str">
        <f>IF(Calcs!E183=0,"None",CONCATENATE(ROUND(Calcs!E183,0)," ",VLOOKUP(B183,AmmoTypeFactors,6,FALSE)))</f>
        <v>68 Bomb_Secondary</v>
      </c>
      <c r="J183">
        <f>MROUND(2.42*'Ammo Input'!M183^(1/3)*VLOOKUP(B183,AmmoTypeFactors,3,FALSE),0.5)</f>
        <v>0</v>
      </c>
      <c r="K183" s="25" t="str">
        <f>IF(VLOOKUP(B183,AmmoTypeFactors,12,FALSE),MROUND(J183/3,0.5),"None")</f>
        <v>None</v>
      </c>
      <c r="L183" s="25">
        <f>IF(VLOOKUP(B183,AmmoTypeFactors,8,FALSE),"None",ROUNDUP(IF(Calcs!I183&gt;0,Calcs!I183,Calcs!H183),3))</f>
        <v>4199.04</v>
      </c>
      <c r="M183" s="34">
        <f>IF(VLOOKUP(B183,AmmoTypeFactors,8,FALSE),"None",'Ammo Input'!L183)</f>
        <v>39</v>
      </c>
      <c r="N183">
        <f>'Ammo Input'!O183</f>
        <v>100</v>
      </c>
      <c r="O183" t="e">
        <f>ROUND((P183*0.0036+SUMPRODUCT(Q183:AB183,VLOOKUP($Q$1:$AB$1,IngredientStats,2,FALSE)))/N183*IF('Ammo Input'!R183,0.5,1),2)</f>
        <v>#VALUE!</v>
      </c>
      <c r="P183" t="e">
        <f>(SUMPRODUCT(Q183:AB183,VLOOKUP($Q$1:$AB$1,IngredientStats,4,FALSE))*VLOOKUP(B183,AmmoTypeFactors,14,FALSE)*IF('Ammo Input'!R183,1.1,1))</f>
        <v>#VALUE!</v>
      </c>
      <c r="Q183">
        <f>IFERROR(__xludf.DUMMYFUNCTION("((IF(NOT(OR(REGEXMATCH(B183, ""Arrow""), B183 = ""Javelin"", B183 = ""Stick bomb"")), ROUNDUP(('Ammo Input'!E183 / 1000) * N183)) + IF(VLOOKUP(B183, AmmoTypeFactors, 9, FALSE) = ""Steel"", ROUNDUP(('Ammo Input'!H183 -'Ammo Input'!M183) * MAX(IF('Ammo Inpu"&amp;"t'!J183 &gt; 0, 'Ammo Input'!J183, 1), 1) * N183 / 1000))) / 'Ingredient stats'!$C$2) * IF(ISBLANK(VLOOKUP(B183,AmmoTypeFactors,15,False)),1,VLOOKUP(B183,AmmoTypeFactors,15,False))"),202)</f>
        <v>202</v>
      </c>
      <c r="R183">
        <f>IFERROR(__xludf.DUMMYFUNCTION("ROUNDUP((IF(REGEXMATCH(B183, ""Arrow"") + (B183 = ""Javelin""), 'Ammo Input'!E183) + IF(VLOOKUP(B183, AmmoTypeFactors, 9, FALSE) = ""Wood"", 'Ammo Input'!H183) + IF(B183 = ""Stick bomb"", 'Ammo Input'!E183)) * N183 / 'Ingredient stats'!$C$12 / 1000)"),0)</f>
        <v>0</v>
      </c>
      <c r="S183">
        <v>0</v>
      </c>
      <c r="T183">
        <v>0</v>
      </c>
      <c r="U183">
        <f>IF(VLOOKUP(B183,AmmoTypeFactors,9,FALSE)="Plasteel",ROUNDUP(('Ammo Input'!H183*MAX(IF('Ammo Input'!J183&gt;0,'Ammo Input'!J183,1)*N183/1000/'Ingredient stats'!$C$4)),0),0)</f>
        <v>0</v>
      </c>
      <c r="V183">
        <f>IFERROR(__xludf.DUMMYFUNCTION("ROUNDUP(IF(ISBLANK(VLOOKUP(B183,AmmoTypeFactors,16,False)),1,VLOOKUP(B183,AmmoTypeFactors,16,False)) * (IFS(REGEXMATCH(B183, ""EMP""), 'Ammo Input'!M183 * N183 / 'Ingredient stats'!$C$5, REGEXMATCH(B183, ""Charge""), (U183^0.75), true, 0) + (IF(VLOOKUP(B1"&amp;"83, AmmoTypeFactors, 10, false), 2,0) + IF('Ammo Input'!P183, 2,0) + IF('Ammo Input'!Q183,MIN(ROUNDUP(0.2*('Ammo Input'!H183/1000)*'Ammo Input'!O183,0),20),0))))"),0)</f>
        <v>0</v>
      </c>
      <c r="W183">
        <v>0</v>
      </c>
      <c r="X183">
        <v>35</v>
      </c>
      <c r="Y183">
        <v>0</v>
      </c>
      <c r="Z183">
        <v>0</v>
      </c>
      <c r="AA183">
        <v>0</v>
      </c>
      <c r="AB183" s="30">
        <f>IF(B183="Sling Bullet (Stone)",ROUNDUP(D183*0.02*E183/'Ingredient stats'!$C$8,0),0)</f>
        <v>0</v>
      </c>
      <c r="AC183" t="str">
        <f t="shared" si="8"/>
        <v>None</v>
      </c>
      <c r="AD183" t="str">
        <f>IF(OR(B183="Buck",B183="Bird",B183="Charge (Scatter)"),'Ammo Input'!J183,"None")</f>
        <v>None</v>
      </c>
      <c r="AE183" t="str">
        <f>_xlfn.IFS(ISTEXT(Calcs!N183),Calcs!N183,Calcs!N183&lt;=40,Calcs!N183,Calcs!N183&gt;41,"40")</f>
        <v>None</v>
      </c>
      <c r="AF183" t="str">
        <f>_xlfn.IFS(ISTEXT(Calcs!O183),Calcs!O183,Calcs!O183&lt;=80,Calcs!O183,Calcs!O183&gt;=81,"80")</f>
        <v>None</v>
      </c>
      <c r="AG183" s="25">
        <f t="shared" si="9"/>
        <v>1</v>
      </c>
      <c r="AH183" s="25">
        <f t="shared" si="10"/>
        <v>3.08</v>
      </c>
      <c r="AI183" s="25">
        <f t="shared" si="11"/>
        <v>1</v>
      </c>
    </row>
    <row r="184" spans="1:35">
      <c r="A184" s="33" t="str">
        <f>'Ammo Input'!A184</f>
        <v>30x170mm</v>
      </c>
      <c r="B184" t="str">
        <f>'Ammo Input'!B184</f>
        <v>Sabot</v>
      </c>
      <c r="C184">
        <f>ROUNDUP(('Ammo Input'!C184*(MAX('Ammo Input'!D184,'Ammo Input'!F184)*0.5)^2*PI())*3/1000000,2)</f>
        <v>1.25</v>
      </c>
      <c r="D184">
        <f>ROUNDUP(('Ammo Input'!E184+'Ammo Input'!H184*IF('Ammo Input'!J184&lt;&gt;"",MAX('Ammo Input'!J184,1),1))/1000,3)</f>
        <v>0.64</v>
      </c>
      <c r="E184">
        <f>MIN(5000,MAX(25,CEILING(Calcs!L184,_xlfn.IFS(Calcs!L184&lt;100,25,Calcs!L184&lt;250,50,Calcs!L184&lt;1000,250,Calcs!L184&gt;=1000,1000))))</f>
        <v>150</v>
      </c>
      <c r="F184">
        <f>ROUNDUP('Ammo Input'!G184^(3/4),0)</f>
        <v>204</v>
      </c>
      <c r="G184">
        <f>ROUND((0.5*((IF(OR(B184="HEAT",B184="HEDP"),'Ammo Input'!N184,'Ammo Input'!H184)/1000)*(IF(B184="HEAT",9000,IF(B184="HEDP",1500,'Ammo Input'!G184))^2))),0)</f>
        <v>208800</v>
      </c>
      <c r="H184" s="25" t="str">
        <f>CONCATENATE(IF((B184="Foam")+(B184="Smoke"),"-",ROUND(Calcs!D184,0))," ",VLOOKUP(B184,AmmoTypeFactors,5,FALSE))</f>
        <v>55 Bullet</v>
      </c>
      <c r="I184" s="25" t="str">
        <f>IF(Calcs!E184=0,"None",CONCATENATE(ROUND(Calcs!E184,0)," ",VLOOKUP(B184,AmmoTypeFactors,6,FALSE)))</f>
        <v>None</v>
      </c>
      <c r="J184">
        <f>MROUND(2.42*'Ammo Input'!M184^(1/3)*VLOOKUP(B184,AmmoTypeFactors,3,FALSE),0.5)</f>
        <v>0</v>
      </c>
      <c r="K184" s="25" t="str">
        <f>IF(VLOOKUP(B184,AmmoTypeFactors,12,FALSE),MROUND(J184/3,0.5),"None")</f>
        <v>None</v>
      </c>
      <c r="L184" s="25">
        <f>IF(VLOOKUP(B184,AmmoTypeFactors,8,FALSE),"None",ROUNDUP(IF(Calcs!I184&gt;0,Calcs!I184,Calcs!H184),3))</f>
        <v>4176</v>
      </c>
      <c r="M184" s="25">
        <f>IF(VLOOKUP(B184,AmmoTypeFactors,8,FALSE),"None",'Ammo Input'!L184)</f>
        <v>101</v>
      </c>
      <c r="N184">
        <f>'Ammo Input'!O184</f>
        <v>100</v>
      </c>
      <c r="O184" t="e">
        <f>ROUND((P184*0.0036+SUMPRODUCT(Q184:AB184,VLOOKUP($Q$1:$AB$1,IngredientStats,2,FALSE)))/N184*IF('Ammo Input'!R184,0.5,1),2)</f>
        <v>#VALUE!</v>
      </c>
      <c r="P184" t="e">
        <f>(SUMPRODUCT(Q184:AB184,VLOOKUP($Q$1:$AB$1,IngredientStats,4,FALSE))*VLOOKUP(B184,AmmoTypeFactors,14,FALSE)*IF('Ammo Input'!R184,1.1,1))</f>
        <v>#VALUE!</v>
      </c>
      <c r="Q184">
        <f>IFERROR(__xludf.DUMMYFUNCTION("((IF(NOT(OR(REGEXMATCH(B184, ""Arrow""), B184 = ""Javelin"", B184 = ""Stick bomb"")), ROUNDUP(('Ammo Input'!E184 / 1000) * N184)) + IF(VLOOKUP(B184, AmmoTypeFactors, 9, FALSE) = ""Steel"", ROUNDUP(('Ammo Input'!H184 -'Ammo Input'!M184) * MAX(IF('Ammo Inpu"&amp;"t'!J184 &gt; 0, 'Ammo Input'!J184, 1), 1) * N184 / 1000))) / 'Ingredient stats'!$C$2) * IF(ISBLANK(VLOOKUP(B184,AmmoTypeFactors,15,False)),1,VLOOKUP(B184,AmmoTypeFactors,15,False))"),128)</f>
        <v>128</v>
      </c>
      <c r="R184">
        <f>IFERROR(__xludf.DUMMYFUNCTION("ROUNDUP((IF(REGEXMATCH(B184, ""Arrow"") + (B184 = ""Javelin""), 'Ammo Input'!E184) + IF(VLOOKUP(B184, AmmoTypeFactors, 9, FALSE) = ""Wood"", 'Ammo Input'!H184) + IF(B184 = ""Stick bomb"", 'Ammo Input'!E184)) * N184 / 'Ingredient stats'!$C$12 / 1000)"),0)</f>
        <v>0</v>
      </c>
      <c r="S184">
        <v>22</v>
      </c>
      <c r="T184">
        <v>22</v>
      </c>
      <c r="U184">
        <f>IF(VLOOKUP(B184,AmmoTypeFactors,9,FALSE)="Plasteel",ROUNDUP(('Ammo Input'!H184*MAX(IF('Ammo Input'!J184&gt;0,'Ammo Input'!J184,1)*N184/1000/'Ingredient stats'!$C$4)),0),0)</f>
        <v>0</v>
      </c>
      <c r="V184">
        <f>IFERROR(__xludf.DUMMYFUNCTION("ROUNDUP(IF(ISBLANK(VLOOKUP(B184,AmmoTypeFactors,16,False)),1,VLOOKUP(B184,AmmoTypeFactors,16,False)) * (IFS(REGEXMATCH(B184, ""EMP""), 'Ammo Input'!M184 * N184 / 'Ingredient stats'!$C$5, REGEXMATCH(B184, ""Charge""), (U184^0.75), true, 0) + (IF(VLOOKUP(B1"&amp;"84, AmmoTypeFactors, 10, false), 2,0) + IF('Ammo Input'!P184, 2,0) + IF('Ammo Input'!Q184,MIN(ROUNDUP(0.2*('Ammo Input'!H184/1000)*'Ammo Input'!O184,0),20),0))))"),0)</f>
        <v>0</v>
      </c>
      <c r="W184">
        <v>0</v>
      </c>
      <c r="X184">
        <v>0</v>
      </c>
      <c r="Y184">
        <v>0</v>
      </c>
      <c r="Z184">
        <v>0</v>
      </c>
      <c r="AA184">
        <v>0</v>
      </c>
      <c r="AB184" s="30">
        <f>IF(B184="Sling Bullet (Stone)",ROUNDUP(D184*0.02*E184/'Ingredient stats'!$C$8,0),0)</f>
        <v>0</v>
      </c>
      <c r="AC184" t="str">
        <f t="shared" si="8"/>
        <v>None</v>
      </c>
      <c r="AD184" t="str">
        <f>IF(OR(B184="Buck",B184="Bird",B184="Charge (Scatter)"),'Ammo Input'!J184,"None")</f>
        <v>None</v>
      </c>
      <c r="AE184" t="str">
        <f>_xlfn.IFS(ISTEXT(Calcs!N184),Calcs!N184,Calcs!N184&lt;=40,Calcs!N184,Calcs!N184&gt;41,"40")</f>
        <v>None</v>
      </c>
      <c r="AF184" t="str">
        <f>_xlfn.IFS(ISTEXT(Calcs!O184),Calcs!O184,Calcs!O184&lt;=80,Calcs!O184,Calcs!O184&gt;=81,"80")</f>
        <v>None</v>
      </c>
      <c r="AG184" s="25">
        <f t="shared" si="9"/>
        <v>1</v>
      </c>
      <c r="AH184" s="25">
        <f t="shared" si="10"/>
        <v>3.33</v>
      </c>
      <c r="AI184" s="25">
        <f t="shared" si="11"/>
        <v>1</v>
      </c>
    </row>
    <row r="185" spans="1:35">
      <c r="A185" s="31" t="str">
        <f>'Ammo Input'!A185</f>
        <v>23x115mm</v>
      </c>
      <c r="B185" t="str">
        <f>'Ammo Input'!B185</f>
        <v>AP</v>
      </c>
      <c r="C185">
        <f>ROUNDUP(('Ammo Input'!C185*(MAX('Ammo Input'!D185,'Ammo Input'!F185)*0.5)^2*PI())*3/1000000,2)</f>
        <v>0.35</v>
      </c>
      <c r="D185">
        <f>ROUNDUP(('Ammo Input'!E185+'Ammo Input'!H185*IF('Ammo Input'!J185&lt;&gt;"",MAX('Ammo Input'!J185,1),1))/1000,3)</f>
        <v>0.331</v>
      </c>
      <c r="E185" cm="1">
        <f t="array" ref="E185">MIN(5000,MAX(25,CEILING(Calcs!L185,_xlfn.IFS(Calcs!L185&lt;100,25,Calcs!L185&lt;250,50,Calcs!L185&lt;1000,250,Calcs!L185&gt;=1000,1000))))</f>
        <v>1000</v>
      </c>
      <c r="F185">
        <f>ROUNDUP('Ammo Input'!G185^(3/4),0)</f>
        <v>139</v>
      </c>
      <c r="G185">
        <f>ROUND((0.5*((IF(OR(B185="HEAT",B185="HEDP"),'Ammo Input'!N185,'Ammo Input'!H185)/1000)*(IF(B185="HEAT",9000,IF(B185="HEDP",1500,'Ammo Input'!G185))^2))),0)</f>
        <v>44477</v>
      </c>
      <c r="H185" s="25" t="str">
        <f>CONCATENATE(IF((B185="Foam")+(B185="Smoke"),"-",ROUND(Calcs!D185,0))," ",VLOOKUP(B185,AmmoTypeFactors,5,FALSE))</f>
        <v>44 Bullet</v>
      </c>
      <c r="I185" s="25" t="str">
        <f>IF(Calcs!E185=0,"None",CONCATENATE(ROUND(Calcs!E185,0)," ",VLOOKUP(B185,AmmoTypeFactors,6,FALSE)))</f>
        <v>None</v>
      </c>
      <c r="J185">
        <f>MROUND(2.42*'Ammo Input'!M185^(1/3)*VLOOKUP(B185,AmmoTypeFactors,3,FALSE),0.5)</f>
        <v>0</v>
      </c>
      <c r="K185" s="25" t="str">
        <f>IF(VLOOKUP(B185,AmmoTypeFactors,12,FALSE),MROUND(J185/3,0.5),"None")</f>
        <v>None</v>
      </c>
      <c r="L185" s="25">
        <f>IF(VLOOKUP(B185,AmmoTypeFactors,8,FALSE),"None",ROUNDUP(IF(Calcs!I189&gt;0,Calcs!I185,Calcs!H185),3))</f>
        <v>889.54</v>
      </c>
      <c r="M185" s="25">
        <f>IF(VLOOKUP(B185,AmmoTypeFactors,8,FALSE),"None",'Ammo Input'!L185)</f>
        <v>29</v>
      </c>
      <c r="N185">
        <f>'Ammo Input'!O185</f>
        <v>200</v>
      </c>
      <c r="O185" t="e">
        <f>ROUND((P185*0.0036+SUMPRODUCT(Q185:AB185,VLOOKUP($Q$1:$AB$1,IngredientStats,2,FALSE)))/N185*IF('Ammo Input'!R185,0.5,1),2)</f>
        <v>#VALUE!</v>
      </c>
      <c r="P185" t="e">
        <f>(SUMPRODUCT(Q185:AB185,VLOOKUP($Q$1:$AB$1,IngredientStats,4,FALSE))*VLOOKUP(B185,AmmoTypeFactors,14,FALSE)*IF('Ammo Input'!R185,1.1,1))</f>
        <v>#VALUE!</v>
      </c>
      <c r="Q185">
        <f>IFERROR(__xludf.DUMMYFUNCTION("((IF(NOT(OR(REGEXMATCH(B185, ""Arrow""), B185 = ""Javelin"", B185 = ""Stick bomb"")), ROUNDUP(('Ammo Input'!E185 / 1000) * N185)) + IF(VLOOKUP(B185, AmmoTypeFactors, 9, FALSE) = ""Steel"", ROUNDUP(('Ammo Input'!H185 -'Ammo Input'!M185) * MAX(IF('Ammo Inpu"&amp;"t'!J185 &gt; 0, 'Ammo Input'!J185, 1), 1) * N185 / 1000))) / 'Ingredient stats'!$C$2) * IF(ISBLANK(VLOOKUP(B185,AmmoTypeFactors,15,False)),1,VLOOKUP(B185,AmmoTypeFactors,15,False))"),202)</f>
        <v>202</v>
      </c>
      <c r="R185">
        <f>IFERROR(__xludf.DUMMYFUNCTION("ROUNDUP((IF(REGEXMATCH(B185, ""Arrow"") + (B185 = ""Javelin""), 'Ammo Input'!E185) + IF(VLOOKUP(B185, AmmoTypeFactors, 9, FALSE) = ""Wood"", 'Ammo Input'!H185) + IF(B185 = ""Stick bomb"", 'Ammo Input'!E185)) * N185 / 'Ingredient stats'!$C$12 / 1000)"),0)</f>
        <v>0</v>
      </c>
      <c r="S185">
        <v>0</v>
      </c>
      <c r="T185">
        <v>0</v>
      </c>
      <c r="U185">
        <f>IF(VLOOKUP(B185,AmmoTypeFactors,9,FALSE)="Plasteel",ROUNDUP(('Ammo Input'!H185*MAX(IF('Ammo Input'!J185&gt;0,'Ammo Input'!J185,1)*N185/1000/'Ingredient stats'!$C$4)),0),0)</f>
        <v>0</v>
      </c>
      <c r="V185">
        <f>IFERROR(__xludf.DUMMYFUNCTION("ROUNDUP(IF(ISBLANK(VLOOKUP(B181,AmmoTypeFactors,16,False)),1,VLOOKUP(B181,AmmoTypeFactors,16,False)) * (IFS(REGEXMATCH(B181, ""EMP""), 'Ammo Input'!M181 * N181 / 'Ingredient stats'!$C$5, REGEXMATCH(B181, ""Charge""), (U181^0.75), true, 0) + (IF(VLOOKUP(B1"&amp;"81, AmmoTypeFactors, 10, false), 2,0) + IF('Ammo Input'!P181, 2,0) + IF('Ammo Input'!Q181,MIN(ROUNDUP(0.2*('Ammo Input'!H181/1000)*'Ammo Input'!O181,0),20),0))))"),0)</f>
        <v>0</v>
      </c>
      <c r="W185">
        <v>0</v>
      </c>
      <c r="X185">
        <v>0</v>
      </c>
      <c r="Y185">
        <v>0</v>
      </c>
      <c r="Z185">
        <v>0</v>
      </c>
      <c r="AA185">
        <v>0</v>
      </c>
      <c r="AB185" s="30">
        <f>IF(B185="Sling Bullet (Stone)",ROUNDUP(D185*0.02*E185/'Ingredient stats'!$C$8,0),0)</f>
        <v>0</v>
      </c>
      <c r="AC185" t="str">
        <f t="shared" ref="AC185:AC219" si="12">IF(B185="Buck",8.9,IF(B185="Bird",71.4,IF(B185="Beanbag",2,IF(OR(B185="Charge (Scatter)",B185="Charge (IonScatter)"),8.9,"None"))))</f>
        <v>None</v>
      </c>
      <c r="AD185" t="str">
        <f>IF(OR(B185="Buck",B185="Bird",B185="Charge (Scatter)"),'Ammo Input'!J185,"None")</f>
        <v>None</v>
      </c>
      <c r="AE185" t="str">
        <f>_xlfn.IFS(ISTEXT(Calcs!N189),Calcs!N189,Calcs!N189&lt;=40,Calcs!N189,Calcs!N189&gt;41,"40")</f>
        <v>None</v>
      </c>
      <c r="AF185" t="str">
        <f>_xlfn.IFS(ISTEXT(Calcs!O189),Calcs!O189,Calcs!O189&lt;=80,Calcs!O189,Calcs!O189&gt;=81,"80")</f>
        <v>None</v>
      </c>
      <c r="AG185" s="25">
        <f t="shared" ref="AG185:AG219" si="13">IF(IFERROR(FIND("-",$H185),0),0,IF($J185,3,1))</f>
        <v>1</v>
      </c>
      <c r="AH185" s="25">
        <f t="shared" ref="AH185:AH219" si="14">IFERROR(ROUND(200/(CEILING(200/$F185*60,1)+1),2),"-")</f>
        <v>2.27</v>
      </c>
      <c r="AI185" s="25">
        <f t="shared" ref="AI185:AI219" si="15">IF(IFERROR(FIND("-",$H185),0),0,IF($J185,2,1))</f>
        <v>1</v>
      </c>
    </row>
    <row r="186" spans="1:35">
      <c r="A186" s="32" t="str">
        <f>'Ammo Input'!A186</f>
        <v>23x115mm</v>
      </c>
      <c r="B186" t="str">
        <f>'Ammo Input'!B186</f>
        <v>AP-I</v>
      </c>
      <c r="C186">
        <f>ROUNDUP(('Ammo Input'!C186*(MAX('Ammo Input'!D186,'Ammo Input'!F186)*0.5)^2*PI())*3/1000000,2)</f>
        <v>0.35</v>
      </c>
      <c r="D186">
        <f>ROUNDUP(('Ammo Input'!E186+'Ammo Input'!H186*IF('Ammo Input'!J186&lt;&gt;"",MAX('Ammo Input'!J186,1),1))/1000,3)</f>
        <v>0.331</v>
      </c>
      <c r="E186" cm="1">
        <f t="array" ref="E186">MIN(5000,MAX(25,CEILING(Calcs!L186,_xlfn.IFS(Calcs!L186&lt;100,25,Calcs!L186&lt;250,50,Calcs!L186&lt;1000,250,Calcs!L186&gt;=1000,1000))))</f>
        <v>1000</v>
      </c>
      <c r="F186">
        <f>ROUNDUP('Ammo Input'!G186^(3/4),0)</f>
        <v>139</v>
      </c>
      <c r="G186">
        <f>ROUND((0.5*((IF(OR(B186="HEAT",B186="HEDP"),'Ammo Input'!N186,'Ammo Input'!H186)/1000)*(IF(B186="HEAT",9000,IF(B186="HEDP",1500,'Ammo Input'!G186))^2))),0)</f>
        <v>44477</v>
      </c>
      <c r="H186" s="25" t="str">
        <f>CONCATENATE(IF((B186="Foam")+(B186="Smoke"),"-",ROUND(Calcs!D186,0))," ",VLOOKUP(B186,AmmoTypeFactors,5,FALSE))</f>
        <v>44 Bullet</v>
      </c>
      <c r="I186" s="25" t="str">
        <f>IF(Calcs!E186=0,"None",CONCATENATE(ROUND(Calcs!E186,0)," ",VLOOKUP(B186,AmmoTypeFactors,6,FALSE)))</f>
        <v>32 Flame_Secondary</v>
      </c>
      <c r="J186">
        <f>MROUND(2.42*'Ammo Input'!M186^(1/3)*VLOOKUP(B186,AmmoTypeFactors,3,FALSE),0.5)</f>
        <v>0</v>
      </c>
      <c r="K186" s="25" t="str">
        <f>IF(VLOOKUP(B186,AmmoTypeFactors,12,FALSE),MROUND(J186/3,0.5),"None")</f>
        <v>None</v>
      </c>
      <c r="L186" s="25">
        <f>IF(VLOOKUP(B186,AmmoTypeFactors,8,FALSE),"None",ROUNDUP(IF(Calcs!I186&gt;0,Calcs!I186,Calcs!H186),3))</f>
        <v>889.54</v>
      </c>
      <c r="M186" s="34">
        <f>IF(VLOOKUP(B186,AmmoTypeFactors,8,FALSE),"None",'Ammo Input'!L186)</f>
        <v>29</v>
      </c>
      <c r="N186">
        <f>'Ammo Input'!O186</f>
        <v>200</v>
      </c>
      <c r="O186" t="e">
        <f>ROUND((P186*0.0036+SUMPRODUCT(Q186:AB186,VLOOKUP($Q$1:$AB$1,IngredientStats,2,FALSE)))/N186*IF('Ammo Input'!R186,0.5,1),2)</f>
        <v>#VALUE!</v>
      </c>
      <c r="P186" t="e">
        <f>(SUMPRODUCT(Q186:AB186,VLOOKUP($Q$1:$AB$1,IngredientStats,4,FALSE))*VLOOKUP(B186,AmmoTypeFactors,14,FALSE)*IF('Ammo Input'!R186,1.1,1))</f>
        <v>#VALUE!</v>
      </c>
      <c r="Q186">
        <f>IFERROR(__xludf.DUMMYFUNCTION("((IF(NOT(OR(REGEXMATCH(B186, ""Arrow""), B186 = ""Javelin"", B186 = ""Stick bomb"")), ROUNDUP(('Ammo Input'!E186 / 1000) * N186)) + IF(VLOOKUP(B186, AmmoTypeFactors, 9, FALSE) = ""Steel"", ROUNDUP(('Ammo Input'!H186 -'Ammo Input'!M186) * MAX(IF('Ammo Inpu"&amp;"t'!J186 &gt; 0, 'Ammo Input'!J186, 1), 1) * N182 / 1000))) / 'Ingredient stats'!$C$2) * IF(ISBLANK(VLOOKUP(B186,AmmoTypeFactors,15,False)),1,VLOOKUP(B186,AmmoTypeFactors,15,False))"),202)</f>
        <v>202</v>
      </c>
      <c r="R186">
        <f>IFERROR(__xludf.DUMMYFUNCTION("ROUNDUP((IF(REGEXMATCH(B186, ""Arrow"") + (B186 = ""Javelin""), 'Ammo Input'!E186) + IF(VLOOKUP(B186, AmmoTypeFactors, 9, FALSE) = ""Wood"", 'Ammo Input'!H186) + IF(B186 = ""Stick bomb"", 'Ammo Input'!E186)) * N186 / 'Ingredient stats'!$C$12 / 1000)"),0)</f>
        <v>0</v>
      </c>
      <c r="S186">
        <v>0</v>
      </c>
      <c r="T186">
        <v>0</v>
      </c>
      <c r="U186">
        <f>IF(VLOOKUP(B186,AmmoTypeFactors,9,FALSE)="Plasteel",ROUNDUP(('Ammo Input'!H186*MAX(IF('Ammo Input'!J186&gt;0,'Ammo Input'!J186,1)*N186/1000/'Ingredient stats'!$C$4)),0),0)</f>
        <v>0</v>
      </c>
      <c r="V186">
        <f>IFERROR(__xludf.DUMMYFUNCTION("ROUNDUP(IF(ISBLANK(VLOOKUP(B182,AmmoTypeFactors,16,False)),1,VLOOKUP(B182,AmmoTypeFactors,16,False)) * (IFS(REGEXMATCH(B182, ""EMP""), 'Ammo Input'!M182 * N182 / 'Ingredient stats'!$C$5, REGEXMATCH(B182, ""Charge""), (U182^0.75), true, 0) + (IF(VLOOKUP(B1"&amp;"82, AmmoTypeFactors, 10, false), 2,0) + IF('Ammo Input'!P182, 2,0) + IF('Ammo Input'!Q182,MIN(ROUNDUP(0.2*('Ammo Input'!H182/1000)*'Ammo Input'!O182,0),20),0))))"),0)</f>
        <v>0</v>
      </c>
      <c r="W186">
        <v>18</v>
      </c>
      <c r="X186">
        <v>0</v>
      </c>
      <c r="Y186">
        <v>0</v>
      </c>
      <c r="Z186">
        <v>0</v>
      </c>
      <c r="AA186">
        <v>0</v>
      </c>
      <c r="AB186" s="30">
        <f>IF(B186="Sling Bullet (Stone)",ROUNDUP(D186*0.02*E186/'Ingredient stats'!$C$8,0),0)</f>
        <v>0</v>
      </c>
      <c r="AC186" t="str">
        <f t="shared" si="12"/>
        <v>None</v>
      </c>
      <c r="AD186" t="str">
        <f>IF(OR(B186="Buck",B186="Bird",B186="Charge (Scatter)"),'Ammo Input'!J186,"None")</f>
        <v>None</v>
      </c>
      <c r="AE186" t="str">
        <f>_xlfn.IFS(ISTEXT(Calcs!N190),Calcs!N190,Calcs!N190&lt;=40,Calcs!N190,Calcs!N190&gt;41,"40")</f>
        <v>None</v>
      </c>
      <c r="AF186" t="str">
        <f>_xlfn.IFS(ISTEXT(Calcs!O190),Calcs!O190,Calcs!O190&lt;=80,Calcs!O190,Calcs!O190&gt;=81,"80")</f>
        <v>None</v>
      </c>
      <c r="AG186" s="25">
        <f t="shared" si="13"/>
        <v>1</v>
      </c>
      <c r="AH186" s="25">
        <f t="shared" si="14"/>
        <v>2.27</v>
      </c>
      <c r="AI186" s="25">
        <f t="shared" si="15"/>
        <v>1</v>
      </c>
    </row>
    <row r="187" ht="14.4" spans="1:35">
      <c r="A187" s="32" t="str">
        <f>'Ammo Input'!A187</f>
        <v>23x115mm</v>
      </c>
      <c r="B187" t="str">
        <f>'Ammo Input'!B187</f>
        <v>AP-HE</v>
      </c>
      <c r="C187">
        <f>ROUNDUP(('Ammo Input'!C187*(MAX('Ammo Input'!D187,'Ammo Input'!F187)*0.5)^2*PI())*3/1000000,2)</f>
        <v>0.35</v>
      </c>
      <c r="D187">
        <f>ROUNDUP(('Ammo Input'!E187+'Ammo Input'!H187*IF('Ammo Input'!J187&lt;&gt;"",MAX('Ammo Input'!J187,1),1))/1000,3)</f>
        <v>0.331</v>
      </c>
      <c r="E187" cm="1">
        <f t="array" ref="E187">MIN(5000,MAX(25,CEILING(Calcs!L187,_xlfn.IFS(Calcs!L187&lt;100,25,Calcs!L187&lt;250,50,Calcs!L187&lt;1000,250,Calcs!L187&gt;=1000,1000))))</f>
        <v>1000</v>
      </c>
      <c r="F187">
        <f>ROUNDUP('Ammo Input'!G187^(3/4),0)</f>
        <v>139</v>
      </c>
      <c r="G187">
        <f>ROUND((0.5*((IF(OR(B187="HEAT",B187="HEDP"),'Ammo Input'!N187,'Ammo Input'!H187)/1000)*(IF(B187="HEAT",9000,IF(B187="HEDP",1500,'Ammo Input'!G187))^2))),0)</f>
        <v>44477</v>
      </c>
      <c r="H187" s="25" t="str">
        <f>CONCATENATE(IF((B187="Foam")+(B187="Smoke"),"-",ROUND(Calcs!D187,0))," ",VLOOKUP(B187,AmmoTypeFactors,5,FALSE))</f>
        <v>70 Bullet</v>
      </c>
      <c r="I187" s="25" t="str">
        <f>IF(Calcs!E187=0,"None",CONCATENATE(ROUND(Calcs!E187,0)," ",VLOOKUP(B187,AmmoTypeFactors,6,FALSE)))</f>
        <v>44 Bomb_Secondary</v>
      </c>
      <c r="J187">
        <f>MROUND(2.42*'Ammo Input'!M187^(1/3)*VLOOKUP(B187,AmmoTypeFactors,3,FALSE),0.5)</f>
        <v>0</v>
      </c>
      <c r="K187" s="25" t="str">
        <f>IF(VLOOKUP(B187,AmmoTypeFactors,12,FALSE),MROUND(J187/3,0.5),"None")</f>
        <v>None</v>
      </c>
      <c r="L187" s="25">
        <f>IF(VLOOKUP(B187,AmmoTypeFactors,8,FALSE),"None",ROUNDUP(IF(Calcs!I187&gt;0,Calcs!I187,Calcs!H187),3))</f>
        <v>889.54</v>
      </c>
      <c r="M187" s="34">
        <f>IF(VLOOKUP(B187,AmmoTypeFactors,8,FALSE),"None",'Ammo Input'!L187)</f>
        <v>14.5</v>
      </c>
      <c r="N187">
        <f>'Ammo Input'!O187</f>
        <v>200</v>
      </c>
      <c r="O187" t="e">
        <f>ROUND((P187*0.0036+SUMPRODUCT(Q187:AB187,VLOOKUP($Q$1:$AB$1,IngredientStats,2,FALSE)))/N187*IF('Ammo Input'!R187,0.5,1),2)</f>
        <v>#VALUE!</v>
      </c>
      <c r="P187" t="e">
        <f>(SUMPRODUCT(Q187:AB187,VLOOKUP($Q$1:$AB$1,IngredientStats,4,FALSE))*VLOOKUP(B187,AmmoTypeFactors,14,FALSE)*IF('Ammo Input'!R187,1.1,1))</f>
        <v>#VALUE!</v>
      </c>
      <c r="Q187">
        <f>IFERROR(__xludf.DUMMYFUNCTION("((IF(NOT(OR(REGEXMATCH(B187, ""Arrow""), B187 = ""Javelin"", B187 = ""Stick bomb"")), ROUNDUP(('Ammo Input'!E187 / 1000) * N187)) + IF(VLOOKUP(B187, AmmoTypeFactors, 9, FALSE) = ""Steel"", ROUNDUP(('Ammo Input'!H187 -'Ammo Input'!M187) * MAX(IF('Ammo Inpu"&amp;"t'!J187 &gt; 0, 'Ammo Input'!J187, 1), 1) * N187 / 1000))) / 'Ingredient stats'!$C$2) * IF(ISBLANK(VLOOKUP(B187,AmmoTypeFactors,15,False)),1,VLOOKUP(B187,AmmoTypeFactors,15,False))"),202)</f>
        <v>202</v>
      </c>
      <c r="R187">
        <f>IFERROR(__xludf.DUMMYFUNCTION("ROUNDUP((IF(REGEXMATCH(B187, ""Arrow"") + (B187 = ""Javelin""), 'Ammo Input'!E187) + IF(VLOOKUP(B187, AmmoTypeFactors, 9, FALSE) = ""Wood"", 'Ammo Input'!H187) + IF(B187 = ""Stick bomb"", 'Ammo Input'!E187)) * N187 / 'Ingredient stats'!$C$12 / 1000)"),0)</f>
        <v>0</v>
      </c>
      <c r="S187">
        <v>0</v>
      </c>
      <c r="T187">
        <v>0</v>
      </c>
      <c r="U187">
        <f>IF(VLOOKUP(B187,AmmoTypeFactors,9,FALSE)="Plasteel",ROUNDUP(('Ammo Input'!H187*MAX(IF('Ammo Input'!J187&gt;0,'Ammo Input'!J187,1)*N187/1000/'Ingredient stats'!$C$4)),0),0)</f>
        <v>0</v>
      </c>
      <c r="V187">
        <f>IFERROR(__xludf.DUMMYFUNCTION("ROUNDUP(IF(ISBLANK(VLOOKUP(B183,AmmoTypeFactors,16,False)),1,VLOOKUP(B183,AmmoTypeFactors,16,False)) * (IFS(REGEXMATCH(B183, ""EMP""), 'Ammo Input'!M183 * N183 / 'Ingredient stats'!$C$5, REGEXMATCH(B183, ""Charge""), (U183^0.75), true, 0) + (IF(VLOOKUP(B1"&amp;"83, AmmoTypeFactors, 10, false), 2,0) + IF('Ammo Input'!P183, 2,0) + IF('Ammo Input'!Q183,MIN(ROUNDUP(0.2*('Ammo Input'!H183/1000)*'Ammo Input'!O183,0),20),0))))"),0)</f>
        <v>0</v>
      </c>
      <c r="W187">
        <v>0</v>
      </c>
      <c r="X187">
        <v>35</v>
      </c>
      <c r="Y187">
        <v>0</v>
      </c>
      <c r="Z187">
        <v>0</v>
      </c>
      <c r="AA187">
        <v>0</v>
      </c>
      <c r="AB187" s="30">
        <f>IF(B187="Sling Bullet (Stone)",ROUNDUP(D187*0.02*E187/'Ingredient stats'!$C$8,0),0)</f>
        <v>0</v>
      </c>
      <c r="AC187" t="str">
        <f t="shared" si="12"/>
        <v>None</v>
      </c>
      <c r="AD187" t="str">
        <f>IF(OR(B187="Buck",B187="Bird",B187="Charge (Scatter)"),'Ammo Input'!J187,"None")</f>
        <v>None</v>
      </c>
      <c r="AE187" t="str">
        <f>_xlfn.IFS(ISTEXT(Calcs!N191),Calcs!N191,Calcs!N191&lt;=40,Calcs!N191,Calcs!N191&gt;41,"40")</f>
        <v>None</v>
      </c>
      <c r="AF187" t="str">
        <f>_xlfn.IFS(ISTEXT(Calcs!O191),Calcs!O191,Calcs!O191&lt;=80,Calcs!O191,Calcs!O191&gt;=81,"80")</f>
        <v>None</v>
      </c>
      <c r="AG187" s="25">
        <f t="shared" si="13"/>
        <v>1</v>
      </c>
      <c r="AH187" s="25">
        <f t="shared" si="14"/>
        <v>2.27</v>
      </c>
      <c r="AI187" s="25">
        <f t="shared" si="15"/>
        <v>1</v>
      </c>
    </row>
    <row r="188" ht="15.15" spans="1:35">
      <c r="A188" s="33" t="str">
        <f>'Ammo Input'!A188</f>
        <v>23x115mm</v>
      </c>
      <c r="B188" t="str">
        <f>'Ammo Input'!B188</f>
        <v>Sabot</v>
      </c>
      <c r="C188">
        <f>ROUNDUP(('Ammo Input'!C188*(MAX('Ammo Input'!D188,'Ammo Input'!F188)*0.5)^2*PI())*3/1000000,2)</f>
        <v>0.35</v>
      </c>
      <c r="D188">
        <f>ROUNDUP(('Ammo Input'!E188+'Ammo Input'!H188*IF('Ammo Input'!J188&lt;&gt;"",MAX('Ammo Input'!J188,1),1))/1000,3)</f>
        <v>0.257</v>
      </c>
      <c r="E188" cm="1">
        <f t="array" ref="E188">MIN(5000,MAX(25,CEILING(Calcs!L188,_xlfn.IFS(Calcs!L188&lt;100,25,Calcs!L192&lt;250,50,Calcs!L188&lt;1000,250,Calcs!L188&gt;=1000,1000))))</f>
        <v>1000</v>
      </c>
      <c r="F188">
        <f>ROUNDUP('Ammo Input'!G188^(3/4),0)</f>
        <v>188</v>
      </c>
      <c r="G188">
        <f>ROUND((0.5*((IF(OR(B188="HEAT",B188="HEDP"),'Ammo Input'!N188,'Ammo Input'!H188)/1000)*(IF(B188="HEAT",9000,IF(B188="HEDP",1500,'Ammo Input'!G188))^2))),0)</f>
        <v>57132</v>
      </c>
      <c r="H188" s="25" t="str">
        <f>CONCATENATE(IF((B188="Foam")+(B188="Smoke"),"-",ROUND(Calcs!D188,0))," ",VLOOKUP(B188,AmmoTypeFactors,5,FALSE))</f>
        <v>42 Bullet</v>
      </c>
      <c r="I188" s="25" t="str">
        <f>IF(Calcs!E188=0,"None",CONCATENATE(ROUND(Calcs!E188,0)," ",VLOOKUP(B188,AmmoTypeFactors,6,FALSE)))</f>
        <v>None</v>
      </c>
      <c r="J188">
        <f>MROUND(2.42*'Ammo Input'!M188^(1/3)*VLOOKUP(B188,AmmoTypeFactors,3,FALSE),0.5)</f>
        <v>0</v>
      </c>
      <c r="K188" s="25" t="str">
        <f>IF(VLOOKUP(B188,AmmoTypeFactors,12,FALSE),MROUND(J188/3,0.5),"None")</f>
        <v>None</v>
      </c>
      <c r="L188" s="25">
        <f>IF(VLOOKUP(B188,AmmoTypeFactors,8,FALSE),"None",ROUNDUP(IF(Calcs!I188&gt;0,Calcs!I188,Calcs!H188),3))</f>
        <v>1142.64</v>
      </c>
      <c r="M188" s="25">
        <f>IF(VLOOKUP(B188,AmmoTypeFactors,8,FALSE),"None",'Ammo Input'!L188)</f>
        <v>50.6</v>
      </c>
      <c r="N188">
        <f>'Ammo Input'!O188</f>
        <v>200</v>
      </c>
      <c r="O188" t="e">
        <f>ROUND((P188*0.0036+SUMPRODUCT(Q188:AB188,VLOOKUP($Q$1:$AB$1,IngredientStats,2,FALSE)))/N188*IF('Ammo Input'!R188,0.5,1),2)</f>
        <v>#VALUE!</v>
      </c>
      <c r="P188" t="e">
        <f>(SUMPRODUCT(Q188:AB188,VLOOKUP($Q$1:$AB$1,IngredientStats,4,FALSE))*VLOOKUP(B188,AmmoTypeFactors,14,FALSE)*IF('Ammo Input'!R188,1.1,1))</f>
        <v>#VALUE!</v>
      </c>
      <c r="Q188">
        <f>IFERROR(__xludf.DUMMYFUNCTION("((IF(NOT(OR(REGEXMATCH(B188, ""Arrow""), B188 = ""Javelin"", B188 = ""Stick bomb"")), ROUNDUP(('Ammo Input'!E188 / 1000) * N188)) + IF(VLOOKUP(B188, AmmoTypeFactors, 9, FALSE) = ""Steel"", ROUNDUP(('Ammo Input'!H188 -'Ammo Input'!M188) * MAX(IF('Ammo Inpu"&amp;"t'!J188 &gt; 0, 'Ammo Input'!J188, 1), 1) * N188 / 1000))) / 'Ingredient stats'!$C$2) * IF(ISBLANK(VLOOKUP(B188,AmmoTypeFactors,15,False)),1,VLOOKUP(B188,AmmoTypeFactors,15,False))"),128)</f>
        <v>128</v>
      </c>
      <c r="R188">
        <f>IFERROR(__xludf.DUMMYFUNCTION("ROUNDUP((IF(REGEXMATCH(B188, ""Arrow"") + (B188 = ""Javelin""), 'Ammo Input'!E188) + IF(VLOOKUP(B188, AmmoTypeFactors, 9, FALSE) = ""Wood"", 'Ammo Input'!H188) + IF(B188 = ""Stick bomb"", 'Ammo Input'!E188)) * N188 / 'Ingredient stats'!$C$12 / 1000)"),0)</f>
        <v>0</v>
      </c>
      <c r="S188">
        <v>22</v>
      </c>
      <c r="T188">
        <v>22</v>
      </c>
      <c r="U188">
        <f>IF(VLOOKUP(B188,AmmoTypeFactors,9,FALSE)="Plasteel",ROUNDUP(('Ammo Input'!H188*MAX(IF('Ammo Input'!J188&gt;0,'Ammo Input'!J188,1)*N188/1000/'Ingredient stats'!$C$4)),0),0)</f>
        <v>0</v>
      </c>
      <c r="V188">
        <f>IFERROR(__xludf.DUMMYFUNCTION("ROUNDUP(IF(ISBLANK(VLOOKUP(B184,AmmoTypeFactors,16,False)),1,VLOOKUP(B184,AmmoTypeFactors,16,False)) * (IFS(REGEXMATCH(B184, ""EMP""), 'Ammo Input'!M184 * N184 / 'Ingredient stats'!$C$5, REGEXMATCH(B184, ""Charge""), (U184^0.75), true, 0) + (IF(VLOOKUP(B1"&amp;"84, AmmoTypeFactors, 10, false), 2,0) + IF('Ammo Input'!P184, 2,0) + IF('Ammo Input'!Q184,MIN(ROUNDUP(0.2*('Ammo Input'!H184/1000)*'Ammo Input'!O184,0),20),0))))"),0)</f>
        <v>0</v>
      </c>
      <c r="W188">
        <v>0</v>
      </c>
      <c r="X188">
        <v>0</v>
      </c>
      <c r="Y188">
        <v>0</v>
      </c>
      <c r="Z188">
        <v>0</v>
      </c>
      <c r="AA188">
        <v>0</v>
      </c>
      <c r="AB188" s="30">
        <f>IF(B188="Sling Bullet (Stone)",ROUNDUP(D188*0.02*E188/'Ingredient stats'!$C$8,0),0)</f>
        <v>0</v>
      </c>
      <c r="AC188" t="str">
        <f t="shared" si="12"/>
        <v>None</v>
      </c>
      <c r="AD188" t="str">
        <f>IF(OR(B188="Buck",B188="Bird",B188="Charge (Scatter)"),'Ammo Input'!J188,"None")</f>
        <v>None</v>
      </c>
      <c r="AE188" t="str">
        <f>_xlfn.IFS(ISTEXT(Calcs!N192),Calcs!N192,Calcs!N192&lt;=40,Calcs!N192,Calcs!N192&gt;41,"40")</f>
        <v>None</v>
      </c>
      <c r="AF188" t="str">
        <f>_xlfn.IFS(ISTEXT(Calcs!O192),Calcs!O192,Calcs!O192&lt;=80,Calcs!O192,Calcs!O192&gt;=81,"80")</f>
        <v>None</v>
      </c>
      <c r="AG188" s="25">
        <f t="shared" si="13"/>
        <v>1</v>
      </c>
      <c r="AH188" s="25">
        <f t="shared" si="14"/>
        <v>3.08</v>
      </c>
      <c r="AI188" s="25">
        <f t="shared" si="15"/>
        <v>1</v>
      </c>
    </row>
    <row r="189" ht="14.4" spans="1:35">
      <c r="A189" s="31" t="str">
        <f>'Ammo Input'!A189</f>
        <v>23x115mm(HV)</v>
      </c>
      <c r="B189" t="str">
        <f>'Ammo Input'!B189</f>
        <v>AP</v>
      </c>
      <c r="C189">
        <f>ROUNDUP(('Ammo Input'!C189*(MAX('Ammo Input'!D189,'Ammo Input'!F189)*0.5)^2*PI())*3/1000000,2)</f>
        <v>0.35</v>
      </c>
      <c r="D189">
        <f>ROUNDUP(('Ammo Input'!E189+'Ammo Input'!H189*IF('Ammo Input'!J189&lt;&gt;"",MAX('Ammo Input'!J189,1),1))/1000,3)</f>
        <v>0.331</v>
      </c>
      <c r="E189">
        <f>MIN(5000,MAX(25,CEILING(Calcs!L189,_xlfn.IFS(Calcs!L189&lt;100,25,Calcs!L189&lt;250,50,Calcs!L189&lt;1000,250,Calcs!L189&gt;=1000,1000))))</f>
        <v>1000</v>
      </c>
      <c r="F189">
        <f>ROUNDUP('Ammo Input'!G189^(3/4),0)</f>
        <v>153</v>
      </c>
      <c r="G189">
        <f>ROUND((0.5*((IF(OR(B189="HEAT",B189="HEDP"),'Ammo Input'!N189,'Ammo Input'!H189)/1000)*(IF(B189="HEAT",9000,IF(B189="HEDP",1500,'Ammo Input'!G189))^2))),0)</f>
        <v>57788</v>
      </c>
      <c r="H189" s="25" t="str">
        <f>CONCATENATE(IF((B189="Foam")+(B189="Smoke"),"-",ROUND(Calcs!D189,0))," ",VLOOKUP(B189,AmmoTypeFactors,5,FALSE))</f>
        <v>48 Bullet</v>
      </c>
      <c r="I189" s="25" t="str">
        <f>IF(Calcs!E189=0,"None",CONCATENATE(ROUND(Calcs!E189,0)," ",VLOOKUP(B189,AmmoTypeFactors,6,FALSE)))</f>
        <v>None</v>
      </c>
      <c r="J189">
        <f>MROUND(2.42*'Ammo Input'!M189^(1/3)*VLOOKUP(B189,AmmoTypeFactors,3,FALSE),0.5)</f>
        <v>0</v>
      </c>
      <c r="K189" s="25" t="str">
        <f>IF(VLOOKUP(B189,AmmoTypeFactors,12,FALSE),MROUND(J189/3,0.5),"None")</f>
        <v>None</v>
      </c>
      <c r="L189" s="25">
        <f>IF(VLOOKUP(B189,AmmoTypeFactors,8,FALSE),"None",ROUNDUP(IF(Calcs!I189&gt;0,Calcs!I189,Calcs!H189),3))</f>
        <v>1155.76</v>
      </c>
      <c r="M189" s="25">
        <f>IF(VLOOKUP(B189,AmmoTypeFactors,8,FALSE),"None",'Ammo Input'!L189)</f>
        <v>40</v>
      </c>
      <c r="N189">
        <f>'Ammo Input'!O189</f>
        <v>200</v>
      </c>
      <c r="O189" t="e">
        <f>ROUND((P189*0.0036+SUMPRODUCT(Q189:AB189,VLOOKUP($Q$1:$AB$1,IngredientStats,2,FALSE)))/N189*IF('Ammo Input'!R189,0.5,1),2)</f>
        <v>#VALUE!</v>
      </c>
      <c r="P189" t="e">
        <f>(SUMPRODUCT(Q189:AB189,VLOOKUP($Q$1:$AB$1,IngredientStats,4,FALSE))*VLOOKUP(B189,AmmoTypeFactors,14,FALSE)*IF('Ammo Input'!R189,1.1,1))</f>
        <v>#VALUE!</v>
      </c>
      <c r="Q189">
        <f>IFERROR(__xludf.DUMMYFUNCTION("((IF(NOT(OR(REGEXMATCH(B185, ""Arrow""), B185 = ""Javelin"", B185 = ""Stick bomb"")), ROUNDUP(('Ammo Input'!E185 / 1000) * N185)) + IF(VLOOKUP(B185, AmmoTypeFactors, 9, FALSE) = ""Steel"", ROUNDUP(('Ammo Input'!H185 -'Ammo Input'!M185) * MAX(IF('Ammo Inpu"&amp;"t'!J185 &gt; 0, 'Ammo Input'!J185, 1), 1) * N185 / 1000))) / 'Ingredient stats'!$C$2) * IF(ISBLANK(VLOOKUP(B185,AmmoTypeFactors,15,False)),1,VLOOKUP(B185,AmmoTypeFactors,15,False))"),150)</f>
        <v>150</v>
      </c>
      <c r="R189">
        <f>IFERROR(__xludf.DUMMYFUNCTION("ROUNDUP((IF(REGEXMATCH(B185, ""Arrow"") + (B185 = ""Javelin""), 'Ammo Input'!E185) + IF(VLOOKUP(B185, AmmoTypeFactors, 9, FALSE) = ""Wood"", 'Ammo Input'!H185) + IF(B185 = ""Stick bomb"", 'Ammo Input'!E185)) * N185 / 'Ingredient stats'!$C$12 / 1000)"),0)</f>
        <v>0</v>
      </c>
      <c r="S189">
        <v>0</v>
      </c>
      <c r="T189">
        <v>0</v>
      </c>
      <c r="U189">
        <f>IF(VLOOKUP(B189,AmmoTypeFactors,9,FALSE)="Plasteel",ROUNDUP(('Ammo Input'!H189*MAX(IF('Ammo Input'!J189&gt;0,'Ammo Input'!J189,1)*N189/1000/'Ingredient stats'!$C$4)),0),0)</f>
        <v>0</v>
      </c>
      <c r="V189">
        <f>IFERROR(__xludf.DUMMYFUNCTION("ROUNDUP(IF(ISBLANK(VLOOKUP(B185,AmmoTypeFactors,16,False)),1,VLOOKUP(B185,AmmoTypeFactors,16,False)) * (IFS(REGEXMATCH(B185, ""EMP""), 'Ammo Input'!M185 * N185 / 'Ingredient stats'!$C$5, REGEXMATCH(B185, ""Charge""), (U185^0.75), true, 0) + (IF(VLOOKUP(B1"&amp;"85, AmmoTypeFactors, 10, false), 2,0) + IF('Ammo Input'!P185, 2,0) + IF('Ammo Input'!Q185,MIN(ROUNDUP(0.2*('Ammo Input'!H185/1000)*'Ammo Input'!O185,0),20),0))))"),0)</f>
        <v>0</v>
      </c>
      <c r="W189">
        <v>0</v>
      </c>
      <c r="X189">
        <v>0</v>
      </c>
      <c r="Y189">
        <v>0</v>
      </c>
      <c r="Z189">
        <v>0</v>
      </c>
      <c r="AA189">
        <v>0</v>
      </c>
      <c r="AB189" s="30">
        <f>IF(B189="Sling Bullet (Stone)",ROUNDUP(D189*0.02*E189/'Ingredient stats'!$C$8,0),0)</f>
        <v>0</v>
      </c>
      <c r="AC189" t="str">
        <f t="shared" si="12"/>
        <v>None</v>
      </c>
      <c r="AD189" t="str">
        <f>IF(OR(B189="Buck",B189="Bird",B189="Charge (Scatter)"),'Ammo Input'!J189,"None")</f>
        <v>None</v>
      </c>
      <c r="AE189" t="str">
        <f>_xlfn.IFS(ISTEXT(Calcs!N189),Calcs!N189,Calcs!N189&lt;=40,Calcs!N189,Calcs!N189&gt;41,"40")</f>
        <v>None</v>
      </c>
      <c r="AF189" t="str">
        <f>_xlfn.IFS(ISTEXT(Calcs!O189),Calcs!O189,Calcs!O189&lt;=80,Calcs!O189,Calcs!O189&gt;=81,"80")</f>
        <v>None</v>
      </c>
      <c r="AG189" s="25">
        <f t="shared" si="13"/>
        <v>1</v>
      </c>
      <c r="AH189" s="25">
        <f t="shared" si="14"/>
        <v>2.5</v>
      </c>
      <c r="AI189" s="25">
        <f t="shared" si="15"/>
        <v>1</v>
      </c>
    </row>
    <row r="190" ht="14.4" spans="1:35">
      <c r="A190" s="32" t="str">
        <f>'Ammo Input'!A190</f>
        <v>23x115mm(HV)</v>
      </c>
      <c r="B190" t="str">
        <f>'Ammo Input'!B190</f>
        <v>AP-I</v>
      </c>
      <c r="C190">
        <f>ROUNDUP(('Ammo Input'!C190*(MAX('Ammo Input'!D190,'Ammo Input'!F190)*0.5)^2*PI())*3/1000000,2)</f>
        <v>0.35</v>
      </c>
      <c r="D190">
        <f>ROUNDUP(('Ammo Input'!E190+'Ammo Input'!H190*IF('Ammo Input'!J190&lt;&gt;"",MAX('Ammo Input'!J190,1),1))/1000,3)</f>
        <v>0.331</v>
      </c>
      <c r="E190">
        <f>MIN(5000,MAX(25,CEILING(Calcs!L190,_xlfn.IFS(Calcs!L190&lt;100,25,Calcs!L190&lt;250,50,Calcs!L190&lt;1000,250,Calcs!L190&gt;=1000,1000))))</f>
        <v>1000</v>
      </c>
      <c r="F190">
        <f>ROUNDUP('Ammo Input'!G190^(3/4),0)</f>
        <v>153</v>
      </c>
      <c r="G190">
        <f>ROUND((0.5*((IF(OR(B190="HEAT",B190="HEDP"),'Ammo Input'!N190,'Ammo Input'!H190)/1000)*(IF(B190="HEAT",9000,IF(B190="HEDP",1500,'Ammo Input'!G190))^2))),0)</f>
        <v>57788</v>
      </c>
      <c r="H190" s="25" t="str">
        <f>CONCATENATE(IF((B190="Foam")+(B190="Smoke"),"-",ROUND(Calcs!D190,0))," ",VLOOKUP(B190,AmmoTypeFactors,5,FALSE))</f>
        <v>48 Bullet</v>
      </c>
      <c r="I190" s="25" t="str">
        <f>IF(Calcs!E190=0,"None",CONCATENATE(ROUND(Calcs!E190,0)," ",VLOOKUP(B190,AmmoTypeFactors,6,FALSE)))</f>
        <v>32 Flame_Secondary</v>
      </c>
      <c r="J190">
        <f>MROUND(2.42*'Ammo Input'!M190^(1/3)*VLOOKUP(B190,AmmoTypeFactors,3,FALSE),0.5)</f>
        <v>0</v>
      </c>
      <c r="K190" s="25" t="str">
        <f>IF(VLOOKUP(B190,AmmoTypeFactors,12,FALSE),MROUND(J190/3,0.5),"None")</f>
        <v>None</v>
      </c>
      <c r="L190" s="25">
        <f>IF(VLOOKUP(B190,AmmoTypeFactors,8,FALSE),"None",ROUNDUP(IF(Calcs!I190&gt;0,Calcs!I190,Calcs!H190),3))</f>
        <v>1155.76</v>
      </c>
      <c r="M190" s="25">
        <f>IF(VLOOKUP(B190,AmmoTypeFactors,8,FALSE),"None",'Ammo Input'!L190)</f>
        <v>40</v>
      </c>
      <c r="N190">
        <f>'Ammo Input'!O190</f>
        <v>200</v>
      </c>
      <c r="O190" t="e">
        <f>ROUND((P190*0.0036+SUMPRODUCT(Q190:AB190,VLOOKUP($Q$1:$AB$1,IngredientStats,2,FALSE)))/N190*IF('Ammo Input'!R190,0.5,1),2)</f>
        <v>#VALUE!</v>
      </c>
      <c r="P190" t="e">
        <f>(SUMPRODUCT(Q190:AB190,VLOOKUP($Q$1:$AB$1,IngredientStats,4,FALSE))*VLOOKUP(B190,AmmoTypeFactors,14,FALSE)*IF('Ammo Input'!R190,1.1,1))</f>
        <v>#VALUE!</v>
      </c>
      <c r="Q190">
        <f>IFERROR(__xludf.DUMMYFUNCTION("((IF(NOT(OR(REGEXMATCH(B186, ""Arrow""), B186 = ""Javelin"", B186 = ""Stick bomb"")), ROUNDUP(('Ammo Input'!E186 / 1000) * N186)) + IF(VLOOKUP(B186, AmmoTypeFactors, 9, FALSE) = ""Steel"", ROUNDUP(('Ammo Input'!H186 -'Ammo Input'!M186) * MAX(IF('Ammo Inpu"&amp;"t'!J186 &gt; 0, 'Ammo Input'!J186, 1), 1) * N186 / 1000))) / 'Ingredient stats'!$C$2) * IF(ISBLANK(VLOOKUP(B186,AmmoTypeFactors,15,False)),1,VLOOKUP(B186,AmmoTypeFactors,15,False))"),150)</f>
        <v>150</v>
      </c>
      <c r="R190">
        <f>IFERROR(__xludf.DUMMYFUNCTION("ROUNDUP((IF(REGEXMATCH(B186, ""Arrow"") + (B186 = ""Javelin""), 'Ammo Input'!E186) + IF(VLOOKUP(B186, AmmoTypeFactors, 9, FALSE) = ""Wood"", 'Ammo Input'!H186) + IF(B186 = ""Stick bomb"", 'Ammo Input'!E186)) * N186 / 'Ingredient stats'!$C$12 / 1000)"),0)</f>
        <v>0</v>
      </c>
      <c r="S190">
        <v>0</v>
      </c>
      <c r="T190">
        <v>0</v>
      </c>
      <c r="U190">
        <f>IF(VLOOKUP(B190,AmmoTypeFactors,9,FALSE)="Plasteel",ROUNDUP(('Ammo Input'!H190*MAX(IF('Ammo Input'!J190&gt;0,'Ammo Input'!J190,1)*N190/1000/'Ingredient stats'!$C$4)),0),0)</f>
        <v>0</v>
      </c>
      <c r="V190">
        <f>IFERROR(__xludf.DUMMYFUNCTION("ROUNDUP(IF(ISBLANK(VLOOKUP(B186,AmmoTypeFactors,16,False)),1,VLOOKUP(B186,AmmoTypeFactors,16,False)) * (IFS(REGEXMATCH(B186, ""EMP""), 'Ammo Input'!M186 * N186 / 'Ingredient stats'!$C$5, REGEXMATCH(B186, ""Charge""), (U186^0.75), true, 0) + (IF(VLOOKUP(B1"&amp;"86, AmmoTypeFactors, 10, false), 2,0) + IF('Ammo Input'!P186, 2,0) + IF('Ammo Input'!Q186,MIN(ROUNDUP(0.2*('Ammo Input'!H186/1000)*'Ammo Input'!O186,0),20),0))))"),0)</f>
        <v>0</v>
      </c>
      <c r="W190">
        <v>20</v>
      </c>
      <c r="X190">
        <v>0</v>
      </c>
      <c r="Y190">
        <v>0</v>
      </c>
      <c r="Z190">
        <v>0</v>
      </c>
      <c r="AA190">
        <v>0</v>
      </c>
      <c r="AB190" s="30">
        <f>IF(B190="Sling Bullet (Stone)",ROUNDUP(D190*0.02*E190/'Ingredient stats'!$C$8,0),0)</f>
        <v>0</v>
      </c>
      <c r="AC190" t="str">
        <f t="shared" si="12"/>
        <v>None</v>
      </c>
      <c r="AD190" t="str">
        <f>IF(OR(B190="Buck",B190="Bird",B190="Charge (Scatter)"),'Ammo Input'!J190,"None")</f>
        <v>None</v>
      </c>
      <c r="AE190" t="str">
        <f>_xlfn.IFS(ISTEXT(Calcs!N190),Calcs!N190,Calcs!N190&lt;=40,Calcs!N190,Calcs!N190&gt;41,"40")</f>
        <v>None</v>
      </c>
      <c r="AF190" t="str">
        <f>_xlfn.IFS(ISTEXT(Calcs!O190),Calcs!O190,Calcs!O190&lt;=80,Calcs!O190,Calcs!O190&gt;=81,"80")</f>
        <v>None</v>
      </c>
      <c r="AG190" s="25">
        <f t="shared" si="13"/>
        <v>1</v>
      </c>
      <c r="AH190" s="25">
        <f t="shared" si="14"/>
        <v>2.5</v>
      </c>
      <c r="AI190" s="25">
        <f t="shared" si="15"/>
        <v>1</v>
      </c>
    </row>
    <row r="191" ht="14.4" spans="1:35">
      <c r="A191" s="32" t="str">
        <f>'Ammo Input'!A191</f>
        <v>23x115mm(HV)</v>
      </c>
      <c r="B191" t="str">
        <f>'Ammo Input'!B191</f>
        <v>AP-HE</v>
      </c>
      <c r="C191">
        <f>ROUNDUP(('Ammo Input'!C191*(MAX('Ammo Input'!D191,'Ammo Input'!F191)*0.5)^2*PI())*3/1000000,2)</f>
        <v>0.35</v>
      </c>
      <c r="D191">
        <f>ROUNDUP(('Ammo Input'!E191+'Ammo Input'!H191*IF('Ammo Input'!J191&lt;&gt;"",MAX('Ammo Input'!J191,1),1))/1000,3)</f>
        <v>0.331</v>
      </c>
      <c r="E191">
        <f>MIN(5000,MAX(25,CEILING(Calcs!L191,_xlfn.IFS(Calcs!L191&lt;100,25,Calcs!L191&lt;250,50,Calcs!L191&lt;1000,250,Calcs!L191&gt;=1000,1000))))</f>
        <v>1000</v>
      </c>
      <c r="F191">
        <f>ROUNDUP('Ammo Input'!G191^(3/4),0)</f>
        <v>153</v>
      </c>
      <c r="G191">
        <f>ROUND((0.5*((IF(OR(B191="HEAT",B191="HEDP"),'Ammo Input'!N191,'Ammo Input'!H191)/1000)*(IF(B191="HEAT",9000,IF(B191="HEDP",1500,'Ammo Input'!G191))^2))),0)</f>
        <v>57788</v>
      </c>
      <c r="H191" s="25" t="str">
        <f>CONCATENATE(IF((B191="Foam")+(B191="Smoke"),"-",ROUND(Calcs!D191,0))," ",VLOOKUP(B191,AmmoTypeFactors,5,FALSE))</f>
        <v>76 Bullet</v>
      </c>
      <c r="I191" s="25" t="str">
        <f>IF(Calcs!E191=0,"None",CONCATENATE(ROUND(Calcs!E191,0)," ",VLOOKUP(B191,AmmoTypeFactors,6,FALSE)))</f>
        <v>44 Bomb_Secondary</v>
      </c>
      <c r="J191">
        <f>MROUND(2.42*'Ammo Input'!M191^(1/3)*VLOOKUP(B191,AmmoTypeFactors,3,FALSE),0.5)</f>
        <v>0</v>
      </c>
      <c r="K191" s="25" t="str">
        <f>IF(VLOOKUP(B191,AmmoTypeFactors,12,FALSE),MROUND(J191/3,0.5),"None")</f>
        <v>None</v>
      </c>
      <c r="L191" s="25">
        <f>IF(VLOOKUP(B191,AmmoTypeFactors,8,FALSE),"None",ROUNDUP(IF(Calcs!I191&gt;0,Calcs!I191,Calcs!H191),3))</f>
        <v>1155.76</v>
      </c>
      <c r="M191" s="25">
        <f>IF(VLOOKUP(B191,AmmoTypeFactors,8,FALSE),"None",'Ammo Input'!L191)</f>
        <v>20</v>
      </c>
      <c r="N191">
        <f>'Ammo Input'!O191</f>
        <v>200</v>
      </c>
      <c r="O191" t="e">
        <f>ROUND((P191*0.0036+SUMPRODUCT(Q191:AB191,VLOOKUP($Q$1:$AB$1,IngredientStats,2,FALSE)))/N191*IF('Ammo Input'!R191,0.5,1),2)</f>
        <v>#VALUE!</v>
      </c>
      <c r="P191" t="e">
        <f>(SUMPRODUCT(Q191:AB191,VLOOKUP($Q$1:$AB$1,IngredientStats,4,FALSE))*VLOOKUP(B191,AmmoTypeFactors,14,FALSE)*IF('Ammo Input'!R191,1.1,1))</f>
        <v>#VALUE!</v>
      </c>
      <c r="Q191">
        <f>IFERROR(__xludf.DUMMYFUNCTION("((IF(NOT(OR(REGEXMATCH(B187, ""Arrow""), B187 = ""Javelin"", B187 = ""Stick bomb"")), ROUNDUP(('Ammo Input'!E187 / 1000) * N187)) + IF(VLOOKUP(B187, AmmoTypeFactors, 9, FALSE) = ""Steel"", ROUNDUP(('Ammo Input'!H187 -'Ammo Input'!M187) * MAX(IF('Ammo Inpu"&amp;"t'!J187 &gt; 0, 'Ammo Input'!J187, 1), 1) * N187 / 1000))) / 'Ingredient stats'!$C$2) * IF(ISBLANK(VLOOKUP(B187,AmmoTypeFactors,15,False)),1,VLOOKUP(B187,AmmoTypeFactors,15,False))"),150)</f>
        <v>150</v>
      </c>
      <c r="R191">
        <f>IFERROR(__xludf.DUMMYFUNCTION("ROUNDUP((IF(REGEXMATCH(B187, ""Arrow"") + (B187 = ""Javelin""), 'Ammo Input'!E187) + IF(VLOOKUP(B187, AmmoTypeFactors, 9, FALSE) = ""Wood"", 'Ammo Input'!H187) + IF(B187 = ""Stick bomb"", 'Ammo Input'!E187)) * N187 / 'Ingredient stats'!$C$12 / 1000)"),0)</f>
        <v>0</v>
      </c>
      <c r="S191">
        <v>0</v>
      </c>
      <c r="T191">
        <v>0</v>
      </c>
      <c r="U191">
        <f>IF(VLOOKUP(B191,AmmoTypeFactors,9,FALSE)="Plasteel",ROUNDUP(('Ammo Input'!H191*MAX(IF('Ammo Input'!J191&gt;0,'Ammo Input'!J191,1)*N191/1000/'Ingredient stats'!$C$4)),0),0)</f>
        <v>0</v>
      </c>
      <c r="V191">
        <f>IFERROR(__xludf.DUMMYFUNCTION("ROUNDUP(IF(ISBLANK(VLOOKUP(B187,AmmoTypeFactors,16,False)),1,VLOOKUP(B187,AmmoTypeFactors,16,False)) * (IFS(REGEXMATCH(B187, ""EMP""), 'Ammo Input'!M187 * N187 / 'Ingredient stats'!$C$5, REGEXMATCH(B187, ""Charge""), (U187^0.75), true, 0) + (IF(VLOOKUP(B1"&amp;"87, AmmoTypeFactors, 10, false), 2,0) + IF('Ammo Input'!P187, 2,0) + IF('Ammo Input'!Q187,MIN(ROUNDUP(0.2*('Ammo Input'!H187/1000)*'Ammo Input'!O187,0),20),0))))"),0)</f>
        <v>0</v>
      </c>
      <c r="W191">
        <v>0</v>
      </c>
      <c r="X191">
        <v>38</v>
      </c>
      <c r="Y191">
        <v>0</v>
      </c>
      <c r="Z191">
        <v>0</v>
      </c>
      <c r="AA191">
        <v>0</v>
      </c>
      <c r="AB191" s="30">
        <f>IF(B191="Sling Bullet (Stone)",ROUNDUP(D191*0.02*E191/'Ingredient stats'!$C$8,0),0)</f>
        <v>0</v>
      </c>
      <c r="AC191" t="str">
        <f t="shared" si="12"/>
        <v>None</v>
      </c>
      <c r="AD191" t="str">
        <f>IF(OR(B191="Buck",B191="Bird",B191="Charge (Scatter)"),'Ammo Input'!J191,"None")</f>
        <v>None</v>
      </c>
      <c r="AE191" t="str">
        <f>_xlfn.IFS(ISTEXT(Calcs!N191),Calcs!N191,Calcs!N191&lt;=40,Calcs!N191,Calcs!N191&gt;41,"40")</f>
        <v>None</v>
      </c>
      <c r="AF191" t="str">
        <f>_xlfn.IFS(ISTEXT(Calcs!O191),Calcs!O191,Calcs!O191&lt;=80,Calcs!O191,Calcs!O191&gt;=81,"80")</f>
        <v>None</v>
      </c>
      <c r="AG191" s="25">
        <f t="shared" si="13"/>
        <v>1</v>
      </c>
      <c r="AH191" s="25">
        <f t="shared" si="14"/>
        <v>2.5</v>
      </c>
      <c r="AI191" s="25">
        <f t="shared" si="15"/>
        <v>1</v>
      </c>
    </row>
    <row r="192" ht="15.15" spans="1:35">
      <c r="A192" s="33" t="str">
        <f>'Ammo Input'!A192</f>
        <v>23x115mm(HV)</v>
      </c>
      <c r="B192" t="str">
        <f>'Ammo Input'!B192</f>
        <v>Sabot</v>
      </c>
      <c r="C192">
        <f>ROUNDUP(('Ammo Input'!C192*(MAX('Ammo Input'!D192,'Ammo Input'!F192)*0.5)^2*PI())*3/1000000,2)</f>
        <v>0.35</v>
      </c>
      <c r="D192">
        <f>ROUNDUP(('Ammo Input'!E192+'Ammo Input'!H192*IF('Ammo Input'!J192&lt;&gt;"",MAX('Ammo Input'!J192,1),1))/1000,3)</f>
        <v>0.257</v>
      </c>
      <c r="E192">
        <f>MIN(5000,MAX(25,CEILING(Calcs!L192,_xlfn.IFS(Calcs!L192&lt;100,25,Calcs!L192&lt;250,50,Calcs!L192&lt;1000,250,Calcs!L192&gt;=1000,1000))))</f>
        <v>1000</v>
      </c>
      <c r="F192">
        <f>ROUNDUP('Ammo Input'!G192^(3/4),0)</f>
        <v>207</v>
      </c>
      <c r="G192">
        <f>ROUND((0.5*((IF(OR(B192="HEAT",B192="HEDP"),'Ammo Input'!N192,'Ammo Input'!H192)/1000)*(IF(B192="HEAT",9000,IF(B192="HEDP",1500,'Ammo Input'!G192))^2))),0)</f>
        <v>74239</v>
      </c>
      <c r="H192" s="25" t="str">
        <f>CONCATENATE(IF((B192="Foam")+(B192="Smoke"),"-",ROUND(Calcs!D192,0))," ",VLOOKUP(B192,AmmoTypeFactors,5,FALSE))</f>
        <v>46 Bullet</v>
      </c>
      <c r="I192" s="25" t="str">
        <f>IF(Calcs!E192=0,"None",CONCATENATE(ROUND(Calcs!E192,0)," ",VLOOKUP(B192,AmmoTypeFactors,6,FALSE)))</f>
        <v>None</v>
      </c>
      <c r="J192">
        <f>MROUND(2.42*'Ammo Input'!M192^(1/3)*VLOOKUP(B192,AmmoTypeFactors,3,FALSE),0.5)</f>
        <v>0</v>
      </c>
      <c r="K192" s="25" t="str">
        <f>IF(VLOOKUP(B192,AmmoTypeFactors,12,FALSE),MROUND(J192/3,0.5),"None")</f>
        <v>None</v>
      </c>
      <c r="L192" s="25">
        <f>IF(VLOOKUP(B192,AmmoTypeFactors,8,FALSE),"None",ROUNDUP(IF(Calcs!I192&gt;0,Calcs!I192,Calcs!H192),3))</f>
        <v>1484.78</v>
      </c>
      <c r="M192" s="25">
        <f>IF(VLOOKUP(B192,AmmoTypeFactors,8,FALSE),"None",'Ammo Input'!L192)</f>
        <v>69.8</v>
      </c>
      <c r="N192">
        <f>'Ammo Input'!O192</f>
        <v>200</v>
      </c>
      <c r="O192" t="e">
        <f>ROUND((P192*0.0036+SUMPRODUCT(Q192:AB192,VLOOKUP($Q$1:$AB$1,IngredientStats,2,FALSE)))/N192*IF('Ammo Input'!R192,0.5,1),2)</f>
        <v>#VALUE!</v>
      </c>
      <c r="P192" t="e">
        <f>(SUMPRODUCT(Q192:AB192,VLOOKUP($Q$1:$AB$1,IngredientStats,4,FALSE))*VLOOKUP(B192,AmmoTypeFactors,14,FALSE)*IF('Ammo Input'!R192,1.1,1))</f>
        <v>#VALUE!</v>
      </c>
      <c r="Q192">
        <f>IFERROR(__xludf.DUMMYFUNCTION("((IF(NOT(OR(REGEXMATCH(B188, ""Arrow""), B188 = ""Javelin"", B188 = ""Stick bomb"")), ROUNDUP(('Ammo Input'!E188 / 1000) * N188)) + IF(VLOOKUP(B188, AmmoTypeFactors, 9, FALSE) = ""Steel"", ROUNDUP(('Ammo Input'!H188 -'Ammo Input'!M188) * MAX(IF('Ammo Inpu"&amp;"t'!J188 &gt; 0, 'Ammo Input'!J188, 1), 1) * N188 / 1000))) / 'Ingredient stats'!$C$2) * IF(ISBLANK(VLOOKUP(B188,AmmoTypeFactors,15,False)),1,VLOOKUP(B188,AmmoTypeFactors,15,False))"),66)</f>
        <v>66</v>
      </c>
      <c r="R192">
        <f>IFERROR(__xludf.DUMMYFUNCTION("ROUNDUP((IF(REGEXMATCH(B188, ""Arrow"") + (B188 = ""Javelin""), 'Ammo Input'!E188) + IF(VLOOKUP(B188, AmmoTypeFactors, 9, FALSE) = ""Wood"", 'Ammo Input'!H188) + IF(B188 = ""Stick bomb"", 'Ammo Input'!E188)) * N188 / 'Ingredient stats'!$C$12 / 1000)"),0)</f>
        <v>0</v>
      </c>
      <c r="S192">
        <v>24</v>
      </c>
      <c r="T192">
        <v>24</v>
      </c>
      <c r="U192">
        <f>IF(VLOOKUP(B192,AmmoTypeFactors,9,FALSE)="Plasteel",ROUNDUP(('Ammo Input'!H192*MAX(IF('Ammo Input'!J192&gt;0,'Ammo Input'!J192,1)*N192/1000/'Ingredient stats'!$C$4)),0),0)</f>
        <v>0</v>
      </c>
      <c r="V192">
        <f>IFERROR(__xludf.DUMMYFUNCTION("ROUNDUP(IF(ISBLANK(VLOOKUP(B188,AmmoTypeFactors,16,False)),1,VLOOKUP(B188,AmmoTypeFactors,16,False)) * (IFS(REGEXMATCH(B188, ""EMP""), 'Ammo Input'!M188 * N188 / 'Ingredient stats'!$C$5, REGEXMATCH(B188, ""Charge""), (U188^0.75), true, 0) + (IF(VLOOKUP(B1"&amp;"88, AmmoTypeFactors, 10, false), 2,0) + IF('Ammo Input'!P188, 2,0) + IF('Ammo Input'!Q188,MIN(ROUNDUP(0.2*('Ammo Input'!H188/1000)*'Ammo Input'!O188,0),20),0))))"),0)</f>
        <v>0</v>
      </c>
      <c r="W192">
        <v>0</v>
      </c>
      <c r="X192">
        <v>0</v>
      </c>
      <c r="Y192">
        <v>0</v>
      </c>
      <c r="Z192">
        <v>0</v>
      </c>
      <c r="AA192">
        <v>0</v>
      </c>
      <c r="AB192" s="30">
        <f>IF(B192="Sling Bullet (Stone)",ROUNDUP(D192*0.02*E192/'Ingredient stats'!$C$8,0),0)</f>
        <v>0</v>
      </c>
      <c r="AC192" t="str">
        <f t="shared" si="12"/>
        <v>None</v>
      </c>
      <c r="AD192" t="str">
        <f>IF(OR(B192="Buck",B192="Bird",B192="Charge (Scatter)"),'Ammo Input'!J192,"None")</f>
        <v>None</v>
      </c>
      <c r="AE192" t="str">
        <f>_xlfn.IFS(ISTEXT(Calcs!N192),Calcs!N192,Calcs!N192&lt;=40,Calcs!N192,Calcs!N192&gt;41,"40")</f>
        <v>None</v>
      </c>
      <c r="AF192" t="str">
        <f>_xlfn.IFS(ISTEXT(Calcs!O192),Calcs!O192,Calcs!O192&lt;=80,Calcs!O192,Calcs!O192&gt;=81,"80")</f>
        <v>None</v>
      </c>
      <c r="AG192" s="25">
        <f t="shared" si="13"/>
        <v>1</v>
      </c>
      <c r="AH192" s="25">
        <f t="shared" si="14"/>
        <v>3.39</v>
      </c>
      <c r="AI192" s="25">
        <f t="shared" si="15"/>
        <v>1</v>
      </c>
    </row>
    <row r="193" ht="14.4" spans="1:35">
      <c r="A193" s="24" t="str">
        <f>'Ammo Input'!A193</f>
        <v>30x165mm</v>
      </c>
      <c r="B193" t="str">
        <f>'Ammo Input'!B193</f>
        <v>AP</v>
      </c>
      <c r="C193">
        <f>ROUNDUP(('Ammo Input'!C193*(MAX('Ammo Input'!D193,'Ammo Input'!F193)*0.5)^2*PI())*3/1000000,2)</f>
        <v>0.69</v>
      </c>
      <c r="D193">
        <f>ROUNDUP(('Ammo Input'!E193+'Ammo Input'!H193*IF('Ammo Input'!J193&lt;&gt;"",MAX('Ammo Input'!J193,1),1))/1000,3)</f>
        <v>0.832</v>
      </c>
      <c r="E193">
        <f>MIN(5000,MAX(25,CEILING(Calcs!L193,_xlfn.IFS(Calcs!L193&lt;100,25,Calcs!L193&lt;250,50,Calcs!L193&lt;1000,250,Calcs!L193&gt;=1000,1000))))</f>
        <v>500</v>
      </c>
      <c r="F193">
        <f>ROUNDUP('Ammo Input'!G193^(3/4),0)</f>
        <v>165</v>
      </c>
      <c r="G193">
        <f>ROUND((0.5*((IF(OR(B193="HEAT",B193="HEDP"),'Ammo Input'!N193,'Ammo Input'!H193)/1000)*(IF(B193="HEAT",9000,IF(B193="HEDP",1500,'Ammo Input'!G193))^2))),0)</f>
        <v>157950</v>
      </c>
      <c r="H193" s="25" t="str">
        <f>CONCATENATE(IF((B193="Foam")+(B193="Smoke"),"-",ROUND(Calcs!D193,0))," ",VLOOKUP(B193,AmmoTypeFactors,5,FALSE))</f>
        <v>74 Bullet</v>
      </c>
      <c r="I193" s="25" t="str">
        <f>IF(Calcs!E193=0,"None",CONCATENATE(ROUND(Calcs!E193,0)," ",VLOOKUP(B193,AmmoTypeFactors,6,FALSE)))</f>
        <v>None</v>
      </c>
      <c r="J193">
        <f>MROUND(2.42*'Ammo Input'!M193^(1/3)*VLOOKUP(B193,AmmoTypeFactors,3,FALSE),0.5)</f>
        <v>0</v>
      </c>
      <c r="K193" s="25" t="str">
        <f>IF(VLOOKUP(B193,AmmoTypeFactors,12,FALSE),MROUND(J193/3,0.5),"None")</f>
        <v>None</v>
      </c>
      <c r="L193" s="25">
        <f>IF(VLOOKUP(B193,AmmoTypeFactors,8,FALSE),"None",ROUNDUP(IF(Calcs!I193&gt;0,Calcs!I193,Calcs!H193),3))</f>
        <v>3159</v>
      </c>
      <c r="M193" s="25">
        <f>IF(VLOOKUP(B193,AmmoTypeFactors,8,FALSE),"None",'Ammo Input'!L193)</f>
        <v>57</v>
      </c>
      <c r="N193">
        <f>'Ammo Input'!O193</f>
        <v>100</v>
      </c>
      <c r="O193" t="e">
        <f>ROUND((P193*0.0036+SUMPRODUCT(Q193:AB193,VLOOKUP($Q$1:$AB$1,IngredientStats,2,FALSE)))/N193*IF('Ammo Input'!R193,0.5,1),2)</f>
        <v>#VALUE!</v>
      </c>
      <c r="P193" t="e">
        <f>(SUMPRODUCT(Q193:AB193,VLOOKUP($Q$1:$AB$1,IngredientStats,4,FALSE))*VLOOKUP(B193,AmmoTypeFactors,14,FALSE)*IF('Ammo Input'!R193,1.1,1))</f>
        <v>#VALUE!</v>
      </c>
      <c r="Q193">
        <f>IFERROR(__xludf.DUMMYFUNCTION("((IF(NOT(OR(REGEXMATCH(B189, ""Arrow""), B189 = ""Javelin"", B189 = ""Stick bomb"")), ROUNDUP(('Ammo Input'!E189 / 1000) * N189)) + IF(VLOOKUP(B189, AmmoTypeFactors, 9, FALSE) = ""Steel"", ROUNDUP(('Ammo Input'!H189 -'Ammo Input'!M189) * MAX(IF('Ammo Inpu"&amp;"t'!J189 &gt; 0, 'Ammo Input'!J189, 1), 1) * N189 / 1000))) / 'Ingredient stats'!$C$2) * IF(ISBLANK(VLOOKUP(B189,AmmoTypeFactors,15,False)),1,VLOOKUP(B189,AmmoTypeFactors,15,False))"),168)</f>
        <v>168</v>
      </c>
      <c r="R193">
        <f>IFERROR(__xludf.DUMMYFUNCTION("ROUNDUP((IF(REGEXMATCH(B189, ""Arrow"") + (B189 = ""Javelin""), 'Ammo Input'!E189) + IF(VLOOKUP(B189, AmmoTypeFactors, 9, FALSE) = ""Wood"", 'Ammo Input'!H189) + IF(B189 = ""Stick bomb"", 'Ammo Input'!E189)) * N189 / 'Ingredient stats'!$C$12 / 1000)"),0)</f>
        <v>0</v>
      </c>
      <c r="S193">
        <v>0</v>
      </c>
      <c r="T193">
        <v>0</v>
      </c>
      <c r="U193">
        <f>IF(VLOOKUP(B193,AmmoTypeFactors,9,FALSE)="Plasteel",ROUNDUP(('Ammo Input'!H193*MAX(IF('Ammo Input'!J193&gt;0,'Ammo Input'!J193,1)*N193/1000/'Ingredient stats'!$C$4)),0),0)</f>
        <v>0</v>
      </c>
      <c r="V193">
        <f>IFERROR(__xludf.DUMMYFUNCTION("ROUNDUP(IF(ISBLANK(VLOOKUP(B189,AmmoTypeFactors,16,False)),1,VLOOKUP(B189,AmmoTypeFactors,16,False)) * (IFS(REGEXMATCH(B189, ""EMP""), 'Ammo Input'!M189 * N189 / 'Ingredient stats'!$C$5, REGEXMATCH(B189, ""Charge""), (U189^0.75), true, 0) + (IF(VLOOKUP(B1"&amp;"89, AmmoTypeFactors, 10, false), 2,0) + IF('Ammo Input'!P189, 2,0) + IF('Ammo Input'!Q189,MIN(ROUNDUP(0.2*('Ammo Input'!H189/1000)*'Ammo Input'!O189,0),20),0))))"),0)</f>
        <v>0</v>
      </c>
      <c r="W193">
        <v>0</v>
      </c>
      <c r="X193">
        <v>0</v>
      </c>
      <c r="Y193">
        <v>0</v>
      </c>
      <c r="Z193">
        <v>0</v>
      </c>
      <c r="AA193">
        <v>0</v>
      </c>
      <c r="AB193" s="30">
        <f>IF(B193="Sling Bullet (Stone)",ROUNDUP(D193*0.02*E193/'Ingredient stats'!$C$8,0),0)</f>
        <v>0</v>
      </c>
      <c r="AC193" t="str">
        <f t="shared" si="12"/>
        <v>None</v>
      </c>
      <c r="AD193" t="str">
        <f>IF(OR(B193="Buck",B193="Bird",B193="Charge (Scatter)"),'Ammo Input'!J193,"None")</f>
        <v>None</v>
      </c>
      <c r="AE193" t="str">
        <f>_xlfn.IFS(ISTEXT(Calcs!N193),Calcs!N193,Calcs!N193&lt;=40,Calcs!N193,Calcs!N193&gt;41,"40")</f>
        <v>None</v>
      </c>
      <c r="AF193" t="str">
        <f>_xlfn.IFS(ISTEXT(Calcs!O193),Calcs!O193,Calcs!O193&lt;=80,Calcs!O193,Calcs!O193&gt;=81,"80")</f>
        <v>None</v>
      </c>
      <c r="AG193" s="25">
        <f t="shared" si="13"/>
        <v>1</v>
      </c>
      <c r="AH193" s="25">
        <f t="shared" si="14"/>
        <v>2.7</v>
      </c>
      <c r="AI193" s="25">
        <f t="shared" si="15"/>
        <v>1</v>
      </c>
    </row>
    <row r="194" ht="14.4" spans="1:35">
      <c r="A194" s="24" t="str">
        <f>'Ammo Input'!A194</f>
        <v>30x165mm</v>
      </c>
      <c r="B194" t="str">
        <f>'Ammo Input'!B194</f>
        <v>AP-I</v>
      </c>
      <c r="C194">
        <f>ROUNDUP(('Ammo Input'!C194*(MAX('Ammo Input'!D194,'Ammo Input'!F194)*0.5)^2*PI())*3/1000000,2)</f>
        <v>0.69</v>
      </c>
      <c r="D194">
        <f>ROUNDUP(('Ammo Input'!E194+'Ammo Input'!H194*IF('Ammo Input'!J194&lt;&gt;"",MAX('Ammo Input'!J194,1),1))/1000,3)</f>
        <v>0.832</v>
      </c>
      <c r="E194">
        <f>MIN(5000,MAX(25,CEILING(Calcs!L194,_xlfn.IFS(Calcs!L194&lt;100,25,Calcs!L194&lt;250,50,Calcs!L194&lt;1000,250,Calcs!L194&gt;=1000,1000))))</f>
        <v>500</v>
      </c>
      <c r="F194">
        <f>ROUNDUP('Ammo Input'!G194^(3/4),0)</f>
        <v>165</v>
      </c>
      <c r="G194">
        <f>ROUND((0.5*((IF(OR(B194="HEAT",B194="HEDP"),'Ammo Input'!N194,'Ammo Input'!H194)/1000)*(IF(B194="HEAT",9000,IF(B194="HEDP",1500,'Ammo Input'!G194))^2))),0)</f>
        <v>157950</v>
      </c>
      <c r="H194" s="25" t="str">
        <f>CONCATENATE(IF((B194="Foam")+(B194="Smoke"),"-",ROUND(Calcs!D194,0))," ",VLOOKUP(B194,AmmoTypeFactors,5,FALSE))</f>
        <v>74 Bullet</v>
      </c>
      <c r="I194" s="25" t="str">
        <f>IF(Calcs!E194=0,"None",CONCATENATE(ROUND(Calcs!E194,0)," ",VLOOKUP(B194,AmmoTypeFactors,6,FALSE)))</f>
        <v>52 Flame_Secondary</v>
      </c>
      <c r="J194">
        <f>MROUND(2.42*'Ammo Input'!M194^(1/3)*VLOOKUP(B194,AmmoTypeFactors,3,FALSE),0.5)</f>
        <v>0</v>
      </c>
      <c r="K194" s="25" t="str">
        <f>IF(VLOOKUP(B194,AmmoTypeFactors,12,FALSE),MROUND(J194/3,0.5),"None")</f>
        <v>None</v>
      </c>
      <c r="L194" s="25">
        <f>IF(VLOOKUP(B194,AmmoTypeFactors,8,FALSE),"None",ROUNDUP(IF(Calcs!I194&gt;0,Calcs!I194,Calcs!H194),3))</f>
        <v>3159</v>
      </c>
      <c r="M194" s="25">
        <f>IF(VLOOKUP(B194,AmmoTypeFactors,8,FALSE),"None",'Ammo Input'!L194)</f>
        <v>57</v>
      </c>
      <c r="N194">
        <f>'Ammo Input'!O194</f>
        <v>100</v>
      </c>
      <c r="O194" t="e">
        <f>ROUND((P194*0.0036+SUMPRODUCT(Q194:AB194,VLOOKUP($Q$1:$AB$1,IngredientStats,2,FALSE)))/N194*IF('Ammo Input'!R194,0.5,1),2)</f>
        <v>#VALUE!</v>
      </c>
      <c r="P194" t="e">
        <f>(SUMPRODUCT(Q194:AB194,VLOOKUP($Q$1:$AB$1,IngredientStats,4,FALSE))*VLOOKUP(B194,AmmoTypeFactors,14,FALSE)*IF('Ammo Input'!R194,1.1,1))</f>
        <v>#VALUE!</v>
      </c>
      <c r="Q194">
        <f>IFERROR(__xludf.DUMMYFUNCTION("((IF(NOT(OR(REGEXMATCH(B190, ""Arrow""), B190 = ""Javelin"", B190 = ""Stick bomb"")), ROUNDUP(('Ammo Input'!E190 / 1000) * N190)) + IF(VLOOKUP(B190, AmmoTypeFactors, 9, FALSE) = ""Steel"", ROUNDUP(('Ammo Input'!H190 -'Ammo Input'!M190) * MAX(IF('Ammo Inpu"&amp;"t'!J190 &gt; 0, 'Ammo Input'!J190, 1), 1) * N190 / 1000))) / 'Ingredient stats'!$C$2) * IF(ISBLANK(VLOOKUP(B190,AmmoTypeFactors,15,False)),1,VLOOKUP(B190,AmmoTypeFactors,15,False))"),168)</f>
        <v>168</v>
      </c>
      <c r="R194">
        <f>IFERROR(__xludf.DUMMYFUNCTION("ROUNDUP((IF(REGEXMATCH(B190, ""Arrow"") + (B190 = ""Javelin""), 'Ammo Input'!E190) + IF(VLOOKUP(B190, AmmoTypeFactors, 9, FALSE) = ""Wood"", 'Ammo Input'!H190) + IF(B190 = ""Stick bomb"", 'Ammo Input'!E190)) * N190 / 'Ingredient stats'!$C$12 / 1000)"),0)</f>
        <v>0</v>
      </c>
      <c r="S194">
        <v>0</v>
      </c>
      <c r="T194">
        <v>0</v>
      </c>
      <c r="U194">
        <f>IF(VLOOKUP(B194,AmmoTypeFactors,9,FALSE)="Plasteel",ROUNDUP(('Ammo Input'!H194*MAX(IF('Ammo Input'!J194&gt;0,'Ammo Input'!J194,1)*N194/1000/'Ingredient stats'!$C$4)),0),0)</f>
        <v>0</v>
      </c>
      <c r="V194">
        <f>IFERROR(__xludf.DUMMYFUNCTION("ROUNDUP(IF(ISBLANK(VLOOKUP(B190,AmmoTypeFactors,16,False)),1,VLOOKUP(B190,AmmoTypeFactors,16,False)) * (IFS(REGEXMATCH(B190, ""EMP""), 'Ammo Input'!M190 * N190 / 'Ingredient stats'!$C$5, REGEXMATCH(B190, ""Charge""), (U190^0.75), true, 0) + (IF(VLOOKUP(B1"&amp;"90, AmmoTypeFactors, 10, false), 2,0) + IF('Ammo Input'!P190, 2,0) + IF('Ammo Input'!Q190,MIN(ROUNDUP(0.2*('Ammo Input'!H190/1000)*'Ammo Input'!O190,0),20),0))))"),0)</f>
        <v>0</v>
      </c>
      <c r="W194">
        <v>19</v>
      </c>
      <c r="X194">
        <v>0</v>
      </c>
      <c r="Y194">
        <v>0</v>
      </c>
      <c r="Z194">
        <v>0</v>
      </c>
      <c r="AA194">
        <v>0</v>
      </c>
      <c r="AB194" s="30">
        <f>IF(B194="Sling Bullet (Stone)",ROUNDUP(D194*0.02*E194/'Ingredient stats'!$C$8,0),0)</f>
        <v>0</v>
      </c>
      <c r="AC194" t="str">
        <f t="shared" si="12"/>
        <v>None</v>
      </c>
      <c r="AD194" t="str">
        <f>IF(OR(B194="Buck",B194="Bird",B194="Charge (Scatter)"),'Ammo Input'!J194,"None")</f>
        <v>None</v>
      </c>
      <c r="AE194" t="str">
        <f>_xlfn.IFS(ISTEXT(Calcs!N194),Calcs!N194,Calcs!N194&lt;=40,Calcs!N194,Calcs!N194&gt;41,"40")</f>
        <v>None</v>
      </c>
      <c r="AF194" t="str">
        <f>_xlfn.IFS(ISTEXT(Calcs!O194),Calcs!O194,Calcs!O194&lt;=80,Calcs!O194,Calcs!O194&gt;=81,"80")</f>
        <v>None</v>
      </c>
      <c r="AG194" s="25">
        <f t="shared" si="13"/>
        <v>1</v>
      </c>
      <c r="AH194" s="25">
        <f t="shared" si="14"/>
        <v>2.7</v>
      </c>
      <c r="AI194" s="25">
        <f t="shared" si="15"/>
        <v>1</v>
      </c>
    </row>
    <row r="195" ht="14.4" spans="1:35">
      <c r="A195" s="24" t="str">
        <f>'Ammo Input'!A195</f>
        <v>30x165mm</v>
      </c>
      <c r="B195" t="str">
        <f>'Ammo Input'!B195</f>
        <v>AP-HE</v>
      </c>
      <c r="C195">
        <f>ROUNDUP(('Ammo Input'!C195*(MAX('Ammo Input'!D195,'Ammo Input'!F195)*0.5)^2*PI())*3/1000000,2)</f>
        <v>0.69</v>
      </c>
      <c r="D195">
        <f>ROUNDUP(('Ammo Input'!E195+'Ammo Input'!H195*IF('Ammo Input'!J195&lt;&gt;"",MAX('Ammo Input'!J195,1),1))/1000,3)</f>
        <v>0.832</v>
      </c>
      <c r="E195">
        <f>MIN(5000,MAX(25,CEILING(Calcs!L195,_xlfn.IFS(Calcs!L195&lt;100,25,Calcs!L195&lt;250,50,Calcs!L195&lt;1000,250,Calcs!L195&gt;=1000,1000))))</f>
        <v>500</v>
      </c>
      <c r="F195">
        <f>ROUNDUP('Ammo Input'!G195^(3/4),0)</f>
        <v>165</v>
      </c>
      <c r="G195">
        <f>ROUND((0.5*((IF(OR(B195="HEAT",B195="HEDP"),'Ammo Input'!N195,'Ammo Input'!H195)/1000)*(IF(B195="HEAT",9000,IF(B195="HEDP",1500,'Ammo Input'!G195))^2))),0)</f>
        <v>157950</v>
      </c>
      <c r="H195" s="25" t="str">
        <f>CONCATENATE(IF((B195="Foam")+(B195="Smoke"),"-",ROUND(Calcs!D195,0))," ",VLOOKUP(B195,AmmoTypeFactors,5,FALSE))</f>
        <v>118 Bullet</v>
      </c>
      <c r="I195" s="25" t="str">
        <f>IF(Calcs!E195=0,"None",CONCATENATE(ROUND(Calcs!E195,0)," ",VLOOKUP(B195,AmmoTypeFactors,6,FALSE)))</f>
        <v>71 Bomb_Secondary</v>
      </c>
      <c r="J195">
        <f>MROUND(2.42*'Ammo Input'!M195^(1/3)*VLOOKUP(B195,AmmoTypeFactors,3,FALSE),0.5)</f>
        <v>0</v>
      </c>
      <c r="K195" s="25" t="str">
        <f>IF(VLOOKUP(B195,AmmoTypeFactors,12,FALSE),MROUND(J195/3,0.5),"None")</f>
        <v>None</v>
      </c>
      <c r="L195" s="25">
        <f>IF(VLOOKUP(B195,AmmoTypeFactors,8,FALSE),"None",ROUNDUP(IF(Calcs!I195&gt;0,Calcs!I195,Calcs!H195),3))</f>
        <v>3159</v>
      </c>
      <c r="M195" s="25">
        <f>IF(VLOOKUP(B195,AmmoTypeFactors,8,FALSE),"None",'Ammo Input'!L195)</f>
        <v>28.5</v>
      </c>
      <c r="N195">
        <f>'Ammo Input'!O195</f>
        <v>100</v>
      </c>
      <c r="O195" t="e">
        <f>ROUND((P195*0.0036+SUMPRODUCT(Q195:AB195,VLOOKUP($Q$1:$AB$1,IngredientStats,2,FALSE)))/N195*IF('Ammo Input'!R195,0.5,1),2)</f>
        <v>#VALUE!</v>
      </c>
      <c r="P195" t="e">
        <f>(SUMPRODUCT(Q195:AB195,VLOOKUP($Q$1:$AB$1,IngredientStats,4,FALSE))*VLOOKUP(B195,AmmoTypeFactors,14,FALSE)*IF('Ammo Input'!R195,1.1,1))</f>
        <v>#VALUE!</v>
      </c>
      <c r="Q195">
        <f>IFERROR(__xludf.DUMMYFUNCTION("((IF(NOT(OR(REGEXMATCH(B191, ""Arrow""), B191 = ""Javelin"", B191 = ""Stick bomb"")), ROUNDUP(('Ammo Input'!E191 / 1000) * N191)) + IF(VLOOKUP(B191, AmmoTypeFactors, 9, FALSE) = ""Steel"", ROUNDUP(('Ammo Input'!H191 -'Ammo Input'!M191) * MAX(IF('Ammo Inpu"&amp;"t'!J191 &gt; 0, 'Ammo Input'!J191, 1), 1) * N191 / 1000))) / 'Ingredient stats'!$C$2) * IF(ISBLANK(VLOOKUP(B191,AmmoTypeFactors,15,False)),1,VLOOKUP(B191,AmmoTypeFactors,15,False))"),168)</f>
        <v>168</v>
      </c>
      <c r="R195">
        <f>IFERROR(__xludf.DUMMYFUNCTION("ROUNDUP((IF(REGEXMATCH(B191, ""Arrow"") + (B191 = ""Javelin""), 'Ammo Input'!E191) + IF(VLOOKUP(B191, AmmoTypeFactors, 9, FALSE) = ""Wood"", 'Ammo Input'!H191) + IF(B191 = ""Stick bomb"", 'Ammo Input'!E191)) * N191 / 'Ingredient stats'!$C$12 / 1000)"),0)</f>
        <v>0</v>
      </c>
      <c r="S195">
        <v>0</v>
      </c>
      <c r="T195">
        <v>0</v>
      </c>
      <c r="U195">
        <f>IF(VLOOKUP(B195,AmmoTypeFactors,9,FALSE)="Plasteel",ROUNDUP(('Ammo Input'!H195*MAX(IF('Ammo Input'!J195&gt;0,'Ammo Input'!J195,1)*N195/1000/'Ingredient stats'!$C$4)),0),0)</f>
        <v>0</v>
      </c>
      <c r="V195">
        <f>IFERROR(__xludf.DUMMYFUNCTION("ROUNDUP(IF(ISBLANK(VLOOKUP(B191,AmmoTypeFactors,16,False)),1,VLOOKUP(B191,AmmoTypeFactors,16,False)) * (IFS(REGEXMATCH(B191, ""EMP""), 'Ammo Input'!M191 * N191 / 'Ingredient stats'!$C$5, REGEXMATCH(B191, ""Charge""), (U191^0.75), true, 0) + (IF(VLOOKUP(B1"&amp;"91, AmmoTypeFactors, 10, false), 2,0) + IF('Ammo Input'!P191, 2,0) + IF('Ammo Input'!Q191,MIN(ROUNDUP(0.2*('Ammo Input'!H191/1000)*'Ammo Input'!O191,0),20),0))))"),0)</f>
        <v>0</v>
      </c>
      <c r="W195">
        <v>0</v>
      </c>
      <c r="X195">
        <v>37</v>
      </c>
      <c r="Y195">
        <v>0</v>
      </c>
      <c r="Z195">
        <v>0</v>
      </c>
      <c r="AA195">
        <v>0</v>
      </c>
      <c r="AB195" s="30">
        <f>IF(B195="Sling Bullet (Stone)",ROUNDUP(D195*0.02*E195/'Ingredient stats'!$C$8,0),0)</f>
        <v>0</v>
      </c>
      <c r="AC195" t="str">
        <f t="shared" si="12"/>
        <v>None</v>
      </c>
      <c r="AD195" t="str">
        <f>IF(OR(B195="Buck",B195="Bird",B195="Charge (Scatter)"),'Ammo Input'!J195,"None")</f>
        <v>None</v>
      </c>
      <c r="AE195" t="str">
        <f>_xlfn.IFS(ISTEXT(Calcs!N195),Calcs!N195,Calcs!N195&lt;=40,Calcs!N195,Calcs!N195&gt;41,"40")</f>
        <v>None</v>
      </c>
      <c r="AF195" t="str">
        <f>_xlfn.IFS(ISTEXT(Calcs!O195),Calcs!O195,Calcs!O195&lt;=80,Calcs!O195,Calcs!O195&gt;=81,"80")</f>
        <v>None</v>
      </c>
      <c r="AG195" s="25">
        <f t="shared" si="13"/>
        <v>1</v>
      </c>
      <c r="AH195" s="25">
        <f t="shared" si="14"/>
        <v>2.7</v>
      </c>
      <c r="AI195" s="25">
        <f t="shared" si="15"/>
        <v>1</v>
      </c>
    </row>
    <row r="196" ht="14.4" spans="1:35">
      <c r="A196" s="24" t="str">
        <f>'Ammo Input'!A196</f>
        <v>30x165mm</v>
      </c>
      <c r="B196" t="str">
        <f>'Ammo Input'!B196</f>
        <v>Sabot</v>
      </c>
      <c r="C196">
        <f>ROUNDUP(('Ammo Input'!C196*(MAX('Ammo Input'!D196,'Ammo Input'!F196)*0.5)^2*PI())*3/1000000,2)</f>
        <v>0.69</v>
      </c>
      <c r="D196">
        <f>ROUNDUP(('Ammo Input'!E196+'Ammo Input'!H196*IF('Ammo Input'!J196&lt;&gt;"",MAX('Ammo Input'!J196,1),1))/1000,3)</f>
        <v>0.665</v>
      </c>
      <c r="E196">
        <f>MIN(5000,MAX(25,CEILING(Calcs!L196,_xlfn.IFS(Calcs!L196&lt;100,25,Calcs!L196&lt;250,50,Calcs!L196&lt;1000,250,Calcs!L196&gt;=1000,1000))))</f>
        <v>500</v>
      </c>
      <c r="F196">
        <f>ROUNDUP('Ammo Input'!G196^(3/4),0)</f>
        <v>223</v>
      </c>
      <c r="G196">
        <f>ROUND((0.5*((IF(OR(B196="HEAT",B196="HEDP"),'Ammo Input'!N196,'Ammo Input'!H196)/1000)*(IF(B196="HEAT",9000,IF(B196="HEDP",1500,'Ammo Input'!G196))^2))),0)</f>
        <v>202571</v>
      </c>
      <c r="H196" s="25" t="str">
        <f>CONCATENATE(IF((B196="Foam")+(B196="Smoke"),"-",ROUND(Calcs!D196,0))," ",VLOOKUP(B196,AmmoTypeFactors,5,FALSE))</f>
        <v>63 Bullet</v>
      </c>
      <c r="I196" s="25" t="str">
        <f>IF(Calcs!E196=0,"None",CONCATENATE(ROUND(Calcs!E196,0)," ",VLOOKUP(B196,AmmoTypeFactors,6,FALSE)))</f>
        <v>None</v>
      </c>
      <c r="J196">
        <f>MROUND(2.42*'Ammo Input'!M196^(1/3)*VLOOKUP(B196,AmmoTypeFactors,3,FALSE),0.5)</f>
        <v>0</v>
      </c>
      <c r="K196" s="25" t="str">
        <f>IF(VLOOKUP(B196,AmmoTypeFactors,12,FALSE),MROUND(J196/3,0.5),"None")</f>
        <v>None</v>
      </c>
      <c r="L196" s="25">
        <f>IF(VLOOKUP(B196,AmmoTypeFactors,8,FALSE),"None",ROUNDUP(IF(Calcs!I196&gt;0,Calcs!I196,Calcs!H196),3))</f>
        <v>4051.42</v>
      </c>
      <c r="M196" s="25">
        <f>IF(VLOOKUP(B196,AmmoTypeFactors,8,FALSE),"None",'Ammo Input'!L196)</f>
        <v>100</v>
      </c>
      <c r="N196">
        <f>'Ammo Input'!O196</f>
        <v>100</v>
      </c>
      <c r="O196" t="e">
        <f>ROUND((P196*0.0036+SUMPRODUCT(Q196:AB196,VLOOKUP($Q$1:$AB$1,IngredientStats,2,FALSE)))/N196*IF('Ammo Input'!R196,0.5,1),2)</f>
        <v>#VALUE!</v>
      </c>
      <c r="P196" t="e">
        <f>(SUMPRODUCT(Q196:AB196,VLOOKUP($Q$1:$AB$1,IngredientStats,4,FALSE))*VLOOKUP(B196,AmmoTypeFactors,14,FALSE)*IF('Ammo Input'!R196,1.1,1))</f>
        <v>#VALUE!</v>
      </c>
      <c r="Q196">
        <f>IFERROR(__xludf.DUMMYFUNCTION("((IF(NOT(OR(REGEXMATCH(B192, ""Arrow""), B192 = ""Javelin"", B192 = ""Stick bomb"")), ROUNDUP(('Ammo Input'!E192 / 1000) * N192)) + IF(VLOOKUP(B192, AmmoTypeFactors, 9, FALSE) = ""Steel"", ROUNDUP(('Ammo Input'!H192 -'Ammo Input'!M192) * MAX(IF('Ammo Inpu"&amp;"t'!J192 &gt; 0, 'Ammo Input'!J192, 1), 1) * N192 / 1000))) / 'Ingredient stats'!$C$2) * IF(ISBLANK(VLOOKUP(B192,AmmoTypeFactors,15,False)),1,VLOOKUP(B192,AmmoTypeFactors,15,False))"),90)</f>
        <v>90</v>
      </c>
      <c r="R196">
        <f>IFERROR(__xludf.DUMMYFUNCTION("ROUNDUP((IF(REGEXMATCH(B192, ""Arrow"") + (B192 = ""Javelin""), 'Ammo Input'!E192) + IF(VLOOKUP(B192, AmmoTypeFactors, 9, FALSE) = ""Wood"", 'Ammo Input'!H192) + IF(B192 = ""Stick bomb"", 'Ammo Input'!E192)) * N192 / 'Ingredient stats'!$C$12 / 1000)"),0)</f>
        <v>0</v>
      </c>
      <c r="S196">
        <v>23</v>
      </c>
      <c r="T196">
        <v>23</v>
      </c>
      <c r="U196">
        <f>IF(VLOOKUP(B196,AmmoTypeFactors,9,FALSE)="Plasteel",ROUNDUP(('Ammo Input'!H196*MAX(IF('Ammo Input'!J196&gt;0,'Ammo Input'!J196,1)*N196/1000/'Ingredient stats'!$C$4)),0),0)</f>
        <v>0</v>
      </c>
      <c r="V196">
        <f>IFERROR(__xludf.DUMMYFUNCTION("ROUNDUP(IF(ISBLANK(VLOOKUP(B192,AmmoTypeFactors,16,False)),1,VLOOKUP(B192,AmmoTypeFactors,16,False)) * (IFS(REGEXMATCH(B192, ""EMP""), 'Ammo Input'!M192 * N192 / 'Ingredient stats'!$C$5, REGEXMATCH(B192, ""Charge""), (U192^0.75), true, 0) + (IF(VLOOKUP(B1"&amp;"92, AmmoTypeFactors, 10, false), 2,0) + IF('Ammo Input'!P192, 2,0) + IF('Ammo Input'!Q192,MIN(ROUNDUP(0.2*('Ammo Input'!H192/1000)*'Ammo Input'!O192,0),20),0))))"),0)</f>
        <v>0</v>
      </c>
      <c r="W196">
        <v>0</v>
      </c>
      <c r="X196">
        <v>0</v>
      </c>
      <c r="Y196">
        <v>0</v>
      </c>
      <c r="Z196">
        <v>0</v>
      </c>
      <c r="AA196">
        <v>0</v>
      </c>
      <c r="AB196" s="30">
        <f>IF(B196="Sling Bullet (Stone)",ROUNDUP(D196*0.02*E196/'Ingredient stats'!$C$8,0),0)</f>
        <v>0</v>
      </c>
      <c r="AC196" t="str">
        <f t="shared" si="12"/>
        <v>None</v>
      </c>
      <c r="AD196" t="str">
        <f>IF(OR(B196="Buck",B196="Bird",B196="Charge (Scatter)"),'Ammo Input'!J196,"None")</f>
        <v>None</v>
      </c>
      <c r="AE196" t="str">
        <f>_xlfn.IFS(ISTEXT(Calcs!N196),Calcs!N196,Calcs!N196&lt;=40,Calcs!N196,Calcs!N196&gt;41,"40")</f>
        <v>None</v>
      </c>
      <c r="AF196" t="str">
        <f>_xlfn.IFS(ISTEXT(Calcs!O196),Calcs!O196,Calcs!O196&lt;=80,Calcs!O196,Calcs!O196&gt;=81,"80")</f>
        <v>None</v>
      </c>
      <c r="AG196" s="25">
        <f t="shared" si="13"/>
        <v>1</v>
      </c>
      <c r="AH196" s="25">
        <f t="shared" si="14"/>
        <v>3.64</v>
      </c>
      <c r="AI196" s="25">
        <f t="shared" si="15"/>
        <v>1</v>
      </c>
    </row>
    <row r="197" ht="14.4" spans="1:35">
      <c r="A197" s="24" t="str">
        <f>'Ammo Input'!A197</f>
        <v>30x173mm NATO</v>
      </c>
      <c r="B197" t="str">
        <f>'Ammo Input'!B197</f>
        <v>AP</v>
      </c>
      <c r="C197">
        <f>ROUNDUP(('Ammo Input'!C197*(MAX('Ammo Input'!D197,'Ammo Input'!F197)*0.5)^2*PI())*3/1000000,2)</f>
        <v>1.22</v>
      </c>
      <c r="D197">
        <f>ROUNDUP(('Ammo Input'!E197+'Ammo Input'!H197*IF('Ammo Input'!J197&lt;&gt;"",MAX('Ammo Input'!J197,1),1))/1000,3)</f>
        <v>0.837</v>
      </c>
      <c r="E197">
        <f>MIN(5000,MAX(25,CEILING(Calcs!L197,_xlfn.IFS(Calcs!L197&lt;100,25,Calcs!L197&lt;250,50,Calcs!L197&lt;1000,250,Calcs!L197&gt;=1000,1000))))</f>
        <v>150</v>
      </c>
      <c r="F197">
        <f>ROUNDUP('Ammo Input'!G197^(3/4),0)</f>
        <v>181</v>
      </c>
      <c r="G197">
        <f>ROUND((0.5*((IF(OR(B197="HEAT",B197="HEDP"),'Ammo Input'!N197,'Ammo Input'!H197)/1000)*(IF(B197="HEAT",9000,IF(B197="HEDP",1500,'Ammo Input'!G197))^2))),0)</f>
        <v>192474</v>
      </c>
      <c r="H197" s="25" t="str">
        <f>CONCATENATE(IF((B197="Foam")+(B197="Smoke"),"-",ROUND(Calcs!D197,0))," ",VLOOKUP(B197,AmmoTypeFactors,5,FALSE))</f>
        <v>80 Bullet</v>
      </c>
      <c r="I197" s="25" t="str">
        <f>IF(Calcs!E197=0,"None",CONCATENATE(ROUND(Calcs!E197,0)," ",VLOOKUP(B197,AmmoTypeFactors,6,FALSE)))</f>
        <v>None</v>
      </c>
      <c r="J197">
        <f>MROUND(2.42*'Ammo Input'!M197^(1/3)*VLOOKUP(B197,AmmoTypeFactors,3,FALSE),0.5)</f>
        <v>0</v>
      </c>
      <c r="K197" s="25" t="str">
        <f>IF(VLOOKUP(B197,AmmoTypeFactors,12,FALSE),MROUND(J197/3,0.5),"None")</f>
        <v>None</v>
      </c>
      <c r="L197" s="25">
        <f>IF(VLOOKUP(B197,AmmoTypeFactors,8,FALSE),"None",ROUNDUP(IF(Calcs!I197&gt;0,Calcs!I197,Calcs!H197),3))</f>
        <v>3849.48</v>
      </c>
      <c r="M197" s="25">
        <f>IF(VLOOKUP(B197,AmmoTypeFactors,8,FALSE),"None",'Ammo Input'!L197)</f>
        <v>70</v>
      </c>
      <c r="N197">
        <f>'Ammo Input'!O197</f>
        <v>100</v>
      </c>
      <c r="O197" t="e">
        <f>ROUND((P197*0.0036+SUMPRODUCT(Q197:AB197,VLOOKUP($Q$1:$AB$1,IngredientStats,2,FALSE)))/N197*IF('Ammo Input'!R197,0.5,1),2)</f>
        <v>#VALUE!</v>
      </c>
      <c r="P197" t="e">
        <f>(SUMPRODUCT(Q197:AB197,VLOOKUP($Q$1:$AB$1,IngredientStats,4,FALSE))*VLOOKUP(B197,AmmoTypeFactors,14,FALSE)*IF('Ammo Input'!R197,1.1,1))</f>
        <v>#VALUE!</v>
      </c>
      <c r="Q197">
        <f>IFERROR(__xludf.DUMMYFUNCTION("((IF(NOT(OR(REGEXMATCH(B193, ""Arrow""), B193 = ""Javelin"", B193 = ""Stick bomb"")), ROUNDUP(('Ammo Input'!E193 / 1000) * N193)) + IF(VLOOKUP(B193, AmmoTypeFactors, 9, FALSE) = ""Steel"", ROUNDUP(('Ammo Input'!H193 -'Ammo Input'!M193) * MAX(IF('Ammo Inpu"&amp;"t'!J193 &gt; 0, 'Ammo Input'!J193, 1), 1) * N193 / 1000))) / 'Ingredient stats'!$C$2) * IF(ISBLANK(VLOOKUP(B193,AmmoTypeFactors,15,False)),1,VLOOKUP(B193,AmmoTypeFactors,15,False))"),168)</f>
        <v>168</v>
      </c>
      <c r="R197">
        <f>IFERROR(__xludf.DUMMYFUNCTION("ROUNDUP((IF(REGEXMATCH(B193, ""Arrow"") + (B193 = ""Javelin""), 'Ammo Input'!E193) + IF(VLOOKUP(B193, AmmoTypeFactors, 9, FALSE) = ""Wood"", 'Ammo Input'!H193) + IF(B193 = ""Stick bomb"", 'Ammo Input'!E193)) * N193 / 'Ingredient stats'!$C$12 / 1000)"),0)</f>
        <v>0</v>
      </c>
      <c r="S197">
        <v>0</v>
      </c>
      <c r="T197">
        <v>0</v>
      </c>
      <c r="U197">
        <f>IF(VLOOKUP(B197,AmmoTypeFactors,9,FALSE)="Plasteel",ROUNDUP(('Ammo Input'!H197*MAX(IF('Ammo Input'!J197&gt;0,'Ammo Input'!J197,1)*N197/1000/'Ingredient stats'!$C$4)),0),0)</f>
        <v>0</v>
      </c>
      <c r="V197">
        <f>IFERROR(__xludf.DUMMYFUNCTION("ROUNDUP(IF(ISBLANK(VLOOKUP(B193,AmmoTypeFactors,16,False)),1,VLOOKUP(B193,AmmoTypeFactors,16,False)) * (IFS(REGEXMATCH(B193, ""EMP""), 'Ammo Input'!M193 * N193 / 'Ingredient stats'!$C$5, REGEXMATCH(B193, ""Charge""), (U193^0.75), true, 0) + (IF(VLOOKUP(B1"&amp;"93, AmmoTypeFactors, 10, false), 2,0) + IF('Ammo Input'!P193, 2,0) + IF('Ammo Input'!Q193,MIN(ROUNDUP(0.2*('Ammo Input'!H193/1000)*'Ammo Input'!O193,0),20),0))))"),0)</f>
        <v>0</v>
      </c>
      <c r="W197">
        <v>0</v>
      </c>
      <c r="X197">
        <v>0</v>
      </c>
      <c r="Y197">
        <v>0</v>
      </c>
      <c r="Z197">
        <v>0</v>
      </c>
      <c r="AA197">
        <v>0</v>
      </c>
      <c r="AB197" s="30">
        <f>IF(B197="Sling Bullet (Stone)",ROUNDUP(D197*0.02*E197/'Ingredient stats'!$C$8,0),0)</f>
        <v>0</v>
      </c>
      <c r="AC197" t="str">
        <f t="shared" si="12"/>
        <v>None</v>
      </c>
      <c r="AD197" t="str">
        <f>IF(OR(B197="Buck",B197="Bird",B197="Charge (Scatter)"),'Ammo Input'!J197,"None")</f>
        <v>None</v>
      </c>
      <c r="AE197" t="str">
        <f>_xlfn.IFS(ISTEXT(Calcs!N197),Calcs!N197,Calcs!N197&lt;=40,Calcs!N197,Calcs!N197&gt;41,"40")</f>
        <v>None</v>
      </c>
      <c r="AF197" t="str">
        <f>_xlfn.IFS(ISTEXT(Calcs!O197),Calcs!O197,Calcs!O197&lt;=80,Calcs!O197,Calcs!O197&gt;=81,"80")</f>
        <v>None</v>
      </c>
      <c r="AG197" s="25">
        <f t="shared" si="13"/>
        <v>1</v>
      </c>
      <c r="AH197" s="25">
        <f t="shared" si="14"/>
        <v>2.94</v>
      </c>
      <c r="AI197" s="25">
        <f t="shared" si="15"/>
        <v>1</v>
      </c>
    </row>
    <row r="198" ht="14.4" spans="1:35">
      <c r="A198" s="24" t="str">
        <f>'Ammo Input'!A198</f>
        <v>30x173mm NATO</v>
      </c>
      <c r="B198" t="str">
        <f>'Ammo Input'!B198</f>
        <v>AP-I</v>
      </c>
      <c r="C198">
        <f>ROUNDUP(('Ammo Input'!C198*(MAX('Ammo Input'!D198,'Ammo Input'!F198)*0.5)^2*PI())*3/1000000,2)</f>
        <v>1.22</v>
      </c>
      <c r="D198">
        <f>ROUNDUP(('Ammo Input'!E198+'Ammo Input'!H198*IF('Ammo Input'!J198&lt;&gt;"",MAX('Ammo Input'!J198,1),1))/1000,3)</f>
        <v>0.837</v>
      </c>
      <c r="E198">
        <f>MIN(5000,MAX(25,CEILING(Calcs!L198,_xlfn.IFS(Calcs!L198&lt;100,25,Calcs!L198&lt;250,50,Calcs!L198&lt;1000,250,Calcs!L198&gt;=1000,1000))))</f>
        <v>150</v>
      </c>
      <c r="F198">
        <f>ROUNDUP('Ammo Input'!G198^(3/4),0)</f>
        <v>181</v>
      </c>
      <c r="G198">
        <f>ROUND((0.5*((IF(OR(B198="HEAT",B198="HEDP"),'Ammo Input'!N198,'Ammo Input'!H198)/1000)*(IF(B198="HEAT",9000,IF(B198="HEDP",1500,'Ammo Input'!G198))^2))),0)</f>
        <v>192474</v>
      </c>
      <c r="H198" s="25" t="str">
        <f>CONCATENATE(IF((B198="Foam")+(B198="Smoke"),"-",ROUND(Calcs!D198,0))," ",VLOOKUP(B198,AmmoTypeFactors,5,FALSE))</f>
        <v>80 Bullet</v>
      </c>
      <c r="I198" s="25" t="str">
        <f>IF(Calcs!E198=0,"None",CONCATENATE(ROUND(Calcs!E198,0)," ",VLOOKUP(B198,AmmoTypeFactors,6,FALSE)))</f>
        <v>50 Flame_Secondary</v>
      </c>
      <c r="J198">
        <f>MROUND(2.42*'Ammo Input'!M198^(1/3)*VLOOKUP(B198,AmmoTypeFactors,3,FALSE),0.5)</f>
        <v>0</v>
      </c>
      <c r="K198" s="25" t="str">
        <f>IF(VLOOKUP(B198,AmmoTypeFactors,12,FALSE),MROUND(J198/3,0.5),"None")</f>
        <v>None</v>
      </c>
      <c r="L198" s="25">
        <f>IF(VLOOKUP(B198,AmmoTypeFactors,8,FALSE),"None",ROUNDUP(IF(Calcs!I198&gt;0,Calcs!I198,Calcs!H198),3))</f>
        <v>3849.48</v>
      </c>
      <c r="M198" s="34">
        <f>IF(VLOOKUP(B198,AmmoTypeFactors,8,FALSE),"None",'Ammo Input'!L198)</f>
        <v>70</v>
      </c>
      <c r="N198">
        <f>'Ammo Input'!O198</f>
        <v>100</v>
      </c>
      <c r="O198" t="e">
        <f>ROUND((P198*0.0036+SUMPRODUCT(Q198:AB198,VLOOKUP($Q$1:$AB$1,IngredientStats,2,FALSE)))/N198*IF('Ammo Input'!R198,0.5,1),2)</f>
        <v>#VALUE!</v>
      </c>
      <c r="P198" t="e">
        <f>(SUMPRODUCT(Q198:AB198,VLOOKUP($Q$1:$AB$1,IngredientStats,4,FALSE))*VLOOKUP(B198,AmmoTypeFactors,14,FALSE)*IF('Ammo Input'!R198,1.1,1))</f>
        <v>#VALUE!</v>
      </c>
      <c r="Q198">
        <f>IFERROR(__xludf.DUMMYFUNCTION("((IF(NOT(OR(REGEXMATCH(B194, ""Arrow""), B194 = ""Javelin"", B194 = ""Stick bomb"")), ROUNDUP(('Ammo Input'!E194 / 1000) * N194)) + IF(VLOOKUP(B194, AmmoTypeFactors, 9, FALSE) = ""Steel"", ROUNDUP(('Ammo Input'!H194 -'Ammo Input'!M194) * MAX(IF('Ammo Inpu"&amp;"t'!J194 &gt; 0, 'Ammo Input'!J194, 1), 1) * N194 / 1000))) / 'Ingredient stats'!$C$2) * IF(ISBLANK(VLOOKUP(B194,AmmoTypeFactors,15,False)),1,VLOOKUP(B194,AmmoTypeFactors,15,False))"),168)</f>
        <v>168</v>
      </c>
      <c r="R198">
        <f>IFERROR(__xludf.DUMMYFUNCTION("ROUNDUP((IF(REGEXMATCH(B194, ""Arrow"") + (B194 = ""Javelin""), 'Ammo Input'!E194) + IF(VLOOKUP(B194, AmmoTypeFactors, 9, FALSE) = ""Wood"", 'Ammo Input'!H194) + IF(B194 = ""Stick bomb"", 'Ammo Input'!E194)) * N194 / 'Ingredient stats'!$C$12 / 1000)"),0)</f>
        <v>0</v>
      </c>
      <c r="S198">
        <v>0</v>
      </c>
      <c r="T198">
        <v>0</v>
      </c>
      <c r="U198">
        <f>IF(VLOOKUP(B198,AmmoTypeFactors,9,FALSE)="Plasteel",ROUNDUP(('Ammo Input'!H198*MAX(IF('Ammo Input'!J198&gt;0,'Ammo Input'!J198,1)*N198/1000/'Ingredient stats'!$C$4)),0),0)</f>
        <v>0</v>
      </c>
      <c r="V198">
        <f>IFERROR(__xludf.DUMMYFUNCTION("ROUNDUP(IF(ISBLANK(VLOOKUP(B194,AmmoTypeFactors,16,False)),1,VLOOKUP(B194,AmmoTypeFactors,16,False)) * (IFS(REGEXMATCH(B194, ""EMP""), 'Ammo Input'!M194 * N194 / 'Ingredient stats'!$C$5, REGEXMATCH(B194, ""Charge""), (U194^0.75), true, 0) + (IF(VLOOKUP(B1"&amp;"94, AmmoTypeFactors, 10, false), 2,0) + IF('Ammo Input'!P194, 2,0) + IF('Ammo Input'!Q194,MIN(ROUNDUP(0.2*('Ammo Input'!H194/1000)*'Ammo Input'!O194,0),20),0))))"),0)</f>
        <v>0</v>
      </c>
      <c r="W198">
        <v>18</v>
      </c>
      <c r="X198">
        <v>0</v>
      </c>
      <c r="Y198">
        <v>0</v>
      </c>
      <c r="Z198">
        <v>0</v>
      </c>
      <c r="AA198">
        <v>0</v>
      </c>
      <c r="AB198" s="30">
        <f>IF(B198="Sling Bullet (Stone)",ROUNDUP(D198*0.02*E198/'Ingredient stats'!$C$8,0),0)</f>
        <v>0</v>
      </c>
      <c r="AC198" t="str">
        <f t="shared" si="12"/>
        <v>None</v>
      </c>
      <c r="AD198" t="str">
        <f>IF(OR(B198="Buck",B198="Bird",B198="Charge (Scatter)"),'Ammo Input'!J198,"None")</f>
        <v>None</v>
      </c>
      <c r="AE198" t="str">
        <f>_xlfn.IFS(ISTEXT(Calcs!N198),Calcs!N198,Calcs!N198&lt;=40,Calcs!N198,Calcs!N198&gt;41,"40")</f>
        <v>None</v>
      </c>
      <c r="AF198" t="str">
        <f>_xlfn.IFS(ISTEXT(Calcs!O198),Calcs!O198,Calcs!O198&lt;=80,Calcs!O198,Calcs!O198&gt;=81,"80")</f>
        <v>None</v>
      </c>
      <c r="AG198" s="25">
        <f t="shared" si="13"/>
        <v>1</v>
      </c>
      <c r="AH198" s="25">
        <f t="shared" si="14"/>
        <v>2.94</v>
      </c>
      <c r="AI198" s="25">
        <f t="shared" si="15"/>
        <v>1</v>
      </c>
    </row>
    <row r="199" ht="14.4" spans="1:35">
      <c r="A199" s="24" t="str">
        <f>'Ammo Input'!A199</f>
        <v>30x173mm NATO</v>
      </c>
      <c r="B199" t="str">
        <f>'Ammo Input'!B199</f>
        <v>AP-HE</v>
      </c>
      <c r="C199">
        <f>ROUNDUP(('Ammo Input'!C199*(MAX('Ammo Input'!D199,'Ammo Input'!F199)*0.5)^2*PI())*3/1000000,2)</f>
        <v>1.22</v>
      </c>
      <c r="D199">
        <f>ROUNDUP(('Ammo Input'!E199+'Ammo Input'!H199*IF('Ammo Input'!J199&lt;&gt;"",MAX('Ammo Input'!J199,1),1))/1000,3)</f>
        <v>0.837</v>
      </c>
      <c r="E199">
        <f>MIN(5000,MAX(25,CEILING(Calcs!L199,_xlfn.IFS(Calcs!L199&lt;100,25,Calcs!L199&lt;250,50,Calcs!L199&lt;1000,250,Calcs!L199&gt;=1000,1000))))</f>
        <v>150</v>
      </c>
      <c r="F199">
        <f>ROUNDUP('Ammo Input'!G199^(3/4),0)</f>
        <v>181</v>
      </c>
      <c r="G199">
        <f>ROUND((0.5*((IF(OR(B199="HEAT",B199="HEDP"),'Ammo Input'!N199,'Ammo Input'!H199)/1000)*(IF(B199="HEAT",9000,IF(B199="HEDP",1500,'Ammo Input'!G199))^2))),0)</f>
        <v>192474</v>
      </c>
      <c r="H199" s="25" t="str">
        <f>CONCATENATE(IF((B199="Foam")+(B199="Smoke"),"-",ROUND(Calcs!D199,0))," ",VLOOKUP(B199,AmmoTypeFactors,5,FALSE))</f>
        <v>127 Bullet</v>
      </c>
      <c r="I199" s="25" t="str">
        <f>IF(Calcs!E199=0,"None",CONCATENATE(ROUND(Calcs!E199,0)," ",VLOOKUP(B199,AmmoTypeFactors,6,FALSE)))</f>
        <v>69 Bomb_Secondary</v>
      </c>
      <c r="J199">
        <f>MROUND(2.42*'Ammo Input'!M199^(1/3)*VLOOKUP(B199,AmmoTypeFactors,3,FALSE),0.5)</f>
        <v>0</v>
      </c>
      <c r="K199" s="25" t="str">
        <f>IF(VLOOKUP(B199,AmmoTypeFactors,12,FALSE),MROUND(J199/3,0.5),"None")</f>
        <v>None</v>
      </c>
      <c r="L199" s="25">
        <f>IF(VLOOKUP(B199,AmmoTypeFactors,8,FALSE),"None",ROUNDUP(IF(Calcs!I199&gt;0,Calcs!I199,Calcs!H199),3))</f>
        <v>3849.48</v>
      </c>
      <c r="M199" s="34">
        <f>IF(VLOOKUP(B199,AmmoTypeFactors,8,FALSE),"None",'Ammo Input'!L199)</f>
        <v>35</v>
      </c>
      <c r="N199">
        <f>'Ammo Input'!O199</f>
        <v>100</v>
      </c>
      <c r="O199" t="e">
        <f>ROUND((P199*0.0036+SUMPRODUCT(Q199:AB199,VLOOKUP($Q$1:$AB$1,IngredientStats,2,FALSE)))/N199*IF('Ammo Input'!R199,0.5,1),2)</f>
        <v>#VALUE!</v>
      </c>
      <c r="P199" t="e">
        <f>(SUMPRODUCT(Q199:AB199,VLOOKUP($Q$1:$AB$1,IngredientStats,4,FALSE))*VLOOKUP(B199,AmmoTypeFactors,14,FALSE)*IF('Ammo Input'!R199,1.1,1))</f>
        <v>#VALUE!</v>
      </c>
      <c r="Q199">
        <f>IFERROR(__xludf.DUMMYFUNCTION("((IF(NOT(OR(REGEXMATCH(B195, ""Arrow""), B195 = ""Javelin"", B195 = ""Stick bomb"")), ROUNDUP(('Ammo Input'!E195 / 1000) * N195)) + IF(VLOOKUP(B195, AmmoTypeFactors, 9, FALSE) = ""Steel"", ROUNDUP(('Ammo Input'!H195 -'Ammo Input'!M195) * MAX(IF('Ammo Inpu"&amp;"t'!J195 &gt; 0, 'Ammo Input'!J195, 1), 1) * N195 / 1000))) / 'Ingredient stats'!$C$2) * IF(ISBLANK(VLOOKUP(B195,AmmoTypeFactors,15,False)),1,VLOOKUP(B195,AmmoTypeFactors,15,False))"),168)</f>
        <v>168</v>
      </c>
      <c r="R199">
        <f>IFERROR(__xludf.DUMMYFUNCTION("ROUNDUP((IF(REGEXMATCH(B195, ""Arrow"") + (B195 = ""Javelin""), 'Ammo Input'!E195) + IF(VLOOKUP(B195, AmmoTypeFactors, 9, FALSE) = ""Wood"", 'Ammo Input'!H195) + IF(B195 = ""Stick bomb"", 'Ammo Input'!E195)) * N195 / 'Ingredient stats'!$C$12 / 1000)"),0)</f>
        <v>0</v>
      </c>
      <c r="S199">
        <v>0</v>
      </c>
      <c r="T199">
        <v>0</v>
      </c>
      <c r="U199">
        <f>IF(VLOOKUP(B199,AmmoTypeFactors,9,FALSE)="Plasteel",ROUNDUP(('Ammo Input'!H199*MAX(IF('Ammo Input'!J199&gt;0,'Ammo Input'!J199,1)*N199/1000/'Ingredient stats'!$C$4)),0),0)</f>
        <v>0</v>
      </c>
      <c r="V199">
        <f>IFERROR(__xludf.DUMMYFUNCTION("ROUNDUP(IF(ISBLANK(VLOOKUP(B195,AmmoTypeFactors,16,False)),1,VLOOKUP(B195,AmmoTypeFactors,16,False)) * (IFS(REGEXMATCH(B195, ""EMP""), 'Ammo Input'!M195 * N195 / 'Ingredient stats'!$C$5, REGEXMATCH(B195, ""Charge""), (U195^0.75), true, 0) + (IF(VLOOKUP(B1"&amp;"95, AmmoTypeFactors, 10, false), 2,0) + IF('Ammo Input'!P195, 2,0) + IF('Ammo Input'!Q195,MIN(ROUNDUP(0.2*('Ammo Input'!H195/1000)*'Ammo Input'!O195,0),20),0))))"),0)</f>
        <v>0</v>
      </c>
      <c r="W199">
        <v>0</v>
      </c>
      <c r="X199">
        <v>35</v>
      </c>
      <c r="Y199">
        <v>0</v>
      </c>
      <c r="Z199">
        <v>0</v>
      </c>
      <c r="AA199">
        <v>0</v>
      </c>
      <c r="AB199" s="30">
        <f>IF(B199="Sling Bullet (Stone)",ROUNDUP(D199*0.02*E199/'Ingredient stats'!$C$8,0),0)</f>
        <v>0</v>
      </c>
      <c r="AC199" t="str">
        <f t="shared" si="12"/>
        <v>None</v>
      </c>
      <c r="AD199" t="str">
        <f>IF(OR(B199="Buck",B199="Bird",B199="Charge (Scatter)"),'Ammo Input'!J199,"None")</f>
        <v>None</v>
      </c>
      <c r="AE199" t="str">
        <f>_xlfn.IFS(ISTEXT(Calcs!N199),Calcs!N199,Calcs!N199&lt;=40,Calcs!N199,Calcs!N199&gt;41,"40")</f>
        <v>None</v>
      </c>
      <c r="AF199" t="str">
        <f>_xlfn.IFS(ISTEXT(Calcs!O199),Calcs!O199,Calcs!O199&lt;=80,Calcs!O199,Calcs!O199&gt;=81,"80")</f>
        <v>None</v>
      </c>
      <c r="AG199" s="25">
        <f t="shared" si="13"/>
        <v>1</v>
      </c>
      <c r="AH199" s="25">
        <f t="shared" si="14"/>
        <v>2.94</v>
      </c>
      <c r="AI199" s="25">
        <f t="shared" si="15"/>
        <v>1</v>
      </c>
    </row>
    <row r="200" ht="14.4" spans="1:35">
      <c r="A200" s="24" t="str">
        <f>'Ammo Input'!A200</f>
        <v>30x173mm NATO</v>
      </c>
      <c r="B200" t="str">
        <f>'Ammo Input'!B200</f>
        <v>Sabot</v>
      </c>
      <c r="C200">
        <f>ROUNDUP(('Ammo Input'!C200*(MAX('Ammo Input'!D200,'Ammo Input'!F200)*0.5)^2*PI())*3/1000000,2)</f>
        <v>1.22</v>
      </c>
      <c r="D200">
        <f>ROUNDUP(('Ammo Input'!E200+'Ammo Input'!H200*IF('Ammo Input'!J200&lt;&gt;"",MAX('Ammo Input'!J200,1),1))/1000,3)</f>
        <v>0.678</v>
      </c>
      <c r="E200">
        <f>MIN(5000,MAX(25,CEILING(Calcs!L200,_xlfn.IFS(Calcs!L200&lt;100,25,Calcs!L200&lt;250,50,Calcs!L200&lt;1000,250,Calcs!L200&gt;=1000,1000))))</f>
        <v>150</v>
      </c>
      <c r="F200">
        <f>ROUNDUP('Ammo Input'!G200^(3/4),0)</f>
        <v>245</v>
      </c>
      <c r="G200">
        <f>ROUND((0.5*((IF(OR(B200="HEAT",B200="HEDP"),'Ammo Input'!N200,'Ammo Input'!H200)/1000)*(IF(B200="HEAT",9000,IF(B200="HEDP",1500,'Ammo Input'!G200))^2))),0)</f>
        <v>246848</v>
      </c>
      <c r="H200" s="25" t="str">
        <f>CONCATENATE(IF((B200="Foam")+(B200="Smoke"),"-",ROUND(Calcs!D200,0))," ",VLOOKUP(B200,AmmoTypeFactors,5,FALSE))</f>
        <v>58 Bullet</v>
      </c>
      <c r="I200" s="25" t="str">
        <f>IF(Calcs!E200=0,"None",CONCATENATE(ROUND(Calcs!E200,0)," ",VLOOKUP(B200,AmmoTypeFactors,6,FALSE)))</f>
        <v>None</v>
      </c>
      <c r="J200">
        <f>MROUND(2.42*'Ammo Input'!M200^(1/3)*VLOOKUP(B200,AmmoTypeFactors,3,FALSE),0.5)</f>
        <v>0</v>
      </c>
      <c r="K200" s="25" t="str">
        <f>IF(VLOOKUP(B200,AmmoTypeFactors,12,FALSE),MROUND(J200/3,0.5),"None")</f>
        <v>None</v>
      </c>
      <c r="L200" s="25">
        <f>IF(VLOOKUP(B200,AmmoTypeFactors,8,FALSE),"None",ROUNDUP(IF(Calcs!I200&gt;0,Calcs!I200,Calcs!H200),3))</f>
        <v>4936.96</v>
      </c>
      <c r="M200" s="34">
        <f>IF(VLOOKUP(B200,AmmoTypeFactors,8,FALSE),"None",'Ammo Input'!L200)</f>
        <v>122.5</v>
      </c>
      <c r="N200">
        <f>'Ammo Input'!O200</f>
        <v>100</v>
      </c>
      <c r="O200" t="e">
        <f>ROUND((P200*0.0036+SUMPRODUCT(Q200:AB200,VLOOKUP($Q$1:$AB$1,IngredientStats,2,FALSE)))/N200*IF('Ammo Input'!R200,0.5,1),2)</f>
        <v>#VALUE!</v>
      </c>
      <c r="P200" t="e">
        <f>(SUMPRODUCT(Q200:AB200,VLOOKUP($Q$1:$AB$1,IngredientStats,4,FALSE))*VLOOKUP(B200,AmmoTypeFactors,14,FALSE)*IF('Ammo Input'!R200,1.1,1))</f>
        <v>#VALUE!</v>
      </c>
      <c r="Q200">
        <f>IFERROR(__xludf.DUMMYFUNCTION("((IF(NOT(OR(REGEXMATCH(B196, ""Arrow""), B196 = ""Javelin"", B196 = ""Stick bomb"")), ROUNDUP(('Ammo Input'!E196 / 1000) * N196)) + IF(VLOOKUP(B196, AmmoTypeFactors, 9, FALSE) = ""Steel"", ROUNDUP(('Ammo Input'!H196 -'Ammo Input'!M196) * MAX(IF('Ammo Inpu"&amp;"t'!J196 &gt; 0, 'Ammo Input'!J196, 1), 1) * N196 / 1000))) / 'Ingredient stats'!$C$2) * IF(ISBLANK(VLOOKUP(B196,AmmoTypeFactors,15,False)),1,VLOOKUP(B196,AmmoTypeFactors,15,False))"),94)</f>
        <v>94</v>
      </c>
      <c r="R200">
        <f>IFERROR(__xludf.DUMMYFUNCTION("ROUNDUP((IF(REGEXMATCH(B196, ""Arrow"") + (B196 = ""Javelin""), 'Ammo Input'!E196) + IF(VLOOKUP(B196, AmmoTypeFactors, 9, FALSE) = ""Wood"", 'Ammo Input'!H196) + IF(B196 = ""Stick bomb"", 'Ammo Input'!E196)) * N196 / 'Ingredient stats'!$C$12 / 1000)"),0)</f>
        <v>0</v>
      </c>
      <c r="S200">
        <v>22</v>
      </c>
      <c r="T200">
        <v>22</v>
      </c>
      <c r="U200">
        <f>IF(VLOOKUP(B200,AmmoTypeFactors,9,FALSE)="Plasteel",ROUNDUP(('Ammo Input'!H200*MAX(IF('Ammo Input'!J200&gt;0,'Ammo Input'!J200,1)*N200/1000/'Ingredient stats'!$C$4)),0),0)</f>
        <v>0</v>
      </c>
      <c r="V200">
        <f>IFERROR(__xludf.DUMMYFUNCTION("ROUNDUP(IF(ISBLANK(VLOOKUP(B196,AmmoTypeFactors,16,False)),1,VLOOKUP(B196,AmmoTypeFactors,16,False)) * (IFS(REGEXMATCH(B196, ""EMP""), 'Ammo Input'!M196 * N196 / 'Ingredient stats'!$C$5, REGEXMATCH(B196, ""Charge""), (U196^0.75), true, 0) + (IF(VLOOKUP(B1"&amp;"96, AmmoTypeFactors, 10, false), 2,0) + IF('Ammo Input'!P196, 2,0) + IF('Ammo Input'!Q196,MIN(ROUNDUP(0.2*('Ammo Input'!H196/1000)*'Ammo Input'!O196,0),20),0))))"),0)</f>
        <v>0</v>
      </c>
      <c r="W200">
        <v>0</v>
      </c>
      <c r="X200">
        <v>0</v>
      </c>
      <c r="Y200">
        <v>0</v>
      </c>
      <c r="Z200">
        <v>0</v>
      </c>
      <c r="AA200">
        <v>0</v>
      </c>
      <c r="AB200" s="30">
        <f>IF(B200="Sling Bullet (Stone)",ROUNDUP(D200*0.02*E200/'Ingredient stats'!$C$8,0),0)</f>
        <v>0</v>
      </c>
      <c r="AC200" t="str">
        <f t="shared" si="12"/>
        <v>None</v>
      </c>
      <c r="AD200" t="str">
        <f>IF(OR(B200="Buck",B200="Bird",B200="Charge (Scatter)"),'Ammo Input'!J200,"None")</f>
        <v>None</v>
      </c>
      <c r="AE200" t="str">
        <f>_xlfn.IFS(ISTEXT(Calcs!N200),Calcs!N200,Calcs!N200&lt;=40,Calcs!N200,Calcs!N200&gt;41,"40")</f>
        <v>None</v>
      </c>
      <c r="AF200" t="str">
        <f>_xlfn.IFS(ISTEXT(Calcs!O200),Calcs!O200,Calcs!O200&lt;=80,Calcs!O200,Calcs!O200&gt;=81,"80")</f>
        <v>None</v>
      </c>
      <c r="AG200" s="25">
        <f t="shared" si="13"/>
        <v>1</v>
      </c>
      <c r="AH200" s="25">
        <f t="shared" si="14"/>
        <v>4</v>
      </c>
      <c r="AI200" s="25">
        <f t="shared" si="15"/>
        <v>1</v>
      </c>
    </row>
    <row r="201" ht="14.4" spans="1:35">
      <c r="A201" s="24" t="str">
        <f>'Ammo Input'!A201</f>
        <v>40x311mmR</v>
      </c>
      <c r="B201" t="str">
        <f>'Ammo Input'!B201</f>
        <v>AP</v>
      </c>
      <c r="C201">
        <f>ROUNDUP(('Ammo Input'!C201*(MAX('Ammo Input'!D201,'Ammo Input'!F201)*0.5)^2*PI())*3/1000000,2)</f>
        <v>1.69</v>
      </c>
      <c r="D201">
        <f>ROUNDUP(('Ammo Input'!E201+'Ammo Input'!H201*IF('Ammo Input'!J201&lt;&gt;"",MAX('Ammo Input'!J201,1),1))/1000,3)</f>
        <v>2.15</v>
      </c>
      <c r="E201">
        <f>MIN(5000,MAX(25,CEILING(Calcs!L201,_xlfn.IFS(Calcs!L201&lt;100,25,Calcs!L201&lt;250,50,Calcs!L201&lt;1000,250,Calcs!L201&gt;=1000,1000))))</f>
        <v>100</v>
      </c>
      <c r="F201">
        <f>ROUNDUP('Ammo Input'!G201^(3/4),0)</f>
        <v>158</v>
      </c>
      <c r="G201">
        <f>ROUND((0.5*((IF(OR(B201="HEAT",B201="HEDP"),'Ammo Input'!N201,'Ammo Input'!H201)/1000)*(IF(B201="HEAT",9000,IF(B201="HEDP",1500,'Ammo Input'!G201))^2))),0)</f>
        <v>325125</v>
      </c>
      <c r="H201" s="25" t="str">
        <f>CONCATENATE(IF((B201="Foam")+(B201="Smoke"),"-",ROUND(Calcs!D201,0))," ",VLOOKUP(B201,AmmoTypeFactors,5,FALSE))</f>
        <v>105 Bullet</v>
      </c>
      <c r="I201" s="25" t="str">
        <f>IF(Calcs!E201=0,"None",CONCATENATE(ROUND(Calcs!E201,0)," ",VLOOKUP(B201,AmmoTypeFactors,6,FALSE)))</f>
        <v>None</v>
      </c>
      <c r="J201">
        <f>MROUND(2.42*'Ammo Input'!M201^(1/3)*VLOOKUP(B201,AmmoTypeFactors,3,FALSE),0.5)</f>
        <v>0</v>
      </c>
      <c r="K201" s="25" t="str">
        <f>IF(VLOOKUP(B201,AmmoTypeFactors,12,FALSE),MROUND(J201/3,0.5),"None")</f>
        <v>None</v>
      </c>
      <c r="L201" s="25">
        <f>IF(VLOOKUP(B201,AmmoTypeFactors,8,FALSE),"None",ROUNDUP(IF(Calcs!I201&gt;0,Calcs!I201,Calcs!H201),3))</f>
        <v>6502.5</v>
      </c>
      <c r="M201" s="25">
        <f>IF(VLOOKUP(B201,AmmoTypeFactors,8,FALSE),"None",'Ammo Input'!L201)</f>
        <v>100</v>
      </c>
      <c r="N201">
        <f>'Ammo Input'!O201</f>
        <v>50</v>
      </c>
      <c r="O201" t="e">
        <f>ROUND((P201*0.0036+SUMPRODUCT(Q201:AB201,VLOOKUP($Q$1:$AB$1,IngredientStats,2,FALSE)))/N201*IF('Ammo Input'!R201,0.5,1),2)</f>
        <v>#VALUE!</v>
      </c>
      <c r="P201" t="e">
        <f>(SUMPRODUCT(Q201:AB201,VLOOKUP($Q$1:$AB$1,IngredientStats,4,FALSE))*VLOOKUP(B201,AmmoTypeFactors,14,FALSE)*IF('Ammo Input'!R201,1.1,1))</f>
        <v>#VALUE!</v>
      </c>
      <c r="Q201">
        <f>IFERROR(__xludf.DUMMYFUNCTION("((IF(NOT(OR(REGEXMATCH(B197, ""Arrow""), B197 = ""Javelin"", B197 = ""Stick bomb"")), ROUNDUP(('Ammo Input'!E197 / 1000) * N197)) + IF(VLOOKUP(B197, AmmoTypeFactors, 9, FALSE) = ""Steel"", ROUNDUP(('Ammo Input'!H197 -'Ammo Input'!M197) * MAX(IF('Ammo Inpu"&amp;"t'!J197 &gt; 0, 'Ammo Input'!J197, 1), 1) * N197 / 1000))) / 'Ingredient stats'!$C$2) * IF(ISBLANK(VLOOKUP(B197,AmmoTypeFactors,15,False)),1,VLOOKUP(B197,AmmoTypeFactors,15,False))"),216)</f>
        <v>216</v>
      </c>
      <c r="R201">
        <f>IFERROR(__xludf.DUMMYFUNCTION("ROUNDUP((IF(REGEXMATCH(B197, ""Arrow"") + (B197 = ""Javelin""), 'Ammo Input'!E197) + IF(VLOOKUP(B197, AmmoTypeFactors, 9, FALSE) = ""Wood"", 'Ammo Input'!H197) + IF(B197 = ""Stick bomb"", 'Ammo Input'!E197)) * N197 / 'Ingredient stats'!$C$12 / 1000)"),0)</f>
        <v>0</v>
      </c>
      <c r="S201">
        <v>0</v>
      </c>
      <c r="T201">
        <v>0</v>
      </c>
      <c r="U201">
        <f>IF(VLOOKUP(B201,AmmoTypeFactors,9,FALSE)="Plasteel",ROUNDUP(('Ammo Input'!H201*MAX(IF('Ammo Input'!J201&gt;0,'Ammo Input'!J201,1)*N201/1000/'Ingredient stats'!$C$4)),0),0)</f>
        <v>0</v>
      </c>
      <c r="V201">
        <f>IFERROR(__xludf.DUMMYFUNCTION("ROUNDUP(IF(ISBLANK(VLOOKUP(B197,AmmoTypeFactors,16,False)),1,VLOOKUP(B197,AmmoTypeFactors,16,False)) * (IFS(REGEXMATCH(B197, ""EMP""), 'Ammo Input'!M197 * N197 / 'Ingredient stats'!$C$5, REGEXMATCH(B197, ""Charge""), (U197^0.75), true, 0) + (IF(VLOOKUP(B1"&amp;"97, AmmoTypeFactors, 10, false), 2,0) + IF('Ammo Input'!P197, 2,0) + IF('Ammo Input'!Q197,MIN(ROUNDUP(0.2*('Ammo Input'!H197/1000)*'Ammo Input'!O197,0),20),0))))"),0)</f>
        <v>0</v>
      </c>
      <c r="W201">
        <v>0</v>
      </c>
      <c r="X201">
        <v>0</v>
      </c>
      <c r="Y201">
        <v>0</v>
      </c>
      <c r="Z201">
        <v>0</v>
      </c>
      <c r="AA201">
        <v>0</v>
      </c>
      <c r="AB201" s="30">
        <f>IF(B201="Sling Bullet (Stone)",ROUNDUP(D201*0.02*E201/'Ingredient stats'!$C$8,0),0)</f>
        <v>0</v>
      </c>
      <c r="AC201" t="str">
        <f t="shared" si="12"/>
        <v>None</v>
      </c>
      <c r="AD201" t="str">
        <f>IF(OR(B201="Buck",B201="Bird",B201="Charge (Scatter)"),'Ammo Input'!J201,"None")</f>
        <v>None</v>
      </c>
      <c r="AE201" t="str">
        <f>_xlfn.IFS(ISTEXT(Calcs!N201),Calcs!N201,Calcs!N201&lt;=40,Calcs!N201,Calcs!N201&gt;41,"40")</f>
        <v>None</v>
      </c>
      <c r="AF201" t="str">
        <f>_xlfn.IFS(ISTEXT(Calcs!O201),Calcs!O201,Calcs!O201&lt;=80,Calcs!O201,Calcs!O201&gt;=81,"80")</f>
        <v>None</v>
      </c>
      <c r="AG201" s="25">
        <f t="shared" si="13"/>
        <v>1</v>
      </c>
      <c r="AH201" s="25">
        <f t="shared" si="14"/>
        <v>2.6</v>
      </c>
      <c r="AI201" s="25">
        <f t="shared" si="15"/>
        <v>1</v>
      </c>
    </row>
    <row r="202" ht="14.4" spans="1:35">
      <c r="A202" s="24" t="str">
        <f>'Ammo Input'!A202</f>
        <v>40x311mmR</v>
      </c>
      <c r="B202" t="str">
        <f>'Ammo Input'!B202</f>
        <v>AP-I</v>
      </c>
      <c r="C202">
        <f>ROUNDUP(('Ammo Input'!C202*(MAX('Ammo Input'!D202,'Ammo Input'!F202)*0.5)^2*PI())*3/1000000,2)</f>
        <v>1.69</v>
      </c>
      <c r="D202">
        <f>ROUNDUP(('Ammo Input'!E202+'Ammo Input'!H202*IF('Ammo Input'!J202&lt;&gt;"",MAX('Ammo Input'!J202,1),1))/1000,3)</f>
        <v>2.15</v>
      </c>
      <c r="E202">
        <f>MIN(5000,MAX(25,CEILING(Calcs!L202,_xlfn.IFS(Calcs!L202&lt;100,25,Calcs!L202&lt;250,50,Calcs!L202&lt;1000,250,Calcs!L202&gt;=1000,1000))))</f>
        <v>100</v>
      </c>
      <c r="F202">
        <f>ROUNDUP('Ammo Input'!G202^(3/4),0)</f>
        <v>158</v>
      </c>
      <c r="G202">
        <f>ROUND((0.5*((IF(OR(B202="HEAT",B202="HEDP"),'Ammo Input'!N202,'Ammo Input'!H202)/1000)*(IF(B202="HEAT",9000,IF(B202="HEDP",1500,'Ammo Input'!G202))^2))),0)</f>
        <v>325125</v>
      </c>
      <c r="H202" s="25" t="str">
        <f>CONCATENATE(IF((B202="Foam")+(B202="Smoke"),"-",ROUND(Calcs!D202,0))," ",VLOOKUP(B202,AmmoTypeFactors,5,FALSE))</f>
        <v>105 Bullet</v>
      </c>
      <c r="I202" s="25" t="str">
        <f>IF(Calcs!E202=0,"None",CONCATENATE(ROUND(Calcs!E202,0)," ",VLOOKUP(B202,AmmoTypeFactors,6,FALSE)))</f>
        <v>86 Flame_Secondary</v>
      </c>
      <c r="J202">
        <f>MROUND(2.42*'Ammo Input'!M202^(1/3)*VLOOKUP(B202,AmmoTypeFactors,3,FALSE),0.5)</f>
        <v>0</v>
      </c>
      <c r="K202" s="25" t="str">
        <f>IF(VLOOKUP(B202,AmmoTypeFactors,12,FALSE),MROUND(J202/3,0.5),"None")</f>
        <v>None</v>
      </c>
      <c r="L202" s="25">
        <f>IF(VLOOKUP(B202,AmmoTypeFactors,8,FALSE),"None",ROUNDUP(IF(Calcs!I202&gt;0,Calcs!I202,Calcs!H202),3))</f>
        <v>6502.5</v>
      </c>
      <c r="M202" s="25">
        <f>IF(VLOOKUP(B202,AmmoTypeFactors,8,FALSE),"None",'Ammo Input'!L202)</f>
        <v>100</v>
      </c>
      <c r="N202">
        <f>'Ammo Input'!O202</f>
        <v>50</v>
      </c>
      <c r="O202" t="e">
        <f>ROUND((P202*0.0036+SUMPRODUCT(Q202:AB202,VLOOKUP($Q$1:$AB$1,IngredientStats,2,FALSE)))/N202*IF('Ammo Input'!R202,0.5,1),2)</f>
        <v>#VALUE!</v>
      </c>
      <c r="P202" t="e">
        <f>(SUMPRODUCT(Q202:AB202,VLOOKUP($Q$1:$AB$1,IngredientStats,4,FALSE))*VLOOKUP(B202,AmmoTypeFactors,14,FALSE)*IF('Ammo Input'!R202,1.1,1))</f>
        <v>#VALUE!</v>
      </c>
      <c r="Q202">
        <f>IFERROR(__xludf.DUMMYFUNCTION("((IF(NOT(OR(REGEXMATCH(B198, ""Arrow""), B198 = ""Javelin"", B198 = ""Stick bomb"")), ROUNDUP(('Ammo Input'!E198 / 1000) * N198)) + IF(VLOOKUP(B198, AmmoTypeFactors, 9, FALSE) = ""Steel"", ROUNDUP(('Ammo Input'!H198 -'Ammo Input'!M198) * MAX(IF('Ammo Inpu"&amp;"t'!J198 &gt; 0, 'Ammo Input'!J198, 1), 1) * N198 / 1000))) / 'Ingredient stats'!$C$2) * IF(ISBLANK(VLOOKUP(B198,AmmoTypeFactors,15,False)),1,VLOOKUP(B198,AmmoTypeFactors,15,False))"),216)</f>
        <v>216</v>
      </c>
      <c r="R202">
        <f>IFERROR(__xludf.DUMMYFUNCTION("ROUNDUP((IF(REGEXMATCH(B198, ""Arrow"") + (B198 = ""Javelin""), 'Ammo Input'!E198) + IF(VLOOKUP(B198, AmmoTypeFactors, 9, FALSE) = ""Wood"", 'Ammo Input'!H198) + IF(B198 = ""Stick bomb"", 'Ammo Input'!E198)) * N198 / 'Ingredient stats'!$C$12 / 1000)"),0)</f>
        <v>0</v>
      </c>
      <c r="S202">
        <v>0</v>
      </c>
      <c r="T202">
        <v>0</v>
      </c>
      <c r="U202">
        <f>IF(VLOOKUP(B202,AmmoTypeFactors,9,FALSE)="Plasteel",ROUNDUP(('Ammo Input'!H202*MAX(IF('Ammo Input'!J202&gt;0,'Ammo Input'!J202,1)*N202/1000/'Ingredient stats'!$C$4)),0),0)</f>
        <v>0</v>
      </c>
      <c r="V202">
        <f>IFERROR(__xludf.DUMMYFUNCTION("ROUNDUP(IF(ISBLANK(VLOOKUP(B198,AmmoTypeFactors,16,False)),1,VLOOKUP(B198,AmmoTypeFactors,16,False)) * (IFS(REGEXMATCH(B198, ""EMP""), 'Ammo Input'!M198 * N198 / 'Ingredient stats'!$C$5, REGEXMATCH(B198, ""Charge""), (U198^0.75), true, 0) + (IF(VLOOKUP(B1"&amp;"98, AmmoTypeFactors, 10, false), 2,0) + IF('Ammo Input'!P198, 2,0) + IF('Ammo Input'!Q198,MIN(ROUNDUP(0.2*('Ammo Input'!H198/1000)*'Ammo Input'!O198,0),20),0))))"),0)</f>
        <v>0</v>
      </c>
      <c r="W202">
        <v>22</v>
      </c>
      <c r="X202">
        <v>0</v>
      </c>
      <c r="Y202">
        <v>0</v>
      </c>
      <c r="Z202">
        <v>0</v>
      </c>
      <c r="AA202">
        <v>0</v>
      </c>
      <c r="AB202" s="30">
        <f>IF(B202="Sling Bullet (Stone)",ROUNDUP(D202*0.02*E202/'Ingredient stats'!$C$8,0),0)</f>
        <v>0</v>
      </c>
      <c r="AC202" t="str">
        <f t="shared" si="12"/>
        <v>None</v>
      </c>
      <c r="AD202" t="str">
        <f>IF(OR(B202="Buck",B202="Bird",B202="Charge (Scatter)"),'Ammo Input'!J202,"None")</f>
        <v>None</v>
      </c>
      <c r="AE202" t="str">
        <f>_xlfn.IFS(ISTEXT(Calcs!N202),Calcs!N202,Calcs!N202&lt;=40,Calcs!N202,Calcs!N202&gt;41,"40")</f>
        <v>None</v>
      </c>
      <c r="AF202" t="str">
        <f>_xlfn.IFS(ISTEXT(Calcs!O202),Calcs!O202,Calcs!O202&lt;=80,Calcs!O202,Calcs!O202&gt;=81,"80")</f>
        <v>None</v>
      </c>
      <c r="AG202" s="25">
        <f t="shared" si="13"/>
        <v>1</v>
      </c>
      <c r="AH202" s="25">
        <f t="shared" si="14"/>
        <v>2.6</v>
      </c>
      <c r="AI202" s="25">
        <f t="shared" si="15"/>
        <v>1</v>
      </c>
    </row>
    <row r="203" ht="14.4" spans="1:35">
      <c r="A203" s="24" t="str">
        <f>'Ammo Input'!A203</f>
        <v>40x311mmR</v>
      </c>
      <c r="B203" t="str">
        <f>'Ammo Input'!B203</f>
        <v>AP-HE</v>
      </c>
      <c r="C203">
        <f>ROUNDUP(('Ammo Input'!C203*(MAX('Ammo Input'!D203,'Ammo Input'!F203)*0.5)^2*PI())*3/1000000,2)</f>
        <v>1.69</v>
      </c>
      <c r="D203">
        <f>ROUNDUP(('Ammo Input'!E203+'Ammo Input'!H203*IF('Ammo Input'!J203&lt;&gt;"",MAX('Ammo Input'!J203,1),1))/1000,3)</f>
        <v>2.15</v>
      </c>
      <c r="E203">
        <f>MIN(5000,MAX(25,CEILING(Calcs!L203,_xlfn.IFS(Calcs!L203&lt;100,25,Calcs!L203&lt;250,50,Calcs!L203&lt;1000,250,Calcs!L203&gt;=1000,1000))))</f>
        <v>100</v>
      </c>
      <c r="F203">
        <f>ROUNDUP('Ammo Input'!G203^(3/4),0)</f>
        <v>158</v>
      </c>
      <c r="G203">
        <f>ROUND((0.5*((IF(OR(B203="HEAT",B203="HEDP"),'Ammo Input'!N203,'Ammo Input'!H203)/1000)*(IF(B203="HEAT",9000,IF(B203="HEDP",1500,'Ammo Input'!G203))^2))),0)</f>
        <v>325125</v>
      </c>
      <c r="H203" s="25" t="str">
        <f>CONCATENATE(IF((B203="Foam")+(B203="Smoke"),"-",ROUND(Calcs!D203,0))," ",VLOOKUP(B203,AmmoTypeFactors,5,FALSE))</f>
        <v>168 Bullet</v>
      </c>
      <c r="I203" s="25" t="str">
        <f>IF(Calcs!E203=0,"None",CONCATENATE(ROUND(Calcs!E203,0)," ",VLOOKUP(B203,AmmoTypeFactors,6,FALSE)))</f>
        <v>117 Bomb_Secondary</v>
      </c>
      <c r="J203">
        <f>MROUND(2.42*'Ammo Input'!M203^(1/3)*VLOOKUP(B203,AmmoTypeFactors,3,FALSE),0.5)</f>
        <v>0</v>
      </c>
      <c r="K203" s="25" t="str">
        <f>IF(VLOOKUP(B203,AmmoTypeFactors,12,FALSE),MROUND(J203/3,0.5),"None")</f>
        <v>None</v>
      </c>
      <c r="L203" s="25">
        <f>IF(VLOOKUP(B203,AmmoTypeFactors,8,FALSE),"None",ROUNDUP(IF(Calcs!I203&gt;0,Calcs!I203,Calcs!H203),3))</f>
        <v>6502.5</v>
      </c>
      <c r="M203" s="25">
        <f>IF(VLOOKUP(B203,AmmoTypeFactors,8,FALSE),"None",'Ammo Input'!L203)</f>
        <v>50</v>
      </c>
      <c r="N203">
        <f>'Ammo Input'!O203</f>
        <v>50</v>
      </c>
      <c r="O203" t="e">
        <f>ROUND((P203*0.0036+SUMPRODUCT(Q203:AB203,VLOOKUP($Q$1:$AB$1,IngredientStats,2,FALSE)))/N203*IF('Ammo Input'!R203,0.5,1),2)</f>
        <v>#VALUE!</v>
      </c>
      <c r="P203" t="e">
        <f>(SUMPRODUCT(Q203:AB203,VLOOKUP($Q$1:$AB$1,IngredientStats,4,FALSE))*VLOOKUP(B203,AmmoTypeFactors,14,FALSE)*IF('Ammo Input'!R203,1.1,1))</f>
        <v>#VALUE!</v>
      </c>
      <c r="Q203">
        <f>IFERROR(__xludf.DUMMYFUNCTION("((IF(NOT(OR(REGEXMATCH(B199, ""Arrow""), B199 = ""Javelin"", B199 = ""Stick bomb"")), ROUNDUP(('Ammo Input'!E199 / 1000) * N199)) + IF(VLOOKUP(B199, AmmoTypeFactors, 9, FALSE) = ""Steel"", ROUNDUP(('Ammo Input'!H199 -'Ammo Input'!M199) * MAX(IF('Ammo Inpu"&amp;"t'!J199 &gt; 0, 'Ammo Input'!J199, 1), 1) * N199 / 1000))) / 'Ingredient stats'!$C$2) * IF(ISBLANK(VLOOKUP(B199,AmmoTypeFactors,15,False)),1,VLOOKUP(B199,AmmoTypeFactors,15,False))"),216)</f>
        <v>216</v>
      </c>
      <c r="R203">
        <f>IFERROR(__xludf.DUMMYFUNCTION("ROUNDUP((IF(REGEXMATCH(B199, ""Arrow"") + (B199 = ""Javelin""), 'Ammo Input'!E199) + IF(VLOOKUP(B199, AmmoTypeFactors, 9, FALSE) = ""Wood"", 'Ammo Input'!H199) + IF(B199 = ""Stick bomb"", 'Ammo Input'!E199)) * N199 / 'Ingredient stats'!$C$12 / 1000)"),0)</f>
        <v>0</v>
      </c>
      <c r="S203">
        <v>0</v>
      </c>
      <c r="T203">
        <v>0</v>
      </c>
      <c r="U203">
        <f>IF(VLOOKUP(B203,AmmoTypeFactors,9,FALSE)="Plasteel",ROUNDUP(('Ammo Input'!H203*MAX(IF('Ammo Input'!J203&gt;0,'Ammo Input'!J203,1)*N203/1000/'Ingredient stats'!$C$4)),0),0)</f>
        <v>0</v>
      </c>
      <c r="V203">
        <f>IFERROR(__xludf.DUMMYFUNCTION("ROUNDUP(IF(ISBLANK(VLOOKUP(B199,AmmoTypeFactors,16,False)),1,VLOOKUP(B199,AmmoTypeFactors,16,False)) * (IFS(REGEXMATCH(B199, ""EMP""), 'Ammo Input'!M199 * N199 / 'Ingredient stats'!$C$5, REGEXMATCH(B199, ""Charge""), (U199^0.75), true, 0) + (IF(VLOOKUP(B1"&amp;"99, AmmoTypeFactors, 10, false), 2,0) + IF('Ammo Input'!P199, 2,0) + IF('Ammo Input'!Q199,MIN(ROUNDUP(0.2*('Ammo Input'!H199/1000)*'Ammo Input'!O199,0),20),0))))"),0)</f>
        <v>0</v>
      </c>
      <c r="W203">
        <v>0</v>
      </c>
      <c r="X203">
        <v>41</v>
      </c>
      <c r="Y203">
        <v>0</v>
      </c>
      <c r="Z203">
        <v>0</v>
      </c>
      <c r="AA203">
        <v>0</v>
      </c>
      <c r="AB203" s="30">
        <f>IF(B203="Sling Bullet (Stone)",ROUNDUP(D203*0.02*E203/'Ingredient stats'!$C$8,0),0)</f>
        <v>0</v>
      </c>
      <c r="AC203" t="str">
        <f t="shared" si="12"/>
        <v>None</v>
      </c>
      <c r="AD203" t="str">
        <f>IF(OR(B203="Buck",B203="Bird",B203="Charge (Scatter)"),'Ammo Input'!J203,"None")</f>
        <v>None</v>
      </c>
      <c r="AE203" t="str">
        <f>_xlfn.IFS(ISTEXT(Calcs!N203),Calcs!N203,Calcs!N203&lt;=40,Calcs!N203,Calcs!N203&gt;41,"40")</f>
        <v>None</v>
      </c>
      <c r="AF203" t="str">
        <f>_xlfn.IFS(ISTEXT(Calcs!O203),Calcs!O203,Calcs!O203&lt;=80,Calcs!O203,Calcs!O203&gt;=81,"80")</f>
        <v>None</v>
      </c>
      <c r="AG203" s="25">
        <f t="shared" si="13"/>
        <v>1</v>
      </c>
      <c r="AH203" s="25">
        <f t="shared" si="14"/>
        <v>2.6</v>
      </c>
      <c r="AI203" s="25">
        <f t="shared" si="15"/>
        <v>1</v>
      </c>
    </row>
    <row r="204" ht="14.4" spans="1:35">
      <c r="A204" s="24" t="str">
        <f>'Ammo Input'!A204</f>
        <v>40x311mmR</v>
      </c>
      <c r="B204" t="str">
        <f>'Ammo Input'!B204</f>
        <v>Sabot</v>
      </c>
      <c r="C204">
        <f>ROUNDUP(('Ammo Input'!C204*(MAX('Ammo Input'!D204,'Ammo Input'!F204)*0.5)^2*PI())*3/1000000,2)</f>
        <v>1.69</v>
      </c>
      <c r="D204">
        <f>ROUNDUP(('Ammo Input'!E204+'Ammo Input'!H204*IF('Ammo Input'!J204&lt;&gt;"",MAX('Ammo Input'!J204,1),1))/1000,3)</f>
        <v>1.763</v>
      </c>
      <c r="E204">
        <f>MIN(5000,MAX(25,CEILING(Calcs!L204,_xlfn.IFS(Calcs!L204&lt;100,25,Calcs!L204&lt;250,50,Calcs!L204&lt;1000,250,Calcs!L204&gt;=1000,1000))))</f>
        <v>100</v>
      </c>
      <c r="F204">
        <f>ROUNDUP('Ammo Input'!G204^(3/4),0)</f>
        <v>214</v>
      </c>
      <c r="G204">
        <f>ROUND((0.5*((IF(OR(B204="HEAT",B204="HEDP"),'Ammo Input'!N204,'Ammo Input'!H204)/1000)*(IF(B204="HEAT",9000,IF(B204="HEDP",1500,'Ammo Input'!G204))^2))),0)</f>
        <v>416973</v>
      </c>
      <c r="H204" s="25" t="str">
        <f>CONCATENATE(IF((B204="Foam")+(B204="Smoke"),"-",ROUND(Calcs!D204,0))," ",VLOOKUP(B204,AmmoTypeFactors,5,FALSE))</f>
        <v>89 Bullet</v>
      </c>
      <c r="I204" s="25" t="str">
        <f>IF(Calcs!E204=0,"None",CONCATENATE(ROUND(Calcs!E204,0)," ",VLOOKUP(B204,AmmoTypeFactors,6,FALSE)))</f>
        <v>None</v>
      </c>
      <c r="J204">
        <f>MROUND(2.42*'Ammo Input'!M204^(1/3)*VLOOKUP(B204,AmmoTypeFactors,3,FALSE),0.5)</f>
        <v>0</v>
      </c>
      <c r="K204" s="25" t="str">
        <f>IF(VLOOKUP(B204,AmmoTypeFactors,12,FALSE),MROUND(J204/3,0.5),"None")</f>
        <v>None</v>
      </c>
      <c r="L204" s="25">
        <f>IF(VLOOKUP(B204,AmmoTypeFactors,8,FALSE),"None",ROUNDUP(IF(Calcs!I204&gt;0,Calcs!I204,Calcs!H204),3))</f>
        <v>8339.46</v>
      </c>
      <c r="M204" s="25">
        <f>IF(VLOOKUP(B204,AmmoTypeFactors,8,FALSE),"None",'Ammo Input'!L204)</f>
        <v>175</v>
      </c>
      <c r="N204">
        <f>'Ammo Input'!O204</f>
        <v>50</v>
      </c>
      <c r="O204" t="e">
        <f>ROUND((P204*0.0036+SUMPRODUCT(Q204:AB204,VLOOKUP($Q$1:$AB$1,IngredientStats,2,FALSE)))/N204*IF('Ammo Input'!R204,0.5,1),2)</f>
        <v>#VALUE!</v>
      </c>
      <c r="P204" t="e">
        <f>(SUMPRODUCT(Q204:AB204,VLOOKUP($Q$1:$AB$1,IngredientStats,4,FALSE))*VLOOKUP(B204,AmmoTypeFactors,14,FALSE)*IF('Ammo Input'!R204,1.1,1))</f>
        <v>#VALUE!</v>
      </c>
      <c r="Q204">
        <f>IFERROR(__xludf.DUMMYFUNCTION("((IF(NOT(OR(REGEXMATCH(B200, ""Arrow""), B200 = ""Javelin"", B200 = ""Stick bomb"")), ROUNDUP(('Ammo Input'!E200 / 1000) * N200)) + IF(VLOOKUP(B200, AmmoTypeFactors, 9, FALSE) = ""Steel"", ROUNDUP(('Ammo Input'!H200 -'Ammo Input'!M200) * MAX(IF('Ammo Inpu"&amp;"t'!J200 &gt; 0, 'Ammo Input'!J200, 1), 1) * N200 / 1000))) / 'Ingredient stats'!$C$2) * IF(ISBLANK(VLOOKUP(B200,AmmoTypeFactors,15,False)),1,VLOOKUP(B200,AmmoTypeFactors,15,False))"),126)</f>
        <v>126</v>
      </c>
      <c r="R204">
        <f>IFERROR(__xludf.DUMMYFUNCTION("ROUNDUP((IF(REGEXMATCH(B200, ""Arrow"") + (B200 = ""Javelin""), 'Ammo Input'!E200) + IF(VLOOKUP(B200, AmmoTypeFactors, 9, FALSE) = ""Wood"", 'Ammo Input'!H200) + IF(B200 = ""Stick bomb"", 'Ammo Input'!E200)) * N200 / 'Ingredient stats'!$C$12 / 1000)"),0)</f>
        <v>0</v>
      </c>
      <c r="S204">
        <v>26</v>
      </c>
      <c r="T204">
        <v>26</v>
      </c>
      <c r="U204">
        <f>IF(VLOOKUP(B204,AmmoTypeFactors,9,FALSE)="Plasteel",ROUNDUP(('Ammo Input'!H204*MAX(IF('Ammo Input'!J204&gt;0,'Ammo Input'!J204,1)*N204/1000/'Ingredient stats'!$C$4)),0),0)</f>
        <v>0</v>
      </c>
      <c r="V204">
        <f>IFERROR(__xludf.DUMMYFUNCTION("ROUNDUP(IF(ISBLANK(VLOOKUP(B200,AmmoTypeFactors,16,False)),1,VLOOKUP(B200,AmmoTypeFactors,16,False)) * (IFS(REGEXMATCH(B200, ""EMP""), 'Ammo Input'!M200 * N200 / 'Ingredient stats'!$C$5, REGEXMATCH(B200, ""Charge""), (U200^0.75), true, 0) + (IF(VLOOKUP(B2"&amp;"00, AmmoTypeFactors, 10, false), 2,0) + IF('Ammo Input'!P200, 2,0) + IF('Ammo Input'!Q200,MIN(ROUNDUP(0.2*('Ammo Input'!H200/1000)*'Ammo Input'!O200,0),20),0))))"),0)</f>
        <v>0</v>
      </c>
      <c r="W204">
        <v>0</v>
      </c>
      <c r="X204">
        <v>0</v>
      </c>
      <c r="Y204">
        <v>0</v>
      </c>
      <c r="Z204">
        <v>0</v>
      </c>
      <c r="AA204">
        <v>0</v>
      </c>
      <c r="AB204" s="30">
        <f>IF(B204="Sling Bullet (Stone)",ROUNDUP(D204*0.02*E204/'Ingredient stats'!$C$8,0),0)</f>
        <v>0</v>
      </c>
      <c r="AC204" t="str">
        <f t="shared" si="12"/>
        <v>None</v>
      </c>
      <c r="AD204" t="str">
        <f>IF(OR(B204="Buck",B204="Bird",B204="Charge (Scatter)"),'Ammo Input'!J204,"None")</f>
        <v>None</v>
      </c>
      <c r="AE204" t="str">
        <f>_xlfn.IFS(ISTEXT(Calcs!N204),Calcs!N204,Calcs!N204&lt;=40,Calcs!N204,Calcs!N204&gt;41,"40")</f>
        <v>None</v>
      </c>
      <c r="AF204" t="str">
        <f>_xlfn.IFS(ISTEXT(Calcs!O204),Calcs!O204,Calcs!O204&lt;=80,Calcs!O204,Calcs!O204&gt;=81,"80")</f>
        <v>None</v>
      </c>
      <c r="AG204" s="25">
        <f t="shared" si="13"/>
        <v>1</v>
      </c>
      <c r="AH204" s="25">
        <f t="shared" si="14"/>
        <v>3.45</v>
      </c>
      <c r="AI204" s="25">
        <f t="shared" si="15"/>
        <v>1</v>
      </c>
    </row>
    <row r="205" ht="14.4" spans="1:35">
      <c r="A205" s="24" t="str">
        <f>'Ammo Input'!A205</f>
        <v>.470 NE</v>
      </c>
      <c r="B205" t="str">
        <f>'Ammo Input'!B205</f>
        <v>FMJ</v>
      </c>
      <c r="C205">
        <f>ROUNDUP(('Ammo Input'!C205*(MAX('Ammo Input'!D205,'Ammo Input'!F205)*0.5)^2*PI())*3/1000000,2)</f>
        <v>0.06</v>
      </c>
      <c r="D205">
        <f>ROUNDUP(('Ammo Input'!E205+'Ammo Input'!H205*IF('Ammo Input'!J205&lt;&gt;"",MAX('Ammo Input'!J205,1),1))/1000,3)</f>
        <v>0.06</v>
      </c>
      <c r="E205">
        <f>MIN(5000,MAX(25,CEILING(Calcs!L205,_xlfn.IFS(Calcs!L205&lt;100,25,Calcs!L205&lt;250,50,Calcs!L205&lt;1000,250,Calcs!L205&gt;=1000,1000))))</f>
        <v>5000</v>
      </c>
      <c r="F205">
        <f>ROUNDUP('Ammo Input'!G205^(3/4),0)</f>
        <v>131</v>
      </c>
      <c r="G205">
        <f>ROUND((0.5*((IF(OR(B205="HEAT",B205="HEDP"),'Ammo Input'!N205,'Ammo Input'!H205)/1000)*(IF(B205="HEAT",9000,IF(B205="HEDP",1500,'Ammo Input'!G205))^2))),0)</f>
        <v>6970</v>
      </c>
      <c r="H205" s="25" t="str">
        <f>CONCATENATE(IF((B205="Foam")+(B205="Smoke"),"-",ROUND(Calcs!D205,0))," ",VLOOKUP(B205,AmmoTypeFactors,5,FALSE))</f>
        <v>29 Bullet</v>
      </c>
      <c r="I205" s="25" t="str">
        <f>IF(Calcs!E205=0,"None",CONCATENATE(ROUND(Calcs!E205,0)," ",VLOOKUP(B205,AmmoTypeFactors,6,FALSE)))</f>
        <v>None</v>
      </c>
      <c r="J205">
        <f>MROUND(2.42*'Ammo Input'!M205^(1/3)*VLOOKUP(B205,AmmoTypeFactors,3,FALSE),0.5)</f>
        <v>0</v>
      </c>
      <c r="K205" s="25" t="str">
        <f>IF(VLOOKUP(B205,AmmoTypeFactors,12,FALSE),MROUND(J205/3,0.5),"None")</f>
        <v>None</v>
      </c>
      <c r="L205" s="25">
        <f>IF(VLOOKUP(B205,AmmoTypeFactors,8,FALSE),"None",ROUNDUP(IF(Calcs!I205&gt;0,Calcs!I205,Calcs!H205),3))</f>
        <v>139.4</v>
      </c>
      <c r="M205" s="25">
        <f>IF(VLOOKUP(B205,AmmoTypeFactors,8,FALSE),"None",'Ammo Input'!L205)</f>
        <v>11</v>
      </c>
      <c r="N205">
        <f>'Ammo Input'!O205</f>
        <v>200</v>
      </c>
      <c r="O205" t="e">
        <f>ROUND((P205*0.0036+SUMPRODUCT(Q205:AB205,VLOOKUP($Q$1:$AB$1,IngredientStats,2,FALSE)))/N205*IF('Ammo Input'!R205,0.5,1),2)</f>
        <v>#VALUE!</v>
      </c>
      <c r="P205" t="e">
        <f>(SUMPRODUCT(Q205:AB205,VLOOKUP($Q$1:$AB$1,IngredientStats,4,FALSE))*VLOOKUP(B205,AmmoTypeFactors,14,FALSE)*IF('Ammo Input'!R205,1.1,1))</f>
        <v>#VALUE!</v>
      </c>
      <c r="Q205">
        <f>IFERROR(__xludf.DUMMYFUNCTION("((IF(NOT(OR(REGEXMATCH(B201, ""Arrow""), B201 = ""Javelin"", B201 = ""Stick bomb"")), ROUNDUP(('Ammo Input'!E201 / 1000) * N201)) + IF(VLOOKUP(B201, AmmoTypeFactors, 9, FALSE) = ""Steel"", ROUNDUP(('Ammo Input'!H201 -'Ammo Input'!M201) * MAX(IF('Ammo Inpu"&amp;"t'!J201 &gt; 0, 'Ammo Input'!J201, 1), 1) * N201 / 1000))) / 'Ingredient stats'!$C$2) * IF(ISBLANK(VLOOKUP(B201,AmmoTypeFactors,15,False)),1,VLOOKUP(B201,AmmoTypeFactors,15,False))"),26)</f>
        <v>26</v>
      </c>
      <c r="R205">
        <f>IFERROR(__xludf.DUMMYFUNCTION("ROUNDUP((IF(REGEXMATCH(B201, ""Arrow"") + (B201 = ""Javelin""), 'Ammo Input'!E201) + IF(VLOOKUP(B201, AmmoTypeFactors, 9, FALSE) = ""Wood"", 'Ammo Input'!H201) + IF(B201 = ""Stick bomb"", 'Ammo Input'!E201)) * N201 / 'Ingredient stats'!$C$12 / 1000)"),0)</f>
        <v>0</v>
      </c>
      <c r="S205">
        <v>0</v>
      </c>
      <c r="T205">
        <v>0</v>
      </c>
      <c r="U205">
        <f>IF(VLOOKUP(B205,AmmoTypeFactors,9,FALSE)="Plasteel",ROUNDUP(('Ammo Input'!H205*MAX(IF('Ammo Input'!J205&gt;0,'Ammo Input'!J205,1)*N205/1000/'Ingredient stats'!$C$4)),0),0)</f>
        <v>0</v>
      </c>
      <c r="V205">
        <f>IFERROR(__xludf.DUMMYFUNCTION("ROUNDUP(IF(ISBLANK(VLOOKUP(B201,AmmoTypeFactors,16,False)),1,VLOOKUP(B201,AmmoTypeFactors,16,False)) * (IFS(REGEXMATCH(B201, ""EMP""), 'Ammo Input'!M201 * N201 / 'Ingredient stats'!$C$5, REGEXMATCH(B201, ""Charge""), (U201^0.75), true, 0) + (IF(VLOOKUP(B2"&amp;"01, AmmoTypeFactors, 10, false), 2,0) + IF('Ammo Input'!P201, 2,0) + IF('Ammo Input'!Q201,MIN(ROUNDUP(0.2*('Ammo Input'!H201/1000)*'Ammo Input'!O201,0),20),0))))"),0)</f>
        <v>0</v>
      </c>
      <c r="W205">
        <v>0</v>
      </c>
      <c r="X205">
        <v>0</v>
      </c>
      <c r="Y205">
        <v>0</v>
      </c>
      <c r="Z205">
        <v>0</v>
      </c>
      <c r="AA205">
        <v>0</v>
      </c>
      <c r="AB205" s="30">
        <f>IF(B205="Sling Bullet (Stone)",ROUNDUP(D205*0.02*E205/'Ingredient stats'!$C$8,0),0)</f>
        <v>0</v>
      </c>
      <c r="AC205" t="str">
        <f t="shared" si="12"/>
        <v>None</v>
      </c>
      <c r="AD205" t="str">
        <f>IF(OR(B205="Buck",B205="Bird",B205="Charge (Scatter)"),'Ammo Input'!J205,"None")</f>
        <v>None</v>
      </c>
      <c r="AE205" t="str">
        <f>_xlfn.IFS(ISTEXT(Calcs!N205),Calcs!N205,Calcs!N205&lt;=40,Calcs!N205,Calcs!N205&gt;41,"40")</f>
        <v>None</v>
      </c>
      <c r="AF205" t="str">
        <f>_xlfn.IFS(ISTEXT(Calcs!O205),Calcs!O205,Calcs!O205&lt;=80,Calcs!O205,Calcs!O205&gt;=81,"80")</f>
        <v>None</v>
      </c>
      <c r="AG205" s="25">
        <f t="shared" si="13"/>
        <v>1</v>
      </c>
      <c r="AH205" s="25">
        <f t="shared" si="14"/>
        <v>2.15</v>
      </c>
      <c r="AI205" s="25">
        <f t="shared" si="15"/>
        <v>1</v>
      </c>
    </row>
    <row r="206" ht="14.4" spans="1:35">
      <c r="A206" s="24" t="str">
        <f>'Ammo Input'!A206</f>
        <v>.470 NE</v>
      </c>
      <c r="B206" t="str">
        <f>'Ammo Input'!B206</f>
        <v>AP</v>
      </c>
      <c r="C206">
        <f>ROUNDUP(('Ammo Input'!C206*(MAX('Ammo Input'!D206,'Ammo Input'!F206)*0.5)^2*PI())*3/1000000,2)</f>
        <v>0.06</v>
      </c>
      <c r="D206">
        <f>ROUNDUP(('Ammo Input'!E206+'Ammo Input'!H206*IF('Ammo Input'!J206&lt;&gt;"",MAX('Ammo Input'!J206,1),1))/1000,3)</f>
        <v>0.06</v>
      </c>
      <c r="E206">
        <f>MIN(5000,MAX(25,CEILING(Calcs!L206,_xlfn.IFS(Calcs!L206&lt;100,25,Calcs!L206&lt;250,50,Calcs!L206&lt;1000,250,Calcs!L206&gt;=1000,1000))))</f>
        <v>5000</v>
      </c>
      <c r="F206">
        <f>ROUNDUP('Ammo Input'!G206^(3/4),0)</f>
        <v>131</v>
      </c>
      <c r="G206">
        <f>ROUND((0.5*((IF(OR(B206="HEAT",B206="HEDP"),'Ammo Input'!N206,'Ammo Input'!H206)/1000)*(IF(B206="HEAT",9000,IF(B206="HEDP",1500,'Ammo Input'!G206))^2))),0)</f>
        <v>6970</v>
      </c>
      <c r="H206" s="25" t="str">
        <f>CONCATENATE(IF((B206="Foam")+(B206="Smoke"),"-",ROUND(Calcs!D206,0))," ",VLOOKUP(B206,AmmoTypeFactors,5,FALSE))</f>
        <v>18 Bullet</v>
      </c>
      <c r="I206" s="25" t="str">
        <f>IF(Calcs!E206=0,"None",CONCATENATE(ROUND(Calcs!E206,0)," ",VLOOKUP(B206,AmmoTypeFactors,6,FALSE)))</f>
        <v>None</v>
      </c>
      <c r="J206">
        <f>MROUND(2.42*'Ammo Input'!M206^(1/3)*VLOOKUP(B206,AmmoTypeFactors,3,FALSE),0.5)</f>
        <v>0</v>
      </c>
      <c r="K206" s="25" t="str">
        <f>IF(VLOOKUP(B206,AmmoTypeFactors,12,FALSE),MROUND(J206/3,0.5),"None")</f>
        <v>None</v>
      </c>
      <c r="L206" s="25">
        <f>IF(VLOOKUP(B206,AmmoTypeFactors,8,FALSE),"None",ROUNDUP(IF(Calcs!I206&gt;0,Calcs!I206,Calcs!H206),3))</f>
        <v>139.4</v>
      </c>
      <c r="M206" s="25">
        <f>IF(VLOOKUP(B206,AmmoTypeFactors,8,FALSE),"None",'Ammo Input'!L206)</f>
        <v>22</v>
      </c>
      <c r="N206">
        <f>'Ammo Input'!O206</f>
        <v>200</v>
      </c>
      <c r="O206" t="e">
        <f>ROUND((P206*0.0036+SUMPRODUCT(Q206:AB206,VLOOKUP($Q$1:$AB$1,IngredientStats,2,FALSE)))/N206*IF('Ammo Input'!R206,0.5,1),2)</f>
        <v>#VALUE!</v>
      </c>
      <c r="P206" t="e">
        <f>(SUMPRODUCT(Q206:AB206,VLOOKUP($Q$1:$AB$1,IngredientStats,4,FALSE))*VLOOKUP(B206,AmmoTypeFactors,14,FALSE)*IF('Ammo Input'!R206,1.1,1))</f>
        <v>#VALUE!</v>
      </c>
      <c r="Q206">
        <f>IFERROR(__xludf.DUMMYFUNCTION("((IF(NOT(OR(REGEXMATCH(B202, ""Arrow""), B202 = ""Javelin"", B202 = ""Stick bomb"")), ROUNDUP(('Ammo Input'!E202 / 1000) * N202)) + IF(VLOOKUP(B202, AmmoTypeFactors, 9, FALSE) = ""Steel"", ROUNDUP(('Ammo Input'!H202 -'Ammo Input'!M202) * MAX(IF('Ammo Inpu"&amp;"t'!J202 &gt; 0, 'Ammo Input'!J202, 1), 1) * N202 / 1000))) / 'Ingredient stats'!$C$2) * IF(ISBLANK(VLOOKUP(B202,AmmoTypeFactors,15,False)),1,VLOOKUP(B202,AmmoTypeFactors,15,False))"),26)</f>
        <v>26</v>
      </c>
      <c r="R206">
        <f>IFERROR(__xludf.DUMMYFUNCTION("ROUNDUP((IF(REGEXMATCH(B202, ""Arrow"") + (B202 = ""Javelin""), 'Ammo Input'!E202) + IF(VLOOKUP(B202, AmmoTypeFactors, 9, FALSE) = ""Wood"", 'Ammo Input'!H202) + IF(B202 = ""Stick bomb"", 'Ammo Input'!E202)) * N202 / 'Ingredient stats'!$C$12 / 1000)"),0)</f>
        <v>0</v>
      </c>
      <c r="S206">
        <v>0</v>
      </c>
      <c r="T206">
        <v>0</v>
      </c>
      <c r="U206">
        <f>IF(VLOOKUP(B206,AmmoTypeFactors,9,FALSE)="Plasteel",ROUNDUP(('Ammo Input'!H206*MAX(IF('Ammo Input'!J206&gt;0,'Ammo Input'!J206,1)*N206/1000/'Ingredient stats'!$C$4)),0),0)</f>
        <v>0</v>
      </c>
      <c r="V206">
        <f>IFERROR(__xludf.DUMMYFUNCTION("ROUNDUP(IF(ISBLANK(VLOOKUP(B202,AmmoTypeFactors,16,False)),1,VLOOKUP(B202,AmmoTypeFactors,16,False)) * (IFS(REGEXMATCH(B202, ""EMP""), 'Ammo Input'!M202 * N202 / 'Ingredient stats'!$C$5, REGEXMATCH(B202, ""Charge""), (U202^0.75), true, 0) + (IF(VLOOKUP(B2"&amp;"02, AmmoTypeFactors, 10, false), 2,0) + IF('Ammo Input'!P202, 2,0) + IF('Ammo Input'!Q202,MIN(ROUNDUP(0.2*('Ammo Input'!H202/1000)*'Ammo Input'!O202,0),20),0))))"),0)</f>
        <v>0</v>
      </c>
      <c r="W206">
        <v>0</v>
      </c>
      <c r="X206">
        <v>0</v>
      </c>
      <c r="Y206">
        <v>0</v>
      </c>
      <c r="Z206">
        <v>0</v>
      </c>
      <c r="AA206">
        <v>0</v>
      </c>
      <c r="AB206" s="30">
        <f>IF(B206="Sling Bullet (Stone)",ROUNDUP(D206*0.02*E206/'Ingredient stats'!$C$8,0),0)</f>
        <v>0</v>
      </c>
      <c r="AC206" t="str">
        <f t="shared" si="12"/>
        <v>None</v>
      </c>
      <c r="AD206" t="str">
        <f>IF(OR(B206="Buck",B206="Bird",B206="Charge (Scatter)"),'Ammo Input'!J206,"None")</f>
        <v>None</v>
      </c>
      <c r="AE206" t="str">
        <f>_xlfn.IFS(ISTEXT(Calcs!N206),Calcs!N206,Calcs!N206&lt;=40,Calcs!N206,Calcs!N206&gt;41,"40")</f>
        <v>None</v>
      </c>
      <c r="AF206" t="str">
        <f>_xlfn.IFS(ISTEXT(Calcs!O206),Calcs!O206,Calcs!O206&lt;=80,Calcs!O206,Calcs!O206&gt;=81,"80")</f>
        <v>None</v>
      </c>
      <c r="AG206" s="25">
        <f t="shared" si="13"/>
        <v>1</v>
      </c>
      <c r="AH206" s="25">
        <f t="shared" si="14"/>
        <v>2.15</v>
      </c>
      <c r="AI206" s="25">
        <f t="shared" si="15"/>
        <v>1</v>
      </c>
    </row>
    <row r="207" ht="14.4" spans="1:35">
      <c r="A207" s="24" t="str">
        <f>'Ammo Input'!A207</f>
        <v>.470 NE</v>
      </c>
      <c r="B207" t="str">
        <f>'Ammo Input'!B207</f>
        <v>AP-I</v>
      </c>
      <c r="C207">
        <f>ROUNDUP(('Ammo Input'!C207*(MAX('Ammo Input'!D207,'Ammo Input'!F207)*0.5)^2*PI())*3/1000000,2)</f>
        <v>0.06</v>
      </c>
      <c r="D207">
        <f>ROUNDUP(('Ammo Input'!E207+'Ammo Input'!H207*IF('Ammo Input'!J207&lt;&gt;"",MAX('Ammo Input'!J207,1),1))/1000,3)</f>
        <v>0.06</v>
      </c>
      <c r="E207">
        <f>MIN(5000,MAX(25,CEILING(Calcs!L207,_xlfn.IFS(Calcs!L207&lt;100,25,Calcs!L207&lt;250,50,Calcs!L207&lt;1000,250,Calcs!L207&gt;=1000,1000))))</f>
        <v>5000</v>
      </c>
      <c r="F207">
        <f>ROUNDUP('Ammo Input'!G207^(3/4),0)</f>
        <v>131</v>
      </c>
      <c r="G207">
        <f>ROUND((0.5*((IF(OR(B207="HEAT",B207="HEDP"),'Ammo Input'!N207,'Ammo Input'!H207)/1000)*(IF(B207="HEAT",9000,IF(B207="HEDP",1500,'Ammo Input'!G207))^2))),0)</f>
        <v>6970</v>
      </c>
      <c r="H207" s="25" t="str">
        <f>CONCATENATE(IF((B207="Foam")+(B207="Smoke"),"-",ROUND(Calcs!D207,0))," ",VLOOKUP(B207,AmmoTypeFactors,5,FALSE))</f>
        <v>18 Bullet</v>
      </c>
      <c r="I207" s="25" t="str">
        <f>IF(Calcs!E207=0,"None",CONCATENATE(ROUND(Calcs!E207,0)," ",VLOOKUP(B207,AmmoTypeFactors,6,FALSE)))</f>
        <v>12 Flame_Secondary</v>
      </c>
      <c r="J207">
        <f>MROUND(2.42*'Ammo Input'!M207^(1/3)*VLOOKUP(B207,AmmoTypeFactors,3,FALSE),0.5)</f>
        <v>0</v>
      </c>
      <c r="K207" s="25" t="str">
        <f>IF(VLOOKUP(B207,AmmoTypeFactors,12,FALSE),MROUND(J207/3,0.5),"None")</f>
        <v>None</v>
      </c>
      <c r="L207" s="25">
        <f>IF(VLOOKUP(B207,AmmoTypeFactors,8,FALSE),"None",ROUNDUP(IF(Calcs!I207&gt;0,Calcs!I207,Calcs!H207),3))</f>
        <v>139.4</v>
      </c>
      <c r="M207" s="25">
        <f>IF(VLOOKUP(B207,AmmoTypeFactors,8,FALSE),"None",'Ammo Input'!L207)</f>
        <v>22</v>
      </c>
      <c r="N207">
        <f>'Ammo Input'!O207</f>
        <v>200</v>
      </c>
      <c r="O207" t="e">
        <f>ROUND((P207*0.0036+SUMPRODUCT(Q207:AB207,VLOOKUP($Q$1:$AB$1,IngredientStats,2,FALSE)))/N207*IF('Ammo Input'!R207,0.5,1),2)</f>
        <v>#VALUE!</v>
      </c>
      <c r="P207" t="e">
        <f>(SUMPRODUCT(Q207:AB207,VLOOKUP($Q$1:$AB$1,IngredientStats,4,FALSE))*VLOOKUP(B207,AmmoTypeFactors,14,FALSE)*IF('Ammo Input'!R207,1.1,1))</f>
        <v>#VALUE!</v>
      </c>
      <c r="Q207">
        <f>IFERROR(__xludf.DUMMYFUNCTION("((IF(NOT(OR(REGEXMATCH(B203, ""Arrow""), B203 = ""Javelin"", B203 = ""Stick bomb"")), ROUNDUP(('Ammo Input'!E203 / 1000) * N203)) + IF(VLOOKUP(B203, AmmoTypeFactors, 9, FALSE) = ""Steel"", ROUNDUP(('Ammo Input'!H203 -'Ammo Input'!M203) * MAX(IF('Ammo Inpu"&amp;"t'!J203 &gt; 0, 'Ammo Input'!J203, 1), 1) * N203 / 1000))) / 'Ingredient stats'!$C$2) * IF(ISBLANK(VLOOKUP(B203,AmmoTypeFactors,15,False)),1,VLOOKUP(B203,AmmoTypeFactors,15,False))"),26)</f>
        <v>26</v>
      </c>
      <c r="R207">
        <f>IFERROR(__xludf.DUMMYFUNCTION("ROUNDUP((IF(REGEXMATCH(B203, ""Arrow"") + (B203 = ""Javelin""), 'Ammo Input'!E203) + IF(VLOOKUP(B203, AmmoTypeFactors, 9, FALSE) = ""Wood"", 'Ammo Input'!H203) + IF(B203 = ""Stick bomb"", 'Ammo Input'!E203)) * N203 / 'Ingredient stats'!$C$12 / 1000)"),0)</f>
        <v>0</v>
      </c>
      <c r="S207">
        <v>0</v>
      </c>
      <c r="T207">
        <v>0</v>
      </c>
      <c r="U207">
        <f>IF(VLOOKUP(B207,AmmoTypeFactors,9,FALSE)="Plasteel",ROUNDUP(('Ammo Input'!H207*MAX(IF('Ammo Input'!J207&gt;0,'Ammo Input'!J207,1)*N207/1000/'Ingredient stats'!$C$4)),0),0)</f>
        <v>0</v>
      </c>
      <c r="V207">
        <f>IFERROR(__xludf.DUMMYFUNCTION("ROUNDUP(IF(ISBLANK(VLOOKUP(B203,AmmoTypeFactors,16,False)),1,VLOOKUP(B203,AmmoTypeFactors,16,False)) * (IFS(REGEXMATCH(B203, ""EMP""), 'Ammo Input'!M203 * N203 / 'Ingredient stats'!$C$5, REGEXMATCH(B203, ""Charge""), (U203^0.75), true, 0) + (IF(VLOOKUP(B2"&amp;"03, AmmoTypeFactors, 10, false), 2,0) + IF('Ammo Input'!P203, 2,0) + IF('Ammo Input'!Q203,MIN(ROUNDUP(0.2*('Ammo Input'!H203/1000)*'Ammo Input'!O203,0),20),0))))"),0)</f>
        <v>0</v>
      </c>
      <c r="W207">
        <v>4</v>
      </c>
      <c r="X207">
        <v>0</v>
      </c>
      <c r="Y207">
        <v>0</v>
      </c>
      <c r="Z207">
        <v>0</v>
      </c>
      <c r="AA207">
        <v>0</v>
      </c>
      <c r="AB207" s="30">
        <f>IF(B207="Sling Bullet (Stone)",ROUNDUP(D207*0.02*E207/'Ingredient stats'!$C$8,0),0)</f>
        <v>0</v>
      </c>
      <c r="AC207" t="str">
        <f t="shared" si="12"/>
        <v>None</v>
      </c>
      <c r="AD207" t="str">
        <f>IF(OR(B207="Buck",B207="Bird",B207="Charge (Scatter)"),'Ammo Input'!J207,"None")</f>
        <v>None</v>
      </c>
      <c r="AE207" t="str">
        <f>_xlfn.IFS(ISTEXT(Calcs!N207),Calcs!N207,Calcs!N207&lt;=40,Calcs!N207,Calcs!N207&gt;41,"40")</f>
        <v>None</v>
      </c>
      <c r="AF207" t="str">
        <f>_xlfn.IFS(ISTEXT(Calcs!O207),Calcs!O207,Calcs!O207&lt;=80,Calcs!O207,Calcs!O207&gt;=81,"80")</f>
        <v>None</v>
      </c>
      <c r="AG207" s="25">
        <f t="shared" si="13"/>
        <v>1</v>
      </c>
      <c r="AH207" s="25">
        <f t="shared" si="14"/>
        <v>2.15</v>
      </c>
      <c r="AI207" s="25">
        <f t="shared" si="15"/>
        <v>1</v>
      </c>
    </row>
    <row r="208" ht="14.4" spans="1:35">
      <c r="A208" s="24" t="str">
        <f>'Ammo Input'!A208</f>
        <v>.470 NE</v>
      </c>
      <c r="B208" t="str">
        <f>'Ammo Input'!B208</f>
        <v>AP-HE</v>
      </c>
      <c r="C208">
        <f>ROUNDUP(('Ammo Input'!C208*(MAX('Ammo Input'!D208,'Ammo Input'!F208)*0.5)^2*PI())*3/1000000,2)</f>
        <v>0.06</v>
      </c>
      <c r="D208">
        <f>ROUNDUP(('Ammo Input'!E208+'Ammo Input'!H208*IF('Ammo Input'!J208&lt;&gt;"",MAX('Ammo Input'!J208,1),1))/1000,3)</f>
        <v>0.06</v>
      </c>
      <c r="E208">
        <f>MIN(5000,MAX(25,CEILING(Calcs!L208,_xlfn.IFS(Calcs!L208&lt;100,25,Calcs!L208&lt;250,50,Calcs!L208&lt;1000,250,Calcs!L208&gt;=1000,1000))))</f>
        <v>5000</v>
      </c>
      <c r="F208">
        <f>ROUNDUP('Ammo Input'!G208^(3/4),0)</f>
        <v>131</v>
      </c>
      <c r="G208">
        <f>ROUND((0.5*((IF(OR(B208="HEAT",B208="HEDP"),'Ammo Input'!N208,'Ammo Input'!H208)/1000)*(IF(B208="HEAT",9000,IF(B208="HEDP",1500,'Ammo Input'!G208))^2))),0)</f>
        <v>6970</v>
      </c>
      <c r="H208" s="25" t="str">
        <f>CONCATENATE(IF((B208="Foam")+(B208="Smoke"),"-",ROUND(Calcs!D208,0))," ",VLOOKUP(B208,AmmoTypeFactors,5,FALSE))</f>
        <v>29 Bullet</v>
      </c>
      <c r="I208" s="25" t="str">
        <f>IF(Calcs!E208=0,"None",CONCATENATE(ROUND(Calcs!E208,0)," ",VLOOKUP(B208,AmmoTypeFactors,6,FALSE)))</f>
        <v>16 Bomb_Secondary</v>
      </c>
      <c r="J208">
        <f>MROUND(2.42*'Ammo Input'!M208^(1/3)*VLOOKUP(B208,AmmoTypeFactors,3,FALSE),0.5)</f>
        <v>0</v>
      </c>
      <c r="K208" s="25" t="str">
        <f>IF(VLOOKUP(B208,AmmoTypeFactors,12,FALSE),MROUND(J208/3,0.5),"None")</f>
        <v>None</v>
      </c>
      <c r="L208" s="25">
        <f>IF(VLOOKUP(B208,AmmoTypeFactors,8,FALSE),"None",ROUNDUP(IF(Calcs!I208&gt;0,Calcs!I208,Calcs!H208),3))</f>
        <v>139.4</v>
      </c>
      <c r="M208" s="25">
        <f>IF(VLOOKUP(B208,AmmoTypeFactors,8,FALSE),"None",'Ammo Input'!L208)</f>
        <v>11</v>
      </c>
      <c r="N208">
        <f>'Ammo Input'!O208</f>
        <v>200</v>
      </c>
      <c r="O208" t="e">
        <f>ROUND((P208*0.0036+SUMPRODUCT(Q208:AB208,VLOOKUP($Q$1:$AB$1,IngredientStats,2,FALSE)))/N208*IF('Ammo Input'!R208,0.5,1),2)</f>
        <v>#VALUE!</v>
      </c>
      <c r="P208" t="e">
        <f>(SUMPRODUCT(Q208:AB208,VLOOKUP($Q$1:$AB$1,IngredientStats,4,FALSE))*VLOOKUP(B208,AmmoTypeFactors,14,FALSE)*IF('Ammo Input'!R208,1.1,1))</f>
        <v>#VALUE!</v>
      </c>
      <c r="Q208">
        <f>IFERROR(__xludf.DUMMYFUNCTION("((IF(NOT(OR(REGEXMATCH(B204, ""Arrow""), B204 = ""Javelin"", B204 = ""Stick bomb"")), ROUNDUP(('Ammo Input'!E204 / 1000) * N204)) + IF(VLOOKUP(B204, AmmoTypeFactors, 9, FALSE) = ""Steel"", ROUNDUP(('Ammo Input'!H204 -'Ammo Input'!M204) * MAX(IF('Ammo Inpu"&amp;"t'!J204 &gt; 0, 'Ammo Input'!J204, 1), 1) * N204 / 1000))) / 'Ingredient stats'!$C$2) * IF(ISBLANK(VLOOKUP(B204,AmmoTypeFactors,15,False)),1,VLOOKUP(B204,AmmoTypeFactors,15,False))"),26)</f>
        <v>26</v>
      </c>
      <c r="R208">
        <f>IFERROR(__xludf.DUMMYFUNCTION("ROUNDUP((IF(REGEXMATCH(B204, ""Arrow"") + (B204 = ""Javelin""), 'Ammo Input'!E204) + IF(VLOOKUP(B204, AmmoTypeFactors, 9, FALSE) = ""Wood"", 'Ammo Input'!H204) + IF(B204 = ""Stick bomb"", 'Ammo Input'!E204)) * N204 / 'Ingredient stats'!$C$12 / 1000)"),0)</f>
        <v>0</v>
      </c>
      <c r="S208">
        <v>0</v>
      </c>
      <c r="T208">
        <v>0</v>
      </c>
      <c r="U208">
        <f>IF(VLOOKUP(B208,AmmoTypeFactors,9,FALSE)="Plasteel",ROUNDUP(('Ammo Input'!H208*MAX(IF('Ammo Input'!J208&gt;0,'Ammo Input'!J208,1)*N208/1000/'Ingredient stats'!$C$4)),0),0)</f>
        <v>0</v>
      </c>
      <c r="V208">
        <f>IFERROR(__xludf.DUMMYFUNCTION("ROUNDUP(IF(ISBLANK(VLOOKUP(B204,AmmoTypeFactors,16,False)),1,VLOOKUP(B204,AmmoTypeFactors,16,False)) * (IFS(REGEXMATCH(B204, ""EMP""), 'Ammo Input'!M204 * N204 / 'Ingredient stats'!$C$5, REGEXMATCH(B204, ""Charge""), (U204^0.75), true, 0) + (IF(VLOOKUP(B2"&amp;"04, AmmoTypeFactors, 10, false), 2,0) + IF('Ammo Input'!P204, 2,0) + IF('Ammo Input'!Q204,MIN(ROUNDUP(0.2*('Ammo Input'!H204/1000)*'Ammo Input'!O204,0),20),0))))"),0)</f>
        <v>0</v>
      </c>
      <c r="W208">
        <v>0</v>
      </c>
      <c r="X208">
        <v>7</v>
      </c>
      <c r="Y208">
        <v>0</v>
      </c>
      <c r="Z208">
        <v>0</v>
      </c>
      <c r="AA208">
        <v>0</v>
      </c>
      <c r="AB208" s="30">
        <f>IF(B208="Sling Bullet (Stone)",ROUNDUP(D208*0.02*E208/'Ingredient stats'!$C$8,0),0)</f>
        <v>0</v>
      </c>
      <c r="AC208" t="str">
        <f t="shared" si="12"/>
        <v>None</v>
      </c>
      <c r="AD208" t="str">
        <f>IF(OR(B208="Buck",B208="Bird",B208="Charge (Scatter)"),'Ammo Input'!J208,"None")</f>
        <v>None</v>
      </c>
      <c r="AE208" t="str">
        <f>_xlfn.IFS(ISTEXT(Calcs!N208),Calcs!N208,Calcs!N208&lt;=40,Calcs!N208,Calcs!N208&gt;41,"40")</f>
        <v>None</v>
      </c>
      <c r="AF208" t="str">
        <f>_xlfn.IFS(ISTEXT(Calcs!O208),Calcs!O208,Calcs!O208&lt;=80,Calcs!O208,Calcs!O208&gt;=81,"80")</f>
        <v>None</v>
      </c>
      <c r="AG208" s="25">
        <f t="shared" si="13"/>
        <v>1</v>
      </c>
      <c r="AH208" s="25">
        <f t="shared" si="14"/>
        <v>2.15</v>
      </c>
      <c r="AI208" s="25">
        <f t="shared" si="15"/>
        <v>1</v>
      </c>
    </row>
    <row r="209" ht="14.4" spans="1:35">
      <c r="A209" s="24" t="str">
        <f>'Ammo Input'!A209</f>
        <v>.470 NE</v>
      </c>
      <c r="B209" t="str">
        <f>'Ammo Input'!B209</f>
        <v>Sabot</v>
      </c>
      <c r="C209">
        <f>ROUNDUP(('Ammo Input'!C209*(MAX('Ammo Input'!D209,'Ammo Input'!F209)*0.5)^2*PI())*3/1000000,2)</f>
        <v>0.06</v>
      </c>
      <c r="D209">
        <f>ROUNDUP(('Ammo Input'!E209+'Ammo Input'!H209*IF('Ammo Input'!J209&lt;&gt;"",MAX('Ammo Input'!J209,1),1))/1000,3)</f>
        <v>0.046</v>
      </c>
      <c r="E209">
        <f>MIN(5000,MAX(25,CEILING(Calcs!L209,_xlfn.IFS(Calcs!L209&lt;100,25,Calcs!L209&lt;250,50,Calcs!L209&lt;1000,250,Calcs!L209&gt;=1000,1000))))</f>
        <v>5000</v>
      </c>
      <c r="F209">
        <f>ROUNDUP('Ammo Input'!G209^(3/4),0)</f>
        <v>177</v>
      </c>
      <c r="G209">
        <f>ROUND((0.5*((IF(OR(B209="HEAT",B209="HEDP"),'Ammo Input'!N209,'Ammo Input'!H209)/1000)*(IF(B209="HEAT",9000,IF(B209="HEDP",1500,'Ammo Input'!G209))^2))),0)</f>
        <v>8939</v>
      </c>
      <c r="H209" s="25" t="str">
        <f>CONCATENATE(IF((B209="Foam")+(B209="Smoke"),"-",ROUND(Calcs!D209,0))," ",VLOOKUP(B209,AmmoTypeFactors,5,FALSE))</f>
        <v>16 Bullet</v>
      </c>
      <c r="I209" s="25" t="str">
        <f>IF(Calcs!E209=0,"None",CONCATENATE(ROUND(Calcs!E209,0)," ",VLOOKUP(B209,AmmoTypeFactors,6,FALSE)))</f>
        <v>None</v>
      </c>
      <c r="J209">
        <f>MROUND(2.42*'Ammo Input'!M209^(1/3)*VLOOKUP(B209,AmmoTypeFactors,3,FALSE),0.5)</f>
        <v>0</v>
      </c>
      <c r="K209" s="25" t="str">
        <f>IF(VLOOKUP(B209,AmmoTypeFactors,12,FALSE),MROUND(J209/3,0.5),"None")</f>
        <v>None</v>
      </c>
      <c r="L209" s="25">
        <f>IF(VLOOKUP(B209,AmmoTypeFactors,8,FALSE),"None",ROUNDUP(IF(Calcs!I209&gt;0,Calcs!I209,Calcs!H209),3))</f>
        <v>178.78</v>
      </c>
      <c r="M209" s="25">
        <f>IF(VLOOKUP(B209,AmmoTypeFactors,8,FALSE),"None",'Ammo Input'!L209)</f>
        <v>38.5</v>
      </c>
      <c r="N209">
        <f>'Ammo Input'!O209</f>
        <v>200</v>
      </c>
      <c r="O209" t="e">
        <f>ROUND((P209*0.0036+SUMPRODUCT(Q209:AB209,VLOOKUP($Q$1:$AB$1,IngredientStats,2,FALSE)))/N209*IF('Ammo Input'!R209,0.5,1),2)</f>
        <v>#VALUE!</v>
      </c>
      <c r="P209" t="e">
        <f>(SUMPRODUCT(Q209:AB209,VLOOKUP($Q$1:$AB$1,IngredientStats,4,FALSE))*VLOOKUP(B209,AmmoTypeFactors,14,FALSE)*IF('Ammo Input'!R209,1.1,1))</f>
        <v>#VALUE!</v>
      </c>
      <c r="Q209">
        <f>IFERROR(__xludf.DUMMYFUNCTION("((IF(NOT(OR(REGEXMATCH(B205, ""Arrow""), B205 = ""Javelin"", B205 = ""Stick bomb"")), ROUNDUP(('Ammo Input'!E205 / 1000) * N205)) + IF(VLOOKUP(B205, AmmoTypeFactors, 9, FALSE) = ""Steel"", ROUNDUP(('Ammo Input'!H205 -'Ammo Input'!M205) * MAX(IF('Ammo Inpu"&amp;"t'!J205 &gt; 0, 'Ammo Input'!J205, 1), 1) * N205 / 1000))) / 'Ingredient stats'!$C$2) * IF(ISBLANK(VLOOKUP(B205,AmmoTypeFactors,15,False)),1,VLOOKUP(B205,AmmoTypeFactors,15,False))"),12)</f>
        <v>12</v>
      </c>
      <c r="R209">
        <f>IFERROR(__xludf.DUMMYFUNCTION("ROUNDUP((IF(REGEXMATCH(B205, ""Arrow"") + (B205 = ""Javelin""), 'Ammo Input'!E205) + IF(VLOOKUP(B205, AmmoTypeFactors, 9, FALSE) = ""Wood"", 'Ammo Input'!H205) + IF(B205 = ""Stick bomb"", 'Ammo Input'!E205)) * N205 / 'Ingredient stats'!$C$12 / 1000)"),0)</f>
        <v>0</v>
      </c>
      <c r="S209">
        <v>4</v>
      </c>
      <c r="T209">
        <v>4</v>
      </c>
      <c r="U209">
        <f>IF(VLOOKUP(B209,AmmoTypeFactors,9,FALSE)="Plasteel",ROUNDUP(('Ammo Input'!H209*MAX(IF('Ammo Input'!J209&gt;0,'Ammo Input'!J209,1)*N209/1000/'Ingredient stats'!$C$4)),0),0)</f>
        <v>0</v>
      </c>
      <c r="V209">
        <f>IFERROR(__xludf.DUMMYFUNCTION("ROUNDUP(IF(ISBLANK(VLOOKUP(B205,AmmoTypeFactors,16,False)),1,VLOOKUP(B205,AmmoTypeFactors,16,False)) * (IFS(REGEXMATCH(B205, ""EMP""), 'Ammo Input'!M205 * N205 / 'Ingredient stats'!$C$5, REGEXMATCH(B205, ""Charge""), (U205^0.75), true, 0) + (IF(VLOOKUP(B2"&amp;"05, AmmoTypeFactors, 10, false), 2,0) + IF('Ammo Input'!P205, 2,0) + IF('Ammo Input'!Q205,MIN(ROUNDUP(0.2*('Ammo Input'!H205/1000)*'Ammo Input'!O205,0),20),0))))"),0)</f>
        <v>0</v>
      </c>
      <c r="W209">
        <v>0</v>
      </c>
      <c r="X209">
        <v>0</v>
      </c>
      <c r="Y209">
        <v>0</v>
      </c>
      <c r="Z209">
        <v>0</v>
      </c>
      <c r="AA209">
        <v>0</v>
      </c>
      <c r="AB209" s="30">
        <f>IF(B209="Sling Bullet (Stone)",ROUNDUP(D209*0.02*E209/'Ingredient stats'!$C$8,0),0)</f>
        <v>0</v>
      </c>
      <c r="AC209" t="str">
        <f t="shared" si="12"/>
        <v>None</v>
      </c>
      <c r="AD209" t="str">
        <f>IF(OR(B209="Buck",B209="Bird",B209="Charge (Scatter)"),'Ammo Input'!J209,"None")</f>
        <v>None</v>
      </c>
      <c r="AE209" t="str">
        <f>_xlfn.IFS(ISTEXT(Calcs!N209),Calcs!N209,Calcs!N209&lt;=40,Calcs!N209,Calcs!N209&gt;41,"40")</f>
        <v>None</v>
      </c>
      <c r="AF209" t="str">
        <f>_xlfn.IFS(ISTEXT(Calcs!O209),Calcs!O209,Calcs!O209&lt;=80,Calcs!O209,Calcs!O209&gt;=81,"80")</f>
        <v>None</v>
      </c>
      <c r="AG209" s="25">
        <f t="shared" si="13"/>
        <v>1</v>
      </c>
      <c r="AH209" s="25">
        <f t="shared" si="14"/>
        <v>2.9</v>
      </c>
      <c r="AI209" s="25">
        <f t="shared" si="15"/>
        <v>1</v>
      </c>
    </row>
    <row r="210" ht="14.4" spans="1:35">
      <c r="A210" s="24" t="str">
        <f>'Ammo Input'!A210</f>
        <v>.600 NE</v>
      </c>
      <c r="B210" t="str">
        <f>'Ammo Input'!B210</f>
        <v>FMJ</v>
      </c>
      <c r="C210">
        <f>ROUNDUP(('Ammo Input'!C210*(MAX('Ammo Input'!D210,'Ammo Input'!F210)*0.5)^2*PI())*3/1000000,2)</f>
        <v>0.06</v>
      </c>
      <c r="D210">
        <f>ROUNDUP(('Ammo Input'!E210+'Ammo Input'!H210*IF('Ammo Input'!J210&lt;&gt;"",MAX('Ammo Input'!J210,1),1))/1000,3)</f>
        <v>0.108</v>
      </c>
      <c r="E210">
        <f>MIN(5000,MAX(25,CEILING(Calcs!L210,_xlfn.IFS(Calcs!L210&lt;100,25,Calcs!L210&lt;250,50,Calcs!L210&lt;1000,250,Calcs!L210&gt;=1000,1000))))</f>
        <v>5000</v>
      </c>
      <c r="F210">
        <f>ROUNDUP('Ammo Input'!G210^(3/4),0)</f>
        <v>125</v>
      </c>
      <c r="G210">
        <f>ROUND((0.5*((IF(OR(B210="HEAT",B210="HEDP"),'Ammo Input'!N210,'Ammo Input'!H210)/1000)*(IF(B210="HEAT",9000,IF(B210="HEDP",1500,'Ammo Input'!G210))^2))),0)</f>
        <v>11148</v>
      </c>
      <c r="H210" s="25" t="str">
        <f>CONCATENATE(IF((B210="Foam")+(B210="Smoke"),"-",ROUND(Calcs!D210,0))," ",VLOOKUP(B210,AmmoTypeFactors,5,FALSE))</f>
        <v>38 Bullet</v>
      </c>
      <c r="I210" s="25" t="str">
        <f>IF(Calcs!E210=0,"None",CONCATENATE(ROUND(Calcs!E210,0)," ",VLOOKUP(B210,AmmoTypeFactors,6,FALSE)))</f>
        <v>None</v>
      </c>
      <c r="J210">
        <f>MROUND(2.42*'Ammo Input'!M210^(1/3)*VLOOKUP(B210,AmmoTypeFactors,3,FALSE),0.5)</f>
        <v>0</v>
      </c>
      <c r="K210" s="25" t="str">
        <f>IF(VLOOKUP(B210,AmmoTypeFactors,12,FALSE),MROUND(J210/3,0.5),"None")</f>
        <v>None</v>
      </c>
      <c r="L210" s="25">
        <f>IF(VLOOKUP(B210,AmmoTypeFactors,8,FALSE),"None",ROUNDUP(IF(Calcs!I210&gt;0,Calcs!I210,Calcs!H210),3))</f>
        <v>222.96</v>
      </c>
      <c r="M210" s="25">
        <f>IF(VLOOKUP(B210,AmmoTypeFactors,8,FALSE),"None",'Ammo Input'!L210)</f>
        <v>11</v>
      </c>
      <c r="N210">
        <f>'Ammo Input'!O210</f>
        <v>200</v>
      </c>
      <c r="O210" t="e">
        <f>ROUND((P210*0.0036+SUMPRODUCT(Q210:AB210,VLOOKUP($Q$1:$AB$1,IngredientStats,2,FALSE)))/N210*IF('Ammo Input'!R210,0.5,1),2)</f>
        <v>#VALUE!</v>
      </c>
      <c r="P210" t="e">
        <f>(SUMPRODUCT(Q210:AB210,VLOOKUP($Q$1:$AB$1,IngredientStats,4,FALSE))*VLOOKUP(B210,AmmoTypeFactors,14,FALSE)*IF('Ammo Input'!R210,1.1,1))</f>
        <v>#VALUE!</v>
      </c>
      <c r="Q210">
        <f>IFERROR(__xludf.DUMMYFUNCTION("((IF(NOT(OR(REGEXMATCH(B206, ""Arrow""), B206 = ""Javelin"", B206 = ""Stick bomb"")), ROUNDUP(('Ammo Input'!E206 / 1000) * N206)) + IF(VLOOKUP(B206, AmmoTypeFactors, 9, FALSE) = ""Steel"", ROUNDUP(('Ammo Input'!H206 -'Ammo Input'!M206) * MAX(IF('Ammo Inpu"&amp;"t'!J206 &gt; 0, 'Ammo Input'!J206, 1), 1) * N206 / 1000))) / 'Ingredient stats'!$C$2) * IF(ISBLANK(VLOOKUP(B206,AmmoTypeFactors,15,False)),1,VLOOKUP(B206,AmmoTypeFactors,15,False))"),44)</f>
        <v>44</v>
      </c>
      <c r="R210">
        <f>IFERROR(__xludf.DUMMYFUNCTION("ROUNDUP((IF(REGEXMATCH(B206, ""Arrow"") + (B206 = ""Javelin""), 'Ammo Input'!E206) + IF(VLOOKUP(B206, AmmoTypeFactors, 9, FALSE) = ""Wood"", 'Ammo Input'!H206) + IF(B206 = ""Stick bomb"", 'Ammo Input'!E206)) * N206 / 'Ingredient stats'!$C$12 / 1000)"),0)</f>
        <v>0</v>
      </c>
      <c r="S210">
        <v>0</v>
      </c>
      <c r="T210">
        <v>0</v>
      </c>
      <c r="U210">
        <f>IF(VLOOKUP(B210,AmmoTypeFactors,9,FALSE)="Plasteel",ROUNDUP(('Ammo Input'!H210*MAX(IF('Ammo Input'!J210&gt;0,'Ammo Input'!J210,1)*N210/1000/'Ingredient stats'!$C$4)),0),0)</f>
        <v>0</v>
      </c>
      <c r="V210">
        <f>IFERROR(__xludf.DUMMYFUNCTION("ROUNDUP(IF(ISBLANK(VLOOKUP(B206,AmmoTypeFactors,16,False)),1,VLOOKUP(B206,AmmoTypeFactors,16,False)) * (IFS(REGEXMATCH(B206, ""EMP""), 'Ammo Input'!M206 * N206 / 'Ingredient stats'!$C$5, REGEXMATCH(B206, ""Charge""), (U206^0.75), true, 0) + (IF(VLOOKUP(B2"&amp;"06, AmmoTypeFactors, 10, false), 2,0) + IF('Ammo Input'!P206, 2,0) + IF('Ammo Input'!Q206,MIN(ROUNDUP(0.2*('Ammo Input'!H206/1000)*'Ammo Input'!O206,0),20),0))))"),0)</f>
        <v>0</v>
      </c>
      <c r="W210">
        <v>0</v>
      </c>
      <c r="X210">
        <v>0</v>
      </c>
      <c r="Y210">
        <v>0</v>
      </c>
      <c r="Z210">
        <v>0</v>
      </c>
      <c r="AA210">
        <v>0</v>
      </c>
      <c r="AB210" s="30">
        <f>IF(B210="Sling Bullet (Stone)",ROUNDUP(D210*0.02*E210/'Ingredient stats'!$C$8,0),0)</f>
        <v>0</v>
      </c>
      <c r="AC210" t="str">
        <f t="shared" si="12"/>
        <v>None</v>
      </c>
      <c r="AD210" t="str">
        <f>IF(OR(B210="Buck",B210="Bird",B210="Charge (Scatter)"),'Ammo Input'!J210,"None")</f>
        <v>None</v>
      </c>
      <c r="AE210" t="str">
        <f>_xlfn.IFS(ISTEXT(Calcs!N210),Calcs!N210,Calcs!N210&lt;=40,Calcs!N210,Calcs!N210&gt;41,"40")</f>
        <v>None</v>
      </c>
      <c r="AF210" t="str">
        <f>_xlfn.IFS(ISTEXT(Calcs!O210),Calcs!O210,Calcs!O210&lt;=80,Calcs!O210,Calcs!O210&gt;=81,"80")</f>
        <v>None</v>
      </c>
      <c r="AG210" s="25">
        <f t="shared" si="13"/>
        <v>1</v>
      </c>
      <c r="AH210" s="25">
        <f t="shared" si="14"/>
        <v>2.06</v>
      </c>
      <c r="AI210" s="25">
        <f t="shared" si="15"/>
        <v>1</v>
      </c>
    </row>
    <row r="211" ht="14.4" spans="1:35">
      <c r="A211" s="24" t="str">
        <f>'Ammo Input'!A211</f>
        <v>.600 NE</v>
      </c>
      <c r="B211" t="str">
        <f>'Ammo Input'!B211</f>
        <v>AP</v>
      </c>
      <c r="C211">
        <f>ROUNDUP(('Ammo Input'!C211*(MAX('Ammo Input'!D211,'Ammo Input'!F211)*0.5)^2*PI())*3/1000000,2)</f>
        <v>0.06</v>
      </c>
      <c r="D211">
        <f>ROUNDUP(('Ammo Input'!E211+'Ammo Input'!H211*IF('Ammo Input'!J211&lt;&gt;"",MAX('Ammo Input'!J211,1),1))/1000,3)</f>
        <v>0.108</v>
      </c>
      <c r="E211">
        <f>MIN(5000,MAX(25,CEILING(Calcs!L211,_xlfn.IFS(Calcs!L211&lt;100,25,Calcs!L211&lt;250,50,Calcs!L211&lt;1000,250,Calcs!L211&gt;=1000,1000))))</f>
        <v>5000</v>
      </c>
      <c r="F211">
        <f>ROUNDUP('Ammo Input'!G211^(3/4),0)</f>
        <v>125</v>
      </c>
      <c r="G211">
        <f>ROUND((0.5*((IF(OR(B211="HEAT",B211="HEDP"),'Ammo Input'!N211,'Ammo Input'!H211)/1000)*(IF(B211="HEAT",9000,IF(B211="HEDP",1500,'Ammo Input'!G211))^2))),0)</f>
        <v>11148</v>
      </c>
      <c r="H211" s="25" t="str">
        <f>CONCATENATE(IF((B211="Foam")+(B211="Smoke"),"-",ROUND(Calcs!D211,0))," ",VLOOKUP(B211,AmmoTypeFactors,5,FALSE))</f>
        <v>24 Bullet</v>
      </c>
      <c r="I211" s="25" t="str">
        <f>IF(Calcs!E211=0,"None",CONCATENATE(ROUND(Calcs!E211,0)," ",VLOOKUP(B211,AmmoTypeFactors,6,FALSE)))</f>
        <v>None</v>
      </c>
      <c r="J211">
        <f>MROUND(2.42*'Ammo Input'!M211^(1/3)*VLOOKUP(B211,AmmoTypeFactors,3,FALSE),0.5)</f>
        <v>0</v>
      </c>
      <c r="K211" s="25" t="str">
        <f>IF(VLOOKUP(B211,AmmoTypeFactors,12,FALSE),MROUND(J211/3,0.5),"None")</f>
        <v>None</v>
      </c>
      <c r="L211" s="25">
        <f>IF(VLOOKUP(B211,AmmoTypeFactors,8,FALSE),"None",ROUNDUP(IF(Calcs!I211&gt;0,Calcs!I211,Calcs!H211),3))</f>
        <v>222.96</v>
      </c>
      <c r="M211" s="25">
        <f>IF(VLOOKUP(B211,AmmoTypeFactors,8,FALSE),"None",'Ammo Input'!L211)</f>
        <v>22</v>
      </c>
      <c r="N211">
        <f>'Ammo Input'!O211</f>
        <v>200</v>
      </c>
      <c r="O211" t="e">
        <f>ROUND((P211*0.0036+SUMPRODUCT(Q211:AB211,VLOOKUP($Q$1:$AB$1,IngredientStats,2,FALSE)))/N211*IF('Ammo Input'!R211,0.5,1),2)</f>
        <v>#VALUE!</v>
      </c>
      <c r="P211" t="e">
        <f>(SUMPRODUCT(Q211:AB211,VLOOKUP($Q$1:$AB$1,IngredientStats,4,FALSE))*VLOOKUP(B211,AmmoTypeFactors,14,FALSE)*IF('Ammo Input'!R211,1.1,1))</f>
        <v>#VALUE!</v>
      </c>
      <c r="Q211">
        <f>IFERROR(__xludf.DUMMYFUNCTION("((IF(NOT(OR(REGEXMATCH(B207, ""Arrow""), B207 = ""Javelin"", B207 = ""Stick bomb"")), ROUNDUP(('Ammo Input'!E207 / 1000) * N207)) + IF(VLOOKUP(B207, AmmoTypeFactors, 9, FALSE) = ""Steel"", ROUNDUP(('Ammo Input'!H207 -'Ammo Input'!M207) * MAX(IF('Ammo Inpu"&amp;"t'!J207 &gt; 0, 'Ammo Input'!J207, 1), 1) * N207 / 1000))) / 'Ingredient stats'!$C$2) * IF(ISBLANK(VLOOKUP(B207,AmmoTypeFactors,15,False)),1,VLOOKUP(B207,AmmoTypeFactors,15,False))"),44)</f>
        <v>44</v>
      </c>
      <c r="R211">
        <f>IFERROR(__xludf.DUMMYFUNCTION("ROUNDUP((IF(REGEXMATCH(B207, ""Arrow"") + (B207 = ""Javelin""), 'Ammo Input'!E207) + IF(VLOOKUP(B207, AmmoTypeFactors, 9, FALSE) = ""Wood"", 'Ammo Input'!H207) + IF(B207 = ""Stick bomb"", 'Ammo Input'!E207)) * N207 / 'Ingredient stats'!$C$12 / 1000)"),0)</f>
        <v>0</v>
      </c>
      <c r="S211">
        <v>0</v>
      </c>
      <c r="T211">
        <v>0</v>
      </c>
      <c r="U211">
        <f>IF(VLOOKUP(B211,AmmoTypeFactors,9,FALSE)="Plasteel",ROUNDUP(('Ammo Input'!H211*MAX(IF('Ammo Input'!J211&gt;0,'Ammo Input'!J211,1)*N211/1000/'Ingredient stats'!$C$4)),0),0)</f>
        <v>0</v>
      </c>
      <c r="V211">
        <f>IFERROR(__xludf.DUMMYFUNCTION("ROUNDUP(IF(ISBLANK(VLOOKUP(B207,AmmoTypeFactors,16,False)),1,VLOOKUP(B207,AmmoTypeFactors,16,False)) * (IFS(REGEXMATCH(B207, ""EMP""), 'Ammo Input'!M207 * N207 / 'Ingredient stats'!$C$5, REGEXMATCH(B207, ""Charge""), (U207^0.75), true, 0) + (IF(VLOOKUP(B2"&amp;"07, AmmoTypeFactors, 10, false), 2,0) + IF('Ammo Input'!P207, 2,0) + IF('Ammo Input'!Q207,MIN(ROUNDUP(0.2*('Ammo Input'!H207/1000)*'Ammo Input'!O207,0),20),0))))"),0)</f>
        <v>0</v>
      </c>
      <c r="W211">
        <v>0</v>
      </c>
      <c r="X211">
        <v>0</v>
      </c>
      <c r="Y211">
        <v>0</v>
      </c>
      <c r="Z211">
        <v>0</v>
      </c>
      <c r="AA211">
        <v>0</v>
      </c>
      <c r="AB211" s="30">
        <f>IF(B211="Sling Bullet (Stone)",ROUNDUP(D211*0.02*E211/'Ingredient stats'!$C$8,0),0)</f>
        <v>0</v>
      </c>
      <c r="AC211" t="str">
        <f t="shared" si="12"/>
        <v>None</v>
      </c>
      <c r="AD211" t="str">
        <f>IF(OR(B211="Buck",B211="Bird",B211="Charge (Scatter)"),'Ammo Input'!J211,"None")</f>
        <v>None</v>
      </c>
      <c r="AE211" t="str">
        <f>_xlfn.IFS(ISTEXT(Calcs!N211),Calcs!N211,Calcs!N211&lt;=40,Calcs!N211,Calcs!N211&gt;41,"40")</f>
        <v>None</v>
      </c>
      <c r="AF211" t="str">
        <f>_xlfn.IFS(ISTEXT(Calcs!O211),Calcs!O211,Calcs!O211&lt;=80,Calcs!O211,Calcs!O211&gt;=81,"80")</f>
        <v>None</v>
      </c>
      <c r="AG211" s="25">
        <f t="shared" si="13"/>
        <v>1</v>
      </c>
      <c r="AH211" s="25">
        <f t="shared" si="14"/>
        <v>2.06</v>
      </c>
      <c r="AI211" s="25">
        <f t="shared" si="15"/>
        <v>1</v>
      </c>
    </row>
    <row r="212" ht="14.4" spans="1:35">
      <c r="A212" s="24" t="str">
        <f>'Ammo Input'!A212</f>
        <v>.600 NE</v>
      </c>
      <c r="B212" t="str">
        <f>'Ammo Input'!B212</f>
        <v>AP-I</v>
      </c>
      <c r="C212">
        <f>ROUNDUP(('Ammo Input'!C212*(MAX('Ammo Input'!D212,'Ammo Input'!F212)*0.5)^2*PI())*3/1000000,2)</f>
        <v>0.06</v>
      </c>
      <c r="D212">
        <f>ROUNDUP(('Ammo Input'!E212+'Ammo Input'!H212*IF('Ammo Input'!J212&lt;&gt;"",MAX('Ammo Input'!J212,1),1))/1000,3)</f>
        <v>0.108</v>
      </c>
      <c r="E212">
        <f>MIN(5000,MAX(25,CEILING(Calcs!L212,_xlfn.IFS(Calcs!L212&lt;100,25,Calcs!L212&lt;250,50,Calcs!L212&lt;1000,250,Calcs!L212&gt;=1000,1000))))</f>
        <v>5000</v>
      </c>
      <c r="F212">
        <f>ROUNDUP('Ammo Input'!G212^(3/4),0)</f>
        <v>125</v>
      </c>
      <c r="G212">
        <f>ROUND((0.5*((IF(OR(B212="HEAT",B212="HEDP"),'Ammo Input'!N212,'Ammo Input'!H212)/1000)*(IF(B212="HEAT",9000,IF(B212="HEDP",1500,'Ammo Input'!G212))^2))),0)</f>
        <v>11148</v>
      </c>
      <c r="H212" s="25" t="str">
        <f>CONCATENATE(IF((B212="Foam")+(B212="Smoke"),"-",ROUND(Calcs!D212,0))," ",VLOOKUP(B212,AmmoTypeFactors,5,FALSE))</f>
        <v>24 Bullet</v>
      </c>
      <c r="I212" s="25" t="str">
        <f>IF(Calcs!E212=0,"None",CONCATENATE(ROUND(Calcs!E212,0)," ",VLOOKUP(B212,AmmoTypeFactors,6,FALSE)))</f>
        <v>17 Flame_Secondary</v>
      </c>
      <c r="J212">
        <f>MROUND(2.42*'Ammo Input'!M212^(1/3)*VLOOKUP(B212,AmmoTypeFactors,3,FALSE),0.5)</f>
        <v>0</v>
      </c>
      <c r="K212" s="25" t="str">
        <f>IF(VLOOKUP(B212,AmmoTypeFactors,12,FALSE),MROUND(J212/3,0.5),"None")</f>
        <v>None</v>
      </c>
      <c r="L212" s="25">
        <f>IF(VLOOKUP(B212,AmmoTypeFactors,8,FALSE),"None",ROUNDUP(IF(Calcs!I212&gt;0,Calcs!I212,Calcs!H212),3))</f>
        <v>222.96</v>
      </c>
      <c r="M212" s="25">
        <f>IF(VLOOKUP(B212,AmmoTypeFactors,8,FALSE),"None",'Ammo Input'!L212)</f>
        <v>22</v>
      </c>
      <c r="N212">
        <f>'Ammo Input'!O212</f>
        <v>200</v>
      </c>
      <c r="O212" t="e">
        <f>ROUND((P212*0.0036+SUMPRODUCT(Q212:AB212,VLOOKUP($Q$1:$AB$1,IngredientStats,2,FALSE)))/N212*IF('Ammo Input'!R212,0.5,1),2)</f>
        <v>#VALUE!</v>
      </c>
      <c r="P212" t="e">
        <f>(SUMPRODUCT(Q212:AB212,VLOOKUP($Q$1:$AB$1,IngredientStats,4,FALSE))*VLOOKUP(B212,AmmoTypeFactors,14,FALSE)*IF('Ammo Input'!R212,1.1,1))</f>
        <v>#VALUE!</v>
      </c>
      <c r="Q212">
        <f>IFERROR(__xludf.DUMMYFUNCTION("((IF(NOT(OR(REGEXMATCH(B208, ""Arrow""), B208 = ""Javelin"", B208 = ""Stick bomb"")), ROUNDUP(('Ammo Input'!E208 / 1000) * N208)) + IF(VLOOKUP(B208, AmmoTypeFactors, 9, FALSE) = ""Steel"", ROUNDUP(('Ammo Input'!H208 -'Ammo Input'!M208) * MAX(IF('Ammo Inpu"&amp;"t'!J208 &gt; 0, 'Ammo Input'!J208, 1), 1) * N208 / 1000))) / 'Ingredient stats'!$C$2) * IF(ISBLANK(VLOOKUP(B208,AmmoTypeFactors,15,False)),1,VLOOKUP(B208,AmmoTypeFactors,15,False))"),44)</f>
        <v>44</v>
      </c>
      <c r="R212">
        <f>IFERROR(__xludf.DUMMYFUNCTION("ROUNDUP((IF(REGEXMATCH(B208, ""Arrow"") + (B208 = ""Javelin""), 'Ammo Input'!E208) + IF(VLOOKUP(B208, AmmoTypeFactors, 9, FALSE) = ""Wood"", 'Ammo Input'!H208) + IF(B208 = ""Stick bomb"", 'Ammo Input'!E208)) * N208 / 'Ingredient stats'!$C$12 / 1000)"),0)</f>
        <v>0</v>
      </c>
      <c r="S212">
        <v>0</v>
      </c>
      <c r="T212">
        <v>0</v>
      </c>
      <c r="U212">
        <f>IF(VLOOKUP(B212,AmmoTypeFactors,9,FALSE)="Plasteel",ROUNDUP(('Ammo Input'!H212*MAX(IF('Ammo Input'!J212&gt;0,'Ammo Input'!J212,1)*N212/1000/'Ingredient stats'!$C$4)),0),0)</f>
        <v>0</v>
      </c>
      <c r="V212">
        <f>IFERROR(__xludf.DUMMYFUNCTION("ROUNDUP(IF(ISBLANK(VLOOKUP(B208,AmmoTypeFactors,16,False)),1,VLOOKUP(B208,AmmoTypeFactors,16,False)) * (IFS(REGEXMATCH(B208, ""EMP""), 'Ammo Input'!M208 * N208 / 'Ingredient stats'!$C$5, REGEXMATCH(B208, ""Charge""), (U208^0.75), true, 0) + (IF(VLOOKUP(B2"&amp;"08, AmmoTypeFactors, 10, false), 2,0) + IF('Ammo Input'!P208, 2,0) + IF('Ammo Input'!Q208,MIN(ROUNDUP(0.2*('Ammo Input'!H208/1000)*'Ammo Input'!O208,0),20),0))))"),0)</f>
        <v>0</v>
      </c>
      <c r="W212">
        <v>6</v>
      </c>
      <c r="X212">
        <v>0</v>
      </c>
      <c r="Y212">
        <v>0</v>
      </c>
      <c r="Z212">
        <v>0</v>
      </c>
      <c r="AA212">
        <v>0</v>
      </c>
      <c r="AB212" s="30">
        <f>IF(B212="Sling Bullet (Stone)",ROUNDUP(D212*0.02*E212/'Ingredient stats'!$C$8,0),0)</f>
        <v>0</v>
      </c>
      <c r="AC212" t="str">
        <f t="shared" si="12"/>
        <v>None</v>
      </c>
      <c r="AD212" t="str">
        <f>IF(OR(B212="Buck",B212="Bird",B212="Charge (Scatter)"),'Ammo Input'!J212,"None")</f>
        <v>None</v>
      </c>
      <c r="AE212" t="str">
        <f>_xlfn.IFS(ISTEXT(Calcs!N212),Calcs!N212,Calcs!N212&lt;=40,Calcs!N212,Calcs!N212&gt;41,"40")</f>
        <v>None</v>
      </c>
      <c r="AF212" t="str">
        <f>_xlfn.IFS(ISTEXT(Calcs!O212),Calcs!O212,Calcs!O212&lt;=80,Calcs!O212,Calcs!O212&gt;=81,"80")</f>
        <v>None</v>
      </c>
      <c r="AG212" s="25">
        <f t="shared" si="13"/>
        <v>1</v>
      </c>
      <c r="AH212" s="25">
        <f t="shared" si="14"/>
        <v>2.06</v>
      </c>
      <c r="AI212" s="25">
        <f t="shared" si="15"/>
        <v>1</v>
      </c>
    </row>
    <row r="213" ht="14.4" spans="1:35">
      <c r="A213" s="24" t="str">
        <f>'Ammo Input'!A213</f>
        <v>.600 NE</v>
      </c>
      <c r="B213" t="str">
        <f>'Ammo Input'!B213</f>
        <v>AP-HE</v>
      </c>
      <c r="C213">
        <f>ROUNDUP(('Ammo Input'!C213*(MAX('Ammo Input'!D213,'Ammo Input'!F213)*0.5)^2*PI())*3/1000000,2)</f>
        <v>0.06</v>
      </c>
      <c r="D213">
        <f>ROUNDUP(('Ammo Input'!E213+'Ammo Input'!H213*IF('Ammo Input'!J213&lt;&gt;"",MAX('Ammo Input'!J213,1),1))/1000,3)</f>
        <v>0.108</v>
      </c>
      <c r="E213">
        <f>MIN(5000,MAX(25,CEILING(Calcs!L213,_xlfn.IFS(Calcs!L213&lt;100,25,Calcs!L213&lt;250,50,Calcs!L213&lt;1000,250,Calcs!L213&gt;=1000,1000))))</f>
        <v>5000</v>
      </c>
      <c r="F213">
        <f>ROUNDUP('Ammo Input'!G213^(3/4),0)</f>
        <v>125</v>
      </c>
      <c r="G213">
        <f>ROUND((0.5*((IF(OR(B213="HEAT",B213="HEDP"),'Ammo Input'!N213,'Ammo Input'!H213)/1000)*(IF(B213="HEAT",9000,IF(B213="HEDP",1500,'Ammo Input'!G213))^2))),0)</f>
        <v>11148</v>
      </c>
      <c r="H213" s="25" t="str">
        <f>CONCATENATE(IF((B213="Foam")+(B213="Smoke"),"-",ROUND(Calcs!D213,0))," ",VLOOKUP(B213,AmmoTypeFactors,5,FALSE))</f>
        <v>38 Bullet</v>
      </c>
      <c r="I213" s="25" t="str">
        <f>IF(Calcs!E213=0,"None",CONCATENATE(ROUND(Calcs!E213,0)," ",VLOOKUP(B213,AmmoTypeFactors,6,FALSE)))</f>
        <v>23 Bomb_Secondary</v>
      </c>
      <c r="J213">
        <f>MROUND(2.42*'Ammo Input'!M213^(1/3)*VLOOKUP(B213,AmmoTypeFactors,3,FALSE),0.5)</f>
        <v>0</v>
      </c>
      <c r="K213" s="25" t="str">
        <f>IF(VLOOKUP(B213,AmmoTypeFactors,12,FALSE),MROUND(J213/3,0.5),"None")</f>
        <v>None</v>
      </c>
      <c r="L213" s="25">
        <f>IF(VLOOKUP(B213,AmmoTypeFactors,8,FALSE),"None",ROUNDUP(IF(Calcs!I213&gt;0,Calcs!I213,Calcs!H213),3))</f>
        <v>222.96</v>
      </c>
      <c r="M213" s="25">
        <f>IF(VLOOKUP(B213,AmmoTypeFactors,8,FALSE),"None",'Ammo Input'!L213)</f>
        <v>11</v>
      </c>
      <c r="N213">
        <f>'Ammo Input'!O213</f>
        <v>200</v>
      </c>
      <c r="O213" t="e">
        <f>ROUND((P213*0.0036+SUMPRODUCT(Q213:AB213,VLOOKUP($Q$1:$AB$1,IngredientStats,2,FALSE)))/N213*IF('Ammo Input'!R213,0.5,1),2)</f>
        <v>#VALUE!</v>
      </c>
      <c r="P213" t="e">
        <f>(SUMPRODUCT(Q213:AB213,VLOOKUP($Q$1:$AB$1,IngredientStats,4,FALSE))*VLOOKUP(B213,AmmoTypeFactors,14,FALSE)*IF('Ammo Input'!R213,1.1,1))</f>
        <v>#VALUE!</v>
      </c>
      <c r="Q213">
        <f>IFERROR(__xludf.DUMMYFUNCTION("((IF(NOT(OR(REGEXMATCH(B209, ""Arrow""), B209 = ""Javelin"", B209 = ""Stick bomb"")), ROUNDUP(('Ammo Input'!E209 / 1000) * N209)) + IF(VLOOKUP(B209, AmmoTypeFactors, 9, FALSE) = ""Steel"", ROUNDUP(('Ammo Input'!H209 -'Ammo Input'!M209) * MAX(IF('Ammo Inpu"&amp;"t'!J209 &gt; 0, 'Ammo Input'!J209, 1), 1) * N209 / 1000))) / 'Ingredient stats'!$C$2) * IF(ISBLANK(VLOOKUP(B209,AmmoTypeFactors,15,False)),1,VLOOKUP(B209,AmmoTypeFactors,15,False))"),44)</f>
        <v>44</v>
      </c>
      <c r="R213">
        <f>IFERROR(__xludf.DUMMYFUNCTION("ROUNDUP((IF(REGEXMATCH(B209, ""Arrow"") + (B209 = ""Javelin""), 'Ammo Input'!E209) + IF(VLOOKUP(B209, AmmoTypeFactors, 9, FALSE) = ""Wood"", 'Ammo Input'!H209) + IF(B209 = ""Stick bomb"", 'Ammo Input'!E209)) * N209 / 'Ingredient stats'!$C$12 / 1000)"),0)</f>
        <v>0</v>
      </c>
      <c r="S213">
        <v>0</v>
      </c>
      <c r="T213">
        <v>0</v>
      </c>
      <c r="U213">
        <f>IF(VLOOKUP(B213,AmmoTypeFactors,9,FALSE)="Plasteel",ROUNDUP(('Ammo Input'!H213*MAX(IF('Ammo Input'!J213&gt;0,'Ammo Input'!J213,1)*N213/1000/'Ingredient stats'!$C$4)),0),0)</f>
        <v>0</v>
      </c>
      <c r="V213">
        <f>IFERROR(__xludf.DUMMYFUNCTION("ROUNDUP(IF(ISBLANK(VLOOKUP(B209,AmmoTypeFactors,16,False)),1,VLOOKUP(B209,AmmoTypeFactors,16,False)) * (IFS(REGEXMATCH(B209, ""EMP""), 'Ammo Input'!M209 * N209 / 'Ingredient stats'!$C$5, REGEXMATCH(B209, ""Charge""), (U209^0.75), true, 0) + (IF(VLOOKUP(B2"&amp;"09, AmmoTypeFactors, 10, false), 2,0) + IF('Ammo Input'!P209, 2,0) + IF('Ammo Input'!Q209,MIN(ROUNDUP(0.2*('Ammo Input'!H209/1000)*'Ammo Input'!O209,0),20),0))))"),0)</f>
        <v>0</v>
      </c>
      <c r="W213">
        <v>0</v>
      </c>
      <c r="X213">
        <v>11</v>
      </c>
      <c r="Y213">
        <v>0</v>
      </c>
      <c r="Z213">
        <v>0</v>
      </c>
      <c r="AA213">
        <v>0</v>
      </c>
      <c r="AB213" s="30">
        <f>IF(B213="Sling Bullet (Stone)",ROUNDUP(D213*0.02*E213/'Ingredient stats'!$C$8,0),0)</f>
        <v>0</v>
      </c>
      <c r="AC213" t="str">
        <f t="shared" si="12"/>
        <v>None</v>
      </c>
      <c r="AD213" t="str">
        <f>IF(OR(B213="Buck",B213="Bird",B213="Charge (Scatter)"),'Ammo Input'!J213,"None")</f>
        <v>None</v>
      </c>
      <c r="AE213" t="str">
        <f>_xlfn.IFS(ISTEXT(Calcs!N213),Calcs!N213,Calcs!N213&lt;=40,Calcs!N213,Calcs!N213&gt;41,"40")</f>
        <v>None</v>
      </c>
      <c r="AF213" t="str">
        <f>_xlfn.IFS(ISTEXT(Calcs!O213),Calcs!O213,Calcs!O213&lt;=80,Calcs!O213,Calcs!O213&gt;=81,"80")</f>
        <v>None</v>
      </c>
      <c r="AG213" s="25">
        <f t="shared" si="13"/>
        <v>1</v>
      </c>
      <c r="AH213" s="25">
        <f t="shared" si="14"/>
        <v>2.06</v>
      </c>
      <c r="AI213" s="25">
        <f t="shared" si="15"/>
        <v>1</v>
      </c>
    </row>
    <row r="214" ht="14.4" spans="1:35">
      <c r="A214" s="24" t="str">
        <f>'Ammo Input'!A214</f>
        <v>.600 NE</v>
      </c>
      <c r="B214" t="str">
        <f>'Ammo Input'!B214</f>
        <v>Sabot</v>
      </c>
      <c r="C214">
        <f>ROUNDUP(('Ammo Input'!C214*(MAX('Ammo Input'!D214,'Ammo Input'!F214)*0.5)^2*PI())*3/1000000,2)</f>
        <v>0.06</v>
      </c>
      <c r="D214">
        <f>ROUNDUP(('Ammo Input'!E214+'Ammo Input'!H214*IF('Ammo Input'!J214&lt;&gt;"",MAX('Ammo Input'!J214,1),1))/1000,3)</f>
        <v>0.079</v>
      </c>
      <c r="E214">
        <f>MIN(5000,MAX(25,CEILING(Calcs!L214,_xlfn.IFS(Calcs!L214&lt;100,25,Calcs!L214&lt;250,50,Calcs!L214&lt;1000,250,Calcs!L214&gt;=1000,1000))))</f>
        <v>5000</v>
      </c>
      <c r="F214">
        <f>ROUNDUP('Ammo Input'!G214^(3/4),0)</f>
        <v>169</v>
      </c>
      <c r="G214">
        <f>ROUND((0.5*((IF(OR(B214="HEAT",B214="HEDP"),'Ammo Input'!N214,'Ammo Input'!H214)/1000)*(IF(B214="HEAT",9000,IF(B214="HEDP",1500,'Ammo Input'!G214))^2))),0)</f>
        <v>12325</v>
      </c>
      <c r="H214" s="25" t="str">
        <f>CONCATENATE(IF((B214="Foam")+(B214="Smoke"),"-",ROUND(Calcs!D214,0))," ",VLOOKUP(B214,AmmoTypeFactors,5,FALSE))</f>
        <v>19 Bullet</v>
      </c>
      <c r="I214" s="25" t="str">
        <f>IF(Calcs!E214=0,"None",CONCATENATE(ROUND(Calcs!E214,0)," ",VLOOKUP(B214,AmmoTypeFactors,6,FALSE)))</f>
        <v>None</v>
      </c>
      <c r="J214">
        <f>MROUND(2.42*'Ammo Input'!M214^(1/3)*VLOOKUP(B214,AmmoTypeFactors,3,FALSE),0.5)</f>
        <v>0</v>
      </c>
      <c r="K214" s="25" t="str">
        <f>IF(VLOOKUP(B214,AmmoTypeFactors,12,FALSE),MROUND(J214/3,0.5),"None")</f>
        <v>None</v>
      </c>
      <c r="L214" s="25">
        <f>IF(VLOOKUP(B214,AmmoTypeFactors,8,FALSE),"None",ROUNDUP(IF(Calcs!I214&gt;0,Calcs!I214,Calcs!H214),3))</f>
        <v>246.5</v>
      </c>
      <c r="M214" s="25">
        <f>IF(VLOOKUP(B214,AmmoTypeFactors,8,FALSE),"None",'Ammo Input'!L214)</f>
        <v>38.5</v>
      </c>
      <c r="N214">
        <f>'Ammo Input'!O214</f>
        <v>200</v>
      </c>
      <c r="O214" t="e">
        <f>ROUND((P214*0.0036+SUMPRODUCT(Q214:AB214,VLOOKUP($Q$1:$AB$1,IngredientStats,2,FALSE)))/N214*IF('Ammo Input'!R214,0.5,1),2)</f>
        <v>#VALUE!</v>
      </c>
      <c r="P214" t="e">
        <f>(SUMPRODUCT(Q214:AB214,VLOOKUP($Q$1:$AB$1,IngredientStats,4,FALSE))*VLOOKUP(B214,AmmoTypeFactors,14,FALSE)*IF('Ammo Input'!R214,1.1,1))</f>
        <v>#VALUE!</v>
      </c>
      <c r="Q214">
        <f>IFERROR(__xludf.DUMMYFUNCTION("((IF(NOT(OR(REGEXMATCH(B210, ""Arrow""), B210 = ""Javelin"", B210 = ""Stick bomb"")), ROUNDUP(('Ammo Input'!E210 / 1000) * N210)) + IF(VLOOKUP(B210, AmmoTypeFactors, 9, FALSE) = ""Steel"", ROUNDUP(('Ammo Input'!H210 -'Ammo Input'!M210) * MAX(IF('Ammo Inpu"&amp;"t'!J210 &gt; 0, 'Ammo Input'!J210, 1), 1) * N210 / 1000))) / 'Ingredient stats'!$C$2) * IF(ISBLANK(VLOOKUP(B210,AmmoTypeFactors,15,False)),1,VLOOKUP(B210,AmmoTypeFactors,15,False))"),20)</f>
        <v>20</v>
      </c>
      <c r="R214">
        <f>IFERROR(__xludf.DUMMYFUNCTION("ROUNDUP((IF(REGEXMATCH(B210, ""Arrow"") + (B210 = ""Javelin""), 'Ammo Input'!E210) + IF(VLOOKUP(B210, AmmoTypeFactors, 9, FALSE) = ""Wood"", 'Ammo Input'!H210) + IF(B210 = ""Stick bomb"", 'Ammo Input'!E210)) * N210 / 'Ingredient stats'!$C$12 / 1000)"),0)</f>
        <v>0</v>
      </c>
      <c r="S214">
        <v>6</v>
      </c>
      <c r="T214">
        <v>6</v>
      </c>
      <c r="U214">
        <f>IF(VLOOKUP(B214,AmmoTypeFactors,9,FALSE)="Plasteel",ROUNDUP(('Ammo Input'!H214*MAX(IF('Ammo Input'!J214&gt;0,'Ammo Input'!J214,1)*N214/1000/'Ingredient stats'!$C$4)),0),0)</f>
        <v>0</v>
      </c>
      <c r="V214">
        <f>IFERROR(__xludf.DUMMYFUNCTION("ROUNDUP(IF(ISBLANK(VLOOKUP(B210,AmmoTypeFactors,16,False)),1,VLOOKUP(B210,AmmoTypeFactors,16,False)) * (IFS(REGEXMATCH(B210, ""EMP""), 'Ammo Input'!M210 * N210 / 'Ingredient stats'!$C$5, REGEXMATCH(B210, ""Charge""), (U210^0.75), true, 0) + (IF(VLOOKUP(B2"&amp;"10, AmmoTypeFactors, 10, false), 2,0) + IF('Ammo Input'!P210, 2,0) + IF('Ammo Input'!Q210,MIN(ROUNDUP(0.2*('Ammo Input'!H210/1000)*'Ammo Input'!O210,0),20),0))))"),0)</f>
        <v>0</v>
      </c>
      <c r="W214">
        <v>0</v>
      </c>
      <c r="X214">
        <v>0</v>
      </c>
      <c r="Y214">
        <v>0</v>
      </c>
      <c r="Z214">
        <v>0</v>
      </c>
      <c r="AA214">
        <v>0</v>
      </c>
      <c r="AB214" s="30">
        <f>IF(B214="Sling Bullet (Stone)",ROUNDUP(D214*0.02*E214/'Ingredient stats'!$C$8,0),0)</f>
        <v>0</v>
      </c>
      <c r="AC214" t="str">
        <f t="shared" si="12"/>
        <v>None</v>
      </c>
      <c r="AD214" t="str">
        <f>IF(OR(B214="Buck",B214="Bird",B214="Charge (Scatter)"),'Ammo Input'!J214,"None")</f>
        <v>None</v>
      </c>
      <c r="AE214" t="str">
        <f>_xlfn.IFS(ISTEXT(Calcs!N214),Calcs!N214,Calcs!N214&lt;=40,Calcs!N214,Calcs!N214&gt;41,"40")</f>
        <v>None</v>
      </c>
      <c r="AF214" t="str">
        <f>_xlfn.IFS(ISTEXT(Calcs!O214),Calcs!O214,Calcs!O214&lt;=80,Calcs!O214,Calcs!O214&gt;=81,"80")</f>
        <v>None</v>
      </c>
      <c r="AG214" s="25">
        <f t="shared" si="13"/>
        <v>1</v>
      </c>
      <c r="AH214" s="25">
        <f t="shared" si="14"/>
        <v>2.74</v>
      </c>
      <c r="AI214" s="25">
        <f t="shared" si="15"/>
        <v>1</v>
      </c>
    </row>
    <row r="215" ht="14.4" spans="1:35">
      <c r="A215" s="24" t="str">
        <f>'Ammo Input'!A215</f>
        <v>.950 JDJ</v>
      </c>
      <c r="B215" t="str">
        <f>'Ammo Input'!B215</f>
        <v>FMJ</v>
      </c>
      <c r="C215">
        <f>ROUNDUP(('Ammo Input'!C215*(MAX('Ammo Input'!D215,'Ammo Input'!F215)*0.5)^2*PI())*3/1000000,2)</f>
        <v>0.18</v>
      </c>
      <c r="D215">
        <f>ROUNDUP(('Ammo Input'!E215+'Ammo Input'!H215*IF('Ammo Input'!J215&lt;&gt;"",MAX('Ammo Input'!J215,1),1))/1000,3)</f>
        <v>0.319</v>
      </c>
      <c r="E215">
        <f>MIN(5000,MAX(25,CEILING(Calcs!L215,_xlfn.IFS(Calcs!L215&lt;100,25,Calcs!L215&lt;250,50,Calcs!L215&lt;1000,250,Calcs!L215&gt;=1000,1000))))</f>
        <v>3000</v>
      </c>
      <c r="F215">
        <f>ROUNDUP('Ammo Input'!G215^(3/4),0)</f>
        <v>132</v>
      </c>
      <c r="G215">
        <f>ROUND((0.5*((IF(OR(B215="HEAT",B215="HEDP"),'Ammo Input'!N215,'Ammo Input'!H215)/1000)*(IF(B215="HEAT",9000,IF(B215="HEDP",1500,'Ammo Input'!G215))^2))),0)</f>
        <v>52297</v>
      </c>
      <c r="H215" s="25" t="str">
        <f>CONCATENATE(IF((B215="Foam")+(B215="Smoke"),"-",ROUND(Calcs!D215,0))," ",VLOOKUP(B215,AmmoTypeFactors,5,FALSE))</f>
        <v>75 Bullet</v>
      </c>
      <c r="I215" s="25" t="str">
        <f>IF(Calcs!E215=0,"None",CONCATENATE(ROUND(Calcs!E215,0)," ",VLOOKUP(B215,AmmoTypeFactors,6,FALSE)))</f>
        <v>None</v>
      </c>
      <c r="J215">
        <f>MROUND(2.42*'Ammo Input'!M215^(1/3)*VLOOKUP(B215,AmmoTypeFactors,3,FALSE),0.5)</f>
        <v>0</v>
      </c>
      <c r="K215" s="25" t="str">
        <f>IF(VLOOKUP(B215,AmmoTypeFactors,12,FALSE),MROUND(J215/3,0.5),"None")</f>
        <v>None</v>
      </c>
      <c r="L215" s="25">
        <f>IF(VLOOKUP(B215,AmmoTypeFactors,8,FALSE),"None",ROUNDUP(IF(Calcs!I215&gt;0,Calcs!I215,Calcs!H215),3))</f>
        <v>1045.94</v>
      </c>
      <c r="M215" s="25">
        <f>IF(VLOOKUP(B215,AmmoTypeFactors,8,FALSE),"None",'Ammo Input'!L215)</f>
        <v>18</v>
      </c>
      <c r="N215">
        <f>'Ammo Input'!O215</f>
        <v>200</v>
      </c>
      <c r="O215" t="e">
        <f>ROUND((P215*0.0036+SUMPRODUCT(Q215:AB215,VLOOKUP($Q$1:$AB$1,IngredientStats,2,FALSE)))/N215*IF('Ammo Input'!R215,0.5,1),2)</f>
        <v>#VALUE!</v>
      </c>
      <c r="P215" t="e">
        <f>(SUMPRODUCT(Q215:AB215,VLOOKUP($Q$1:$AB$1,IngredientStats,4,FALSE))*VLOOKUP(B215,AmmoTypeFactors,14,FALSE)*IF('Ammo Input'!R215,1.1,1))</f>
        <v>#VALUE!</v>
      </c>
      <c r="Q215">
        <f>IFERROR(__xludf.DUMMYFUNCTION("((IF(NOT(OR(REGEXMATCH(B211, ""Arrow""), B211 = ""Javelin"", B211 = ""Stick bomb"")), ROUNDUP(('Ammo Input'!E211 / 1000) * N211)) + IF(VLOOKUP(B211, AmmoTypeFactors, 9, FALSE) = ""Steel"", ROUNDUP(('Ammo Input'!H211 -'Ammo Input'!M211) * MAX(IF('Ammo Inpu"&amp;"t'!J211 &gt; 0, 'Ammo Input'!J211, 1), 1) * N211 / 1000))) / 'Ingredient stats'!$C$2) * IF(ISBLANK(VLOOKUP(B211,AmmoTypeFactors,15,False)),1,VLOOKUP(B211,AmmoTypeFactors,15,False))"),130)</f>
        <v>130</v>
      </c>
      <c r="R215">
        <f>IFERROR(__xludf.DUMMYFUNCTION("ROUNDUP((IF(REGEXMATCH(B211, ""Arrow"") + (B211 = ""Javelin""), 'Ammo Input'!E211) + IF(VLOOKUP(B211, AmmoTypeFactors, 9, FALSE) = ""Wood"", 'Ammo Input'!H211) + IF(B211 = ""Stick bomb"", 'Ammo Input'!E211)) * N211 / 'Ingredient stats'!$C$12 / 1000)"),0)</f>
        <v>0</v>
      </c>
      <c r="S215">
        <v>0</v>
      </c>
      <c r="T215">
        <v>0</v>
      </c>
      <c r="U215">
        <f>IF(VLOOKUP(B215,AmmoTypeFactors,9,FALSE)="Plasteel",ROUNDUP(('Ammo Input'!H215*MAX(IF('Ammo Input'!J215&gt;0,'Ammo Input'!J215,1)*N215/1000/'Ingredient stats'!$C$4)),0),0)</f>
        <v>0</v>
      </c>
      <c r="V215">
        <f>IFERROR(__xludf.DUMMYFUNCTION("ROUNDUP(IF(ISBLANK(VLOOKUP(B211,AmmoTypeFactors,16,False)),1,VLOOKUP(B211,AmmoTypeFactors,16,False)) * (IFS(REGEXMATCH(B211, ""EMP""), 'Ammo Input'!M211 * N211 / 'Ingredient stats'!$C$5, REGEXMATCH(B211, ""Charge""), (U211^0.75), true, 0) + (IF(VLOOKUP(B2"&amp;"11, AmmoTypeFactors, 10, false), 2,0) + IF('Ammo Input'!P211, 2,0) + IF('Ammo Input'!Q211,MIN(ROUNDUP(0.2*('Ammo Input'!H211/1000)*'Ammo Input'!O211,0),20),0))))"),0)</f>
        <v>0</v>
      </c>
      <c r="W215">
        <v>0</v>
      </c>
      <c r="X215">
        <v>0</v>
      </c>
      <c r="Y215">
        <v>0</v>
      </c>
      <c r="Z215">
        <v>0</v>
      </c>
      <c r="AA215">
        <v>0</v>
      </c>
      <c r="AB215" s="30">
        <f>IF(B215="Sling Bullet (Stone)",ROUNDUP(D215*0.02*E215/'Ingredient stats'!$C$8,0),0)</f>
        <v>0</v>
      </c>
      <c r="AC215" t="str">
        <f t="shared" si="12"/>
        <v>None</v>
      </c>
      <c r="AD215" t="str">
        <f>IF(OR(B215="Buck",B215="Bird",B215="Charge (Scatter)"),'Ammo Input'!J215,"None")</f>
        <v>None</v>
      </c>
      <c r="AE215" t="str">
        <f>_xlfn.IFS(ISTEXT(Calcs!N215),Calcs!N215,Calcs!N215&lt;=40,Calcs!N215,Calcs!N215&gt;41,"40")</f>
        <v>None</v>
      </c>
      <c r="AF215" t="str">
        <f>_xlfn.IFS(ISTEXT(Calcs!O215),Calcs!O215,Calcs!O215&lt;=80,Calcs!O215,Calcs!O215&gt;=81,"80")</f>
        <v>None</v>
      </c>
      <c r="AG215" s="25">
        <f t="shared" si="13"/>
        <v>1</v>
      </c>
      <c r="AH215" s="25">
        <f t="shared" si="14"/>
        <v>2.17</v>
      </c>
      <c r="AI215" s="25">
        <f t="shared" si="15"/>
        <v>1</v>
      </c>
    </row>
    <row r="216" ht="14.4" spans="1:35">
      <c r="A216" s="24" t="str">
        <f>'Ammo Input'!A216</f>
        <v>.950 JDJ</v>
      </c>
      <c r="B216" t="str">
        <f>'Ammo Input'!B216</f>
        <v>AP</v>
      </c>
      <c r="C216">
        <f>ROUNDUP(('Ammo Input'!C216*(MAX('Ammo Input'!D216,'Ammo Input'!F216)*0.5)^2*PI())*3/1000000,2)</f>
        <v>0.18</v>
      </c>
      <c r="D216">
        <f>ROUNDUP(('Ammo Input'!E216+'Ammo Input'!H216*IF('Ammo Input'!J216&lt;&gt;"",MAX('Ammo Input'!J216,1),1))/1000,3)</f>
        <v>0.319</v>
      </c>
      <c r="E216">
        <f>MIN(5000,MAX(25,CEILING(Calcs!L216,_xlfn.IFS(Calcs!L216&lt;100,25,Calcs!L216&lt;250,50,Calcs!L216&lt;1000,250,Calcs!L216&gt;=1000,1000))))</f>
        <v>3000</v>
      </c>
      <c r="F216">
        <f>ROUNDUP('Ammo Input'!G216^(3/4),0)</f>
        <v>132</v>
      </c>
      <c r="G216">
        <f>ROUND((0.5*((IF(OR(B216="HEAT",B216="HEDP"),'Ammo Input'!N216,'Ammo Input'!H216)/1000)*(IF(B216="HEAT",9000,IF(B216="HEDP",1500,'Ammo Input'!G216))^2))),0)</f>
        <v>52297</v>
      </c>
      <c r="H216" s="25" t="str">
        <f>CONCATENATE(IF((B216="Foam")+(B216="Smoke"),"-",ROUND(Calcs!D216,0))," ",VLOOKUP(B216,AmmoTypeFactors,5,FALSE))</f>
        <v>47 Bullet</v>
      </c>
      <c r="I216" s="25" t="str">
        <f>IF(Calcs!E216=0,"None",CONCATENATE(ROUND(Calcs!E216,0)," ",VLOOKUP(B216,AmmoTypeFactors,6,FALSE)))</f>
        <v>None</v>
      </c>
      <c r="J216">
        <f>MROUND(2.42*'Ammo Input'!M216^(1/3)*VLOOKUP(B216,AmmoTypeFactors,3,FALSE),0.5)</f>
        <v>0</v>
      </c>
      <c r="K216" s="25" t="str">
        <f>IF(VLOOKUP(B216,AmmoTypeFactors,12,FALSE),MROUND(J216/3,0.5),"None")</f>
        <v>None</v>
      </c>
      <c r="L216" s="25">
        <f>IF(VLOOKUP(B216,AmmoTypeFactors,8,FALSE),"None",ROUNDUP(IF(Calcs!I216&gt;0,Calcs!I216,Calcs!H216),3))</f>
        <v>1045.94</v>
      </c>
      <c r="M216" s="25">
        <f>IF(VLOOKUP(B216,AmmoTypeFactors,8,FALSE),"None",'Ammo Input'!L216)</f>
        <v>36</v>
      </c>
      <c r="N216">
        <f>'Ammo Input'!O216</f>
        <v>200</v>
      </c>
      <c r="O216" t="e">
        <f>ROUND((P216*0.0036+SUMPRODUCT(Q216:AB216,VLOOKUP($Q$1:$AB$1,IngredientStats,2,FALSE)))/N216*IF('Ammo Input'!R216,0.5,1),2)</f>
        <v>#VALUE!</v>
      </c>
      <c r="P216" t="e">
        <f>(SUMPRODUCT(Q216:AB216,VLOOKUP($Q$1:$AB$1,IngredientStats,4,FALSE))*VLOOKUP(B216,AmmoTypeFactors,14,FALSE)*IF('Ammo Input'!R216,1.1,1))</f>
        <v>#VALUE!</v>
      </c>
      <c r="Q216">
        <f>IFERROR(__xludf.DUMMYFUNCTION("((IF(NOT(OR(REGEXMATCH(B212, ""Arrow""), B212 = ""Javelin"", B212 = ""Stick bomb"")), ROUNDUP(('Ammo Input'!E212 / 1000) * N212)) + IF(VLOOKUP(B212, AmmoTypeFactors, 9, FALSE) = ""Steel"", ROUNDUP(('Ammo Input'!H212 -'Ammo Input'!M212) * MAX(IF('Ammo Inpu"&amp;"t'!J212 &gt; 0, 'Ammo Input'!J212, 1), 1) * N212 / 1000))) / 'Ingredient stats'!$C$2) * IF(ISBLANK(VLOOKUP(B212,AmmoTypeFactors,15,False)),1,VLOOKUP(B212,AmmoTypeFactors,15,False))"),130)</f>
        <v>130</v>
      </c>
      <c r="R216">
        <f>IFERROR(__xludf.DUMMYFUNCTION("ROUNDUP((IF(REGEXMATCH(B212, ""Arrow"") + (B212 = ""Javelin""), 'Ammo Input'!E212) + IF(VLOOKUP(B212, AmmoTypeFactors, 9, FALSE) = ""Wood"", 'Ammo Input'!H212) + IF(B212 = ""Stick bomb"", 'Ammo Input'!E212)) * N212 / 'Ingredient stats'!$C$12 / 1000)"),0)</f>
        <v>0</v>
      </c>
      <c r="S216">
        <v>0</v>
      </c>
      <c r="T216">
        <v>0</v>
      </c>
      <c r="U216">
        <f>IF(VLOOKUP(B216,AmmoTypeFactors,9,FALSE)="Plasteel",ROUNDUP(('Ammo Input'!H216*MAX(IF('Ammo Input'!J216&gt;0,'Ammo Input'!J216,1)*N216/1000/'Ingredient stats'!$C$4)),0),0)</f>
        <v>0</v>
      </c>
      <c r="V216">
        <f>IFERROR(__xludf.DUMMYFUNCTION("ROUNDUP(IF(ISBLANK(VLOOKUP(B212,AmmoTypeFactors,16,False)),1,VLOOKUP(B212,AmmoTypeFactors,16,False)) * (IFS(REGEXMATCH(B212, ""EMP""), 'Ammo Input'!M212 * N212 / 'Ingredient stats'!$C$5, REGEXMATCH(B212, ""Charge""), (U212^0.75), true, 0) + (IF(VLOOKUP(B2"&amp;"12, AmmoTypeFactors, 10, false), 2,0) + IF('Ammo Input'!P212, 2,0) + IF('Ammo Input'!Q212,MIN(ROUNDUP(0.2*('Ammo Input'!H212/1000)*'Ammo Input'!O212,0),20),0))))"),0)</f>
        <v>0</v>
      </c>
      <c r="W216">
        <v>0</v>
      </c>
      <c r="X216">
        <v>0</v>
      </c>
      <c r="Y216">
        <v>0</v>
      </c>
      <c r="Z216">
        <v>0</v>
      </c>
      <c r="AA216">
        <v>0</v>
      </c>
      <c r="AB216" s="30">
        <f>IF(B216="Sling Bullet (Stone)",ROUNDUP(D216*0.02*E216/'Ingredient stats'!$C$8,0),0)</f>
        <v>0</v>
      </c>
      <c r="AC216" t="str">
        <f t="shared" si="12"/>
        <v>None</v>
      </c>
      <c r="AD216" t="str">
        <f>IF(OR(B216="Buck",B216="Bird",B216="Charge (Scatter)"),'Ammo Input'!J216,"None")</f>
        <v>None</v>
      </c>
      <c r="AE216" t="str">
        <f>_xlfn.IFS(ISTEXT(Calcs!N216),Calcs!N216,Calcs!N216&lt;=40,Calcs!N216,Calcs!N216&gt;41,"40")</f>
        <v>None</v>
      </c>
      <c r="AF216" t="str">
        <f>_xlfn.IFS(ISTEXT(Calcs!O216),Calcs!O216,Calcs!O216&lt;=80,Calcs!O216,Calcs!O216&gt;=81,"80")</f>
        <v>None</v>
      </c>
      <c r="AG216" s="25">
        <f t="shared" si="13"/>
        <v>1</v>
      </c>
      <c r="AH216" s="25">
        <f t="shared" si="14"/>
        <v>2.17</v>
      </c>
      <c r="AI216" s="25">
        <f t="shared" si="15"/>
        <v>1</v>
      </c>
    </row>
    <row r="217" ht="14.4" spans="1:35">
      <c r="A217" s="24" t="str">
        <f>'Ammo Input'!A217</f>
        <v>.950 JDJ</v>
      </c>
      <c r="B217" t="str">
        <f>'Ammo Input'!B217</f>
        <v>AP-I</v>
      </c>
      <c r="C217">
        <f>ROUNDUP(('Ammo Input'!C217*(MAX('Ammo Input'!D217,'Ammo Input'!F217)*0.5)^2*PI())*3/1000000,2)</f>
        <v>0.18</v>
      </c>
      <c r="D217">
        <f>ROUNDUP(('Ammo Input'!E217+'Ammo Input'!H217*IF('Ammo Input'!J217&lt;&gt;"",MAX('Ammo Input'!J217,1),1))/1000,3)</f>
        <v>0.319</v>
      </c>
      <c r="E217">
        <f>MIN(5000,MAX(25,CEILING(Calcs!L217,_xlfn.IFS(Calcs!L217&lt;100,25,Calcs!L217&lt;250,50,Calcs!L217&lt;1000,250,Calcs!L217&gt;=1000,1000))))</f>
        <v>3000</v>
      </c>
      <c r="F217">
        <f>ROUNDUP('Ammo Input'!G217^(3/4),0)</f>
        <v>132</v>
      </c>
      <c r="G217">
        <f>ROUND((0.5*((IF(OR(B217="HEAT",B217="HEDP"),'Ammo Input'!N217,'Ammo Input'!H217)/1000)*(IF(B217="HEAT",9000,IF(B217="HEDP",1500,'Ammo Input'!G217))^2))),0)</f>
        <v>52297</v>
      </c>
      <c r="H217" s="25" t="str">
        <f>CONCATENATE(IF((B217="Foam")+(B217="Smoke"),"-",ROUND(Calcs!D217,0))," ",VLOOKUP(B217,AmmoTypeFactors,5,FALSE))</f>
        <v>47 Bullet</v>
      </c>
      <c r="I217" s="25" t="str">
        <f>IF(Calcs!E217=0,"None",CONCATENATE(ROUND(Calcs!E217,0)," ",VLOOKUP(B217,AmmoTypeFactors,6,FALSE)))</f>
        <v>38 Flame_Secondary</v>
      </c>
      <c r="J217">
        <f>MROUND(2.42*'Ammo Input'!M217^(1/3)*VLOOKUP(B217,AmmoTypeFactors,3,FALSE),0.5)</f>
        <v>0</v>
      </c>
      <c r="K217" s="25" t="str">
        <f>IF(VLOOKUP(B217,AmmoTypeFactors,12,FALSE),MROUND(J217/3,0.5),"None")</f>
        <v>None</v>
      </c>
      <c r="L217" s="25">
        <f>IF(VLOOKUP(B217,AmmoTypeFactors,8,FALSE),"None",ROUNDUP(IF(Calcs!I217&gt;0,Calcs!I217,Calcs!H217),3))</f>
        <v>1045.94</v>
      </c>
      <c r="M217" s="25">
        <f>IF(VLOOKUP(B217,AmmoTypeFactors,8,FALSE),"None",'Ammo Input'!L217)</f>
        <v>36</v>
      </c>
      <c r="N217">
        <f>'Ammo Input'!O217</f>
        <v>200</v>
      </c>
      <c r="O217" t="e">
        <f>ROUND((P217*0.0036+SUMPRODUCT(Q217:AB217,VLOOKUP($Q$1:$AB$1,IngredientStats,2,FALSE)))/N217*IF('Ammo Input'!R217,0.5,1),2)</f>
        <v>#VALUE!</v>
      </c>
      <c r="P217" t="e">
        <f>(SUMPRODUCT(Q217:AB217,VLOOKUP($Q$1:$AB$1,IngredientStats,4,FALSE))*VLOOKUP(B217,AmmoTypeFactors,14,FALSE)*IF('Ammo Input'!R217,1.1,1))</f>
        <v>#VALUE!</v>
      </c>
      <c r="Q217">
        <f>IFERROR(__xludf.DUMMYFUNCTION("((IF(NOT(OR(REGEXMATCH(B213, ""Arrow""), B213 = ""Javelin"", B213 = ""Stick bomb"")), ROUNDUP(('Ammo Input'!E213 / 1000) * N213)) + IF(VLOOKUP(B213, AmmoTypeFactors, 9, FALSE) = ""Steel"", ROUNDUP(('Ammo Input'!H213 -'Ammo Input'!M213) * MAX(IF('Ammo Inpu"&amp;"t'!J213 &gt; 0, 'Ammo Input'!J213, 1), 1) * N213 / 1000))) / 'Ingredient stats'!$C$2) * IF(ISBLANK(VLOOKUP(B213,AmmoTypeFactors,15,False)),1,VLOOKUP(B213,AmmoTypeFactors,15,False))"),130)</f>
        <v>130</v>
      </c>
      <c r="R217">
        <f>IFERROR(__xludf.DUMMYFUNCTION("ROUNDUP((IF(REGEXMATCH(B213, ""Arrow"") + (B213 = ""Javelin""), 'Ammo Input'!E213) + IF(VLOOKUP(B213, AmmoTypeFactors, 9, FALSE) = ""Wood"", 'Ammo Input'!H213) + IF(B213 = ""Stick bomb"", 'Ammo Input'!E213)) * N213 / 'Ingredient stats'!$C$12 / 1000)"),0)</f>
        <v>0</v>
      </c>
      <c r="S217">
        <v>0</v>
      </c>
      <c r="T217">
        <v>0</v>
      </c>
      <c r="U217">
        <f>IF(VLOOKUP(B217,AmmoTypeFactors,9,FALSE)="Plasteel",ROUNDUP(('Ammo Input'!H217*MAX(IF('Ammo Input'!J217&gt;0,'Ammo Input'!J217,1)*N217/1000/'Ingredient stats'!$C$4)),0),0)</f>
        <v>0</v>
      </c>
      <c r="V217">
        <f>IFERROR(__xludf.DUMMYFUNCTION("ROUNDUP(IF(ISBLANK(VLOOKUP(B213,AmmoTypeFactors,16,False)),1,VLOOKUP(B213,AmmoTypeFactors,16,False)) * (IFS(REGEXMATCH(B213, ""EMP""), 'Ammo Input'!M213 * N213 / 'Ingredient stats'!$C$5, REGEXMATCH(B213, ""Charge""), (U213^0.75), true, 0) + (IF(VLOOKUP(B2"&amp;"13, AmmoTypeFactors, 10, false), 2,0) + IF('Ammo Input'!P213, 2,0) + IF('Ammo Input'!Q213,MIN(ROUNDUP(0.2*('Ammo Input'!H213/1000)*'Ammo Input'!O213,0),20),0))))"),0)</f>
        <v>0</v>
      </c>
      <c r="W217">
        <v>23</v>
      </c>
      <c r="X217">
        <v>0</v>
      </c>
      <c r="Y217">
        <v>0</v>
      </c>
      <c r="Z217">
        <v>0</v>
      </c>
      <c r="AA217">
        <v>0</v>
      </c>
      <c r="AB217" s="30">
        <f>IF(B217="Sling Bullet (Stone)",ROUNDUP(D217*0.02*E217/'Ingredient stats'!$C$8,0),0)</f>
        <v>0</v>
      </c>
      <c r="AC217" t="str">
        <f t="shared" si="12"/>
        <v>None</v>
      </c>
      <c r="AD217" t="str">
        <f>IF(OR(B217="Buck",B217="Bird",B217="Charge (Scatter)"),'Ammo Input'!J217,"None")</f>
        <v>None</v>
      </c>
      <c r="AE217" t="str">
        <f>_xlfn.IFS(ISTEXT(Calcs!N217),Calcs!N217,Calcs!N217&lt;=40,Calcs!N217,Calcs!N217&gt;41,"40")</f>
        <v>None</v>
      </c>
      <c r="AF217" t="str">
        <f>_xlfn.IFS(ISTEXT(Calcs!O217),Calcs!O217,Calcs!O217&lt;=80,Calcs!O217,Calcs!O217&gt;=81,"80")</f>
        <v>None</v>
      </c>
      <c r="AG217" s="25">
        <f t="shared" si="13"/>
        <v>1</v>
      </c>
      <c r="AH217" s="25">
        <f t="shared" si="14"/>
        <v>2.17</v>
      </c>
      <c r="AI217" s="25">
        <f t="shared" si="15"/>
        <v>1</v>
      </c>
    </row>
    <row r="218" ht="14.4" spans="1:35">
      <c r="A218" s="24" t="str">
        <f>'Ammo Input'!A218</f>
        <v>.950 JDJ</v>
      </c>
      <c r="B218" t="str">
        <f>'Ammo Input'!B218</f>
        <v>AP-HE</v>
      </c>
      <c r="C218">
        <f>ROUNDUP(('Ammo Input'!C218*(MAX('Ammo Input'!D218,'Ammo Input'!F218)*0.5)^2*PI())*3/1000000,2)</f>
        <v>0.18</v>
      </c>
      <c r="D218">
        <f>ROUNDUP(('Ammo Input'!E218+'Ammo Input'!H218*IF('Ammo Input'!J218&lt;&gt;"",MAX('Ammo Input'!J218,1),1))/1000,3)</f>
        <v>0.319</v>
      </c>
      <c r="E218">
        <f>MIN(5000,MAX(25,CEILING(Calcs!L218,_xlfn.IFS(Calcs!L218&lt;100,25,Calcs!L218&lt;250,50,Calcs!L218&lt;1000,250,Calcs!L218&gt;=1000,1000))))</f>
        <v>3000</v>
      </c>
      <c r="F218">
        <f>ROUNDUP('Ammo Input'!G218^(3/4),0)</f>
        <v>132</v>
      </c>
      <c r="G218">
        <f>ROUND((0.5*((IF(OR(B218="HEAT",B218="HEDP"),'Ammo Input'!N218,'Ammo Input'!H218)/1000)*(IF(B218="HEAT",9000,IF(B218="HEDP",1500,'Ammo Input'!G218))^2))),0)</f>
        <v>52297</v>
      </c>
      <c r="H218" s="25" t="str">
        <f>CONCATENATE(IF((B218="Foam")+(B218="Smoke"),"-",ROUND(Calcs!D218,0))," ",VLOOKUP(B218,AmmoTypeFactors,5,FALSE))</f>
        <v>75 Bullet</v>
      </c>
      <c r="I218" s="25" t="str">
        <f>IF(Calcs!E218=0,"None",CONCATENATE(ROUND(Calcs!E218,0)," ",VLOOKUP(B218,AmmoTypeFactors,6,FALSE)))</f>
        <v>52 Bomb_Secondary</v>
      </c>
      <c r="J218">
        <f>MROUND(2.42*'Ammo Input'!M218^(1/3)*VLOOKUP(B218,AmmoTypeFactors,3,FALSE),0.5)</f>
        <v>0</v>
      </c>
      <c r="K218" s="25" t="str">
        <f>IF(VLOOKUP(B218,AmmoTypeFactors,12,FALSE),MROUND(J218/3,0.5),"None")</f>
        <v>None</v>
      </c>
      <c r="L218" s="25">
        <f>IF(VLOOKUP(B218,AmmoTypeFactors,8,FALSE),"None",ROUNDUP(IF(Calcs!I218&gt;0,Calcs!I218,Calcs!H218),3))</f>
        <v>1045.94</v>
      </c>
      <c r="M218" s="25">
        <f>IF(VLOOKUP(B218,AmmoTypeFactors,8,FALSE),"None",'Ammo Input'!L218)</f>
        <v>18</v>
      </c>
      <c r="N218">
        <f>'Ammo Input'!O218</f>
        <v>200</v>
      </c>
      <c r="O218" t="e">
        <f>ROUND((P218*0.0036+SUMPRODUCT(Q218:AB218,VLOOKUP($Q$1:$AB$1,IngredientStats,2,FALSE)))/N218*IF('Ammo Input'!R218,0.5,1),2)</f>
        <v>#VALUE!</v>
      </c>
      <c r="P218" t="e">
        <f>(SUMPRODUCT(Q218:AB218,VLOOKUP($Q$1:$AB$1,IngredientStats,4,FALSE))*VLOOKUP(B218,AmmoTypeFactors,14,FALSE)*IF('Ammo Input'!R218,1.1,1))</f>
        <v>#VALUE!</v>
      </c>
      <c r="Q218">
        <f>IFERROR(__xludf.DUMMYFUNCTION("((IF(NOT(OR(REGEXMATCH(B214, ""Arrow""), B214 = ""Javelin"", B214 = ""Stick bomb"")), ROUNDUP(('Ammo Input'!E214 / 1000) * N214)) + IF(VLOOKUP(B214, AmmoTypeFactors, 9, FALSE) = ""Steel"", ROUNDUP(('Ammo Input'!H214 -'Ammo Input'!M214) * MAX(IF('Ammo Inpu"&amp;"t'!J214 &gt; 0, 'Ammo Input'!J214, 1), 1) * N214 / 1000))) / 'Ingredient stats'!$C$2) * IF(ISBLANK(VLOOKUP(B214,AmmoTypeFactors,15,False)),1,VLOOKUP(B214,AmmoTypeFactors,15,False))"),130)</f>
        <v>130</v>
      </c>
      <c r="R218">
        <f>IFERROR(__xludf.DUMMYFUNCTION("ROUNDUP((IF(REGEXMATCH(B214, ""Arrow"") + (B214 = ""Javelin""), 'Ammo Input'!E214) + IF(VLOOKUP(B214, AmmoTypeFactors, 9, FALSE) = ""Wood"", 'Ammo Input'!H214) + IF(B214 = ""Stick bomb"", 'Ammo Input'!E214)) * N214 / 'Ingredient stats'!$C$12 / 1000)"),0)</f>
        <v>0</v>
      </c>
      <c r="S218">
        <v>0</v>
      </c>
      <c r="T218">
        <v>0</v>
      </c>
      <c r="U218">
        <f>IF(VLOOKUP(B218,AmmoTypeFactors,9,FALSE)="Plasteel",ROUNDUP(('Ammo Input'!H218*MAX(IF('Ammo Input'!J218&gt;0,'Ammo Input'!J218,1)*N218/1000/'Ingredient stats'!$C$4)),0),0)</f>
        <v>0</v>
      </c>
      <c r="V218">
        <f>IFERROR(__xludf.DUMMYFUNCTION("ROUNDUP(IF(ISBLANK(VLOOKUP(B214,AmmoTypeFactors,16,False)),1,VLOOKUP(B214,AmmoTypeFactors,16,False)) * (IFS(REGEXMATCH(B214, ""EMP""), 'Ammo Input'!M214 * N214 / 'Ingredient stats'!$C$5, REGEXMATCH(B214, ""Charge""), (U214^0.75), true, 0) + (IF(VLOOKUP(B2"&amp;"14, AmmoTypeFactors, 10, false), 2,0) + IF('Ammo Input'!P214, 2,0) + IF('Ammo Input'!Q214,MIN(ROUNDUP(0.2*('Ammo Input'!H214/1000)*'Ammo Input'!O214,0),20),0))))"),0)</f>
        <v>0</v>
      </c>
      <c r="W218">
        <v>0</v>
      </c>
      <c r="X218">
        <v>43</v>
      </c>
      <c r="Y218">
        <v>0</v>
      </c>
      <c r="Z218">
        <v>0</v>
      </c>
      <c r="AA218">
        <v>0</v>
      </c>
      <c r="AB218" s="30">
        <f>IF(B218="Sling Bullet (Stone)",ROUNDUP(D218*0.02*E218/'Ingredient stats'!$C$8,0),0)</f>
        <v>0</v>
      </c>
      <c r="AC218" t="str">
        <f t="shared" si="12"/>
        <v>None</v>
      </c>
      <c r="AD218" t="str">
        <f>IF(OR(B218="Buck",B218="Bird",B218="Charge (Scatter)"),'Ammo Input'!J218,"None")</f>
        <v>None</v>
      </c>
      <c r="AE218" t="str">
        <f>_xlfn.IFS(ISTEXT(Calcs!N218),Calcs!N218,Calcs!N218&lt;=40,Calcs!N218,Calcs!N218&gt;41,"40")</f>
        <v>None</v>
      </c>
      <c r="AF218" t="str">
        <f>_xlfn.IFS(ISTEXT(Calcs!O218),Calcs!O218,Calcs!O218&lt;=80,Calcs!O218,Calcs!O218&gt;=81,"80")</f>
        <v>None</v>
      </c>
      <c r="AG218" s="25">
        <f t="shared" si="13"/>
        <v>1</v>
      </c>
      <c r="AH218" s="25">
        <f t="shared" si="14"/>
        <v>2.17</v>
      </c>
      <c r="AI218" s="25">
        <f t="shared" si="15"/>
        <v>1</v>
      </c>
    </row>
    <row r="219" ht="14.4" spans="1:35">
      <c r="A219" s="24" t="str">
        <f>'Ammo Input'!A219</f>
        <v>.950 JDJ</v>
      </c>
      <c r="B219" t="str">
        <f>'Ammo Input'!B219</f>
        <v>Sabot</v>
      </c>
      <c r="C219">
        <f>ROUNDUP(('Ammo Input'!C219*(MAX('Ammo Input'!D219,'Ammo Input'!F219)*0.5)^2*PI())*3/1000000,2)</f>
        <v>0.18</v>
      </c>
      <c r="D219">
        <f>ROUNDUP(('Ammo Input'!E219+'Ammo Input'!H219*IF('Ammo Input'!J219&lt;&gt;"",MAX('Ammo Input'!J219,1),1))/1000,3)</f>
        <v>0.219</v>
      </c>
      <c r="E219">
        <f>MIN(5000,MAX(25,CEILING(Calcs!L219,_xlfn.IFS(Calcs!L219&lt;100,25,Calcs!L219&lt;250,50,Calcs!L219&lt;1000,250,Calcs!L219&gt;=1000,1000))))</f>
        <v>3000</v>
      </c>
      <c r="F219">
        <f>ROUNDUP('Ammo Input'!G219^(3/4),0)</f>
        <v>179</v>
      </c>
      <c r="G219">
        <f>ROUND((0.5*((IF(OR(B219="HEAT",B219="HEDP"),'Ammo Input'!N219,'Ammo Input'!H219)/1000)*(IF(B219="HEAT",9000,IF(B219="HEDP",1500,'Ammo Input'!G219))^2))),0)</f>
        <v>67071</v>
      </c>
      <c r="H219" s="25" t="str">
        <f>CONCATENATE(IF((B219="Foam")+(B219="Smoke"),"-",ROUND(Calcs!D219,0))," ",VLOOKUP(B219,AmmoTypeFactors,5,FALSE))</f>
        <v>40 Bullet</v>
      </c>
      <c r="I219" s="25" t="str">
        <f>IF(Calcs!E219=0,"None",CONCATENATE(ROUND(Calcs!E219,0)," ",VLOOKUP(B219,AmmoTypeFactors,6,FALSE)))</f>
        <v>None</v>
      </c>
      <c r="J219">
        <f>MROUND(2.42*'Ammo Input'!M219^(1/3)*VLOOKUP(B219,AmmoTypeFactors,3,FALSE),0.5)</f>
        <v>0</v>
      </c>
      <c r="K219" s="25" t="str">
        <f>IF(VLOOKUP(B219,AmmoTypeFactors,12,FALSE),MROUND(J219/3,0.5),"None")</f>
        <v>None</v>
      </c>
      <c r="L219" s="25">
        <f>IF(VLOOKUP(B219,AmmoTypeFactors,8,FALSE),"None",ROUNDUP(IF(Calcs!I219&gt;0,Calcs!I219,Calcs!H219),3))</f>
        <v>1341.42</v>
      </c>
      <c r="M219" s="25">
        <f>IF(VLOOKUP(B219,AmmoTypeFactors,8,FALSE),"None",'Ammo Input'!L219)</f>
        <v>63</v>
      </c>
      <c r="N219">
        <f>'Ammo Input'!O219</f>
        <v>200</v>
      </c>
      <c r="O219" t="e">
        <f>ROUND((P219*0.0036+SUMPRODUCT(Q219:AB219,VLOOKUP($Q$1:$AB$1,IngredientStats,2,FALSE)))/N219*IF('Ammo Input'!R219,0.5,1),2)</f>
        <v>#VALUE!</v>
      </c>
      <c r="P219" t="e">
        <f>(SUMPRODUCT(Q219:AB219,VLOOKUP($Q$1:$AB$1,IngredientStats,4,FALSE))*VLOOKUP(B219,AmmoTypeFactors,14,FALSE)*IF('Ammo Input'!R219,1.1,1))</f>
        <v>#VALUE!</v>
      </c>
      <c r="Q219">
        <f>IFERROR(__xludf.DUMMYFUNCTION("((IF(NOT(OR(REGEXMATCH(B215, ""Arrow""), B215 = ""Javelin"", B215 = ""Stick bomb"")), ROUNDUP(('Ammo Input'!E215 / 1000) * N215)) + IF(VLOOKUP(B215, AmmoTypeFactors, 9, FALSE) = ""Steel"", ROUNDUP(('Ammo Input'!H215 -'Ammo Input'!M215) * MAX(IF('Ammo Inpu"&amp;"t'!J215 &gt; 0, 'Ammo Input'!J215, 1), 1) * N215 / 1000))) / 'Ingredient stats'!$C$2) * IF(ISBLANK(VLOOKUP(B215,AmmoTypeFactors,15,False)),1,VLOOKUP(B215,AmmoTypeFactors,15,False))"),36)</f>
        <v>36</v>
      </c>
      <c r="R219">
        <f>IFERROR(__xludf.DUMMYFUNCTION("ROUNDUP((IF(REGEXMATCH(B215, ""Arrow"") + (B215 = ""Javelin""), 'Ammo Input'!E215) + IF(VLOOKUP(B215, AmmoTypeFactors, 9, FALSE) = ""Wood"", 'Ammo Input'!H215) + IF(B215 = ""Stick bomb"", 'Ammo Input'!E215)) * N215 / 'Ingredient stats'!$C$12 / 1000)"),0)</f>
        <v>0</v>
      </c>
      <c r="S219">
        <v>27</v>
      </c>
      <c r="T219">
        <v>27</v>
      </c>
      <c r="U219">
        <f>IF(VLOOKUP(B219,AmmoTypeFactors,9,FALSE)="Plasteel",ROUNDUP(('Ammo Input'!H219*MAX(IF('Ammo Input'!J219&gt;0,'Ammo Input'!J219,1)*N219/1000/'Ingredient stats'!$C$4)),0),0)</f>
        <v>0</v>
      </c>
      <c r="V219">
        <f>IFERROR(__xludf.DUMMYFUNCTION("ROUNDUP(IF(ISBLANK(VLOOKUP(B215,AmmoTypeFactors,16,False)),1,VLOOKUP(B215,AmmoTypeFactors,16,False)) * (IFS(REGEXMATCH(B215, ""EMP""), 'Ammo Input'!M215 * N215 / 'Ingredient stats'!$C$5, REGEXMATCH(B215, ""Charge""), (U215^0.75), true, 0) + (IF(VLOOKUP(B2"&amp;"15, AmmoTypeFactors, 10, false), 2,0) + IF('Ammo Input'!P215, 2,0) + IF('Ammo Input'!Q215,MIN(ROUNDUP(0.2*('Ammo Input'!H215/1000)*'Ammo Input'!O215,0),20),0))))"),0)</f>
        <v>0</v>
      </c>
      <c r="W219">
        <v>0</v>
      </c>
      <c r="X219">
        <v>0</v>
      </c>
      <c r="Y219">
        <v>0</v>
      </c>
      <c r="Z219">
        <v>0</v>
      </c>
      <c r="AA219">
        <v>0</v>
      </c>
      <c r="AB219" s="30">
        <f>IF(B219="Sling Bullet (Stone)",ROUNDUP(D219*0.02*E219/'Ingredient stats'!$C$8,0),0)</f>
        <v>0</v>
      </c>
      <c r="AC219" t="str">
        <f t="shared" si="12"/>
        <v>None</v>
      </c>
      <c r="AD219" t="str">
        <f>IF(OR(B219="Buck",B219="Bird",B219="Charge (Scatter)"),'Ammo Input'!J219,"None")</f>
        <v>None</v>
      </c>
      <c r="AE219" t="str">
        <f>_xlfn.IFS(ISTEXT(Calcs!N219),Calcs!N219,Calcs!N219&lt;=40,Calcs!N219,Calcs!N219&gt;41,"40")</f>
        <v>None</v>
      </c>
      <c r="AF219" t="str">
        <f>_xlfn.IFS(ISTEXT(Calcs!O219),Calcs!O219,Calcs!O219&lt;=80,Calcs!O219,Calcs!O219&gt;=81,"80")</f>
        <v>None</v>
      </c>
      <c r="AG219" s="25">
        <f t="shared" si="13"/>
        <v>1</v>
      </c>
      <c r="AH219" s="25">
        <f t="shared" si="14"/>
        <v>2.9</v>
      </c>
      <c r="AI219" s="25">
        <f t="shared" si="15"/>
        <v>1</v>
      </c>
    </row>
    <row r="220" ht="14.4" spans="1:35">
      <c r="A220" s="14" t="s">
        <v>113</v>
      </c>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row>
    <row r="221" ht="14.4" spans="1:35">
      <c r="A221" s="24" t="str">
        <f>'Ammo Input'!A221</f>
        <v>.41 Rimfire</v>
      </c>
      <c r="B221" t="str">
        <f>'Ammo Input'!B221</f>
        <v>FMJ</v>
      </c>
      <c r="C221">
        <f>ROUNDUP(('Ammo Input'!C221*(MAX('Ammo Input'!D221,'Ammo Input'!F221)*0.5)^2*PI())*3/1000000,2)</f>
        <v>0.01</v>
      </c>
      <c r="D221">
        <f>ROUNDUP(('Ammo Input'!E221+'Ammo Input'!H221*IF('Ammo Input'!J221&lt;&gt;"",MAX('Ammo Input'!J221,1),1))/1000,3)</f>
        <v>0.012</v>
      </c>
      <c r="E221">
        <f>MIN(5000,MAX(25,CEILING(Calcs!L221,_xlfn.IFS(Calcs!L221&lt;100,25,Calcs!L221&lt;250,50,Calcs!L221&lt;1000,250,Calcs!L221&gt;=1000,1000))))</f>
        <v>5000</v>
      </c>
      <c r="F221">
        <f>ROUNDUP('Ammo Input'!G221^(3/4),0)</f>
        <v>39</v>
      </c>
      <c r="G221">
        <f>ROUND((0.5*((IF(OR(B221="HEAT",B221="HEDP"),'Ammo Input'!N221,'Ammo Input'!H221)/1000)*(IF(B221="HEAT",9000,IF(B221="HEDP",1500,'Ammo Input'!G221))^2))),0)</f>
        <v>68</v>
      </c>
      <c r="H221" s="25" t="str">
        <f>CONCATENATE(IF((B221="Foam")+(B221="Smoke"),"-",ROUND(Calcs!D221,0))," ",VLOOKUP(B221,AmmoTypeFactors,5,FALSE))</f>
        <v>6 Bullet</v>
      </c>
      <c r="I221" s="25" t="str">
        <f>IF(Calcs!E221=0,"None",CONCATENATE(ROUND(Calcs!E221,0)," ",VLOOKUP(B221,AmmoTypeFactors,6,FALSE)))</f>
        <v>None</v>
      </c>
      <c r="J221">
        <f>MROUND(2.42*'Ammo Input'!M221^(1/3)*VLOOKUP(B221,AmmoTypeFactors,3,FALSE),0.5)</f>
        <v>0</v>
      </c>
      <c r="K221" s="25" t="str">
        <f>IF(VLOOKUP(B221,AmmoTypeFactors,12,FALSE),MROUND(J221/3,0.5),"None")</f>
        <v>None</v>
      </c>
      <c r="L221" s="25">
        <f>IF(VLOOKUP(B221,AmmoTypeFactors,8,FALSE),"None",ROUNDUP(IF(Calcs!I221&gt;0,Calcs!I221,Calcs!H221),3))</f>
        <v>1.36</v>
      </c>
      <c r="M221" s="25">
        <f>IF(VLOOKUP(B221,AmmoTypeFactors,8,FALSE),"None",'Ammo Input'!L221)</f>
        <v>1</v>
      </c>
      <c r="N221">
        <f>'Ammo Input'!O221</f>
        <v>500</v>
      </c>
      <c r="O221" t="e">
        <f>ROUND((P221*0.0036+SUMPRODUCT(Q221:AB221,VLOOKUP($Q$1:$AB$1,IngredientStats,2,FALSE)))/N221*IF('Ammo Input'!R221,0.5,1),2)</f>
        <v>#VALUE!</v>
      </c>
      <c r="P221" t="e">
        <f>(SUMPRODUCT(Q221:AB221,VLOOKUP($Q$1:$AB$1,IngredientStats,4,FALSE))*VLOOKUP(B221,AmmoTypeFactors,14,FALSE)*IF('Ammo Input'!R221,1.1,1))</f>
        <v>#VALUE!</v>
      </c>
      <c r="Q221">
        <f>IFERROR(__xludf.DUMMYFUNCTION("((IF(NOT(OR(REGEXMATCH(B217, ""Arrow""), B217 = ""Javelin"", B217 = ""Stick bomb"")), ROUNDUP(('Ammo Input'!E217 / 1000) * N217)) + IF(VLOOKUP(B217, AmmoTypeFactors, 9, FALSE) = ""Steel"", ROUNDUP(('Ammo Input'!H217 -'Ammo Input'!M217) * MAX(IF('Ammo Inpu"&amp;"t'!J217 &gt; 0, 'Ammo Input'!J217, 1), 1) * N217 / 1000))) / 'Ingredient stats'!$C$2) * IF(ISBLANK(VLOOKUP(B217,AmmoTypeFactors,15,False)),1,VLOOKUP(B217,AmmoTypeFactors,15,False))"),12)</f>
        <v>12</v>
      </c>
      <c r="R221">
        <f>IFERROR(__xludf.DUMMYFUNCTION("ROUNDUP((IF(REGEXMATCH(B217, ""Arrow"") + (B217 = ""Javelin""), 'Ammo Input'!E217) + IF(VLOOKUP(B217, AmmoTypeFactors, 9, FALSE) = ""Wood"", 'Ammo Input'!H217) + IF(B217 = ""Stick bomb"", 'Ammo Input'!E217)) * N217 / 'Ingredient stats'!$C$12 / 1000)"),0)</f>
        <v>0</v>
      </c>
      <c r="S221">
        <v>0</v>
      </c>
      <c r="T221">
        <v>0</v>
      </c>
      <c r="U221">
        <f>IF(VLOOKUP(B221,AmmoTypeFactors,9,FALSE)="Plasteel",ROUNDUP(('Ammo Input'!H221*MAX(IF('Ammo Input'!J221&gt;0,'Ammo Input'!J221,1)*N221/1000/'Ingredient stats'!$C$4)),0),0)</f>
        <v>0</v>
      </c>
      <c r="V221">
        <f>IFERROR(__xludf.DUMMYFUNCTION("ROUNDUP(IF(ISBLANK(VLOOKUP(B217,AmmoTypeFactors,16,False)),1,VLOOKUP(B217,AmmoTypeFactors,16,False)) * (IFS(REGEXMATCH(B217, ""EMP""), 'Ammo Input'!M217 * N217 / 'Ingredient stats'!$C$5, REGEXMATCH(B217, ""Charge""), (U217^0.75), true, 0) + (IF(VLOOKUP(B2"&amp;"17, AmmoTypeFactors, 10, false), 2,0) + IF('Ammo Input'!P217, 2,0) + IF('Ammo Input'!Q217,MIN(ROUNDUP(0.2*('Ammo Input'!H217/1000)*'Ammo Input'!O217,0),20),0))))"),0)</f>
        <v>0</v>
      </c>
      <c r="W221">
        <v>0</v>
      </c>
      <c r="X221">
        <v>0</v>
      </c>
      <c r="Y221">
        <v>0</v>
      </c>
      <c r="Z221">
        <v>0</v>
      </c>
      <c r="AA221" s="30">
        <v>0</v>
      </c>
      <c r="AB221" s="30">
        <f>IF(B221="Sling Bullet (Stone)",ROUNDUP(D221*0.02*E221/'Ingredient stats'!$C$8,0),0)</f>
        <v>0</v>
      </c>
      <c r="AC221" t="str">
        <f t="shared" ref="AC221:AC337" si="16">IF(B221="Buck",8.9,IF(B221="Bird",71.4,IF(B221="Beanbag",2,IF(OR(B221="Charge (Scatter)",B221="Charge (IonScatter)"),8.9,"None"))))</f>
        <v>None</v>
      </c>
      <c r="AD221" t="str">
        <f>IF(OR(B221="Buck",B221="Bird",B221="Charge (Scatter)"),'Ammo Input'!J221,"None")</f>
        <v>None</v>
      </c>
      <c r="AE221" t="str">
        <f>_xlfn.IFS(ISTEXT(Calcs!N221),Calcs!N221,Calcs!N221&lt;=40,Calcs!N221,Calcs!N221&gt;41,"40")</f>
        <v>None</v>
      </c>
      <c r="AF221" t="str">
        <f>_xlfn.IFS(ISTEXT(Calcs!O221),Calcs!O221,Calcs!O221&lt;=80,Calcs!O221,Calcs!O221&gt;=81,"80")</f>
        <v>None</v>
      </c>
      <c r="AG221" s="25">
        <f t="shared" ref="AG221:AG337" si="17">IF(IFERROR(FIND("-",$H221),0),0,IF($J221,3,1))</f>
        <v>1</v>
      </c>
      <c r="AH221" s="25">
        <f t="shared" ref="AH221:AH337" si="18">IFERROR(ROUND(200/(CEILING(200/$F221*60,1)+1),2),"-")</f>
        <v>0.65</v>
      </c>
      <c r="AI221" s="25">
        <f t="shared" ref="AI221:AI337" si="19">IF(IFERROR(FIND("-",$H221),0),0,IF($J221,2,1))</f>
        <v>1</v>
      </c>
    </row>
    <row r="222" ht="14.4" spans="1:35">
      <c r="A222" s="24" t="str">
        <f>'Ammo Input'!A222</f>
        <v>.41 Rimfire</v>
      </c>
      <c r="B222" t="str">
        <f>'Ammo Input'!B222</f>
        <v>AP</v>
      </c>
      <c r="C222">
        <f>ROUNDUP(('Ammo Input'!C222*(MAX('Ammo Input'!D222,'Ammo Input'!F222)*0.5)^2*PI())*3/1000000,2)</f>
        <v>0.01</v>
      </c>
      <c r="D222">
        <f>ROUNDUP(('Ammo Input'!E222+'Ammo Input'!H222*IF('Ammo Input'!J222&lt;&gt;"",MAX('Ammo Input'!J222,1),1))/1000,3)</f>
        <v>0.012</v>
      </c>
      <c r="E222">
        <f>MIN(5000,MAX(25,CEILING(Calcs!L222,_xlfn.IFS(Calcs!L222&lt;100,25,Calcs!L222&lt;250,50,Calcs!L222&lt;1000,250,Calcs!L222&gt;=1000,1000))))</f>
        <v>5000</v>
      </c>
      <c r="F222">
        <f>ROUNDUP('Ammo Input'!G222^(3/4),0)</f>
        <v>39</v>
      </c>
      <c r="G222">
        <f>ROUND((0.5*((IF(OR(B222="HEAT",B222="HEDP"),'Ammo Input'!N222,'Ammo Input'!H222)/1000)*(IF(B222="HEAT",9000,IF(B222="HEDP",1500,'Ammo Input'!G222))^2))),0)</f>
        <v>68</v>
      </c>
      <c r="H222" s="25" t="str">
        <f>CONCATENATE(IF((B222="Foam")+(B222="Smoke"),"-",ROUND(Calcs!D222,0))," ",VLOOKUP(B222,AmmoTypeFactors,5,FALSE))</f>
        <v>4 Bullet</v>
      </c>
      <c r="I222" s="25" t="str">
        <f>IF(Calcs!E222=0,"None",CONCATENATE(ROUND(Calcs!E222,0)," ",VLOOKUP(B222,AmmoTypeFactors,6,FALSE)))</f>
        <v>None</v>
      </c>
      <c r="J222">
        <f>MROUND(2.42*'Ammo Input'!M222^(1/3)*VLOOKUP(B222,AmmoTypeFactors,3,FALSE),0.5)</f>
        <v>0</v>
      </c>
      <c r="K222" s="25" t="str">
        <f>IF(VLOOKUP(B222,AmmoTypeFactors,12,FALSE),MROUND(J222/3,0.5),"None")</f>
        <v>None</v>
      </c>
      <c r="L222" s="25">
        <f>IF(VLOOKUP(B222,AmmoTypeFactors,8,FALSE),"None",ROUNDUP(IF(Calcs!I222&gt;0,Calcs!I222,Calcs!H222),3))</f>
        <v>1.36</v>
      </c>
      <c r="M222" s="25">
        <f>IF(VLOOKUP(B222,AmmoTypeFactors,8,FALSE),"None",'Ammo Input'!L222)</f>
        <v>2</v>
      </c>
      <c r="N222">
        <f>'Ammo Input'!O222</f>
        <v>500</v>
      </c>
      <c r="O222" t="e">
        <f>ROUND((P222*0.0036+SUMPRODUCT(Q222:AB222,VLOOKUP($Q$1:$AB$1,IngredientStats,2,FALSE)))/N222*IF('Ammo Input'!R222,0.5,1),2)</f>
        <v>#VALUE!</v>
      </c>
      <c r="P222" t="e">
        <f>(SUMPRODUCT(Q222:AB222,VLOOKUP($Q$1:$AB$1,IngredientStats,4,FALSE))*VLOOKUP(B222,AmmoTypeFactors,14,FALSE)*IF('Ammo Input'!R222,1.1,1))</f>
        <v>#VALUE!</v>
      </c>
      <c r="Q222">
        <f>IFERROR(__xludf.DUMMYFUNCTION("((IF(NOT(OR(REGEXMATCH(B218, ""Arrow""), B218 = ""Javelin"", B218 = ""Stick bomb"")), ROUNDUP(('Ammo Input'!E218 / 1000) * N218)) + IF(VLOOKUP(B218, AmmoTypeFactors, 9, FALSE) = ""Steel"", ROUNDUP(('Ammo Input'!H218 -'Ammo Input'!M218) * MAX(IF('Ammo Inpu"&amp;"t'!J218 &gt; 0, 'Ammo Input'!J218, 1), 1) * N218 / 1000))) / 'Ingredient stats'!$C$2) * IF(ISBLANK(VLOOKUP(B218,AmmoTypeFactors,15,False)),1,VLOOKUP(B218,AmmoTypeFactors,15,False))"),12)</f>
        <v>12</v>
      </c>
      <c r="R222">
        <f>IFERROR(__xludf.DUMMYFUNCTION("ROUNDUP((IF(REGEXMATCH(B218, ""Arrow"") + (B218 = ""Javelin""), 'Ammo Input'!E218) + IF(VLOOKUP(B218, AmmoTypeFactors, 9, FALSE) = ""Wood"", 'Ammo Input'!H218) + IF(B218 = ""Stick bomb"", 'Ammo Input'!E218)) * N218 / 'Ingredient stats'!$C$12 / 1000)"),0)</f>
        <v>0</v>
      </c>
      <c r="S222">
        <v>0</v>
      </c>
      <c r="T222">
        <v>0</v>
      </c>
      <c r="U222">
        <f>IF(VLOOKUP(B222,AmmoTypeFactors,9,FALSE)="Plasteel",ROUNDUP(('Ammo Input'!H222*MAX(IF('Ammo Input'!J222&gt;0,'Ammo Input'!J222,1)*N222/1000/'Ingredient stats'!$C$4)),0),0)</f>
        <v>0</v>
      </c>
      <c r="V222">
        <f>IFERROR(__xludf.DUMMYFUNCTION("ROUNDUP(IF(ISBLANK(VLOOKUP(B218,AmmoTypeFactors,16,False)),1,VLOOKUP(B218,AmmoTypeFactors,16,False)) * (IFS(REGEXMATCH(B218, ""EMP""), 'Ammo Input'!M218 * N218 / 'Ingredient stats'!$C$5, REGEXMATCH(B218, ""Charge""), (U218^0.75), true, 0) + (IF(VLOOKUP(B2"&amp;"18, AmmoTypeFactors, 10, false), 2,0) + IF('Ammo Input'!P218, 2,0) + IF('Ammo Input'!Q218,MIN(ROUNDUP(0.2*('Ammo Input'!H218/1000)*'Ammo Input'!O218,0),20),0))))"),0)</f>
        <v>0</v>
      </c>
      <c r="W222">
        <v>0</v>
      </c>
      <c r="X222">
        <v>0</v>
      </c>
      <c r="Y222">
        <v>0</v>
      </c>
      <c r="Z222">
        <v>0</v>
      </c>
      <c r="AA222">
        <v>0</v>
      </c>
      <c r="AB222" s="30">
        <f>IF(B222="Sling Bullet (Stone)",ROUNDUP(D222*0.02*E222/'Ingredient stats'!$C$8,0),0)</f>
        <v>0</v>
      </c>
      <c r="AC222" t="str">
        <f t="shared" si="16"/>
        <v>None</v>
      </c>
      <c r="AD222" t="str">
        <f>IF(OR(B222="Buck",B222="Bird",B222="Charge (Scatter)"),'Ammo Input'!J222,"None")</f>
        <v>None</v>
      </c>
      <c r="AE222" t="str">
        <f>_xlfn.IFS(ISTEXT(Calcs!N222),Calcs!N222,Calcs!N222&lt;=40,Calcs!N222,Calcs!N222&gt;41,"40")</f>
        <v>None</v>
      </c>
      <c r="AF222" t="str">
        <f>_xlfn.IFS(ISTEXT(Calcs!O222),Calcs!O222,Calcs!O222&lt;=80,Calcs!O222,Calcs!O222&gt;=81,"80")</f>
        <v>None</v>
      </c>
      <c r="AG222" s="25">
        <f t="shared" si="17"/>
        <v>1</v>
      </c>
      <c r="AH222" s="25">
        <f t="shared" si="18"/>
        <v>0.65</v>
      </c>
      <c r="AI222" s="25">
        <f t="shared" si="19"/>
        <v>1</v>
      </c>
    </row>
    <row r="223" ht="14.4" spans="1:35">
      <c r="A223" s="24" t="str">
        <f>'Ammo Input'!A223</f>
        <v>.41 Rimfire</v>
      </c>
      <c r="B223" t="str">
        <f>'Ammo Input'!B223</f>
        <v>HP</v>
      </c>
      <c r="C223">
        <f>ROUNDUP(('Ammo Input'!C223*(MAX('Ammo Input'!D223,'Ammo Input'!F223)*0.5)^2*PI())*3/1000000,2)</f>
        <v>0.01</v>
      </c>
      <c r="D223">
        <f>ROUNDUP(('Ammo Input'!E223+'Ammo Input'!H223*IF('Ammo Input'!J223&lt;&gt;"",MAX('Ammo Input'!J223,1),1))/1000,3)</f>
        <v>0.012</v>
      </c>
      <c r="E223">
        <f>MIN(5000,MAX(25,CEILING(Calcs!L223,_xlfn.IFS(Calcs!L223&lt;100,25,Calcs!L223&lt;250,50,Calcs!L223&lt;1000,250,Calcs!L223&gt;=1000,1000))))</f>
        <v>5000</v>
      </c>
      <c r="F223">
        <f>ROUNDUP('Ammo Input'!G223^(3/4),0)</f>
        <v>39</v>
      </c>
      <c r="G223">
        <f>ROUND((0.5*((IF(OR(B223="HEAT",B223="HEDP"),'Ammo Input'!N223,'Ammo Input'!H223)/1000)*(IF(B223="HEAT",9000,IF(B223="HEDP",1500,'Ammo Input'!G223))^2))),0)</f>
        <v>68</v>
      </c>
      <c r="H223" s="25" t="str">
        <f>CONCATENATE(IF((B223="Foam")+(B223="Smoke"),"-",ROUND(Calcs!D223,0))," ",VLOOKUP(B223,AmmoTypeFactors,5,FALSE))</f>
        <v>7 Bullet</v>
      </c>
      <c r="I223" s="25" t="str">
        <f>IF(Calcs!E223=0,"None",CONCATENATE(ROUND(Calcs!E223,0)," ",VLOOKUP(B223,AmmoTypeFactors,6,FALSE)))</f>
        <v>None</v>
      </c>
      <c r="J223">
        <f>MROUND(2.42*'Ammo Input'!M223^(1/3)*VLOOKUP(B223,AmmoTypeFactors,3,FALSE),0.5)</f>
        <v>0</v>
      </c>
      <c r="K223" s="25" t="str">
        <f>IF(VLOOKUP(B223,AmmoTypeFactors,12,FALSE),MROUND(J223/3,0.5),"None")</f>
        <v>None</v>
      </c>
      <c r="L223" s="25">
        <f>IF(VLOOKUP(B223,AmmoTypeFactors,8,FALSE),"None",ROUNDUP(IF(Calcs!I223&gt;0,Calcs!I223,Calcs!H223),3))</f>
        <v>1.36</v>
      </c>
      <c r="M223" s="25">
        <f>IF(VLOOKUP(B223,AmmoTypeFactors,8,FALSE),"None",'Ammo Input'!L223)</f>
        <v>1</v>
      </c>
      <c r="N223">
        <f>'Ammo Input'!O223</f>
        <v>500</v>
      </c>
      <c r="O223" t="e">
        <f>ROUND((P223*0.0036+SUMPRODUCT(Q223:AB223,VLOOKUP($Q$1:$AB$1,IngredientStats,2,FALSE)))/N223*IF('Ammo Input'!R223,0.5,1),2)</f>
        <v>#VALUE!</v>
      </c>
      <c r="P223" t="e">
        <f>(SUMPRODUCT(Q223:AB223,VLOOKUP($Q$1:$AB$1,IngredientStats,4,FALSE))*VLOOKUP(B223,AmmoTypeFactors,14,FALSE)*IF('Ammo Input'!R223,1.1,1))</f>
        <v>#VALUE!</v>
      </c>
      <c r="Q223">
        <f>IFERROR(__xludf.DUMMYFUNCTION("((IF(NOT(OR(REGEXMATCH(B219, ""Arrow""), B219 = ""Javelin"", B219 = ""Stick bomb"")), ROUNDUP(('Ammo Input'!E219 / 1000) * N219)) + IF(VLOOKUP(B219, AmmoTypeFactors, 9, FALSE) = ""Steel"", ROUNDUP(('Ammo Input'!H219 -'Ammo Input'!M219) * MAX(IF('Ammo Inpu"&amp;"t'!J219 &gt; 0, 'Ammo Input'!J219, 1), 1) * N219 / 1000))) / 'Ingredient stats'!$C$2) * IF(ISBLANK(VLOOKUP(B219,AmmoTypeFactors,15,False)),1,VLOOKUP(B219,AmmoTypeFactors,15,False))"),12)</f>
        <v>12</v>
      </c>
      <c r="R223">
        <f>IFERROR(__xludf.DUMMYFUNCTION("ROUNDUP((IF(REGEXMATCH(B219, ""Arrow"") + (B219 = ""Javelin""), 'Ammo Input'!E219) + IF(VLOOKUP(B219, AmmoTypeFactors, 9, FALSE) = ""Wood"", 'Ammo Input'!H219) + IF(B219 = ""Stick bomb"", 'Ammo Input'!E219)) * N219 / 'Ingredient stats'!$C$12 / 1000)"),0)</f>
        <v>0</v>
      </c>
      <c r="S223">
        <v>0</v>
      </c>
      <c r="T223">
        <v>0</v>
      </c>
      <c r="U223">
        <f>IF(VLOOKUP(B223,AmmoTypeFactors,9,FALSE)="Plasteel",ROUNDUP(('Ammo Input'!H223*MAX(IF('Ammo Input'!J223&gt;0,'Ammo Input'!J223,1)*N223/1000/'Ingredient stats'!$C$4)),0),0)</f>
        <v>0</v>
      </c>
      <c r="V223">
        <f>IFERROR(__xludf.DUMMYFUNCTION("ROUNDUP(IF(ISBLANK(VLOOKUP(B219,AmmoTypeFactors,16,False)),1,VLOOKUP(B219,AmmoTypeFactors,16,False)) * (IFS(REGEXMATCH(B219, ""EMP""), 'Ammo Input'!M219 * N219 / 'Ingredient stats'!$C$5, REGEXMATCH(B219, ""Charge""), (U219^0.75), true, 0) + (IF(VLOOKUP(B2"&amp;"19, AmmoTypeFactors, 10, false), 2,0) + IF('Ammo Input'!P219, 2,0) + IF('Ammo Input'!Q219,MIN(ROUNDUP(0.2*('Ammo Input'!H219/1000)*'Ammo Input'!O219,0),20),0))))"),0)</f>
        <v>0</v>
      </c>
      <c r="W223">
        <v>0</v>
      </c>
      <c r="X223">
        <v>0</v>
      </c>
      <c r="Y223">
        <v>0</v>
      </c>
      <c r="Z223">
        <v>0</v>
      </c>
      <c r="AA223">
        <v>0</v>
      </c>
      <c r="AB223" s="30">
        <f>IF(B223="Sling Bullet (Stone)",ROUNDUP(D223*0.02*E223/'Ingredient stats'!$C$8,0),0)</f>
        <v>0</v>
      </c>
      <c r="AC223" t="str">
        <f t="shared" si="16"/>
        <v>None</v>
      </c>
      <c r="AD223" t="str">
        <f>IF(OR(B223="Buck",B223="Bird",B223="Charge (Scatter)"),'Ammo Input'!J223,"None")</f>
        <v>None</v>
      </c>
      <c r="AE223" t="str">
        <f>_xlfn.IFS(ISTEXT(Calcs!N223),Calcs!N223,Calcs!N223&lt;=40,Calcs!N223,Calcs!N223&gt;41,"40")</f>
        <v>None</v>
      </c>
      <c r="AF223" t="str">
        <f>_xlfn.IFS(ISTEXT(Calcs!O223),Calcs!O223,Calcs!O223&lt;=80,Calcs!O223,Calcs!O223&gt;=81,"80")</f>
        <v>None</v>
      </c>
      <c r="AG223" s="25">
        <f t="shared" si="17"/>
        <v>1</v>
      </c>
      <c r="AH223" s="25">
        <f t="shared" si="18"/>
        <v>0.65</v>
      </c>
      <c r="AI223" s="25">
        <f t="shared" si="19"/>
        <v>1</v>
      </c>
    </row>
    <row r="224" ht="14.4" spans="1:35">
      <c r="A224" s="24" t="str">
        <f>'Ammo Input'!A224</f>
        <v>.32 ACP</v>
      </c>
      <c r="B224" t="str">
        <f>'Ammo Input'!B224</f>
        <v>FMJ</v>
      </c>
      <c r="C224">
        <f>ROUNDUP(('Ammo Input'!C224*(MAX('Ammo Input'!D224,'Ammo Input'!F224)*0.5)^2*PI())*3/1000000,2)</f>
        <v>0.01</v>
      </c>
      <c r="D224">
        <f>ROUNDUP(('Ammo Input'!E224+'Ammo Input'!H224*IF('Ammo Input'!J224&lt;&gt;"",MAX('Ammo Input'!J224,1),1))/1000,3)</f>
        <v>0.008</v>
      </c>
      <c r="E224">
        <f>MIN(5000,MAX(25,CEILING(Calcs!L224,_xlfn.IFS(Calcs!L224&lt;100,25,Calcs!L224&lt;250,50,Calcs!L224&lt;1000,250,Calcs!L224&gt;=1000,1000))))</f>
        <v>5000</v>
      </c>
      <c r="F224">
        <f>ROUNDUP('Ammo Input'!G224^(3/4),0)</f>
        <v>76</v>
      </c>
      <c r="G224">
        <f>ROUND((0.5*((IF(OR(B224="HEAT",B224="HEDP"),'Ammo Input'!N224,'Ammo Input'!H224)/1000)*(IF(B224="HEAT",9000,IF(B224="HEDP",1500,'Ammo Input'!G224))^2))),0)</f>
        <v>230</v>
      </c>
      <c r="H224" s="25" t="str">
        <f>CONCATENATE(IF((B224="Foam")+(B224="Smoke"),"-",ROUND(Calcs!D224,0))," ",VLOOKUP(B224,AmmoTypeFactors,5,FALSE))</f>
        <v>8 Bullet</v>
      </c>
      <c r="I224" s="25" t="str">
        <f>IF(Calcs!E224=0,"None",CONCATENATE(ROUND(Calcs!E224,0)," ",VLOOKUP(B224,AmmoTypeFactors,6,FALSE)))</f>
        <v>None</v>
      </c>
      <c r="J224">
        <f>MROUND(2.42*'Ammo Input'!M224^(1/3)*VLOOKUP(B224,AmmoTypeFactors,3,FALSE),0.5)</f>
        <v>0</v>
      </c>
      <c r="K224" s="25" t="str">
        <f>IF(VLOOKUP(B224,AmmoTypeFactors,12,FALSE),MROUND(J224/3,0.5),"None")</f>
        <v>None</v>
      </c>
      <c r="L224" s="25">
        <f>IF(VLOOKUP(B224,AmmoTypeFactors,8,FALSE),"None",ROUNDUP(IF(Calcs!I224&gt;0,Calcs!I224,Calcs!H224),3))</f>
        <v>4.6</v>
      </c>
      <c r="M224" s="25">
        <f>IF(VLOOKUP(B224,AmmoTypeFactors,8,FALSE),"None",'Ammo Input'!L224)</f>
        <v>3</v>
      </c>
      <c r="N224">
        <f>'Ammo Input'!O224</f>
        <v>500</v>
      </c>
      <c r="O224" t="e">
        <f>ROUND((P224*0.0036+SUMPRODUCT(Q224:AB224,VLOOKUP($Q$1:$AB$1,IngredientStats,2,FALSE)))/N224*IF('Ammo Input'!R224,0.5,1),2)</f>
        <v>#VALUE!</v>
      </c>
      <c r="P224" t="e">
        <f>(SUMPRODUCT(Q224:AB224,VLOOKUP($Q$1:$AB$1,IngredientStats,4,FALSE))*VLOOKUP(B224,AmmoTypeFactors,14,FALSE)*IF('Ammo Input'!R224,1.1,1))</f>
        <v>#VALUE!</v>
      </c>
      <c r="Q224">
        <f>IFERROR(__xludf.DUMMYFUNCTION("((IF(NOT(OR(REGEXMATCH(B220, ""Arrow""), B220 = ""Javelin"", B220 = ""Stick bomb"")), ROUNDUP(('Ammo Input'!E220 / 1000) * N220)) + IF(VLOOKUP(B220, AmmoTypeFactors, 9, FALSE) = ""Steel"", ROUNDUP(('Ammo Input'!H220 -'Ammo Input'!M220) * MAX(IF('Ammo Inpu"&amp;"t'!J220 &gt; 0, 'Ammo Input'!J220, 1), 1) * N220 / 1000))) / 'Ingredient stats'!$C$2) * IF(ISBLANK(VLOOKUP(B220,AmmoTypeFactors,15,False)),1,VLOOKUP(B220,AmmoTypeFactors,15,False))"),10)</f>
        <v>10</v>
      </c>
      <c r="R224">
        <f>IFERROR(__xludf.DUMMYFUNCTION("ROUNDUP((IF(REGEXMATCH(B220, ""Arrow"") + (B220 = ""Javelin""), 'Ammo Input'!E220) + IF(VLOOKUP(B220, AmmoTypeFactors, 9, FALSE) = ""Wood"", 'Ammo Input'!H220) + IF(B220 = ""Stick bomb"", 'Ammo Input'!E220)) * N220 / 'Ingredient stats'!$C$12 / 1000)"),0)</f>
        <v>0</v>
      </c>
      <c r="S224">
        <v>0</v>
      </c>
      <c r="T224">
        <v>0</v>
      </c>
      <c r="U224">
        <f>IF(VLOOKUP(B224,AmmoTypeFactors,9,FALSE)="Plasteel",ROUNDUP(('Ammo Input'!H224*MAX(IF('Ammo Input'!J224&gt;0,'Ammo Input'!J224,1)*N224/1000/'Ingredient stats'!$C$4)),0),0)</f>
        <v>0</v>
      </c>
      <c r="V224">
        <f>IFERROR(__xludf.DUMMYFUNCTION("ROUNDUP(IF(ISBLANK(VLOOKUP(B220,AmmoTypeFactors,16,False)),1,VLOOKUP(B220,AmmoTypeFactors,16,False)) * (IFS(REGEXMATCH(B220, ""EMP""), 'Ammo Input'!M220 * N220 / 'Ingredient stats'!$C$5, REGEXMATCH(B220, ""Charge""), (U220^0.75), true, 0) + (IF(VLOOKUP(B2"&amp;"20, AmmoTypeFactors, 10, false), 2,0) + IF('Ammo Input'!P220, 2,0) + IF('Ammo Input'!Q220,MIN(ROUNDUP(0.2*('Ammo Input'!H220/1000)*'Ammo Input'!O220,0),20),0))))"),0)</f>
        <v>0</v>
      </c>
      <c r="W224">
        <v>0</v>
      </c>
      <c r="X224">
        <v>0</v>
      </c>
      <c r="Y224">
        <v>0</v>
      </c>
      <c r="Z224">
        <v>0</v>
      </c>
      <c r="AA224">
        <v>0</v>
      </c>
      <c r="AB224" s="30">
        <f>IF(B224="Sling Bullet (Stone)",ROUNDUP(D224*0.02*E224/'Ingredient stats'!$C$8,0),0)</f>
        <v>0</v>
      </c>
      <c r="AC224" t="str">
        <f t="shared" si="16"/>
        <v>None</v>
      </c>
      <c r="AD224" t="str">
        <f>IF(OR(B224="Buck",B224="Bird",B224="Charge (Scatter)"),'Ammo Input'!J224,"None")</f>
        <v>None</v>
      </c>
      <c r="AE224" t="str">
        <f>_xlfn.IFS(ISTEXT(Calcs!N224),Calcs!N224,Calcs!N224&lt;=40,Calcs!N224,Calcs!N224&gt;41,"40")</f>
        <v>None</v>
      </c>
      <c r="AF224" t="str">
        <f>_xlfn.IFS(ISTEXT(Calcs!O224),Calcs!O224,Calcs!O224&lt;=80,Calcs!O224,Calcs!O224&gt;=81,"80")</f>
        <v>None</v>
      </c>
      <c r="AG224" s="25">
        <f t="shared" si="17"/>
        <v>1</v>
      </c>
      <c r="AH224" s="25">
        <f t="shared" si="18"/>
        <v>1.26</v>
      </c>
      <c r="AI224" s="25">
        <f t="shared" si="19"/>
        <v>1</v>
      </c>
    </row>
    <row r="225" ht="14.4" spans="1:35">
      <c r="A225" s="24" t="str">
        <f>'Ammo Input'!A225</f>
        <v>.32 ACP</v>
      </c>
      <c r="B225" t="str">
        <f>'Ammo Input'!B225</f>
        <v>AP</v>
      </c>
      <c r="C225">
        <f>ROUNDUP(('Ammo Input'!C225*(MAX('Ammo Input'!D225,'Ammo Input'!F225)*0.5)^2*PI())*3/1000000,2)</f>
        <v>0.01</v>
      </c>
      <c r="D225">
        <f>ROUNDUP(('Ammo Input'!E225+'Ammo Input'!H225*IF('Ammo Input'!J225&lt;&gt;"",MAX('Ammo Input'!J225,1),1))/1000,3)</f>
        <v>0.008</v>
      </c>
      <c r="E225">
        <f>MIN(5000,MAX(25,CEILING(Calcs!L225,_xlfn.IFS(Calcs!L225&lt;100,25,Calcs!L225&lt;250,50,Calcs!L225&lt;1000,250,Calcs!L225&gt;=1000,1000))))</f>
        <v>5000</v>
      </c>
      <c r="F225">
        <f>ROUNDUP('Ammo Input'!G225^(3/4),0)</f>
        <v>76</v>
      </c>
      <c r="G225">
        <f>ROUND((0.5*((IF(OR(B225="HEAT",B225="HEDP"),'Ammo Input'!N225,'Ammo Input'!H225)/1000)*(IF(B225="HEAT",9000,IF(B225="HEDP",1500,'Ammo Input'!G225))^2))),0)</f>
        <v>230</v>
      </c>
      <c r="H225" s="25" t="str">
        <f>CONCATENATE(IF((B225="Foam")+(B225="Smoke"),"-",ROUND(Calcs!D225,0))," ",VLOOKUP(B225,AmmoTypeFactors,5,FALSE))</f>
        <v>5 Bullet</v>
      </c>
      <c r="I225" s="25" t="str">
        <f>IF(Calcs!E225=0,"None",CONCATENATE(ROUND(Calcs!E225,0)," ",VLOOKUP(B225,AmmoTypeFactors,6,FALSE)))</f>
        <v>None</v>
      </c>
      <c r="J225">
        <f>MROUND(2.42*'Ammo Input'!M225^(1/3)*VLOOKUP(B225,AmmoTypeFactors,3,FALSE),0.5)</f>
        <v>0</v>
      </c>
      <c r="K225" s="25" t="str">
        <f>IF(VLOOKUP(B225,AmmoTypeFactors,12,FALSE),MROUND(J225/3,0.5),"None")</f>
        <v>None</v>
      </c>
      <c r="L225" s="25">
        <f>IF(VLOOKUP(B225,AmmoTypeFactors,8,FALSE),"None",ROUNDUP(IF(Calcs!I225&gt;0,Calcs!I225,Calcs!H225),3))</f>
        <v>4.6</v>
      </c>
      <c r="M225" s="25">
        <f>IF(VLOOKUP(B225,AmmoTypeFactors,8,FALSE),"None",'Ammo Input'!L225)</f>
        <v>6</v>
      </c>
      <c r="N225">
        <f>'Ammo Input'!O225</f>
        <v>500</v>
      </c>
      <c r="O225" t="e">
        <f>ROUND((P225*0.0036+SUMPRODUCT(Q225:AB225,VLOOKUP($Q$1:$AB$1,IngredientStats,2,FALSE)))/N225*IF('Ammo Input'!R225,0.5,1),2)</f>
        <v>#VALUE!</v>
      </c>
      <c r="P225" t="e">
        <f>(SUMPRODUCT(Q225:AB225,VLOOKUP($Q$1:$AB$1,IngredientStats,4,FALSE))*VLOOKUP(B225,AmmoTypeFactors,14,FALSE)*IF('Ammo Input'!R225,1.1,1))</f>
        <v>#VALUE!</v>
      </c>
      <c r="Q225">
        <f>IFERROR(__xludf.DUMMYFUNCTION("((IF(NOT(OR(REGEXMATCH(B221, ""Arrow""), B221 = ""Javelin"", B221 = ""Stick bomb"")), ROUNDUP(('Ammo Input'!E221 / 1000) * N221)) + IF(VLOOKUP(B221, AmmoTypeFactors, 9, FALSE) = ""Steel"", ROUNDUP(('Ammo Input'!H221 -'Ammo Input'!M221) * MAX(IF('Ammo Inpu"&amp;"t'!J221 &gt; 0, 'Ammo Input'!J221, 1), 1) * N221 / 1000))) / 'Ingredient stats'!$C$2) * IF(ISBLANK(VLOOKUP(B221,AmmoTypeFactors,15,False)),1,VLOOKUP(B221,AmmoTypeFactors,15,False))"),10)</f>
        <v>10</v>
      </c>
      <c r="R225">
        <f>IFERROR(__xludf.DUMMYFUNCTION("ROUNDUP((IF(REGEXMATCH(B221, ""Arrow"") + (B221 = ""Javelin""), 'Ammo Input'!E221) + IF(VLOOKUP(B221, AmmoTypeFactors, 9, FALSE) = ""Wood"", 'Ammo Input'!H221) + IF(B221 = ""Stick bomb"", 'Ammo Input'!E221)) * N221 / 'Ingredient stats'!$C$12 / 1000)"),0)</f>
        <v>0</v>
      </c>
      <c r="S225">
        <v>0</v>
      </c>
      <c r="T225">
        <v>0</v>
      </c>
      <c r="U225">
        <f>IF(VLOOKUP(B225,AmmoTypeFactors,9,FALSE)="Plasteel",ROUNDUP(('Ammo Input'!H225*MAX(IF('Ammo Input'!J225&gt;0,'Ammo Input'!J225,1)*N225/1000/'Ingredient stats'!$C$4)),0),0)</f>
        <v>0</v>
      </c>
      <c r="V225">
        <f>IFERROR(__xludf.DUMMYFUNCTION("ROUNDUP(IF(ISBLANK(VLOOKUP(B221,AmmoTypeFactors,16,False)),1,VLOOKUP(B221,AmmoTypeFactors,16,False)) * (IFS(REGEXMATCH(B221, ""EMP""), 'Ammo Input'!M221 * N221 / 'Ingredient stats'!$C$5, REGEXMATCH(B221, ""Charge""), (U221^0.75), true, 0) + (IF(VLOOKUP(B2"&amp;"21, AmmoTypeFactors, 10, false), 2,0) + IF('Ammo Input'!P221, 2,0) + IF('Ammo Input'!Q221,MIN(ROUNDUP(0.2*('Ammo Input'!H221/1000)*'Ammo Input'!O221,0),20),0))))"),0)</f>
        <v>0</v>
      </c>
      <c r="W225">
        <v>0</v>
      </c>
      <c r="X225">
        <v>0</v>
      </c>
      <c r="Y225">
        <v>0</v>
      </c>
      <c r="Z225">
        <v>0</v>
      </c>
      <c r="AA225">
        <v>0</v>
      </c>
      <c r="AB225" s="30">
        <f>IF(B225="Sling Bullet (Stone)",ROUNDUP(D225*0.02*E225/'Ingredient stats'!$C$8,0),0)</f>
        <v>0</v>
      </c>
      <c r="AC225" t="str">
        <f t="shared" si="16"/>
        <v>None</v>
      </c>
      <c r="AD225" t="str">
        <f>IF(OR(B225="Buck",B225="Bird",B225="Charge (Scatter)"),'Ammo Input'!J225,"None")</f>
        <v>None</v>
      </c>
      <c r="AE225" t="str">
        <f>_xlfn.IFS(ISTEXT(Calcs!N225),Calcs!N225,Calcs!N225&lt;=40,Calcs!N225,Calcs!N225&gt;41,"40")</f>
        <v>None</v>
      </c>
      <c r="AF225" t="str">
        <f>_xlfn.IFS(ISTEXT(Calcs!O225),Calcs!O225,Calcs!O225&lt;=80,Calcs!O225,Calcs!O225&gt;=81,"80")</f>
        <v>None</v>
      </c>
      <c r="AG225" s="25">
        <f t="shared" si="17"/>
        <v>1</v>
      </c>
      <c r="AH225" s="25">
        <f t="shared" si="18"/>
        <v>1.26</v>
      </c>
      <c r="AI225" s="25">
        <f t="shared" si="19"/>
        <v>1</v>
      </c>
    </row>
    <row r="226" ht="14.4" spans="1:35">
      <c r="A226" s="24" t="str">
        <f>'Ammo Input'!A226</f>
        <v>.32 ACP</v>
      </c>
      <c r="B226" t="str">
        <f>'Ammo Input'!B226</f>
        <v>HP</v>
      </c>
      <c r="C226">
        <f>ROUNDUP(('Ammo Input'!C226*(MAX('Ammo Input'!D226,'Ammo Input'!F226)*0.5)^2*PI())*3/1000000,2)</f>
        <v>0.01</v>
      </c>
      <c r="D226">
        <f>ROUNDUP(('Ammo Input'!E226+'Ammo Input'!H226*IF('Ammo Input'!J226&lt;&gt;"",MAX('Ammo Input'!J226,1),1))/1000,3)</f>
        <v>0.008</v>
      </c>
      <c r="E226">
        <f>MIN(5000,MAX(25,CEILING(Calcs!L226,_xlfn.IFS(Calcs!L226&lt;100,25,Calcs!L226&lt;250,50,Calcs!L226&lt;1000,250,Calcs!L226&gt;=1000,1000))))</f>
        <v>5000</v>
      </c>
      <c r="F226">
        <f>ROUNDUP('Ammo Input'!G226^(3/4),0)</f>
        <v>76</v>
      </c>
      <c r="G226">
        <f>ROUND((0.5*((IF(OR(B226="HEAT",B226="HEDP"),'Ammo Input'!N226,'Ammo Input'!H226)/1000)*(IF(B226="HEAT",9000,IF(B226="HEDP",1500,'Ammo Input'!G226))^2))),0)</f>
        <v>230</v>
      </c>
      <c r="H226" s="25" t="str">
        <f>CONCATENATE(IF((B226="Foam")+(B226="Smoke"),"-",ROUND(Calcs!D226,0))," ",VLOOKUP(B226,AmmoTypeFactors,5,FALSE))</f>
        <v>10 Bullet</v>
      </c>
      <c r="I226" s="25" t="str">
        <f>IF(Calcs!E226=0,"None",CONCATENATE(ROUND(Calcs!E226,0)," ",VLOOKUP(B226,AmmoTypeFactors,6,FALSE)))</f>
        <v>None</v>
      </c>
      <c r="J226">
        <f>MROUND(2.42*'Ammo Input'!M226^(1/3)*VLOOKUP(B226,AmmoTypeFactors,3,FALSE),0.5)</f>
        <v>0</v>
      </c>
      <c r="K226" s="25" t="str">
        <f>IF(VLOOKUP(B226,AmmoTypeFactors,12,FALSE),MROUND(J226/3,0.5),"None")</f>
        <v>None</v>
      </c>
      <c r="L226" s="25">
        <f>IF(VLOOKUP(B226,AmmoTypeFactors,8,FALSE),"None",ROUNDUP(IF(Calcs!I226&gt;0,Calcs!I226,Calcs!H226),3))</f>
        <v>4.6</v>
      </c>
      <c r="M226" s="25">
        <f>IF(VLOOKUP(B226,AmmoTypeFactors,8,FALSE),"None",'Ammo Input'!L226)</f>
        <v>2</v>
      </c>
      <c r="N226">
        <f>'Ammo Input'!O226</f>
        <v>500</v>
      </c>
      <c r="O226" t="e">
        <f>ROUND((P226*0.0036+SUMPRODUCT(Q226:AB226,VLOOKUP($Q$1:$AB$1,IngredientStats,2,FALSE)))/N226*IF('Ammo Input'!R226,0.5,1),2)</f>
        <v>#VALUE!</v>
      </c>
      <c r="P226" t="e">
        <f>(SUMPRODUCT(Q226:AB226,VLOOKUP($Q$1:$AB$1,IngredientStats,4,FALSE))*VLOOKUP(B226,AmmoTypeFactors,14,FALSE)*IF('Ammo Input'!R226,1.1,1))</f>
        <v>#VALUE!</v>
      </c>
      <c r="Q226">
        <f>IFERROR(__xludf.DUMMYFUNCTION("((IF(NOT(OR(REGEXMATCH(B222, ""Arrow""), B222 = ""Javelin"", B222 = ""Stick bomb"")), ROUNDUP(('Ammo Input'!E222 / 1000) * N222)) + IF(VLOOKUP(B222, AmmoTypeFactors, 9, FALSE) = ""Steel"", ROUNDUP(('Ammo Input'!H222 -'Ammo Input'!M222) * MAX(IF('Ammo Inpu"&amp;"t'!J222 &gt; 0, 'Ammo Input'!J222, 1), 1) * N222 / 1000))) / 'Ingredient stats'!$C$2) * IF(ISBLANK(VLOOKUP(B222,AmmoTypeFactors,15,False)),1,VLOOKUP(B222,AmmoTypeFactors,15,False))"),10)</f>
        <v>10</v>
      </c>
      <c r="R226">
        <f>IFERROR(__xludf.DUMMYFUNCTION("ROUNDUP((IF(REGEXMATCH(B222, ""Arrow"") + (B222 = ""Javelin""), 'Ammo Input'!E222) + IF(VLOOKUP(B222, AmmoTypeFactors, 9, FALSE) = ""Wood"", 'Ammo Input'!H222) + IF(B222 = ""Stick bomb"", 'Ammo Input'!E222)) * N222 / 'Ingredient stats'!$C$12 / 1000)"),0)</f>
        <v>0</v>
      </c>
      <c r="S226">
        <v>0</v>
      </c>
      <c r="T226">
        <v>0</v>
      </c>
      <c r="U226">
        <f>IF(VLOOKUP(B226,AmmoTypeFactors,9,FALSE)="Plasteel",ROUNDUP(('Ammo Input'!H226*MAX(IF('Ammo Input'!J226&gt;0,'Ammo Input'!J226,1)*N226/1000/'Ingredient stats'!$C$4)),0),0)</f>
        <v>0</v>
      </c>
      <c r="V226">
        <f>IFERROR(__xludf.DUMMYFUNCTION("ROUNDUP(IF(ISBLANK(VLOOKUP(B222,AmmoTypeFactors,16,False)),1,VLOOKUP(B222,AmmoTypeFactors,16,False)) * (IFS(REGEXMATCH(B222, ""EMP""), 'Ammo Input'!M222 * N222 / 'Ingredient stats'!$C$5, REGEXMATCH(B222, ""Charge""), (U222^0.75), true, 0) + (IF(VLOOKUP(B2"&amp;"22, AmmoTypeFactors, 10, false), 2,0) + IF('Ammo Input'!P222, 2,0) + IF('Ammo Input'!Q222,MIN(ROUNDUP(0.2*('Ammo Input'!H222/1000)*'Ammo Input'!O222,0),20),0))))"),0)</f>
        <v>0</v>
      </c>
      <c r="W226">
        <v>0</v>
      </c>
      <c r="X226">
        <v>0</v>
      </c>
      <c r="Y226">
        <v>0</v>
      </c>
      <c r="Z226">
        <v>0</v>
      </c>
      <c r="AA226">
        <v>0</v>
      </c>
      <c r="AB226" s="30">
        <f>IF(B226="Sling Bullet (Stone)",ROUNDUP(D226*0.02*E226/'Ingredient stats'!$C$8,0),0)</f>
        <v>0</v>
      </c>
      <c r="AC226" t="str">
        <f t="shared" si="16"/>
        <v>None</v>
      </c>
      <c r="AD226" t="str">
        <f>IF(OR(B226="Buck",B226="Bird",B226="Charge (Scatter)"),'Ammo Input'!J226,"None")</f>
        <v>None</v>
      </c>
      <c r="AE226" t="str">
        <f>_xlfn.IFS(ISTEXT(Calcs!N226),Calcs!N226,Calcs!N226&lt;=40,Calcs!N226,Calcs!N226&gt;41,"40")</f>
        <v>None</v>
      </c>
      <c r="AF226" t="str">
        <f>_xlfn.IFS(ISTEXT(Calcs!O226),Calcs!O226,Calcs!O226&lt;=80,Calcs!O226,Calcs!O226&gt;=81,"80")</f>
        <v>None</v>
      </c>
      <c r="AG226" s="25">
        <f t="shared" si="17"/>
        <v>1</v>
      </c>
      <c r="AH226" s="25">
        <f t="shared" si="18"/>
        <v>1.26</v>
      </c>
      <c r="AI226" s="25">
        <f t="shared" si="19"/>
        <v>1</v>
      </c>
    </row>
    <row r="227" ht="14.4" spans="1:35">
      <c r="A227" s="24" t="str">
        <f>'Ammo Input'!A227</f>
        <v>5.7x28mm FN</v>
      </c>
      <c r="B227" t="str">
        <f>'Ammo Input'!B227</f>
        <v>FMJ</v>
      </c>
      <c r="C227">
        <f>ROUNDUP(('Ammo Input'!C227*(MAX('Ammo Input'!D227,'Ammo Input'!F227)*0.5)^2*PI())*3/1000000,2)</f>
        <v>0.01</v>
      </c>
      <c r="D227">
        <f>ROUNDUP(('Ammo Input'!E227+'Ammo Input'!H227*IF('Ammo Input'!J227&lt;&gt;"",MAX('Ammo Input'!J227,1),1))/1000,3)</f>
        <v>0.008</v>
      </c>
      <c r="E227">
        <f>MIN(5000,MAX(25,CEILING(Calcs!L227,_xlfn.IFS(Calcs!L227&lt;100,25,Calcs!L227&lt;250,50,Calcs!L227&lt;1000,250,Calcs!L227&gt;=1000,1000))))</f>
        <v>5000</v>
      </c>
      <c r="F227">
        <f>ROUNDUP('Ammo Input'!G227^(3/4),0)</f>
        <v>129</v>
      </c>
      <c r="G227">
        <f>ROUND((0.5*((IF(OR(B227="HEAT",B227="HEDP"),'Ammo Input'!N227,'Ammo Input'!H227)/1000)*(IF(B227="HEAT",9000,IF(B227="HEDP",1500,'Ammo Input'!G227))^2))),0)</f>
        <v>549</v>
      </c>
      <c r="H227" s="25" t="str">
        <f>CONCATENATE(IF((B227="Foam")+(B227="Smoke"),"-",ROUND(Calcs!D227,0))," ",VLOOKUP(B227,AmmoTypeFactors,5,FALSE))</f>
        <v>9 Bullet</v>
      </c>
      <c r="I227" s="25" t="str">
        <f>IF(Calcs!E227=0,"None",CONCATENATE(ROUND(Calcs!E227,0)," ",VLOOKUP(B227,AmmoTypeFactors,6,FALSE)))</f>
        <v>None</v>
      </c>
      <c r="J227">
        <f>MROUND(2.42*'Ammo Input'!M227^(1/3)*VLOOKUP(B227,AmmoTypeFactors,3,FALSE),0.5)</f>
        <v>0</v>
      </c>
      <c r="K227" s="25" t="str">
        <f>IF(VLOOKUP(B227,AmmoTypeFactors,12,FALSE),MROUND(J227/3,0.5),"None")</f>
        <v>None</v>
      </c>
      <c r="L227" s="25">
        <f>IF(VLOOKUP(B227,AmmoTypeFactors,8,FALSE),"None",ROUNDUP(IF(Calcs!I227&gt;0,Calcs!I227,Calcs!H227),3))</f>
        <v>10.98</v>
      </c>
      <c r="M227" s="25">
        <f>IF(VLOOKUP(B227,AmmoTypeFactors,8,FALSE),"None",'Ammo Input'!L227)</f>
        <v>5</v>
      </c>
      <c r="N227">
        <f>'Ammo Input'!O227</f>
        <v>500</v>
      </c>
      <c r="O227" t="e">
        <f>ROUND((P227*0.0036+SUMPRODUCT(Q227:AB227,VLOOKUP($Q$1:$AB$1,IngredientStats,2,FALSE)))/N227*IF('Ammo Input'!R227,0.5,1),2)</f>
        <v>#VALUE!</v>
      </c>
      <c r="P227" t="e">
        <f>(SUMPRODUCT(Q227:AB227,VLOOKUP($Q$1:$AB$1,IngredientStats,4,FALSE))*VLOOKUP(B227,AmmoTypeFactors,14,FALSE)*IF('Ammo Input'!R227,1.1,1))</f>
        <v>#VALUE!</v>
      </c>
      <c r="Q227">
        <f>IFERROR(__xludf.DUMMYFUNCTION("((IF(NOT(OR(REGEXMATCH(B223, ""Arrow""), B223 = ""Javelin"", B223 = ""Stick bomb"")), ROUNDUP(('Ammo Input'!E223 / 1000) * N223)) + IF(VLOOKUP(B223, AmmoTypeFactors, 9, FALSE) = ""Steel"", ROUNDUP(('Ammo Input'!H223 -'Ammo Input'!M223) * MAX(IF('Ammo Inpu"&amp;"t'!J223 &gt; 0, 'Ammo Input'!J223, 1), 1) * N223 / 1000))) / 'Ingredient stats'!$C$2) * IF(ISBLANK(VLOOKUP(B223,AmmoTypeFactors,15,False)),1,VLOOKUP(B223,AmmoTypeFactors,15,False))"),10)</f>
        <v>10</v>
      </c>
      <c r="R227">
        <f>IFERROR(__xludf.DUMMYFUNCTION("ROUNDUP((IF(REGEXMATCH(B223, ""Arrow"") + (B223 = ""Javelin""), 'Ammo Input'!E223) + IF(VLOOKUP(B223, AmmoTypeFactors, 9, FALSE) = ""Wood"", 'Ammo Input'!H223) + IF(B223 = ""Stick bomb"", 'Ammo Input'!E223)) * N223 / 'Ingredient stats'!$C$12 / 1000)"),0)</f>
        <v>0</v>
      </c>
      <c r="S227">
        <v>0</v>
      </c>
      <c r="T227">
        <v>0</v>
      </c>
      <c r="U227">
        <f>IF(VLOOKUP(B227,AmmoTypeFactors,9,FALSE)="Plasteel",ROUNDUP(('Ammo Input'!H227*MAX(IF('Ammo Input'!J227&gt;0,'Ammo Input'!J227,1)*N227/1000/'Ingredient stats'!$C$4)),0),0)</f>
        <v>0</v>
      </c>
      <c r="V227">
        <f>IFERROR(__xludf.DUMMYFUNCTION("ROUNDUP(IF(ISBLANK(VLOOKUP(B223,AmmoTypeFactors,16,False)),1,VLOOKUP(B223,AmmoTypeFactors,16,False)) * (IFS(REGEXMATCH(B223, ""EMP""), 'Ammo Input'!M223 * N223 / 'Ingredient stats'!$C$5, REGEXMATCH(B223, ""Charge""), (U223^0.75), true, 0) + (IF(VLOOKUP(B2"&amp;"23, AmmoTypeFactors, 10, false), 2,0) + IF('Ammo Input'!P223, 2,0) + IF('Ammo Input'!Q223,MIN(ROUNDUP(0.2*('Ammo Input'!H223/1000)*'Ammo Input'!O223,0),20),0))))"),0)</f>
        <v>0</v>
      </c>
      <c r="W227">
        <v>0</v>
      </c>
      <c r="X227">
        <v>0</v>
      </c>
      <c r="Y227">
        <v>0</v>
      </c>
      <c r="Z227">
        <v>0</v>
      </c>
      <c r="AA227">
        <v>0</v>
      </c>
      <c r="AB227" s="30">
        <f>IF(B227="Sling Bullet (Stone)",ROUNDUP(D227*0.02*E227/'Ingredient stats'!$C$8,0),0)</f>
        <v>0</v>
      </c>
      <c r="AC227" t="str">
        <f t="shared" si="16"/>
        <v>None</v>
      </c>
      <c r="AD227" t="str">
        <f>IF(OR(B227="Buck",B227="Bird",B227="Charge (Scatter)"),'Ammo Input'!J227,"None")</f>
        <v>None</v>
      </c>
      <c r="AE227" t="str">
        <f>_xlfn.IFS(ISTEXT(Calcs!N227),Calcs!N227,Calcs!N227&lt;=40,Calcs!N227,Calcs!N227&gt;41,"40")</f>
        <v>None</v>
      </c>
      <c r="AF227" t="str">
        <f>_xlfn.IFS(ISTEXT(Calcs!O227),Calcs!O227,Calcs!O227&lt;=80,Calcs!O227,Calcs!O227&gt;=81,"80")</f>
        <v>None</v>
      </c>
      <c r="AG227" s="25">
        <f t="shared" si="17"/>
        <v>1</v>
      </c>
      <c r="AH227" s="25">
        <f t="shared" si="18"/>
        <v>2.11</v>
      </c>
      <c r="AI227" s="25">
        <f t="shared" si="19"/>
        <v>1</v>
      </c>
    </row>
    <row r="228" ht="14.4" spans="1:35">
      <c r="A228" s="24" t="str">
        <f>'Ammo Input'!A228</f>
        <v>5.7x28mm FN</v>
      </c>
      <c r="B228" t="str">
        <f>'Ammo Input'!B228</f>
        <v>AP</v>
      </c>
      <c r="C228">
        <f>ROUNDUP(('Ammo Input'!C228*(MAX('Ammo Input'!D228,'Ammo Input'!F228)*0.5)^2*PI())*3/1000000,2)</f>
        <v>0.01</v>
      </c>
      <c r="D228">
        <f>ROUNDUP(('Ammo Input'!E228+'Ammo Input'!H228*IF('Ammo Input'!J228&lt;&gt;"",MAX('Ammo Input'!J228,1),1))/1000,3)</f>
        <v>0.008</v>
      </c>
      <c r="E228">
        <f>MIN(5000,MAX(25,CEILING(Calcs!L228,_xlfn.IFS(Calcs!L228&lt;100,25,Calcs!L228&lt;250,50,Calcs!L228&lt;1000,250,Calcs!L228&gt;=1000,1000))))</f>
        <v>5000</v>
      </c>
      <c r="F228">
        <f>ROUNDUP('Ammo Input'!G228^(3/4),0)</f>
        <v>129</v>
      </c>
      <c r="G228">
        <f>ROUND((0.5*((IF(OR(B228="HEAT",B228="HEDP"),'Ammo Input'!N228,'Ammo Input'!H228)/1000)*(IF(B228="HEAT",9000,IF(B228="HEDP",1500,'Ammo Input'!G228))^2))),0)</f>
        <v>549</v>
      </c>
      <c r="H228" s="25" t="str">
        <f>CONCATENATE(IF((B228="Foam")+(B228="Smoke"),"-",ROUND(Calcs!D228,0))," ",VLOOKUP(B228,AmmoTypeFactors,5,FALSE))</f>
        <v>6 Bullet</v>
      </c>
      <c r="I228" s="25" t="str">
        <f>IF(Calcs!E228=0,"None",CONCATENATE(ROUND(Calcs!E228,0)," ",VLOOKUP(B228,AmmoTypeFactors,6,FALSE)))</f>
        <v>None</v>
      </c>
      <c r="J228">
        <f>MROUND(2.42*'Ammo Input'!M228^(1/3)*VLOOKUP(B228,AmmoTypeFactors,3,FALSE),0.5)</f>
        <v>0</v>
      </c>
      <c r="K228" s="25" t="str">
        <f>IF(VLOOKUP(B228,AmmoTypeFactors,12,FALSE),MROUND(J228/3,0.5),"None")</f>
        <v>None</v>
      </c>
      <c r="L228" s="25">
        <f>IF(VLOOKUP(B228,AmmoTypeFactors,8,FALSE),"None",ROUNDUP(IF(Calcs!I228&gt;0,Calcs!I228,Calcs!H228),3))</f>
        <v>10.98</v>
      </c>
      <c r="M228" s="25">
        <f>IF(VLOOKUP(B228,AmmoTypeFactors,8,FALSE),"None",'Ammo Input'!L228)</f>
        <v>10</v>
      </c>
      <c r="N228">
        <f>'Ammo Input'!O228</f>
        <v>500</v>
      </c>
      <c r="O228" t="e">
        <f>ROUND((P228*0.0036+SUMPRODUCT(Q228:AB228,VLOOKUP($Q$1:$AB$1,IngredientStats,2,FALSE)))/N228*IF('Ammo Input'!R228,0.5,1),2)</f>
        <v>#VALUE!</v>
      </c>
      <c r="P228" t="e">
        <f>(SUMPRODUCT(Q228:AB228,VLOOKUP($Q$1:$AB$1,IngredientStats,4,FALSE))*VLOOKUP(B228,AmmoTypeFactors,14,FALSE)*IF('Ammo Input'!R228,1.1,1))</f>
        <v>#VALUE!</v>
      </c>
      <c r="Q228">
        <f>IFERROR(__xludf.DUMMYFUNCTION("((IF(NOT(OR(REGEXMATCH(B224, ""Arrow""), B224 = ""Javelin"", B224 = ""Stick bomb"")), ROUNDUP(('Ammo Input'!E224 / 1000) * N224)) + IF(VLOOKUP(B224, AmmoTypeFactors, 9, FALSE) = ""Steel"", ROUNDUP(('Ammo Input'!H224 -'Ammo Input'!M224) * MAX(IF('Ammo Inpu"&amp;"t'!J224 &gt; 0, 'Ammo Input'!J224, 1), 1) * N224 / 1000))) / 'Ingredient stats'!$C$2) * IF(ISBLANK(VLOOKUP(B224,AmmoTypeFactors,15,False)),1,VLOOKUP(B224,AmmoTypeFactors,15,False))"),10)</f>
        <v>10</v>
      </c>
      <c r="R228">
        <f>IFERROR(__xludf.DUMMYFUNCTION("ROUNDUP((IF(REGEXMATCH(B224, ""Arrow"") + (B224 = ""Javelin""), 'Ammo Input'!E224) + IF(VLOOKUP(B224, AmmoTypeFactors, 9, FALSE) = ""Wood"", 'Ammo Input'!H224) + IF(B224 = ""Stick bomb"", 'Ammo Input'!E224)) * N224 / 'Ingredient stats'!$C$12 / 1000)"),0)</f>
        <v>0</v>
      </c>
      <c r="S228">
        <v>0</v>
      </c>
      <c r="T228">
        <v>0</v>
      </c>
      <c r="U228">
        <f>IF(VLOOKUP(B228,AmmoTypeFactors,9,FALSE)="Plasteel",ROUNDUP(('Ammo Input'!H228*MAX(IF('Ammo Input'!J228&gt;0,'Ammo Input'!J228,1)*N228/1000/'Ingredient stats'!$C$4)),0),0)</f>
        <v>0</v>
      </c>
      <c r="V228">
        <f>IFERROR(__xludf.DUMMYFUNCTION("ROUNDUP(IF(ISBLANK(VLOOKUP(B224,AmmoTypeFactors,16,False)),1,VLOOKUP(B224,AmmoTypeFactors,16,False)) * (IFS(REGEXMATCH(B224, ""EMP""), 'Ammo Input'!M224 * N224 / 'Ingredient stats'!$C$5, REGEXMATCH(B224, ""Charge""), (U224^0.75), true, 0) + (IF(VLOOKUP(B2"&amp;"24, AmmoTypeFactors, 10, false), 2,0) + IF('Ammo Input'!P224, 2,0) + IF('Ammo Input'!Q224,MIN(ROUNDUP(0.2*('Ammo Input'!H224/1000)*'Ammo Input'!O224,0),20),0))))"),0)</f>
        <v>0</v>
      </c>
      <c r="W228">
        <v>0</v>
      </c>
      <c r="X228">
        <v>0</v>
      </c>
      <c r="Y228">
        <v>0</v>
      </c>
      <c r="Z228">
        <v>0</v>
      </c>
      <c r="AA228">
        <v>0</v>
      </c>
      <c r="AB228" s="30">
        <f>IF(B228="Sling Bullet (Stone)",ROUNDUP(D228*0.02*E228/'Ingredient stats'!$C$8,0),0)</f>
        <v>0</v>
      </c>
      <c r="AC228" t="str">
        <f t="shared" si="16"/>
        <v>None</v>
      </c>
      <c r="AD228" t="str">
        <f>IF(OR(B228="Buck",B228="Bird",B228="Charge (Scatter)"),'Ammo Input'!J228,"None")</f>
        <v>None</v>
      </c>
      <c r="AE228" t="str">
        <f>_xlfn.IFS(ISTEXT(Calcs!N228),Calcs!N228,Calcs!N228&lt;=40,Calcs!N228,Calcs!N228&gt;41,"40")</f>
        <v>None</v>
      </c>
      <c r="AF228" t="str">
        <f>_xlfn.IFS(ISTEXT(Calcs!O228),Calcs!O228,Calcs!O228&lt;=80,Calcs!O228,Calcs!O228&gt;=81,"80")</f>
        <v>None</v>
      </c>
      <c r="AG228" s="25">
        <f t="shared" si="17"/>
        <v>1</v>
      </c>
      <c r="AH228" s="25">
        <f t="shared" si="18"/>
        <v>2.11</v>
      </c>
      <c r="AI228" s="25">
        <f t="shared" si="19"/>
        <v>1</v>
      </c>
    </row>
    <row r="229" ht="14.4" spans="1:35">
      <c r="A229" s="24" t="str">
        <f>'Ammo Input'!A229</f>
        <v>5.7x28mm FN</v>
      </c>
      <c r="B229" t="str">
        <f>'Ammo Input'!B229</f>
        <v>HP</v>
      </c>
      <c r="C229">
        <f>ROUNDUP(('Ammo Input'!C229*(MAX('Ammo Input'!D229,'Ammo Input'!F229)*0.5)^2*PI())*3/1000000,2)</f>
        <v>0.01</v>
      </c>
      <c r="D229">
        <f>ROUNDUP(('Ammo Input'!E229+'Ammo Input'!H229*IF('Ammo Input'!J229&lt;&gt;"",MAX('Ammo Input'!J229,1),1))/1000,3)</f>
        <v>0.008</v>
      </c>
      <c r="E229">
        <f>MIN(5000,MAX(25,CEILING(Calcs!L229,_xlfn.IFS(Calcs!L229&lt;100,25,Calcs!L229&lt;250,50,Calcs!L229&lt;1000,250,Calcs!L229&gt;=1000,1000))))</f>
        <v>5000</v>
      </c>
      <c r="F229">
        <f>ROUNDUP('Ammo Input'!G229^(3/4),0)</f>
        <v>129</v>
      </c>
      <c r="G229">
        <f>ROUND((0.5*((IF(OR(B229="HEAT",B229="HEDP"),'Ammo Input'!N229,'Ammo Input'!H229)/1000)*(IF(B229="HEAT",9000,IF(B229="HEDP",1500,'Ammo Input'!G229))^2))),0)</f>
        <v>549</v>
      </c>
      <c r="H229" s="25" t="str">
        <f>CONCATENATE(IF((B229="Foam")+(B229="Smoke"),"-",ROUND(Calcs!D229,0))," ",VLOOKUP(B229,AmmoTypeFactors,5,FALSE))</f>
        <v>12 Bullet</v>
      </c>
      <c r="I229" s="25" t="str">
        <f>IF(Calcs!E229=0,"None",CONCATENATE(ROUND(Calcs!E229,0)," ",VLOOKUP(B229,AmmoTypeFactors,6,FALSE)))</f>
        <v>None</v>
      </c>
      <c r="J229">
        <f>MROUND(2.42*'Ammo Input'!M229^(1/3)*VLOOKUP(B229,AmmoTypeFactors,3,FALSE),0.5)</f>
        <v>0</v>
      </c>
      <c r="K229" s="25" t="str">
        <f>IF(VLOOKUP(B229,AmmoTypeFactors,12,FALSE),MROUND(J229/3,0.5),"None")</f>
        <v>None</v>
      </c>
      <c r="L229" s="25">
        <f>IF(VLOOKUP(B229,AmmoTypeFactors,8,FALSE),"None",ROUNDUP(IF(Calcs!I229&gt;0,Calcs!I229,Calcs!H229),3))</f>
        <v>10.98</v>
      </c>
      <c r="M229" s="25">
        <f>IF(VLOOKUP(B229,AmmoTypeFactors,8,FALSE),"None",'Ammo Input'!L229)</f>
        <v>3</v>
      </c>
      <c r="N229">
        <f>'Ammo Input'!O229</f>
        <v>500</v>
      </c>
      <c r="O229" t="e">
        <f>ROUND((P229*0.0036+SUMPRODUCT(Q229:AB229,VLOOKUP($Q$1:$AB$1,IngredientStats,2,FALSE)))/N229*IF('Ammo Input'!R229,0.5,1),2)</f>
        <v>#VALUE!</v>
      </c>
      <c r="P229" t="e">
        <f>(SUMPRODUCT(Q229:AB229,VLOOKUP($Q$1:$AB$1,IngredientStats,4,FALSE))*VLOOKUP(B229,AmmoTypeFactors,14,FALSE)*IF('Ammo Input'!R229,1.1,1))</f>
        <v>#VALUE!</v>
      </c>
      <c r="Q229">
        <f>IFERROR(__xludf.DUMMYFUNCTION("((IF(NOT(OR(REGEXMATCH(B225, ""Arrow""), B225 = ""Javelin"", B225 = ""Stick bomb"")), ROUNDUP(('Ammo Input'!E225 / 1000) * N225)) + IF(VLOOKUP(B225, AmmoTypeFactors, 9, FALSE) = ""Steel"", ROUNDUP(('Ammo Input'!H225 -'Ammo Input'!M225) * MAX(IF('Ammo Inpu"&amp;"t'!J225 &gt; 0, 'Ammo Input'!J225, 1), 1) * N225 / 1000))) / 'Ingredient stats'!$C$2) * IF(ISBLANK(VLOOKUP(B225,AmmoTypeFactors,15,False)),1,VLOOKUP(B225,AmmoTypeFactors,15,False))"),10)</f>
        <v>10</v>
      </c>
      <c r="R229">
        <f>IFERROR(__xludf.DUMMYFUNCTION("ROUNDUP((IF(REGEXMATCH(B225, ""Arrow"") + (B225 = ""Javelin""), 'Ammo Input'!E225) + IF(VLOOKUP(B225, AmmoTypeFactors, 9, FALSE) = ""Wood"", 'Ammo Input'!H225) + IF(B225 = ""Stick bomb"", 'Ammo Input'!E225)) * N225 / 'Ingredient stats'!$C$12 / 1000)"),0)</f>
        <v>0</v>
      </c>
      <c r="S229">
        <v>0</v>
      </c>
      <c r="T229">
        <v>0</v>
      </c>
      <c r="U229">
        <f>IF(VLOOKUP(B229,AmmoTypeFactors,9,FALSE)="Plasteel",ROUNDUP(('Ammo Input'!H229*MAX(IF('Ammo Input'!J229&gt;0,'Ammo Input'!J229,1)*N229/1000/'Ingredient stats'!$C$4)),0),0)</f>
        <v>0</v>
      </c>
      <c r="V229">
        <f>IFERROR(__xludf.DUMMYFUNCTION("ROUNDUP(IF(ISBLANK(VLOOKUP(B225,AmmoTypeFactors,16,False)),1,VLOOKUP(B225,AmmoTypeFactors,16,False)) * (IFS(REGEXMATCH(B225, ""EMP""), 'Ammo Input'!M225 * N225 / 'Ingredient stats'!$C$5, REGEXMATCH(B225, ""Charge""), (U225^0.75), true, 0) + (IF(VLOOKUP(B2"&amp;"25, AmmoTypeFactors, 10, false), 2,0) + IF('Ammo Input'!P225, 2,0) + IF('Ammo Input'!Q225,MIN(ROUNDUP(0.2*('Ammo Input'!H225/1000)*'Ammo Input'!O225,0),20),0))))"),0)</f>
        <v>0</v>
      </c>
      <c r="W229">
        <v>0</v>
      </c>
      <c r="X229">
        <v>0</v>
      </c>
      <c r="Y229">
        <v>0</v>
      </c>
      <c r="Z229">
        <v>0</v>
      </c>
      <c r="AA229">
        <v>0</v>
      </c>
      <c r="AB229" s="30">
        <f>IF(B229="Sling Bullet (Stone)",ROUNDUP(D229*0.02*E229/'Ingredient stats'!$C$8,0),0)</f>
        <v>0</v>
      </c>
      <c r="AC229" t="str">
        <f t="shared" si="16"/>
        <v>None</v>
      </c>
      <c r="AD229" t="str">
        <f>IF(OR(B229="Buck",B229="Bird",B229="Charge (Scatter)"),'Ammo Input'!J229,"None")</f>
        <v>None</v>
      </c>
      <c r="AE229" t="str">
        <f>_xlfn.IFS(ISTEXT(Calcs!N229),Calcs!N229,Calcs!N229&lt;=40,Calcs!N229,Calcs!N229&gt;41,"40")</f>
        <v>None</v>
      </c>
      <c r="AF229" t="str">
        <f>_xlfn.IFS(ISTEXT(Calcs!O229),Calcs!O229,Calcs!O229&lt;=80,Calcs!O229,Calcs!O229&gt;=81,"80")</f>
        <v>None</v>
      </c>
      <c r="AG229" s="25">
        <f t="shared" si="17"/>
        <v>1</v>
      </c>
      <c r="AH229" s="25">
        <f t="shared" si="18"/>
        <v>2.11</v>
      </c>
      <c r="AI229" s="25">
        <f t="shared" si="19"/>
        <v>1</v>
      </c>
    </row>
    <row r="230" ht="14.4" spans="1:35">
      <c r="A230" s="24" t="str">
        <f>'Ammo Input'!A230</f>
        <v>7.5 FK</v>
      </c>
      <c r="B230" t="str">
        <f>'Ammo Input'!B230</f>
        <v>FMJ</v>
      </c>
      <c r="C230">
        <f>ROUNDUP(('Ammo Input'!C230*(MAX('Ammo Input'!D230,'Ammo Input'!F230)*0.5)^2*PI())*3/1000000,2)</f>
        <v>0.01</v>
      </c>
      <c r="D230">
        <f>ROUNDUP(('Ammo Input'!E230+'Ammo Input'!H230*IF('Ammo Input'!J230&lt;&gt;"",MAX('Ammo Input'!J230,1),1))/1000,3)</f>
        <v>0.011</v>
      </c>
      <c r="E230">
        <f>MIN(5000,MAX(25,CEILING(Calcs!L230,_xlfn.IFS(Calcs!L230&lt;100,25,Calcs!L230&lt;250,50,Calcs!L230&lt;1000,250,Calcs!L230&gt;=1000,1000))))</f>
        <v>5000</v>
      </c>
      <c r="F230">
        <f>ROUNDUP('Ammo Input'!G230^(3/4),0)</f>
        <v>123</v>
      </c>
      <c r="G230">
        <f>ROUND((0.5*((IF(OR(B230="HEAT",B230="HEDP"),'Ammo Input'!N230,'Ammo Input'!H230)/1000)*(IF(B230="HEAT",9000,IF(B230="HEDP",1500,'Ammo Input'!G230))^2))),0)</f>
        <v>1146</v>
      </c>
      <c r="H230" s="25" t="str">
        <f>CONCATENATE(IF((B230="Foam")+(B230="Smoke"),"-",ROUND(Calcs!D230,0))," ",VLOOKUP(B230,AmmoTypeFactors,5,FALSE))</f>
        <v>13 Bullet</v>
      </c>
      <c r="I230" s="25" t="str">
        <f>IF(Calcs!E230=0,"None",CONCATENATE(ROUND(Calcs!E230,0)," ",VLOOKUP(B230,AmmoTypeFactors,6,FALSE)))</f>
        <v>None</v>
      </c>
      <c r="J230">
        <f>MROUND(2.42*'Ammo Input'!M230^(1/3)*VLOOKUP(B230,AmmoTypeFactors,3,FALSE),0.5)</f>
        <v>0</v>
      </c>
      <c r="K230" s="25" t="str">
        <f>IF(VLOOKUP(B230,AmmoTypeFactors,12,FALSE),MROUND(J230/3,0.5),"None")</f>
        <v>None</v>
      </c>
      <c r="L230" s="25">
        <f>IF(VLOOKUP(B230,AmmoTypeFactors,8,FALSE),"None",ROUNDUP(IF(Calcs!I230&gt;0,Calcs!I230,Calcs!H230),3))</f>
        <v>22.92</v>
      </c>
      <c r="M230" s="25">
        <f>IF(VLOOKUP(B230,AmmoTypeFactors,8,FALSE),"None",'Ammo Input'!L230)</f>
        <v>6</v>
      </c>
      <c r="N230">
        <f>'Ammo Input'!O230</f>
        <v>500</v>
      </c>
      <c r="O230" t="e">
        <f>ROUND((P230*0.0036+SUMPRODUCT(Q230:AB230,VLOOKUP($Q$1:$AB$1,IngredientStats,2,FALSE)))/N230*IF('Ammo Input'!R230,0.5,1),2)</f>
        <v>#VALUE!</v>
      </c>
      <c r="P230" t="e">
        <f>(SUMPRODUCT(Q230:AB230,VLOOKUP($Q$1:$AB$1,IngredientStats,4,FALSE))*VLOOKUP(B230,AmmoTypeFactors,14,FALSE)*IF('Ammo Input'!R230,1.1,1))</f>
        <v>#VALUE!</v>
      </c>
      <c r="Q230">
        <f>IFERROR(__xludf.DUMMYFUNCTION("((IF(NOT(OR(REGEXMATCH(B226, ""Arrow""), B226 = ""Javelin"", B226 = ""Stick bomb"")), ROUNDUP(('Ammo Input'!E226 / 1000) * N226)) + IF(VLOOKUP(B226, AmmoTypeFactors, 9, FALSE) = ""Steel"", ROUNDUP(('Ammo Input'!H226 -'Ammo Input'!M226) * MAX(IF('Ammo Inpu"&amp;"t'!J226 &gt; 0, 'Ammo Input'!J226, 1), 1) * N226 / 1000))) / 'Ingredient stats'!$C$2) * IF(ISBLANK(VLOOKUP(B226,AmmoTypeFactors,15,False)),1,VLOOKUP(B226,AmmoTypeFactors,15,False))"),14)</f>
        <v>14</v>
      </c>
      <c r="R230">
        <f>IFERROR(__xludf.DUMMYFUNCTION("ROUNDUP((IF(REGEXMATCH(B226, ""Arrow"") + (B226 = ""Javelin""), 'Ammo Input'!E226) + IF(VLOOKUP(B226, AmmoTypeFactors, 9, FALSE) = ""Wood"", 'Ammo Input'!H226) + IF(B226 = ""Stick bomb"", 'Ammo Input'!E226)) * N226 / 'Ingredient stats'!$C$12 / 1000)"),0)</f>
        <v>0</v>
      </c>
      <c r="S230">
        <v>0</v>
      </c>
      <c r="T230">
        <v>0</v>
      </c>
      <c r="U230">
        <f>IF(VLOOKUP(B230,AmmoTypeFactors,9,FALSE)="Plasteel",ROUNDUP(('Ammo Input'!H230*MAX(IF('Ammo Input'!J230&gt;0,'Ammo Input'!J230,1)*N230/1000/'Ingredient stats'!$C$4)),0),0)</f>
        <v>0</v>
      </c>
      <c r="V230">
        <f>IFERROR(__xludf.DUMMYFUNCTION("ROUNDUP(IF(ISBLANK(VLOOKUP(B226,AmmoTypeFactors,16,False)),1,VLOOKUP(B226,AmmoTypeFactors,16,False)) * (IFS(REGEXMATCH(B226, ""EMP""), 'Ammo Input'!M226 * N226 / 'Ingredient stats'!$C$5, REGEXMATCH(B226, ""Charge""), (U226^0.75), true, 0) + (IF(VLOOKUP(B2"&amp;"26, AmmoTypeFactors, 10, false), 2,0) + IF('Ammo Input'!P226, 2,0) + IF('Ammo Input'!Q226,MIN(ROUNDUP(0.2*('Ammo Input'!H226/1000)*'Ammo Input'!O226,0),20),0))))"),0)</f>
        <v>0</v>
      </c>
      <c r="W230">
        <v>0</v>
      </c>
      <c r="X230">
        <v>0</v>
      </c>
      <c r="Y230">
        <v>0</v>
      </c>
      <c r="Z230">
        <v>0</v>
      </c>
      <c r="AA230">
        <v>0</v>
      </c>
      <c r="AB230" s="30">
        <f>IF(B230="Sling Bullet (Stone)",ROUNDUP(D230*0.02*E230/'Ingredient stats'!$C$8,0),0)</f>
        <v>0</v>
      </c>
      <c r="AC230" t="str">
        <f t="shared" si="16"/>
        <v>None</v>
      </c>
      <c r="AD230" t="str">
        <f>IF(OR(B230="Buck",B230="Bird",B230="Charge (Scatter)"),'Ammo Input'!J230,"None")</f>
        <v>None</v>
      </c>
      <c r="AE230" t="str">
        <f>_xlfn.IFS(ISTEXT(Calcs!N230),Calcs!N230,Calcs!N230&lt;=40,Calcs!N230,Calcs!N230&gt;41,"40")</f>
        <v>None</v>
      </c>
      <c r="AF230" t="str">
        <f>_xlfn.IFS(ISTEXT(Calcs!O230),Calcs!O230,Calcs!O230&lt;=80,Calcs!O230,Calcs!O230&gt;=81,"80")</f>
        <v>None</v>
      </c>
      <c r="AG230" s="25">
        <f t="shared" si="17"/>
        <v>1</v>
      </c>
      <c r="AH230" s="25">
        <f t="shared" si="18"/>
        <v>2.02</v>
      </c>
      <c r="AI230" s="25">
        <f t="shared" si="19"/>
        <v>1</v>
      </c>
    </row>
    <row r="231" ht="14.4" spans="1:35">
      <c r="A231" s="24" t="str">
        <f>'Ammo Input'!A231</f>
        <v>7.5 FK</v>
      </c>
      <c r="B231" t="str">
        <f>'Ammo Input'!B231</f>
        <v>AP</v>
      </c>
      <c r="C231">
        <f>ROUNDUP(('Ammo Input'!C231*(MAX('Ammo Input'!D231,'Ammo Input'!F231)*0.5)^2*PI())*3/1000000,2)</f>
        <v>0.01</v>
      </c>
      <c r="D231">
        <f>ROUNDUP(('Ammo Input'!E231+'Ammo Input'!H231*IF('Ammo Input'!J231&lt;&gt;"",MAX('Ammo Input'!J231,1),1))/1000,3)</f>
        <v>0.011</v>
      </c>
      <c r="E231">
        <f>MIN(5000,MAX(25,CEILING(Calcs!L231,_xlfn.IFS(Calcs!L231&lt;100,25,Calcs!L231&lt;250,50,Calcs!L231&lt;1000,250,Calcs!L231&gt;=1000,1000))))</f>
        <v>5000</v>
      </c>
      <c r="F231">
        <f>ROUNDUP('Ammo Input'!G231^(3/4),0)</f>
        <v>123</v>
      </c>
      <c r="G231">
        <f>ROUND((0.5*((IF(OR(B231="HEAT",B231="HEDP"),'Ammo Input'!N231,'Ammo Input'!H231)/1000)*(IF(B231="HEAT",9000,IF(B231="HEDP",1500,'Ammo Input'!G231))^2))),0)</f>
        <v>1146</v>
      </c>
      <c r="H231" s="25" t="str">
        <f>CONCATENATE(IF((B231="Foam")+(B231="Smoke"),"-",ROUND(Calcs!D231,0))," ",VLOOKUP(B231,AmmoTypeFactors,5,FALSE))</f>
        <v>8 Bullet</v>
      </c>
      <c r="I231" s="25" t="str">
        <f>IF(Calcs!E231=0,"None",CONCATENATE(ROUND(Calcs!E231,0)," ",VLOOKUP(B231,AmmoTypeFactors,6,FALSE)))</f>
        <v>None</v>
      </c>
      <c r="J231">
        <f>MROUND(2.42*'Ammo Input'!M231^(1/3)*VLOOKUP(B231,AmmoTypeFactors,3,FALSE),0.5)</f>
        <v>0</v>
      </c>
      <c r="K231" s="25" t="str">
        <f>IF(VLOOKUP(B231,AmmoTypeFactors,12,FALSE),MROUND(J231/3,0.5),"None")</f>
        <v>None</v>
      </c>
      <c r="L231" s="25">
        <f>IF(VLOOKUP(B231,AmmoTypeFactors,8,FALSE),"None",ROUNDUP(IF(Calcs!I231&gt;0,Calcs!I231,Calcs!H231),3))</f>
        <v>22.92</v>
      </c>
      <c r="M231" s="25">
        <f>IF(VLOOKUP(B231,AmmoTypeFactors,8,FALSE),"None",'Ammo Input'!L231)</f>
        <v>12</v>
      </c>
      <c r="N231">
        <f>'Ammo Input'!O231</f>
        <v>500</v>
      </c>
      <c r="O231" t="e">
        <f>ROUND((P231*0.0036+SUMPRODUCT(Q231:AB231,VLOOKUP($Q$1:$AB$1,IngredientStats,2,FALSE)))/N231*IF('Ammo Input'!R231,0.5,1),2)</f>
        <v>#VALUE!</v>
      </c>
      <c r="P231" t="e">
        <f>(SUMPRODUCT(Q231:AB231,VLOOKUP($Q$1:$AB$1,IngredientStats,4,FALSE))*VLOOKUP(B231,AmmoTypeFactors,14,FALSE)*IF('Ammo Input'!R231,1.1,1))</f>
        <v>#VALUE!</v>
      </c>
      <c r="Q231">
        <f>IFERROR(__xludf.DUMMYFUNCTION("((IF(NOT(OR(REGEXMATCH(B227, ""Arrow""), B227 = ""Javelin"", B227 = ""Stick bomb"")), ROUNDUP(('Ammo Input'!E227 / 1000) * N227)) + IF(VLOOKUP(B227, AmmoTypeFactors, 9, FALSE) = ""Steel"", ROUNDUP(('Ammo Input'!H227 -'Ammo Input'!M227) * MAX(IF('Ammo Inpu"&amp;"t'!J227 &gt; 0, 'Ammo Input'!J227, 1), 1) * N227 / 1000))) / 'Ingredient stats'!$C$2) * IF(ISBLANK(VLOOKUP(B227,AmmoTypeFactors,15,False)),1,VLOOKUP(B227,AmmoTypeFactors,15,False))"),14)</f>
        <v>14</v>
      </c>
      <c r="R231">
        <f>IFERROR(__xludf.DUMMYFUNCTION("ROUNDUP((IF(REGEXMATCH(B227, ""Arrow"") + (B227 = ""Javelin""), 'Ammo Input'!E227) + IF(VLOOKUP(B227, AmmoTypeFactors, 9, FALSE) = ""Wood"", 'Ammo Input'!H227) + IF(B227 = ""Stick bomb"", 'Ammo Input'!E227)) * N227 / 'Ingredient stats'!$C$12 / 1000)"),0)</f>
        <v>0</v>
      </c>
      <c r="S231">
        <v>0</v>
      </c>
      <c r="T231">
        <v>0</v>
      </c>
      <c r="U231">
        <f>IF(VLOOKUP(B231,AmmoTypeFactors,9,FALSE)="Plasteel",ROUNDUP(('Ammo Input'!H231*MAX(IF('Ammo Input'!J231&gt;0,'Ammo Input'!J231,1)*N231/1000/'Ingredient stats'!$C$4)),0),0)</f>
        <v>0</v>
      </c>
      <c r="V231">
        <f>IFERROR(__xludf.DUMMYFUNCTION("ROUNDUP(IF(ISBLANK(VLOOKUP(B227,AmmoTypeFactors,16,False)),1,VLOOKUP(B227,AmmoTypeFactors,16,False)) * (IFS(REGEXMATCH(B227, ""EMP""), 'Ammo Input'!M227 * N227 / 'Ingredient stats'!$C$5, REGEXMATCH(B227, ""Charge""), (U227^0.75), true, 0) + (IF(VLOOKUP(B2"&amp;"27, AmmoTypeFactors, 10, false), 2,0) + IF('Ammo Input'!P227, 2,0) + IF('Ammo Input'!Q227,MIN(ROUNDUP(0.2*('Ammo Input'!H227/1000)*'Ammo Input'!O227,0),20),0))))"),0)</f>
        <v>0</v>
      </c>
      <c r="W231">
        <v>0</v>
      </c>
      <c r="X231">
        <v>0</v>
      </c>
      <c r="Y231">
        <v>0</v>
      </c>
      <c r="Z231">
        <v>0</v>
      </c>
      <c r="AA231">
        <v>0</v>
      </c>
      <c r="AB231" s="30">
        <f>IF(B231="Sling Bullet (Stone)",ROUNDUP(D231*0.02*E231/'Ingredient stats'!$C$8,0),0)</f>
        <v>0</v>
      </c>
      <c r="AC231" t="str">
        <f t="shared" si="16"/>
        <v>None</v>
      </c>
      <c r="AD231" t="str">
        <f>IF(OR(B231="Buck",B231="Bird",B231="Charge (Scatter)"),'Ammo Input'!J231,"None")</f>
        <v>None</v>
      </c>
      <c r="AE231" t="str">
        <f>_xlfn.IFS(ISTEXT(Calcs!N231),Calcs!N231,Calcs!N231&lt;=40,Calcs!N231,Calcs!N231&gt;41,"40")</f>
        <v>None</v>
      </c>
      <c r="AF231" t="str">
        <f>_xlfn.IFS(ISTEXT(Calcs!O231),Calcs!O231,Calcs!O231&lt;=80,Calcs!O231,Calcs!O231&gt;=81,"80")</f>
        <v>None</v>
      </c>
      <c r="AG231" s="25">
        <f t="shared" si="17"/>
        <v>1</v>
      </c>
      <c r="AH231" s="25">
        <f t="shared" si="18"/>
        <v>2.02</v>
      </c>
      <c r="AI231" s="25">
        <f t="shared" si="19"/>
        <v>1</v>
      </c>
    </row>
    <row r="232" ht="14.4" spans="1:35">
      <c r="A232" s="24" t="str">
        <f>'Ammo Input'!A232</f>
        <v>7.5 FK</v>
      </c>
      <c r="B232" t="str">
        <f>'Ammo Input'!B232</f>
        <v>HP</v>
      </c>
      <c r="C232">
        <f>ROUNDUP(('Ammo Input'!C232*(MAX('Ammo Input'!D232,'Ammo Input'!F232)*0.5)^2*PI())*3/1000000,2)</f>
        <v>0.01</v>
      </c>
      <c r="D232">
        <f>ROUNDUP(('Ammo Input'!E232+'Ammo Input'!H232*IF('Ammo Input'!J232&lt;&gt;"",MAX('Ammo Input'!J232,1),1))/1000,3)</f>
        <v>0.011</v>
      </c>
      <c r="E232">
        <f>MIN(5000,MAX(25,CEILING(Calcs!L232,_xlfn.IFS(Calcs!L232&lt;100,25,Calcs!L232&lt;250,50,Calcs!L232&lt;1000,250,Calcs!L232&gt;=1000,1000))))</f>
        <v>5000</v>
      </c>
      <c r="F232">
        <f>ROUNDUP('Ammo Input'!G232^(3/4),0)</f>
        <v>123</v>
      </c>
      <c r="G232">
        <f>ROUND((0.5*((IF(OR(B232="HEAT",B232="HEDP"),'Ammo Input'!N232,'Ammo Input'!H232)/1000)*(IF(B232="HEAT",9000,IF(B232="HEDP",1500,'Ammo Input'!G232))^2))),0)</f>
        <v>1146</v>
      </c>
      <c r="H232" s="25" t="str">
        <f>CONCATENATE(IF((B232="Foam")+(B232="Smoke"),"-",ROUND(Calcs!D232,0))," ",VLOOKUP(B232,AmmoTypeFactors,5,FALSE))</f>
        <v>17 Bullet</v>
      </c>
      <c r="I232" s="25" t="str">
        <f>IF(Calcs!E232=0,"None",CONCATENATE(ROUND(Calcs!E232,0)," ",VLOOKUP(B232,AmmoTypeFactors,6,FALSE)))</f>
        <v>None</v>
      </c>
      <c r="J232">
        <f>MROUND(2.42*'Ammo Input'!M232^(1/3)*VLOOKUP(B232,AmmoTypeFactors,3,FALSE),0.5)</f>
        <v>0</v>
      </c>
      <c r="K232" s="25" t="str">
        <f>IF(VLOOKUP(B232,AmmoTypeFactors,12,FALSE),MROUND(J232/3,0.5),"None")</f>
        <v>None</v>
      </c>
      <c r="L232" s="25">
        <f>IF(VLOOKUP(B232,AmmoTypeFactors,8,FALSE),"None",ROUNDUP(IF(Calcs!I232&gt;0,Calcs!I232,Calcs!H232),3))</f>
        <v>22.92</v>
      </c>
      <c r="M232" s="25">
        <f>IF(VLOOKUP(B232,AmmoTypeFactors,8,FALSE),"None",'Ammo Input'!L232)</f>
        <v>3</v>
      </c>
      <c r="N232">
        <f>'Ammo Input'!O232</f>
        <v>500</v>
      </c>
      <c r="O232" t="e">
        <f>ROUND((P232*0.0036+SUMPRODUCT(Q232:AB232,VLOOKUP($Q$1:$AB$1,IngredientStats,2,FALSE)))/N232*IF('Ammo Input'!R232,0.5,1),2)</f>
        <v>#VALUE!</v>
      </c>
      <c r="P232" t="e">
        <f>(SUMPRODUCT(Q232:AB232,VLOOKUP($Q$1:$AB$1,IngredientStats,4,FALSE))*VLOOKUP(B232,AmmoTypeFactors,14,FALSE)*IF('Ammo Input'!R232,1.1,1))</f>
        <v>#VALUE!</v>
      </c>
      <c r="Q232">
        <f>IFERROR(__xludf.DUMMYFUNCTION("((IF(NOT(OR(REGEXMATCH(B228, ""Arrow""), B228 = ""Javelin"", B228 = ""Stick bomb"")), ROUNDUP(('Ammo Input'!E228 / 1000) * N228)) + IF(VLOOKUP(B228, AmmoTypeFactors, 9, FALSE) = ""Steel"", ROUNDUP(('Ammo Input'!H228 -'Ammo Input'!M228) * MAX(IF('Ammo Inpu"&amp;"t'!J228 &gt; 0, 'Ammo Input'!J228, 1), 1) * N228 / 1000))) / 'Ingredient stats'!$C$2) * IF(ISBLANK(VLOOKUP(B228,AmmoTypeFactors,15,False)),1,VLOOKUP(B228,AmmoTypeFactors,15,False))"),14)</f>
        <v>14</v>
      </c>
      <c r="R232">
        <f>IFERROR(__xludf.DUMMYFUNCTION("ROUNDUP((IF(REGEXMATCH(B228, ""Arrow"") + (B228 = ""Javelin""), 'Ammo Input'!E228) + IF(VLOOKUP(B228, AmmoTypeFactors, 9, FALSE) = ""Wood"", 'Ammo Input'!H228) + IF(B228 = ""Stick bomb"", 'Ammo Input'!E228)) * N228 / 'Ingredient stats'!$C$12 / 1000)"),0)</f>
        <v>0</v>
      </c>
      <c r="S232">
        <v>0</v>
      </c>
      <c r="T232">
        <v>0</v>
      </c>
      <c r="U232">
        <f>IF(VLOOKUP(B232,AmmoTypeFactors,9,FALSE)="Plasteel",ROUNDUP(('Ammo Input'!H232*MAX(IF('Ammo Input'!J232&gt;0,'Ammo Input'!J232,1)*N232/1000/'Ingredient stats'!$C$4)),0),0)</f>
        <v>0</v>
      </c>
      <c r="V232">
        <f>IFERROR(__xludf.DUMMYFUNCTION("ROUNDUP(IF(ISBLANK(VLOOKUP(B228,AmmoTypeFactors,16,False)),1,VLOOKUP(B228,AmmoTypeFactors,16,False)) * (IFS(REGEXMATCH(B228, ""EMP""), 'Ammo Input'!M228 * N228 / 'Ingredient stats'!$C$5, REGEXMATCH(B228, ""Charge""), (U228^0.75), true, 0) + (IF(VLOOKUP(B2"&amp;"28, AmmoTypeFactors, 10, false), 2,0) + IF('Ammo Input'!P228, 2,0) + IF('Ammo Input'!Q228,MIN(ROUNDUP(0.2*('Ammo Input'!H228/1000)*'Ammo Input'!O228,0),20),0))))"),0)</f>
        <v>0</v>
      </c>
      <c r="W232">
        <v>0</v>
      </c>
      <c r="X232">
        <v>0</v>
      </c>
      <c r="Y232">
        <v>0</v>
      </c>
      <c r="Z232">
        <v>0</v>
      </c>
      <c r="AA232">
        <v>0</v>
      </c>
      <c r="AB232" s="30">
        <f>IF(B232="Sling Bullet (Stone)",ROUNDUP(D232*0.02*E232/'Ingredient stats'!$C$8,0),0)</f>
        <v>0</v>
      </c>
      <c r="AC232" t="str">
        <f t="shared" si="16"/>
        <v>None</v>
      </c>
      <c r="AD232" t="str">
        <f>IF(OR(B232="Buck",B232="Bird",B232="Charge (Scatter)"),'Ammo Input'!J232,"None")</f>
        <v>None</v>
      </c>
      <c r="AE232" t="str">
        <f>_xlfn.IFS(ISTEXT(Calcs!N232),Calcs!N232,Calcs!N232&lt;=40,Calcs!N232,Calcs!N232&gt;41,"40")</f>
        <v>None</v>
      </c>
      <c r="AF232" t="str">
        <f>_xlfn.IFS(ISTEXT(Calcs!O232),Calcs!O232,Calcs!O232&lt;=80,Calcs!O232,Calcs!O232&gt;=81,"80")</f>
        <v>None</v>
      </c>
      <c r="AG232" s="25">
        <f t="shared" si="17"/>
        <v>1</v>
      </c>
      <c r="AH232" s="25">
        <f t="shared" si="18"/>
        <v>2.02</v>
      </c>
      <c r="AI232" s="25">
        <f t="shared" si="19"/>
        <v>1</v>
      </c>
    </row>
    <row r="233" ht="14.4" spans="1:35">
      <c r="A233" s="24" t="str">
        <f>'Ammo Input'!A233</f>
        <v>9x19mm Parabellum</v>
      </c>
      <c r="B233" t="str">
        <f>'Ammo Input'!B233</f>
        <v>FMJ</v>
      </c>
      <c r="C233">
        <f>ROUNDUP(('Ammo Input'!C233*(MAX('Ammo Input'!D233,'Ammo Input'!F233)*0.5)^2*PI())*3/1000000,2)</f>
        <v>0.01</v>
      </c>
      <c r="D233">
        <f>ROUNDUP(('Ammo Input'!E233+'Ammo Input'!H233*IF('Ammo Input'!J233&lt;&gt;"",MAX('Ammo Input'!J233,1),1))/1000,3)</f>
        <v>0.012</v>
      </c>
      <c r="E233">
        <f>MIN(5000,MAX(25,CEILING(Calcs!L233,_xlfn.IFS(Calcs!L233&lt;100,25,Calcs!L233&lt;250,50,Calcs!L233&lt;1000,250,Calcs!L233&gt;=1000,1000))))</f>
        <v>5000</v>
      </c>
      <c r="F233">
        <f>ROUNDUP('Ammo Input'!G233^(3/4),0)</f>
        <v>83</v>
      </c>
      <c r="G233">
        <f>ROUND((0.5*((IF(OR(B233="HEAT",B233="HEDP"),'Ammo Input'!N233,'Ammo Input'!H233)/1000)*(IF(B233="HEAT",9000,IF(B233="HEDP",1500,'Ammo Input'!G233))^2))),0)</f>
        <v>483</v>
      </c>
      <c r="H233" s="25" t="str">
        <f>CONCATENATE(IF((B233="Foam")+(B233="Smoke"),"-",ROUND(Calcs!D233,0))," ",VLOOKUP(B233,AmmoTypeFactors,5,FALSE))</f>
        <v>11 Bullet</v>
      </c>
      <c r="I233" s="25" t="str">
        <f>IF(Calcs!E233=0,"None",CONCATENATE(ROUND(Calcs!E233,0)," ",VLOOKUP(B233,AmmoTypeFactors,6,FALSE)))</f>
        <v>None</v>
      </c>
      <c r="J233">
        <f>MROUND(2.42*'Ammo Input'!M233^(1/3)*VLOOKUP(B233,AmmoTypeFactors,3,FALSE),0.5)</f>
        <v>0</v>
      </c>
      <c r="K233" s="25" t="str">
        <f>IF(VLOOKUP(B233,AmmoTypeFactors,12,FALSE),MROUND(J233/3,0.5),"None")</f>
        <v>None</v>
      </c>
      <c r="L233" s="25">
        <f>IF(VLOOKUP(B233,AmmoTypeFactors,8,FALSE),"None",ROUNDUP(IF(Calcs!I233&gt;0,Calcs!I233,Calcs!H233),3))</f>
        <v>9.66</v>
      </c>
      <c r="M233" s="25">
        <f>IF(VLOOKUP(B233,AmmoTypeFactors,8,FALSE),"None",'Ammo Input'!L233)</f>
        <v>4</v>
      </c>
      <c r="N233">
        <f>'Ammo Input'!O233</f>
        <v>500</v>
      </c>
      <c r="O233" t="e">
        <f>ROUND((P233*0.0036+SUMPRODUCT(Q233:AB233,VLOOKUP($Q$1:$AB$1,IngredientStats,2,FALSE)))/N233*IF('Ammo Input'!R233,0.5,1),2)</f>
        <v>#VALUE!</v>
      </c>
      <c r="P233" t="e">
        <f>(SUMPRODUCT(Q233:AB233,VLOOKUP($Q$1:$AB$1,IngredientStats,4,FALSE))*VLOOKUP(B233,AmmoTypeFactors,14,FALSE)*IF('Ammo Input'!R233,1.1,1))</f>
        <v>#VALUE!</v>
      </c>
      <c r="Q233">
        <f>IFERROR(__xludf.DUMMYFUNCTION("((IF(NOT(OR(REGEXMATCH(B229, ""Arrow""), B229 = ""Javelin"", B229 = ""Stick bomb"")), ROUNDUP(('Ammo Input'!E229 / 1000) * N229)) + IF(VLOOKUP(B229, AmmoTypeFactors, 9, FALSE) = ""Steel"", ROUNDUP(('Ammo Input'!H229 -'Ammo Input'!M229) * MAX(IF('Ammo Inpu"&amp;"t'!J229 &gt; 0, 'Ammo Input'!J229, 1), 1) * N229 / 1000))) / 'Ingredient stats'!$C$2) * IF(ISBLANK(VLOOKUP(B229,AmmoTypeFactors,15,False)),1,VLOOKUP(B229,AmmoTypeFactors,15,False))"),14)</f>
        <v>14</v>
      </c>
      <c r="R233">
        <f>IFERROR(__xludf.DUMMYFUNCTION("ROUNDUP((IF(REGEXMATCH(B229, ""Arrow"") + (B229 = ""Javelin""), 'Ammo Input'!E229) + IF(VLOOKUP(B229, AmmoTypeFactors, 9, FALSE) = ""Wood"", 'Ammo Input'!H229) + IF(B229 = ""Stick bomb"", 'Ammo Input'!E229)) * N229 / 'Ingredient stats'!$C$12 / 1000)"),0)</f>
        <v>0</v>
      </c>
      <c r="S233">
        <v>0</v>
      </c>
      <c r="T233">
        <v>0</v>
      </c>
      <c r="U233">
        <f>IF(VLOOKUP(B233,AmmoTypeFactors,9,FALSE)="Plasteel",ROUNDUP(('Ammo Input'!H233*MAX(IF('Ammo Input'!J233&gt;0,'Ammo Input'!J233,1)*N233/1000/'Ingredient stats'!$C$4)),0),0)</f>
        <v>0</v>
      </c>
      <c r="V233">
        <f>IFERROR(__xludf.DUMMYFUNCTION("ROUNDUP(IF(ISBLANK(VLOOKUP(B229,AmmoTypeFactors,16,False)),1,VLOOKUP(B229,AmmoTypeFactors,16,False)) * (IFS(REGEXMATCH(B229, ""EMP""), 'Ammo Input'!M229 * N229 / 'Ingredient stats'!$C$5, REGEXMATCH(B229, ""Charge""), (U229^0.75), true, 0) + (IF(VLOOKUP(B2"&amp;"29, AmmoTypeFactors, 10, false), 2,0) + IF('Ammo Input'!P229, 2,0) + IF('Ammo Input'!Q229,MIN(ROUNDUP(0.2*('Ammo Input'!H229/1000)*'Ammo Input'!O229,0),20),0))))"),0)</f>
        <v>0</v>
      </c>
      <c r="W233">
        <v>0</v>
      </c>
      <c r="X233">
        <v>0</v>
      </c>
      <c r="Y233">
        <v>0</v>
      </c>
      <c r="Z233">
        <v>0</v>
      </c>
      <c r="AA233">
        <v>0</v>
      </c>
      <c r="AB233" s="30">
        <f>IF(B233="Sling Bullet (Stone)",ROUNDUP(D233*0.02*E233/'Ingredient stats'!$C$8,0),0)</f>
        <v>0</v>
      </c>
      <c r="AC233" t="str">
        <f t="shared" si="16"/>
        <v>None</v>
      </c>
      <c r="AD233" t="str">
        <f>IF(OR(B233="Buck",B233="Bird",B233="Charge (Scatter)"),'Ammo Input'!J233,"None")</f>
        <v>None</v>
      </c>
      <c r="AE233" t="str">
        <f>_xlfn.IFS(ISTEXT(Calcs!N233),Calcs!N233,Calcs!N233&lt;=40,Calcs!N233,Calcs!N233&gt;41,"40")</f>
        <v>None</v>
      </c>
      <c r="AF233" t="str">
        <f>_xlfn.IFS(ISTEXT(Calcs!O233),Calcs!O233,Calcs!O233&lt;=80,Calcs!O233,Calcs!O233&gt;=81,"80")</f>
        <v>None</v>
      </c>
      <c r="AG233" s="25">
        <f t="shared" si="17"/>
        <v>1</v>
      </c>
      <c r="AH233" s="25">
        <f t="shared" si="18"/>
        <v>1.37</v>
      </c>
      <c r="AI233" s="25">
        <f t="shared" si="19"/>
        <v>1</v>
      </c>
    </row>
    <row r="234" ht="14.4" spans="1:35">
      <c r="A234" s="24" t="str">
        <f>'Ammo Input'!A234</f>
        <v>9x19mm Parabellum</v>
      </c>
      <c r="B234" t="str">
        <f>'Ammo Input'!B234</f>
        <v>AP</v>
      </c>
      <c r="C234">
        <f>ROUNDUP(('Ammo Input'!C234*(MAX('Ammo Input'!D234,'Ammo Input'!F234)*0.5)^2*PI())*3/1000000,2)</f>
        <v>0.01</v>
      </c>
      <c r="D234">
        <f>ROUNDUP(('Ammo Input'!E234+'Ammo Input'!H234*IF('Ammo Input'!J234&lt;&gt;"",MAX('Ammo Input'!J234,1),1))/1000,3)</f>
        <v>0.012</v>
      </c>
      <c r="E234">
        <f>MIN(5000,MAX(25,CEILING(Calcs!L234,_xlfn.IFS(Calcs!L234&lt;100,25,Calcs!L234&lt;250,50,Calcs!L234&lt;1000,250,Calcs!L234&gt;=1000,1000))))</f>
        <v>5000</v>
      </c>
      <c r="F234">
        <f>ROUNDUP('Ammo Input'!G234^(3/4),0)</f>
        <v>83</v>
      </c>
      <c r="G234">
        <f>ROUND((0.5*((IF(OR(B234="HEAT",B234="HEDP"),'Ammo Input'!N234,'Ammo Input'!H234)/1000)*(IF(B234="HEAT",9000,IF(B234="HEDP",1500,'Ammo Input'!G234))^2))),0)</f>
        <v>483</v>
      </c>
      <c r="H234" s="25" t="str">
        <f>CONCATENATE(IF((B234="Foam")+(B234="Smoke"),"-",ROUND(Calcs!D234,0))," ",VLOOKUP(B234,AmmoTypeFactors,5,FALSE))</f>
        <v>7 Bullet</v>
      </c>
      <c r="I234" s="25" t="str">
        <f>IF(Calcs!E234=0,"None",CONCATENATE(ROUND(Calcs!E234,0)," ",VLOOKUP(B234,AmmoTypeFactors,6,FALSE)))</f>
        <v>None</v>
      </c>
      <c r="J234">
        <f>MROUND(2.42*'Ammo Input'!M234^(1/3)*VLOOKUP(B234,AmmoTypeFactors,3,FALSE),0.5)</f>
        <v>0</v>
      </c>
      <c r="K234" s="25" t="str">
        <f>IF(VLOOKUP(B234,AmmoTypeFactors,12,FALSE),MROUND(J234/3,0.5),"None")</f>
        <v>None</v>
      </c>
      <c r="L234" s="25">
        <f>IF(VLOOKUP(B234,AmmoTypeFactors,8,FALSE),"None",ROUNDUP(IF(Calcs!I234&gt;0,Calcs!I234,Calcs!H234),3))</f>
        <v>9.66</v>
      </c>
      <c r="M234" s="25">
        <f>IF(VLOOKUP(B234,AmmoTypeFactors,8,FALSE),"None",'Ammo Input'!L234)</f>
        <v>8</v>
      </c>
      <c r="N234">
        <f>'Ammo Input'!O234</f>
        <v>500</v>
      </c>
      <c r="O234" t="e">
        <f>ROUND((P234*0.0036+SUMPRODUCT(Q234:AB234,VLOOKUP($Q$1:$AB$1,IngredientStats,2,FALSE)))/N234*IF('Ammo Input'!R234,0.5,1),2)</f>
        <v>#VALUE!</v>
      </c>
      <c r="P234" t="e">
        <f>(SUMPRODUCT(Q234:AB234,VLOOKUP($Q$1:$AB$1,IngredientStats,4,FALSE))*VLOOKUP(B234,AmmoTypeFactors,14,FALSE)*IF('Ammo Input'!R234,1.1,1))</f>
        <v>#VALUE!</v>
      </c>
      <c r="Q234">
        <f>IFERROR(__xludf.DUMMYFUNCTION("((IF(NOT(OR(REGEXMATCH(B230, ""Arrow""), B230 = ""Javelin"", B230 = ""Stick bomb"")), ROUNDUP(('Ammo Input'!E230 / 1000) * N230)) + IF(VLOOKUP(B230, AmmoTypeFactors, 9, FALSE) = ""Steel"", ROUNDUP(('Ammo Input'!H230 -'Ammo Input'!M230) * MAX(IF('Ammo Inpu"&amp;"t'!J230 &gt; 0, 'Ammo Input'!J230, 1), 1) * N230 / 1000))) / 'Ingredient stats'!$C$2) * IF(ISBLANK(VLOOKUP(B230,AmmoTypeFactors,15,False)),1,VLOOKUP(B230,AmmoTypeFactors,15,False))"),14)</f>
        <v>14</v>
      </c>
      <c r="R234">
        <f>IFERROR(__xludf.DUMMYFUNCTION("ROUNDUP((IF(REGEXMATCH(B230, ""Arrow"") + (B230 = ""Javelin""), 'Ammo Input'!E230) + IF(VLOOKUP(B230, AmmoTypeFactors, 9, FALSE) = ""Wood"", 'Ammo Input'!H230) + IF(B230 = ""Stick bomb"", 'Ammo Input'!E230)) * N230 / 'Ingredient stats'!$C$12 / 1000)"),0)</f>
        <v>0</v>
      </c>
      <c r="S234">
        <v>0</v>
      </c>
      <c r="T234">
        <v>0</v>
      </c>
      <c r="U234">
        <f>IF(VLOOKUP(B234,AmmoTypeFactors,9,FALSE)="Plasteel",ROUNDUP(('Ammo Input'!H234*MAX(IF('Ammo Input'!J234&gt;0,'Ammo Input'!J234,1)*N234/1000/'Ingredient stats'!$C$4)),0),0)</f>
        <v>0</v>
      </c>
      <c r="V234">
        <f>IFERROR(__xludf.DUMMYFUNCTION("ROUNDUP(IF(ISBLANK(VLOOKUP(B230,AmmoTypeFactors,16,False)),1,VLOOKUP(B230,AmmoTypeFactors,16,False)) * (IFS(REGEXMATCH(B230, ""EMP""), 'Ammo Input'!M230 * N230 / 'Ingredient stats'!$C$5, REGEXMATCH(B230, ""Charge""), (U230^0.75), true, 0) + (IF(VLOOKUP(B2"&amp;"30, AmmoTypeFactors, 10, false), 2,0) + IF('Ammo Input'!P230, 2,0) + IF('Ammo Input'!Q230,MIN(ROUNDUP(0.2*('Ammo Input'!H230/1000)*'Ammo Input'!O230,0),20),0))))"),0)</f>
        <v>0</v>
      </c>
      <c r="W234">
        <v>0</v>
      </c>
      <c r="X234">
        <v>0</v>
      </c>
      <c r="Y234">
        <v>0</v>
      </c>
      <c r="Z234">
        <v>0</v>
      </c>
      <c r="AA234">
        <v>0</v>
      </c>
      <c r="AB234" s="30">
        <f>IF(B234="Sling Bullet (Stone)",ROUNDUP(D234*0.02*E234/'Ingredient stats'!$C$8,0),0)</f>
        <v>0</v>
      </c>
      <c r="AC234" t="str">
        <f t="shared" si="16"/>
        <v>None</v>
      </c>
      <c r="AD234" t="str">
        <f>IF(OR(B234="Buck",B234="Bird",B234="Charge (Scatter)"),'Ammo Input'!J234,"None")</f>
        <v>None</v>
      </c>
      <c r="AE234" t="str">
        <f>_xlfn.IFS(ISTEXT(Calcs!N234),Calcs!N234,Calcs!N234&lt;=40,Calcs!N234,Calcs!N234&gt;41,"40")</f>
        <v>None</v>
      </c>
      <c r="AF234" t="str">
        <f>_xlfn.IFS(ISTEXT(Calcs!O234),Calcs!O234,Calcs!O234&lt;=80,Calcs!O234,Calcs!O234&gt;=81,"80")</f>
        <v>None</v>
      </c>
      <c r="AG234" s="25">
        <f t="shared" si="17"/>
        <v>1</v>
      </c>
      <c r="AH234" s="25">
        <f t="shared" si="18"/>
        <v>1.37</v>
      </c>
      <c r="AI234" s="25">
        <f t="shared" si="19"/>
        <v>1</v>
      </c>
    </row>
    <row r="235" ht="14.4" spans="1:35">
      <c r="A235" s="24" t="str">
        <f>'Ammo Input'!A235</f>
        <v>9x19mm Parabellum</v>
      </c>
      <c r="B235" t="str">
        <f>'Ammo Input'!B235</f>
        <v>HP</v>
      </c>
      <c r="C235">
        <f>ROUNDUP(('Ammo Input'!C235*(MAX('Ammo Input'!D235,'Ammo Input'!F235)*0.5)^2*PI())*3/1000000,2)</f>
        <v>0.01</v>
      </c>
      <c r="D235">
        <f>ROUNDUP(('Ammo Input'!E235+'Ammo Input'!H235*IF('Ammo Input'!J235&lt;&gt;"",MAX('Ammo Input'!J235,1),1))/1000,3)</f>
        <v>0.012</v>
      </c>
      <c r="E235">
        <f>MIN(5000,MAX(25,CEILING(Calcs!L235,_xlfn.IFS(Calcs!L235&lt;100,25,Calcs!L235&lt;250,50,Calcs!L235&lt;1000,250,Calcs!L235&gt;=1000,1000))))</f>
        <v>5000</v>
      </c>
      <c r="F235">
        <f>ROUNDUP('Ammo Input'!G235^(3/4),0)</f>
        <v>83</v>
      </c>
      <c r="G235">
        <f>ROUND((0.5*((IF(OR(B235="HEAT",B235="HEDP"),'Ammo Input'!N235,'Ammo Input'!H235)/1000)*(IF(B235="HEAT",9000,IF(B235="HEDP",1500,'Ammo Input'!G235))^2))),0)</f>
        <v>483</v>
      </c>
      <c r="H235" s="25" t="str">
        <f>CONCATENATE(IF((B235="Foam")+(B235="Smoke"),"-",ROUND(Calcs!D235,0))," ",VLOOKUP(B235,AmmoTypeFactors,5,FALSE))</f>
        <v>13 Bullet</v>
      </c>
      <c r="I235" s="25" t="str">
        <f>IF(Calcs!E235=0,"None",CONCATENATE(ROUND(Calcs!E235,0)," ",VLOOKUP(B235,AmmoTypeFactors,6,FALSE)))</f>
        <v>None</v>
      </c>
      <c r="J235">
        <f>MROUND(2.42*'Ammo Input'!M235^(1/3)*VLOOKUP(B235,AmmoTypeFactors,3,FALSE),0.5)</f>
        <v>0</v>
      </c>
      <c r="K235" s="25" t="str">
        <f>IF(VLOOKUP(B235,AmmoTypeFactors,12,FALSE),MROUND(J235/3,0.5),"None")</f>
        <v>None</v>
      </c>
      <c r="L235" s="25">
        <f>IF(VLOOKUP(B235,AmmoTypeFactors,8,FALSE),"None",ROUNDUP(IF(Calcs!I235&gt;0,Calcs!I235,Calcs!H235),3))</f>
        <v>9.66</v>
      </c>
      <c r="M235" s="25">
        <f>IF(VLOOKUP(B235,AmmoTypeFactors,8,FALSE),"None",'Ammo Input'!L235)</f>
        <v>2</v>
      </c>
      <c r="N235">
        <f>'Ammo Input'!O235</f>
        <v>500</v>
      </c>
      <c r="O235" t="e">
        <f>ROUND((P235*0.0036+SUMPRODUCT(Q235:AB235,VLOOKUP($Q$1:$AB$1,IngredientStats,2,FALSE)))/N235*IF('Ammo Input'!R235,0.5,1),2)</f>
        <v>#VALUE!</v>
      </c>
      <c r="P235" t="e">
        <f>(SUMPRODUCT(Q235:AB235,VLOOKUP($Q$1:$AB$1,IngredientStats,4,FALSE))*VLOOKUP(B235,AmmoTypeFactors,14,FALSE)*IF('Ammo Input'!R235,1.1,1))</f>
        <v>#VALUE!</v>
      </c>
      <c r="Q235">
        <f>IFERROR(__xludf.DUMMYFUNCTION("((IF(NOT(OR(REGEXMATCH(B231, ""Arrow""), B231 = ""Javelin"", B231 = ""Stick bomb"")), ROUNDUP(('Ammo Input'!E231 / 1000) * N231)) + IF(VLOOKUP(B231, AmmoTypeFactors, 9, FALSE) = ""Steel"", ROUNDUP(('Ammo Input'!H231 -'Ammo Input'!M231) * MAX(IF('Ammo Inpu"&amp;"t'!J231 &gt; 0, 'Ammo Input'!J231, 1), 1) * N231 / 1000))) / 'Ingredient stats'!$C$2) * IF(ISBLANK(VLOOKUP(B231,AmmoTypeFactors,15,False)),1,VLOOKUP(B231,AmmoTypeFactors,15,False))"),14)</f>
        <v>14</v>
      </c>
      <c r="R235">
        <f>IFERROR(__xludf.DUMMYFUNCTION("ROUNDUP((IF(REGEXMATCH(B231, ""Arrow"") + (B231 = ""Javelin""), 'Ammo Input'!E231) + IF(VLOOKUP(B231, AmmoTypeFactors, 9, FALSE) = ""Wood"", 'Ammo Input'!H231) + IF(B231 = ""Stick bomb"", 'Ammo Input'!E231)) * N231 / 'Ingredient stats'!$C$12 / 1000)"),0)</f>
        <v>0</v>
      </c>
      <c r="S235">
        <v>0</v>
      </c>
      <c r="T235">
        <v>0</v>
      </c>
      <c r="U235">
        <f>IF(VLOOKUP(B235,AmmoTypeFactors,9,FALSE)="Plasteel",ROUNDUP(('Ammo Input'!H235*MAX(IF('Ammo Input'!J235&gt;0,'Ammo Input'!J235,1)*N235/1000/'Ingredient stats'!$C$4)),0),0)</f>
        <v>0</v>
      </c>
      <c r="V235">
        <f>IFERROR(__xludf.DUMMYFUNCTION("ROUNDUP(IF(ISBLANK(VLOOKUP(B231,AmmoTypeFactors,16,False)),1,VLOOKUP(B231,AmmoTypeFactors,16,False)) * (IFS(REGEXMATCH(B231, ""EMP""), 'Ammo Input'!M231 * N231 / 'Ingredient stats'!$C$5, REGEXMATCH(B231, ""Charge""), (U231^0.75), true, 0) + (IF(VLOOKUP(B2"&amp;"31, AmmoTypeFactors, 10, false), 2,0) + IF('Ammo Input'!P231, 2,0) + IF('Ammo Input'!Q231,MIN(ROUNDUP(0.2*('Ammo Input'!H231/1000)*'Ammo Input'!O231,0),20),0))))"),0)</f>
        <v>0</v>
      </c>
      <c r="W235">
        <v>0</v>
      </c>
      <c r="X235">
        <v>0</v>
      </c>
      <c r="Y235">
        <v>0</v>
      </c>
      <c r="Z235">
        <v>0</v>
      </c>
      <c r="AA235">
        <v>0</v>
      </c>
      <c r="AB235" s="30">
        <f>IF(B235="Sling Bullet (Stone)",ROUNDUP(D235*0.02*E235/'Ingredient stats'!$C$8,0),0)</f>
        <v>0</v>
      </c>
      <c r="AC235" t="str">
        <f t="shared" si="16"/>
        <v>None</v>
      </c>
      <c r="AD235" t="str">
        <f>IF(OR(B235="Buck",B235="Bird",B235="Charge (Scatter)"),'Ammo Input'!J235,"None")</f>
        <v>None</v>
      </c>
      <c r="AE235" t="str">
        <f>_xlfn.IFS(ISTEXT(Calcs!N235),Calcs!N235,Calcs!N235&lt;=40,Calcs!N235,Calcs!N235&gt;41,"40")</f>
        <v>None</v>
      </c>
      <c r="AF235" t="str">
        <f>_xlfn.IFS(ISTEXT(Calcs!O235),Calcs!O235,Calcs!O235&lt;=80,Calcs!O235,Calcs!O235&gt;=81,"80")</f>
        <v>None</v>
      </c>
      <c r="AG235" s="25">
        <f t="shared" si="17"/>
        <v>1</v>
      </c>
      <c r="AH235" s="25">
        <f t="shared" si="18"/>
        <v>1.37</v>
      </c>
      <c r="AI235" s="25">
        <f t="shared" si="19"/>
        <v>1</v>
      </c>
    </row>
    <row r="236" ht="14.4" spans="1:35">
      <c r="A236" s="24" t="str">
        <f>'Ammo Input'!A236</f>
        <v>.455 Webley</v>
      </c>
      <c r="B236" t="str">
        <f>'Ammo Input'!B236</f>
        <v>FMJ</v>
      </c>
      <c r="C236">
        <f>ROUNDUP(('Ammo Input'!C236*(MAX('Ammo Input'!D236,'Ammo Input'!F236)*0.5)^2*PI())*3/1000000,2)</f>
        <v>0.02</v>
      </c>
      <c r="D236">
        <f>ROUNDUP(('Ammo Input'!E236+'Ammo Input'!H236*IF('Ammo Input'!J236&lt;&gt;"",MAX('Ammo Input'!J236,1),1))/1000,3)</f>
        <v>0.024</v>
      </c>
      <c r="E236">
        <f>MIN(5000,MAX(25,CEILING(Calcs!L236,_xlfn.IFS(Calcs!L236&lt;100,25,Calcs!L236&lt;250,50,Calcs!L236&lt;1000,250,Calcs!L236&gt;=1000,1000))))</f>
        <v>5000</v>
      </c>
      <c r="F236">
        <f>ROUNDUP('Ammo Input'!G236^(3/4),0)</f>
        <v>50</v>
      </c>
      <c r="G236">
        <f>ROUND((0.5*((IF(OR(B236="HEAT",B236="HEDP"),'Ammo Input'!N236,'Ammo Input'!H236)/1000)*(IF(B236="HEAT",9000,IF(B236="HEDP",1500,'Ammo Input'!G236))^2))),0)</f>
        <v>275</v>
      </c>
      <c r="H236" s="25" t="str">
        <f>CONCATENATE(IF((B236="Foam")+(B236="Smoke"),"-",ROUND(Calcs!D236,0))," ",VLOOKUP(B236,AmmoTypeFactors,5,FALSE))</f>
        <v>9 Bullet</v>
      </c>
      <c r="I236" s="25" t="str">
        <f>IF(Calcs!E236=0,"None",CONCATENATE(ROUND(Calcs!E236,0)," ",VLOOKUP(B236,AmmoTypeFactors,6,FALSE)))</f>
        <v>None</v>
      </c>
      <c r="J236">
        <f>MROUND(2.42*'Ammo Input'!M236^(1/3)*VLOOKUP(B236,AmmoTypeFactors,3,FALSE),0.5)</f>
        <v>0</v>
      </c>
      <c r="K236" s="25" t="str">
        <f>IF(VLOOKUP(B236,AmmoTypeFactors,12,FALSE),MROUND(J236/3,0.5),"None")</f>
        <v>None</v>
      </c>
      <c r="L236" s="25">
        <f>IF(VLOOKUP(B236,AmmoTypeFactors,8,FALSE),"None",ROUNDUP(IF(Calcs!I236&gt;0,Calcs!I236,Calcs!H236),3))</f>
        <v>5.5</v>
      </c>
      <c r="M236" s="34">
        <f>IF(VLOOKUP(B236,AmmoTypeFactors,8,FALSE),"None",'Ammo Input'!L236)</f>
        <v>2.794</v>
      </c>
      <c r="N236">
        <f>'Ammo Input'!O236</f>
        <v>500</v>
      </c>
      <c r="O236" t="e">
        <f>ROUND((P236*0.0036+SUMPRODUCT(Q236:AB236,VLOOKUP($Q$1:$AB$1,IngredientStats,2,FALSE)))/N236*IF('Ammo Input'!R236,0.5,1),2)</f>
        <v>#VALUE!</v>
      </c>
      <c r="P236" t="e">
        <f>(SUMPRODUCT(Q236:AB236,VLOOKUP($Q$1:$AB$1,IngredientStats,4,FALSE))*VLOOKUP(B236,AmmoTypeFactors,14,FALSE)*IF('Ammo Input'!R236,1.1,1))</f>
        <v>#VALUE!</v>
      </c>
      <c r="Q236">
        <f>IFERROR(__xludf.DUMMYFUNCTION("((IF(NOT(OR(REGEXMATCH(B232, ""Arrow""), B232 = ""Javelin"", B232 = ""Stick bomb"")), ROUNDUP(('Ammo Input'!E232 / 1000) * N232)) + IF(VLOOKUP(B232, AmmoTypeFactors, 9, FALSE) = ""Steel"", ROUNDUP(('Ammo Input'!H232 -'Ammo Input'!M232) * MAX(IF('Ammo Inpu"&amp;"t'!J232 &gt; 0, 'Ammo Input'!J232, 1), 1) * N232 / 1000))) / 'Ingredient stats'!$C$2) * IF(ISBLANK(VLOOKUP(B232,AmmoTypeFactors,15,False)),1,VLOOKUP(B232,AmmoTypeFactors,15,False))"),26)</f>
        <v>26</v>
      </c>
      <c r="R236">
        <f>IFERROR(__xludf.DUMMYFUNCTION("ROUNDUP((IF(REGEXMATCH(B232, ""Arrow"") + (B232 = ""Javelin""), 'Ammo Input'!E232) + IF(VLOOKUP(B232, AmmoTypeFactors, 9, FALSE) = ""Wood"", 'Ammo Input'!H232) + IF(B232 = ""Stick bomb"", 'Ammo Input'!E232)) * N232 / 'Ingredient stats'!$C$12 / 1000)"),0)</f>
        <v>0</v>
      </c>
      <c r="S236">
        <v>0</v>
      </c>
      <c r="T236">
        <v>0</v>
      </c>
      <c r="U236">
        <f>IF(VLOOKUP(B236,AmmoTypeFactors,9,FALSE)="Plasteel",ROUNDUP(('Ammo Input'!H236*MAX(IF('Ammo Input'!J236&gt;0,'Ammo Input'!J236,1)*N236/1000/'Ingredient stats'!$C$4)),0),0)</f>
        <v>0</v>
      </c>
      <c r="V236">
        <f>IFERROR(__xludf.DUMMYFUNCTION("ROUNDUP(IF(ISBLANK(VLOOKUP(B232,AmmoTypeFactors,16,False)),1,VLOOKUP(B232,AmmoTypeFactors,16,False)) * (IFS(REGEXMATCH(B232, ""EMP""), 'Ammo Input'!M232 * N232 / 'Ingredient stats'!$C$5, REGEXMATCH(B232, ""Charge""), (U232^0.75), true, 0) + (IF(VLOOKUP(B2"&amp;"32, AmmoTypeFactors, 10, false), 2,0) + IF('Ammo Input'!P232, 2,0) + IF('Ammo Input'!Q232,MIN(ROUNDUP(0.2*('Ammo Input'!H232/1000)*'Ammo Input'!O232,0),20),0))))"),0)</f>
        <v>0</v>
      </c>
      <c r="W236">
        <v>0</v>
      </c>
      <c r="X236">
        <v>0</v>
      </c>
      <c r="Y236">
        <v>0</v>
      </c>
      <c r="Z236">
        <v>0</v>
      </c>
      <c r="AA236">
        <v>0</v>
      </c>
      <c r="AB236" s="30">
        <f>IF(B236="Sling Bullet (Stone)",ROUNDUP(D236*0.02*E236/'Ingredient stats'!$C$8,0),0)</f>
        <v>0</v>
      </c>
      <c r="AC236" t="str">
        <f t="shared" si="16"/>
        <v>None</v>
      </c>
      <c r="AD236" t="str">
        <f>IF(OR(B236="Buck",B236="Bird",B236="Charge (Scatter)"),'Ammo Input'!J236,"None")</f>
        <v>None</v>
      </c>
      <c r="AE236" t="str">
        <f>_xlfn.IFS(ISTEXT(Calcs!N236),Calcs!N236,Calcs!N236&lt;=40,Calcs!N236,Calcs!N236&gt;41,"40")</f>
        <v>None</v>
      </c>
      <c r="AF236" t="str">
        <f>_xlfn.IFS(ISTEXT(Calcs!O236),Calcs!O236,Calcs!O236&lt;=80,Calcs!O236,Calcs!O236&gt;=81,"80")</f>
        <v>None</v>
      </c>
      <c r="AG236" s="25">
        <f t="shared" si="17"/>
        <v>1</v>
      </c>
      <c r="AH236" s="25">
        <f t="shared" si="18"/>
        <v>0.83</v>
      </c>
      <c r="AI236" s="25">
        <f t="shared" si="19"/>
        <v>1</v>
      </c>
    </row>
    <row r="237" ht="14.4" spans="1:35">
      <c r="A237" s="24" t="str">
        <f>'Ammo Input'!A237</f>
        <v>.455 Webley</v>
      </c>
      <c r="B237" t="str">
        <f>'Ammo Input'!B237</f>
        <v>AP</v>
      </c>
      <c r="C237">
        <f>ROUNDUP(('Ammo Input'!C237*(MAX('Ammo Input'!D237,'Ammo Input'!F237)*0.5)^2*PI())*3/1000000,2)</f>
        <v>0.02</v>
      </c>
      <c r="D237">
        <f>ROUNDUP(('Ammo Input'!E237+'Ammo Input'!H237*IF('Ammo Input'!J237&lt;&gt;"",MAX('Ammo Input'!J237,1),1))/1000,3)</f>
        <v>0.024</v>
      </c>
      <c r="E237">
        <f>MIN(5000,MAX(25,CEILING(Calcs!L237,_xlfn.IFS(Calcs!L237&lt;100,25,Calcs!L237&lt;250,50,Calcs!L237&lt;1000,250,Calcs!L237&gt;=1000,1000))))</f>
        <v>5000</v>
      </c>
      <c r="F237">
        <f>ROUNDUP('Ammo Input'!G237^(3/4),0)</f>
        <v>50</v>
      </c>
      <c r="G237">
        <f>ROUND((0.5*((IF(OR(B237="HEAT",B237="HEDP"),'Ammo Input'!N237,'Ammo Input'!H237)/1000)*(IF(B237="HEAT",9000,IF(B237="HEDP",1500,'Ammo Input'!G237))^2))),0)</f>
        <v>275</v>
      </c>
      <c r="H237" s="25" t="str">
        <f>CONCATENATE(IF((B237="Foam")+(B237="Smoke"),"-",ROUND(Calcs!D237,0))," ",VLOOKUP(B237,AmmoTypeFactors,5,FALSE))</f>
        <v>6 Bullet</v>
      </c>
      <c r="I237" s="25" t="str">
        <f>IF(Calcs!E237=0,"None",CONCATENATE(ROUND(Calcs!E237,0)," ",VLOOKUP(B237,AmmoTypeFactors,6,FALSE)))</f>
        <v>None</v>
      </c>
      <c r="J237">
        <f>MROUND(2.42*'Ammo Input'!M237^(1/3)*VLOOKUP(B237,AmmoTypeFactors,3,FALSE),0.5)</f>
        <v>0</v>
      </c>
      <c r="K237" s="25" t="str">
        <f>IF(VLOOKUP(B237,AmmoTypeFactors,12,FALSE),MROUND(J237/3,0.5),"None")</f>
        <v>None</v>
      </c>
      <c r="L237" s="25">
        <f>IF(VLOOKUP(B237,AmmoTypeFactors,8,FALSE),"None",ROUNDUP(IF(Calcs!I237&gt;0,Calcs!I237,Calcs!H237),3))</f>
        <v>5.5</v>
      </c>
      <c r="M237" s="25">
        <f>IF(VLOOKUP(B237,AmmoTypeFactors,8,FALSE),"None",'Ammo Input'!L237)</f>
        <v>6</v>
      </c>
      <c r="N237">
        <f>'Ammo Input'!O237</f>
        <v>500</v>
      </c>
      <c r="O237" t="e">
        <f>ROUND((P237*0.0036+SUMPRODUCT(Q237:AB237,VLOOKUP($Q$1:$AB$1,IngredientStats,2,FALSE)))/N237*IF('Ammo Input'!R237,0.5,1),2)</f>
        <v>#VALUE!</v>
      </c>
      <c r="P237" t="e">
        <f>(SUMPRODUCT(Q237:AB237,VLOOKUP($Q$1:$AB$1,IngredientStats,4,FALSE))*VLOOKUP(B237,AmmoTypeFactors,14,FALSE)*IF('Ammo Input'!R237,1.1,1))</f>
        <v>#VALUE!</v>
      </c>
      <c r="Q237">
        <f>IFERROR(__xludf.DUMMYFUNCTION("((IF(NOT(OR(REGEXMATCH(B233, ""Arrow""), B233 = ""Javelin"", B233 = ""Stick bomb"")), ROUNDUP(('Ammo Input'!E233 / 1000) * N233)) + IF(VLOOKUP(B233, AmmoTypeFactors, 9, FALSE) = ""Steel"", ROUNDUP(('Ammo Input'!H233 -'Ammo Input'!M233) * MAX(IF('Ammo Inpu"&amp;"t'!J233 &gt; 0, 'Ammo Input'!J233, 1), 1) * N233 / 1000))) / 'Ingredient stats'!$C$2) * IF(ISBLANK(VLOOKUP(B233,AmmoTypeFactors,15,False)),1,VLOOKUP(B233,AmmoTypeFactors,15,False))"),26)</f>
        <v>26</v>
      </c>
      <c r="R237">
        <f>IFERROR(__xludf.DUMMYFUNCTION("ROUNDUP((IF(REGEXMATCH(B233, ""Arrow"") + (B233 = ""Javelin""), 'Ammo Input'!E233) + IF(VLOOKUP(B233, AmmoTypeFactors, 9, FALSE) = ""Wood"", 'Ammo Input'!H233) + IF(B233 = ""Stick bomb"", 'Ammo Input'!E233)) * N233 / 'Ingredient stats'!$C$12 / 1000)"),0)</f>
        <v>0</v>
      </c>
      <c r="S237">
        <v>0</v>
      </c>
      <c r="T237">
        <v>0</v>
      </c>
      <c r="U237">
        <f>IF(VLOOKUP(B237,AmmoTypeFactors,9,FALSE)="Plasteel",ROUNDUP(('Ammo Input'!H237*MAX(IF('Ammo Input'!J237&gt;0,'Ammo Input'!J237,1)*N237/1000/'Ingredient stats'!$C$4)),0),0)</f>
        <v>0</v>
      </c>
      <c r="V237">
        <f>IFERROR(__xludf.DUMMYFUNCTION("ROUNDUP(IF(ISBLANK(VLOOKUP(B233,AmmoTypeFactors,16,False)),1,VLOOKUP(B233,AmmoTypeFactors,16,False)) * (IFS(REGEXMATCH(B233, ""EMP""), 'Ammo Input'!M233 * N233 / 'Ingredient stats'!$C$5, REGEXMATCH(B233, ""Charge""), (U233^0.75), true, 0) + (IF(VLOOKUP(B2"&amp;"33, AmmoTypeFactors, 10, false), 2,0) + IF('Ammo Input'!P233, 2,0) + IF('Ammo Input'!Q233,MIN(ROUNDUP(0.2*('Ammo Input'!H233/1000)*'Ammo Input'!O233,0),20),0))))"),0)</f>
        <v>0</v>
      </c>
      <c r="W237">
        <v>0</v>
      </c>
      <c r="X237">
        <v>0</v>
      </c>
      <c r="Y237">
        <v>0</v>
      </c>
      <c r="Z237">
        <v>0</v>
      </c>
      <c r="AA237">
        <v>0</v>
      </c>
      <c r="AB237" s="30">
        <f>IF(B237="Sling Bullet (Stone)",ROUNDUP(D237*0.02*E237/'Ingredient stats'!$C$8,0),0)</f>
        <v>0</v>
      </c>
      <c r="AC237" t="str">
        <f t="shared" si="16"/>
        <v>None</v>
      </c>
      <c r="AD237" t="str">
        <f>IF(OR(B237="Buck",B237="Bird",B237="Charge (Scatter)"),'Ammo Input'!J237,"None")</f>
        <v>None</v>
      </c>
      <c r="AE237" t="str">
        <f>_xlfn.IFS(ISTEXT(Calcs!N237),Calcs!N237,Calcs!N237&lt;=40,Calcs!N237,Calcs!N237&gt;41,"40")</f>
        <v>None</v>
      </c>
      <c r="AF237" t="str">
        <f>_xlfn.IFS(ISTEXT(Calcs!O237),Calcs!O237,Calcs!O237&lt;=80,Calcs!O237,Calcs!O237&gt;=81,"80")</f>
        <v>None</v>
      </c>
      <c r="AG237" s="25">
        <f t="shared" si="17"/>
        <v>1</v>
      </c>
      <c r="AH237" s="25">
        <f t="shared" si="18"/>
        <v>0.83</v>
      </c>
      <c r="AI237" s="25">
        <f t="shared" si="19"/>
        <v>1</v>
      </c>
    </row>
    <row r="238" ht="14.4" spans="1:35">
      <c r="A238" s="24" t="str">
        <f>'Ammo Input'!A238</f>
        <v>.455 Webley</v>
      </c>
      <c r="B238" t="str">
        <f>'Ammo Input'!B238</f>
        <v>HP</v>
      </c>
      <c r="C238">
        <f>ROUNDUP(('Ammo Input'!C238*(MAX('Ammo Input'!D238,'Ammo Input'!F238)*0.5)^2*PI())*3/1000000,2)</f>
        <v>0.02</v>
      </c>
      <c r="D238">
        <f>ROUNDUP(('Ammo Input'!E238+'Ammo Input'!H238*IF('Ammo Input'!J238&lt;&gt;"",MAX('Ammo Input'!J238,1),1))/1000,3)</f>
        <v>0.024</v>
      </c>
      <c r="E238">
        <f>MIN(5000,MAX(25,CEILING(Calcs!L238,_xlfn.IFS(Calcs!L238&lt;100,25,Calcs!L238&lt;250,50,Calcs!L238&lt;1000,250,Calcs!L238&gt;=1000,1000))))</f>
        <v>5000</v>
      </c>
      <c r="F238">
        <f>ROUNDUP('Ammo Input'!G238^(3/4),0)</f>
        <v>50</v>
      </c>
      <c r="G238">
        <f>ROUND((0.5*((IF(OR(B238="HEAT",B238="HEDP"),'Ammo Input'!N238,'Ammo Input'!H238)/1000)*(IF(B238="HEAT",9000,IF(B238="HEDP",1500,'Ammo Input'!G238))^2))),0)</f>
        <v>275</v>
      </c>
      <c r="H238" s="25" t="str">
        <f>CONCATENATE(IF((B238="Foam")+(B238="Smoke"),"-",ROUND(Calcs!D238,0))," ",VLOOKUP(B238,AmmoTypeFactors,5,FALSE))</f>
        <v>12 Bullet</v>
      </c>
      <c r="I238" s="25" t="str">
        <f>IF(Calcs!E238=0,"None",CONCATENATE(ROUND(Calcs!E238,0)," ",VLOOKUP(B238,AmmoTypeFactors,6,FALSE)))</f>
        <v>None</v>
      </c>
      <c r="J238">
        <f>MROUND(2.42*'Ammo Input'!M238^(1/3)*VLOOKUP(B238,AmmoTypeFactors,3,FALSE),0.5)</f>
        <v>0</v>
      </c>
      <c r="K238" s="25" t="str">
        <f>IF(VLOOKUP(B238,AmmoTypeFactors,12,FALSE),MROUND(J238/3,0.5),"None")</f>
        <v>None</v>
      </c>
      <c r="L238" s="25">
        <f>IF(VLOOKUP(B238,AmmoTypeFactors,8,FALSE),"None",ROUNDUP(IF(Calcs!I238&gt;0,Calcs!I238,Calcs!H238),3))</f>
        <v>5.5</v>
      </c>
      <c r="M238" s="25">
        <f>IF(VLOOKUP(B238,AmmoTypeFactors,8,FALSE),"None",'Ammo Input'!L238)</f>
        <v>2</v>
      </c>
      <c r="N238">
        <f>'Ammo Input'!O238</f>
        <v>500</v>
      </c>
      <c r="O238" t="e">
        <f>ROUND((P238*0.0036+SUMPRODUCT(Q238:AB238,VLOOKUP($Q$1:$AB$1,IngredientStats,2,FALSE)))/N238*IF('Ammo Input'!R238,0.5,1),2)</f>
        <v>#VALUE!</v>
      </c>
      <c r="P238" t="e">
        <f>(SUMPRODUCT(Q238:AB238,VLOOKUP($Q$1:$AB$1,IngredientStats,4,FALSE))*VLOOKUP(B238,AmmoTypeFactors,14,FALSE)*IF('Ammo Input'!R238,1.1,1))</f>
        <v>#VALUE!</v>
      </c>
      <c r="Q238">
        <f>IFERROR(__xludf.DUMMYFUNCTION("((IF(NOT(OR(REGEXMATCH(B234, ""Arrow""), B234 = ""Javelin"", B234 = ""Stick bomb"")), ROUNDUP(('Ammo Input'!E234 / 1000) * N234)) + IF(VLOOKUP(B234, AmmoTypeFactors, 9, FALSE) = ""Steel"", ROUNDUP(('Ammo Input'!H234 -'Ammo Input'!M234) * MAX(IF('Ammo Inpu"&amp;"t'!J234 &gt; 0, 'Ammo Input'!J234, 1), 1) * N234 / 1000))) / 'Ingredient stats'!$C$2) * IF(ISBLANK(VLOOKUP(B234,AmmoTypeFactors,15,False)),1,VLOOKUP(B234,AmmoTypeFactors,15,False))"),26)</f>
        <v>26</v>
      </c>
      <c r="R238">
        <f>IFERROR(__xludf.DUMMYFUNCTION("ROUNDUP((IF(REGEXMATCH(B234, ""Arrow"") + (B234 = ""Javelin""), 'Ammo Input'!E234) + IF(VLOOKUP(B234, AmmoTypeFactors, 9, FALSE) = ""Wood"", 'Ammo Input'!H234) + IF(B234 = ""Stick bomb"", 'Ammo Input'!E234)) * N234 / 'Ingredient stats'!$C$12 / 1000)"),0)</f>
        <v>0</v>
      </c>
      <c r="S238">
        <v>0</v>
      </c>
      <c r="T238">
        <v>0</v>
      </c>
      <c r="U238">
        <f>IF(VLOOKUP(B238,AmmoTypeFactors,9,FALSE)="Plasteel",ROUNDUP(('Ammo Input'!H238*MAX(IF('Ammo Input'!J238&gt;0,'Ammo Input'!J238,1)*N238/1000/'Ingredient stats'!$C$4)),0),0)</f>
        <v>0</v>
      </c>
      <c r="V238">
        <f>IFERROR(__xludf.DUMMYFUNCTION("ROUNDUP(IF(ISBLANK(VLOOKUP(B234,AmmoTypeFactors,16,False)),1,VLOOKUP(B234,AmmoTypeFactors,16,False)) * (IFS(REGEXMATCH(B234, ""EMP""), 'Ammo Input'!M234 * N234 / 'Ingredient stats'!$C$5, REGEXMATCH(B234, ""Charge""), (U234^0.75), true, 0) + (IF(VLOOKUP(B2"&amp;"34, AmmoTypeFactors, 10, false), 2,0) + IF('Ammo Input'!P234, 2,0) + IF('Ammo Input'!Q234,MIN(ROUNDUP(0.2*('Ammo Input'!H234/1000)*'Ammo Input'!O234,0),20),0))))"),0)</f>
        <v>0</v>
      </c>
      <c r="W238">
        <v>0</v>
      </c>
      <c r="X238">
        <v>0</v>
      </c>
      <c r="Y238">
        <v>0</v>
      </c>
      <c r="Z238">
        <v>0</v>
      </c>
      <c r="AA238">
        <v>0</v>
      </c>
      <c r="AB238" s="30">
        <f>IF(B238="Sling Bullet (Stone)",ROUNDUP(D238*0.02*E238/'Ingredient stats'!$C$8,0),0)</f>
        <v>0</v>
      </c>
      <c r="AC238" t="str">
        <f t="shared" si="16"/>
        <v>None</v>
      </c>
      <c r="AD238" t="str">
        <f>IF(OR(B238="Buck",B238="Bird",B238="Charge (Scatter)"),'Ammo Input'!J238,"None")</f>
        <v>None</v>
      </c>
      <c r="AE238" t="str">
        <f>_xlfn.IFS(ISTEXT(Calcs!N238),Calcs!N238,Calcs!N238&lt;=40,Calcs!N238,Calcs!N238&gt;41,"40")</f>
        <v>None</v>
      </c>
      <c r="AF238" t="str">
        <f>_xlfn.IFS(ISTEXT(Calcs!O238),Calcs!O238,Calcs!O238&lt;=80,Calcs!O238,Calcs!O238&gt;=81,"80")</f>
        <v>None</v>
      </c>
      <c r="AG238" s="25">
        <f t="shared" si="17"/>
        <v>1</v>
      </c>
      <c r="AH238" s="25">
        <f t="shared" si="18"/>
        <v>0.83</v>
      </c>
      <c r="AI238" s="25">
        <f t="shared" si="19"/>
        <v>1</v>
      </c>
    </row>
    <row r="239" ht="14.4" spans="1:35">
      <c r="A239" s="24" t="str">
        <f>'Ammo Input'!A239</f>
        <v>.45 ACP</v>
      </c>
      <c r="B239" t="str">
        <f>'Ammo Input'!B239</f>
        <v>FMJ</v>
      </c>
      <c r="C239">
        <f>ROUNDUP(('Ammo Input'!C239*(MAX('Ammo Input'!D239,'Ammo Input'!F239)*0.5)^2*PI())*3/1000000,2)</f>
        <v>0.02</v>
      </c>
      <c r="D239">
        <f>ROUNDUP(('Ammo Input'!E239+'Ammo Input'!H239*IF('Ammo Input'!J239&lt;&gt;"",MAX('Ammo Input'!J239,1),1))/1000,3)</f>
        <v>0.02</v>
      </c>
      <c r="E239">
        <f>MIN(5000,MAX(25,CEILING(Calcs!L239,_xlfn.IFS(Calcs!L239&lt;100,25,Calcs!L239&lt;250,50,Calcs!L239&lt;1000,250,Calcs!L239&gt;=1000,1000))))</f>
        <v>5000</v>
      </c>
      <c r="F239">
        <f>ROUNDUP('Ammo Input'!G239^(3/4),0)</f>
        <v>67</v>
      </c>
      <c r="G239">
        <f>ROUND((0.5*((IF(OR(B239="HEAT",B239="HEDP"),'Ammo Input'!N239,'Ammo Input'!H239)/1000)*(IF(B239="HEAT",9000,IF(B239="HEDP",1500,'Ammo Input'!G239))^2))),0)</f>
        <v>543</v>
      </c>
      <c r="H239" s="25" t="str">
        <f>CONCATENATE(IF((B239="Foam")+(B239="Smoke"),"-",ROUND(Calcs!D239,0))," ",VLOOKUP(B239,AmmoTypeFactors,5,FALSE))</f>
        <v>12 Bullet</v>
      </c>
      <c r="I239" s="25" t="str">
        <f>IF(Calcs!E239=0,"None",CONCATENATE(ROUND(Calcs!E239,0)," ",VLOOKUP(B239,AmmoTypeFactors,6,FALSE)))</f>
        <v>None</v>
      </c>
      <c r="J239">
        <f>MROUND(2.42*'Ammo Input'!M239^(1/3)*VLOOKUP(B239,AmmoTypeFactors,3,FALSE),0.5)</f>
        <v>0</v>
      </c>
      <c r="K239" s="25" t="str">
        <f>IF(VLOOKUP(B239,AmmoTypeFactors,12,FALSE),MROUND(J239/3,0.5),"None")</f>
        <v>None</v>
      </c>
      <c r="L239" s="25">
        <f>IF(VLOOKUP(B239,AmmoTypeFactors,8,FALSE),"None",ROUNDUP(IF(Calcs!I239&gt;0,Calcs!I239,Calcs!H239),3))</f>
        <v>10.86</v>
      </c>
      <c r="M239" s="25">
        <f>IF(VLOOKUP(B239,AmmoTypeFactors,8,FALSE),"None",'Ammo Input'!L239)</f>
        <v>3</v>
      </c>
      <c r="N239">
        <f>'Ammo Input'!O239</f>
        <v>500</v>
      </c>
      <c r="O239" t="e">
        <f>ROUND((P239*0.0036+SUMPRODUCT(Q239:AB239,VLOOKUP($Q$1:$AB$1,IngredientStats,2,FALSE)))/N239*IF('Ammo Input'!R239,0.5,1),2)</f>
        <v>#VALUE!</v>
      </c>
      <c r="P239" t="e">
        <f>(SUMPRODUCT(Q239:AB239,VLOOKUP($Q$1:$AB$1,IngredientStats,4,FALSE))*VLOOKUP(B239,AmmoTypeFactors,14,FALSE)*IF('Ammo Input'!R239,1.1,1))</f>
        <v>#VALUE!</v>
      </c>
      <c r="Q239">
        <f>IFERROR(__xludf.DUMMYFUNCTION("((IF(NOT(OR(REGEXMATCH(B235, ""Arrow""), B235 = ""Javelin"", B235 = ""Stick bomb"")), ROUNDUP(('Ammo Input'!E235 / 1000) * N235)) + IF(VLOOKUP(B235, AmmoTypeFactors, 9, FALSE) = ""Steel"", ROUNDUP(('Ammo Input'!H235 -'Ammo Input'!M235) * MAX(IF('Ammo Inpu"&amp;"t'!J235 &gt; 0, 'Ammo Input'!J235, 1), 1) * N235 / 1000))) / 'Ingredient stats'!$C$2) * IF(ISBLANK(VLOOKUP(B235,AmmoTypeFactors,15,False)),1,VLOOKUP(B235,AmmoTypeFactors,15,False))"),22)</f>
        <v>22</v>
      </c>
      <c r="R239">
        <f>IFERROR(__xludf.DUMMYFUNCTION("ROUNDUP((IF(REGEXMATCH(B235, ""Arrow"") + (B235 = ""Javelin""), 'Ammo Input'!E235) + IF(VLOOKUP(B235, AmmoTypeFactors, 9, FALSE) = ""Wood"", 'Ammo Input'!H235) + IF(B235 = ""Stick bomb"", 'Ammo Input'!E235)) * N235 / 'Ingredient stats'!$C$12 / 1000)"),0)</f>
        <v>0</v>
      </c>
      <c r="S239">
        <v>0</v>
      </c>
      <c r="T239">
        <v>0</v>
      </c>
      <c r="U239">
        <f>IF(VLOOKUP(B239,AmmoTypeFactors,9,FALSE)="Plasteel",ROUNDUP(('Ammo Input'!H239*MAX(IF('Ammo Input'!J239&gt;0,'Ammo Input'!J239,1)*N239/1000/'Ingredient stats'!$C$4)),0),0)</f>
        <v>0</v>
      </c>
      <c r="V239">
        <f>IFERROR(__xludf.DUMMYFUNCTION("ROUNDUP(IF(ISBLANK(VLOOKUP(B235,AmmoTypeFactors,16,False)),1,VLOOKUP(B235,AmmoTypeFactors,16,False)) * (IFS(REGEXMATCH(B235, ""EMP""), 'Ammo Input'!M235 * N235 / 'Ingredient stats'!$C$5, REGEXMATCH(B235, ""Charge""), (U235^0.75), true, 0) + (IF(VLOOKUP(B2"&amp;"35, AmmoTypeFactors, 10, false), 2,0) + IF('Ammo Input'!P235, 2,0) + IF('Ammo Input'!Q235,MIN(ROUNDUP(0.2*('Ammo Input'!H235/1000)*'Ammo Input'!O235,0),20),0))))"),0)</f>
        <v>0</v>
      </c>
      <c r="W239">
        <v>0</v>
      </c>
      <c r="X239">
        <v>0</v>
      </c>
      <c r="Y239">
        <v>0</v>
      </c>
      <c r="Z239">
        <v>0</v>
      </c>
      <c r="AA239">
        <v>0</v>
      </c>
      <c r="AB239" s="30">
        <f>IF(B239="Sling Bullet (Stone)",ROUNDUP(D239*0.02*E239/'Ingredient stats'!$C$8,0),0)</f>
        <v>0</v>
      </c>
      <c r="AC239" t="str">
        <f t="shared" si="16"/>
        <v>None</v>
      </c>
      <c r="AD239" t="str">
        <f>IF(OR(B239="Buck",B239="Bird",B239="Charge (Scatter)"),'Ammo Input'!J239,"None")</f>
        <v>None</v>
      </c>
      <c r="AE239" t="str">
        <f>_xlfn.IFS(ISTEXT(Calcs!N239),Calcs!N239,Calcs!N239&lt;=40,Calcs!N239,Calcs!N239&gt;41,"40")</f>
        <v>None</v>
      </c>
      <c r="AF239" t="str">
        <f>_xlfn.IFS(ISTEXT(Calcs!O239),Calcs!O239,Calcs!O239&lt;=80,Calcs!O239,Calcs!O239&gt;=81,"80")</f>
        <v>None</v>
      </c>
      <c r="AG239" s="25">
        <f t="shared" si="17"/>
        <v>1</v>
      </c>
      <c r="AH239" s="25">
        <f t="shared" si="18"/>
        <v>1.1</v>
      </c>
      <c r="AI239" s="25">
        <f t="shared" si="19"/>
        <v>1</v>
      </c>
    </row>
    <row r="240" ht="14.4" spans="1:35">
      <c r="A240" s="24" t="str">
        <f>'Ammo Input'!A240</f>
        <v>.45 ACP</v>
      </c>
      <c r="B240" t="str">
        <f>'Ammo Input'!B240</f>
        <v>AP</v>
      </c>
      <c r="C240">
        <f>ROUNDUP(('Ammo Input'!C240*(MAX('Ammo Input'!D240,'Ammo Input'!F240)*0.5)^2*PI())*3/1000000,2)</f>
        <v>0.02</v>
      </c>
      <c r="D240">
        <f>ROUNDUP(('Ammo Input'!E240+'Ammo Input'!H240*IF('Ammo Input'!J240&lt;&gt;"",MAX('Ammo Input'!J240,1),1))/1000,3)</f>
        <v>0.02</v>
      </c>
      <c r="E240">
        <f>MIN(5000,MAX(25,CEILING(Calcs!L240,_xlfn.IFS(Calcs!L240&lt;100,25,Calcs!L240&lt;250,50,Calcs!L240&lt;1000,250,Calcs!L240&gt;=1000,1000))))</f>
        <v>5000</v>
      </c>
      <c r="F240">
        <f>ROUNDUP('Ammo Input'!G240^(3/4),0)</f>
        <v>67</v>
      </c>
      <c r="G240">
        <f>ROUND((0.5*((IF(OR(B240="HEAT",B240="HEDP"),'Ammo Input'!N240,'Ammo Input'!H240)/1000)*(IF(B240="HEAT",9000,IF(B240="HEDP",1500,'Ammo Input'!G240))^2))),0)</f>
        <v>543</v>
      </c>
      <c r="H240" s="25" t="str">
        <f>CONCATENATE(IF((B240="Foam")+(B240="Smoke"),"-",ROUND(Calcs!D240,0))," ",VLOOKUP(B240,AmmoTypeFactors,5,FALSE))</f>
        <v>7 Bullet</v>
      </c>
      <c r="I240" s="25" t="str">
        <f>IF(Calcs!E240=0,"None",CONCATENATE(ROUND(Calcs!E240,0)," ",VLOOKUP(B240,AmmoTypeFactors,6,FALSE)))</f>
        <v>None</v>
      </c>
      <c r="J240">
        <f>MROUND(2.42*'Ammo Input'!M240^(1/3)*VLOOKUP(B240,AmmoTypeFactors,3,FALSE),0.5)</f>
        <v>0</v>
      </c>
      <c r="K240" s="25" t="str">
        <f>IF(VLOOKUP(B240,AmmoTypeFactors,12,FALSE),MROUND(J240/3,0.5),"None")</f>
        <v>None</v>
      </c>
      <c r="L240" s="25">
        <f>IF(VLOOKUP(B240,AmmoTypeFactors,8,FALSE),"None",ROUNDUP(IF(Calcs!I240&gt;0,Calcs!I240,Calcs!H240),3))</f>
        <v>10.86</v>
      </c>
      <c r="M240" s="25">
        <f>IF(VLOOKUP(B240,AmmoTypeFactors,8,FALSE),"None",'Ammo Input'!L240)</f>
        <v>6</v>
      </c>
      <c r="N240">
        <f>'Ammo Input'!O240</f>
        <v>500</v>
      </c>
      <c r="O240" t="e">
        <f>ROUND((P240*0.0036+SUMPRODUCT(Q240:AB240,VLOOKUP($Q$1:$AB$1,IngredientStats,2,FALSE)))/N240*IF('Ammo Input'!R240,0.5,1),2)</f>
        <v>#VALUE!</v>
      </c>
      <c r="P240" t="e">
        <f>(SUMPRODUCT(Q240:AB240,VLOOKUP($Q$1:$AB$1,IngredientStats,4,FALSE))*VLOOKUP(B240,AmmoTypeFactors,14,FALSE)*IF('Ammo Input'!R240,1.1,1))</f>
        <v>#VALUE!</v>
      </c>
      <c r="Q240">
        <f>IFERROR(__xludf.DUMMYFUNCTION("((IF(NOT(OR(REGEXMATCH(B236, ""Arrow""), B236 = ""Javelin"", B236 = ""Stick bomb"")), ROUNDUP(('Ammo Input'!E236 / 1000) * N236)) + IF(VLOOKUP(B236, AmmoTypeFactors, 9, FALSE) = ""Steel"", ROUNDUP(('Ammo Input'!H236 -'Ammo Input'!M236) * MAX(IF('Ammo Inpu"&amp;"t'!J236 &gt; 0, 'Ammo Input'!J236, 1), 1) * N236 / 1000))) / 'Ingredient stats'!$C$2) * IF(ISBLANK(VLOOKUP(B236,AmmoTypeFactors,15,False)),1,VLOOKUP(B236,AmmoTypeFactors,15,False))"),22)</f>
        <v>22</v>
      </c>
      <c r="R240">
        <f>IFERROR(__xludf.DUMMYFUNCTION("ROUNDUP((IF(REGEXMATCH(B236, ""Arrow"") + (B236 = ""Javelin""), 'Ammo Input'!E236) + IF(VLOOKUP(B236, AmmoTypeFactors, 9, FALSE) = ""Wood"", 'Ammo Input'!H236) + IF(B236 = ""Stick bomb"", 'Ammo Input'!E236)) * N236 / 'Ingredient stats'!$C$12 / 1000)"),0)</f>
        <v>0</v>
      </c>
      <c r="S240">
        <v>0</v>
      </c>
      <c r="T240">
        <v>0</v>
      </c>
      <c r="U240">
        <f>IF(VLOOKUP(B240,AmmoTypeFactors,9,FALSE)="Plasteel",ROUNDUP(('Ammo Input'!H240*MAX(IF('Ammo Input'!J240&gt;0,'Ammo Input'!J240,1)*N240/1000/'Ingredient stats'!$C$4)),0),0)</f>
        <v>0</v>
      </c>
      <c r="V240">
        <f>IFERROR(__xludf.DUMMYFUNCTION("ROUNDUP(IF(ISBLANK(VLOOKUP(B236,AmmoTypeFactors,16,False)),1,VLOOKUP(B236,AmmoTypeFactors,16,False)) * (IFS(REGEXMATCH(B236, ""EMP""), 'Ammo Input'!M236 * N236 / 'Ingredient stats'!$C$5, REGEXMATCH(B236, ""Charge""), (U236^0.75), true, 0) + (IF(VLOOKUP(B2"&amp;"36, AmmoTypeFactors, 10, false), 2,0) + IF('Ammo Input'!P236, 2,0) + IF('Ammo Input'!Q236,MIN(ROUNDUP(0.2*('Ammo Input'!H236/1000)*'Ammo Input'!O236,0),20),0))))"),0)</f>
        <v>0</v>
      </c>
      <c r="W240">
        <v>0</v>
      </c>
      <c r="X240">
        <v>0</v>
      </c>
      <c r="Y240">
        <v>0</v>
      </c>
      <c r="Z240">
        <v>0</v>
      </c>
      <c r="AA240">
        <v>0</v>
      </c>
      <c r="AB240" s="30">
        <f>IF(B240="Sling Bullet (Stone)",ROUNDUP(D240*0.02*E240/'Ingredient stats'!$C$8,0),0)</f>
        <v>0</v>
      </c>
      <c r="AC240" t="str">
        <f t="shared" si="16"/>
        <v>None</v>
      </c>
      <c r="AD240" t="str">
        <f>IF(OR(B240="Buck",B240="Bird",B240="Charge (Scatter)"),'Ammo Input'!J240,"None")</f>
        <v>None</v>
      </c>
      <c r="AE240" t="str">
        <f>_xlfn.IFS(ISTEXT(Calcs!N240),Calcs!N240,Calcs!N240&lt;=40,Calcs!N240,Calcs!N240&gt;41,"40")</f>
        <v>None</v>
      </c>
      <c r="AF240" t="str">
        <f>_xlfn.IFS(ISTEXT(Calcs!O240),Calcs!O240,Calcs!O240&lt;=80,Calcs!O240,Calcs!O240&gt;=81,"80")</f>
        <v>None</v>
      </c>
      <c r="AG240" s="25">
        <f t="shared" si="17"/>
        <v>1</v>
      </c>
      <c r="AH240" s="25">
        <f t="shared" si="18"/>
        <v>1.1</v>
      </c>
      <c r="AI240" s="25">
        <f t="shared" si="19"/>
        <v>1</v>
      </c>
    </row>
    <row r="241" ht="14.4" spans="1:35">
      <c r="A241" s="24" t="str">
        <f>'Ammo Input'!A241</f>
        <v>.45 ACP</v>
      </c>
      <c r="B241" t="str">
        <f>'Ammo Input'!B241</f>
        <v>HP</v>
      </c>
      <c r="C241">
        <f>ROUNDUP(('Ammo Input'!C241*(MAX('Ammo Input'!D241,'Ammo Input'!F241)*0.5)^2*PI())*3/1000000,2)</f>
        <v>0.02</v>
      </c>
      <c r="D241">
        <f>ROUNDUP(('Ammo Input'!E241+'Ammo Input'!H241*IF('Ammo Input'!J241&lt;&gt;"",MAX('Ammo Input'!J241,1),1))/1000,3)</f>
        <v>0.02</v>
      </c>
      <c r="E241">
        <f>MIN(5000,MAX(25,CEILING(Calcs!L241,_xlfn.IFS(Calcs!L241&lt;100,25,Calcs!L241&lt;250,50,Calcs!L241&lt;1000,250,Calcs!L241&gt;=1000,1000))))</f>
        <v>5000</v>
      </c>
      <c r="F241">
        <f>ROUNDUP('Ammo Input'!G241^(3/4),0)</f>
        <v>67</v>
      </c>
      <c r="G241">
        <f>ROUND((0.5*((IF(OR(B241="HEAT",B241="HEDP"),'Ammo Input'!N241,'Ammo Input'!H241)/1000)*(IF(B241="HEAT",9000,IF(B241="HEDP",1500,'Ammo Input'!G241))^2))),0)</f>
        <v>543</v>
      </c>
      <c r="H241" s="25" t="str">
        <f>CONCATENATE(IF((B241="Foam")+(B241="Smoke"),"-",ROUND(Calcs!D241,0))," ",VLOOKUP(B241,AmmoTypeFactors,5,FALSE))</f>
        <v>15 Bullet</v>
      </c>
      <c r="I241" s="25" t="str">
        <f>IF(Calcs!E241=0,"None",CONCATENATE(ROUND(Calcs!E241,0)," ",VLOOKUP(B241,AmmoTypeFactors,6,FALSE)))</f>
        <v>None</v>
      </c>
      <c r="J241">
        <f>MROUND(2.42*'Ammo Input'!M241^(1/3)*VLOOKUP(B241,AmmoTypeFactors,3,FALSE),0.5)</f>
        <v>0</v>
      </c>
      <c r="K241" s="25" t="str">
        <f>IF(VLOOKUP(B241,AmmoTypeFactors,12,FALSE),MROUND(J241/3,0.5),"None")</f>
        <v>None</v>
      </c>
      <c r="L241" s="25">
        <f>IF(VLOOKUP(B241,AmmoTypeFactors,8,FALSE),"None",ROUNDUP(IF(Calcs!I241&gt;0,Calcs!I241,Calcs!H241),3))</f>
        <v>10.86</v>
      </c>
      <c r="M241" s="25">
        <f>IF(VLOOKUP(B241,AmmoTypeFactors,8,FALSE),"None",'Ammo Input'!L241)</f>
        <v>2</v>
      </c>
      <c r="N241">
        <f>'Ammo Input'!O241</f>
        <v>500</v>
      </c>
      <c r="O241" t="e">
        <f>ROUND((P241*0.0036+SUMPRODUCT(Q241:AB241,VLOOKUP($Q$1:$AB$1,IngredientStats,2,FALSE)))/N241*IF('Ammo Input'!R241,0.5,1),2)</f>
        <v>#VALUE!</v>
      </c>
      <c r="P241" t="e">
        <f>(SUMPRODUCT(Q241:AB241,VLOOKUP($Q$1:$AB$1,IngredientStats,4,FALSE))*VLOOKUP(B241,AmmoTypeFactors,14,FALSE)*IF('Ammo Input'!R241,1.1,1))</f>
        <v>#VALUE!</v>
      </c>
      <c r="Q241">
        <f>IFERROR(__xludf.DUMMYFUNCTION("((IF(NOT(OR(REGEXMATCH(B237, ""Arrow""), B237 = ""Javelin"", B237 = ""Stick bomb"")), ROUNDUP(('Ammo Input'!E237 / 1000) * N237)) + IF(VLOOKUP(B237, AmmoTypeFactors, 9, FALSE) = ""Steel"", ROUNDUP(('Ammo Input'!H237 -'Ammo Input'!M237) * MAX(IF('Ammo Inpu"&amp;"t'!J237 &gt; 0, 'Ammo Input'!J237, 1), 1) * N237 / 1000))) / 'Ingredient stats'!$C$2) * IF(ISBLANK(VLOOKUP(B237,AmmoTypeFactors,15,False)),1,VLOOKUP(B237,AmmoTypeFactors,15,False))"),22)</f>
        <v>22</v>
      </c>
      <c r="R241">
        <f>IFERROR(__xludf.DUMMYFUNCTION("ROUNDUP((IF(REGEXMATCH(B237, ""Arrow"") + (B237 = ""Javelin""), 'Ammo Input'!E237) + IF(VLOOKUP(B237, AmmoTypeFactors, 9, FALSE) = ""Wood"", 'Ammo Input'!H237) + IF(B237 = ""Stick bomb"", 'Ammo Input'!E237)) * N237 / 'Ingredient stats'!$C$12 / 1000)"),0)</f>
        <v>0</v>
      </c>
      <c r="S241">
        <v>0</v>
      </c>
      <c r="T241">
        <v>0</v>
      </c>
      <c r="U241">
        <f>IF(VLOOKUP(B241,AmmoTypeFactors,9,FALSE)="Plasteel",ROUNDUP(('Ammo Input'!H241*MAX(IF('Ammo Input'!J241&gt;0,'Ammo Input'!J241,1)*N241/1000/'Ingredient stats'!$C$4)),0),0)</f>
        <v>0</v>
      </c>
      <c r="V241">
        <f>IFERROR(__xludf.DUMMYFUNCTION("ROUNDUP(IF(ISBLANK(VLOOKUP(B237,AmmoTypeFactors,16,False)),1,VLOOKUP(B237,AmmoTypeFactors,16,False)) * (IFS(REGEXMATCH(B237, ""EMP""), 'Ammo Input'!M237 * N237 / 'Ingredient stats'!$C$5, REGEXMATCH(B237, ""Charge""), (U237^0.75), true, 0) + (IF(VLOOKUP(B2"&amp;"37, AmmoTypeFactors, 10, false), 2,0) + IF('Ammo Input'!P237, 2,0) + IF('Ammo Input'!Q237,MIN(ROUNDUP(0.2*('Ammo Input'!H237/1000)*'Ammo Input'!O237,0),20),0))))"),0)</f>
        <v>0</v>
      </c>
      <c r="W241">
        <v>0</v>
      </c>
      <c r="X241">
        <v>0</v>
      </c>
      <c r="Y241">
        <v>0</v>
      </c>
      <c r="Z241">
        <v>0</v>
      </c>
      <c r="AA241">
        <v>0</v>
      </c>
      <c r="AB241" s="30">
        <f>IF(B241="Sling Bullet (Stone)",ROUNDUP(D241*0.02*E241/'Ingredient stats'!$C$8,0),0)</f>
        <v>0</v>
      </c>
      <c r="AC241" t="str">
        <f t="shared" si="16"/>
        <v>None</v>
      </c>
      <c r="AD241" t="str">
        <f>IF(OR(B241="Buck",B241="Bird",B241="Charge (Scatter)"),'Ammo Input'!J241,"None")</f>
        <v>None</v>
      </c>
      <c r="AE241" t="str">
        <f>_xlfn.IFS(ISTEXT(Calcs!N241),Calcs!N241,Calcs!N241&lt;=40,Calcs!N241,Calcs!N241&gt;41,"40")</f>
        <v>None</v>
      </c>
      <c r="AF241" t="str">
        <f>_xlfn.IFS(ISTEXT(Calcs!O241),Calcs!O241,Calcs!O241&lt;=80,Calcs!O241,Calcs!O241&gt;=81,"80")</f>
        <v>None</v>
      </c>
      <c r="AG241" s="25">
        <f t="shared" si="17"/>
        <v>1</v>
      </c>
      <c r="AH241" s="25">
        <f t="shared" si="18"/>
        <v>1.1</v>
      </c>
      <c r="AI241" s="25">
        <f t="shared" si="19"/>
        <v>1</v>
      </c>
    </row>
    <row r="242" ht="14.4" spans="1:35">
      <c r="A242" s="24" t="str">
        <f>'Ammo Input'!A242</f>
        <v>.50 AE</v>
      </c>
      <c r="B242" t="str">
        <f>'Ammo Input'!B242</f>
        <v>FMJ</v>
      </c>
      <c r="C242">
        <f>ROUNDUP(('Ammo Input'!C242*(MAX('Ammo Input'!D242,'Ammo Input'!F242)*0.5)^2*PI())*3/1000000,2)</f>
        <v>0.02</v>
      </c>
      <c r="D242">
        <f>ROUNDUP(('Ammo Input'!E242+'Ammo Input'!H242*IF('Ammo Input'!J242&lt;&gt;"",MAX('Ammo Input'!J242,1),1))/1000,3)</f>
        <v>0.029</v>
      </c>
      <c r="E242">
        <f>MIN(5000,MAX(25,CEILING(Calcs!L242,_xlfn.IFS(Calcs!L242&lt;100,25,Calcs!L242&lt;250,50,Calcs!L242&lt;1000,250,Calcs!L242&gt;=1000,1000))))</f>
        <v>5000</v>
      </c>
      <c r="F242">
        <f>ROUNDUP('Ammo Input'!G242^(3/4),0)</f>
        <v>98</v>
      </c>
      <c r="G242">
        <f>ROUND((0.5*((IF(OR(B242="HEAT",B242="HEDP"),'Ammo Input'!N242,'Ammo Input'!H242)/1000)*(IF(B242="HEAT",9000,IF(B242="HEDP",1500,'Ammo Input'!G242))^2))),0)</f>
        <v>1924</v>
      </c>
      <c r="H242" s="25" t="str">
        <f>CONCATENATE(IF((B242="Foam")+(B242="Smoke"),"-",ROUND(Calcs!D242,0))," ",VLOOKUP(B242,AmmoTypeFactors,5,FALSE))</f>
        <v>19 Bullet</v>
      </c>
      <c r="I242" s="25" t="str">
        <f>IF(Calcs!E242=0,"None",CONCATENATE(ROUND(Calcs!E242,0)," ",VLOOKUP(B242,AmmoTypeFactors,6,FALSE)))</f>
        <v>None</v>
      </c>
      <c r="J242">
        <f>MROUND(2.42*'Ammo Input'!M242^(1/3)*VLOOKUP(B242,AmmoTypeFactors,3,FALSE),0.5)</f>
        <v>0</v>
      </c>
      <c r="K242" s="25" t="str">
        <f>IF(VLOOKUP(B242,AmmoTypeFactors,12,FALSE),MROUND(J242/3,0.5),"None")</f>
        <v>None</v>
      </c>
      <c r="L242" s="25">
        <f>IF(VLOOKUP(B242,AmmoTypeFactors,8,FALSE),"None",ROUNDUP(IF(Calcs!I242&gt;0,Calcs!I242,Calcs!H242),3))</f>
        <v>38.48</v>
      </c>
      <c r="M242" s="25">
        <f>IF(VLOOKUP(B242,AmmoTypeFactors,8,FALSE),"None",'Ammo Input'!L242)</f>
        <v>8</v>
      </c>
      <c r="N242">
        <f>'Ammo Input'!O242</f>
        <v>500</v>
      </c>
      <c r="O242" t="e">
        <f>ROUND((P242*0.0036+SUMPRODUCT(Q242:AB242,VLOOKUP($Q$1:$AB$1,IngredientStats,2,FALSE)))/N242*IF('Ammo Input'!R242,0.5,1),2)</f>
        <v>#VALUE!</v>
      </c>
      <c r="P242" t="e">
        <f>(SUMPRODUCT(Q242:AB242,VLOOKUP($Q$1:$AB$1,IngredientStats,4,FALSE))*VLOOKUP(B242,AmmoTypeFactors,14,FALSE)*IF('Ammo Input'!R242,1.1,1))</f>
        <v>#VALUE!</v>
      </c>
      <c r="Q242">
        <f>IFERROR(__xludf.DUMMYFUNCTION("((IF(NOT(OR(REGEXMATCH(B238, ""Arrow""), B238 = ""Javelin"", B238 = ""Stick bomb"")), ROUNDUP(('Ammo Input'!E238 / 1000) * N238)) + IF(VLOOKUP(B238, AmmoTypeFactors, 9, FALSE) = ""Steel"", ROUNDUP(('Ammo Input'!H238 -'Ammo Input'!M238) * MAX(IF('Ammo Inpu"&amp;"t'!J238 &gt; 0, 'Ammo Input'!J238, 1), 1) * N238 / 1000))) / 'Ingredient stats'!$C$2) * IF(ISBLANK(VLOOKUP(B238,AmmoTypeFactors,15,False)),1,VLOOKUP(B238,AmmoTypeFactors,15,False))"),30)</f>
        <v>30</v>
      </c>
      <c r="R242">
        <f>IFERROR(__xludf.DUMMYFUNCTION("ROUNDUP((IF(REGEXMATCH(B238, ""Arrow"") + (B238 = ""Javelin""), 'Ammo Input'!E238) + IF(VLOOKUP(B238, AmmoTypeFactors, 9, FALSE) = ""Wood"", 'Ammo Input'!H238) + IF(B238 = ""Stick bomb"", 'Ammo Input'!E238)) * N238 / 'Ingredient stats'!$C$12 / 1000)"),0)</f>
        <v>0</v>
      </c>
      <c r="S242">
        <v>0</v>
      </c>
      <c r="T242">
        <v>0</v>
      </c>
      <c r="U242">
        <f>IF(VLOOKUP(B242,AmmoTypeFactors,9,FALSE)="Plasteel",ROUNDUP(('Ammo Input'!H242*MAX(IF('Ammo Input'!J242&gt;0,'Ammo Input'!J242,1)*N242/1000/'Ingredient stats'!$C$4)),0),0)</f>
        <v>0</v>
      </c>
      <c r="V242">
        <f>IFERROR(__xludf.DUMMYFUNCTION("ROUNDUP(IF(ISBLANK(VLOOKUP(B238,AmmoTypeFactors,16,False)),1,VLOOKUP(B238,AmmoTypeFactors,16,False)) * (IFS(REGEXMATCH(B238, ""EMP""), 'Ammo Input'!M238 * N238 / 'Ingredient stats'!$C$5, REGEXMATCH(B238, ""Charge""), (U238^0.75), true, 0) + (IF(VLOOKUP(B2"&amp;"38, AmmoTypeFactors, 10, false), 2,0) + IF('Ammo Input'!P238, 2,0) + IF('Ammo Input'!Q238,MIN(ROUNDUP(0.2*('Ammo Input'!H238/1000)*'Ammo Input'!O238,0),20),0))))"),0)</f>
        <v>0</v>
      </c>
      <c r="W242">
        <v>0</v>
      </c>
      <c r="X242">
        <v>0</v>
      </c>
      <c r="Y242">
        <v>0</v>
      </c>
      <c r="Z242">
        <v>0</v>
      </c>
      <c r="AA242">
        <v>0</v>
      </c>
      <c r="AB242" s="30">
        <f>IF(B242="Sling Bullet (Stone)",ROUNDUP(D242*0.02*E242/'Ingredient stats'!$C$8,0),0)</f>
        <v>0</v>
      </c>
      <c r="AC242" t="str">
        <f t="shared" si="16"/>
        <v>None</v>
      </c>
      <c r="AD242" t="str">
        <f>IF(OR(B242="Buck",B242="Bird",B242="Charge (Scatter)"),'Ammo Input'!J242,"None")</f>
        <v>None</v>
      </c>
      <c r="AE242" t="str">
        <f>_xlfn.IFS(ISTEXT(Calcs!N242),Calcs!N242,Calcs!N242&lt;=40,Calcs!N242,Calcs!N242&gt;41,"40")</f>
        <v>None</v>
      </c>
      <c r="AF242" t="str">
        <f>_xlfn.IFS(ISTEXT(Calcs!O242),Calcs!O242,Calcs!O242&lt;=80,Calcs!O242,Calcs!O242&gt;=81,"80")</f>
        <v>None</v>
      </c>
      <c r="AG242" s="25">
        <f t="shared" si="17"/>
        <v>1</v>
      </c>
      <c r="AH242" s="25">
        <f t="shared" si="18"/>
        <v>1.61</v>
      </c>
      <c r="AI242" s="25">
        <f t="shared" si="19"/>
        <v>1</v>
      </c>
    </row>
    <row r="243" ht="14.4" spans="1:35">
      <c r="A243" s="24" t="str">
        <f>'Ammo Input'!A243</f>
        <v>.50 AE</v>
      </c>
      <c r="B243" t="str">
        <f>'Ammo Input'!B243</f>
        <v>AP</v>
      </c>
      <c r="C243">
        <f>ROUNDUP(('Ammo Input'!C243*(MAX('Ammo Input'!D243,'Ammo Input'!F243)*0.5)^2*PI())*3/1000000,2)</f>
        <v>0.02</v>
      </c>
      <c r="D243">
        <f>ROUNDUP(('Ammo Input'!E243+'Ammo Input'!H243*IF('Ammo Input'!J243&lt;&gt;"",MAX('Ammo Input'!J243,1),1))/1000,3)</f>
        <v>0.029</v>
      </c>
      <c r="E243">
        <f>MIN(5000,MAX(25,CEILING(Calcs!L243,_xlfn.IFS(Calcs!L243&lt;100,25,Calcs!L243&lt;250,50,Calcs!L243&lt;1000,250,Calcs!L243&gt;=1000,1000))))</f>
        <v>5000</v>
      </c>
      <c r="F243">
        <f>ROUNDUP('Ammo Input'!G243^(3/4),0)</f>
        <v>98</v>
      </c>
      <c r="G243">
        <f>ROUND((0.5*((IF(OR(B243="HEAT",B243="HEDP"),'Ammo Input'!N243,'Ammo Input'!H243)/1000)*(IF(B243="HEAT",9000,IF(B243="HEDP",1500,'Ammo Input'!G243))^2))),0)</f>
        <v>1924</v>
      </c>
      <c r="H243" s="25" t="str">
        <f>CONCATENATE(IF((B243="Foam")+(B243="Smoke"),"-",ROUND(Calcs!D243,0))," ",VLOOKUP(B243,AmmoTypeFactors,5,FALSE))</f>
        <v>12 Bullet</v>
      </c>
      <c r="I243" s="25" t="str">
        <f>IF(Calcs!E243=0,"None",CONCATENATE(ROUND(Calcs!E243,0)," ",VLOOKUP(B243,AmmoTypeFactors,6,FALSE)))</f>
        <v>None</v>
      </c>
      <c r="J243">
        <f>MROUND(2.42*'Ammo Input'!M243^(1/3)*VLOOKUP(B243,AmmoTypeFactors,3,FALSE),0.5)</f>
        <v>0</v>
      </c>
      <c r="K243" s="25" t="str">
        <f>IF(VLOOKUP(B243,AmmoTypeFactors,12,FALSE),MROUND(J243/3,0.5),"None")</f>
        <v>None</v>
      </c>
      <c r="L243" s="25">
        <f>IF(VLOOKUP(B243,AmmoTypeFactors,8,FALSE),"None",ROUNDUP(IF(Calcs!I243&gt;0,Calcs!I243,Calcs!H243),3))</f>
        <v>38.48</v>
      </c>
      <c r="M243" s="25">
        <f>IF(VLOOKUP(B243,AmmoTypeFactors,8,FALSE),"None",'Ammo Input'!L243)</f>
        <v>16</v>
      </c>
      <c r="N243">
        <f>'Ammo Input'!O243</f>
        <v>500</v>
      </c>
      <c r="O243" t="e">
        <f>ROUND((P243*0.0036+SUMPRODUCT(Q243:AB243,VLOOKUP($Q$1:$AB$1,IngredientStats,2,FALSE)))/N243*IF('Ammo Input'!R243,0.5,1),2)</f>
        <v>#VALUE!</v>
      </c>
      <c r="P243" t="e">
        <f>(SUMPRODUCT(Q243:AB243,VLOOKUP($Q$1:$AB$1,IngredientStats,4,FALSE))*VLOOKUP(B243,AmmoTypeFactors,14,FALSE)*IF('Ammo Input'!R243,1.1,1))</f>
        <v>#VALUE!</v>
      </c>
      <c r="Q243">
        <f>IFERROR(__xludf.DUMMYFUNCTION("((IF(NOT(OR(REGEXMATCH(B239, ""Arrow""), B239 = ""Javelin"", B239 = ""Stick bomb"")), ROUNDUP(('Ammo Input'!E239 / 1000) * N239)) + IF(VLOOKUP(B239, AmmoTypeFactors, 9, FALSE) = ""Steel"", ROUNDUP(('Ammo Input'!H239 -'Ammo Input'!M239) * MAX(IF('Ammo Inpu"&amp;"t'!J239 &gt; 0, 'Ammo Input'!J239, 1), 1) * N239 / 1000))) / 'Ingredient stats'!$C$2) * IF(ISBLANK(VLOOKUP(B239,AmmoTypeFactors,15,False)),1,VLOOKUP(B239,AmmoTypeFactors,15,False))"),30)</f>
        <v>30</v>
      </c>
      <c r="R243">
        <f>IFERROR(__xludf.DUMMYFUNCTION("ROUNDUP((IF(REGEXMATCH(B239, ""Arrow"") + (B239 = ""Javelin""), 'Ammo Input'!E239) + IF(VLOOKUP(B239, AmmoTypeFactors, 9, FALSE) = ""Wood"", 'Ammo Input'!H239) + IF(B239 = ""Stick bomb"", 'Ammo Input'!E239)) * N239 / 'Ingredient stats'!$C$12 / 1000)"),0)</f>
        <v>0</v>
      </c>
      <c r="S243">
        <v>0</v>
      </c>
      <c r="T243">
        <v>0</v>
      </c>
      <c r="U243">
        <f>IF(VLOOKUP(B243,AmmoTypeFactors,9,FALSE)="Plasteel",ROUNDUP(('Ammo Input'!H243*MAX(IF('Ammo Input'!J243&gt;0,'Ammo Input'!J243,1)*N243/1000/'Ingredient stats'!$C$4)),0),0)</f>
        <v>0</v>
      </c>
      <c r="V243">
        <f>IFERROR(__xludf.DUMMYFUNCTION("ROUNDUP(IF(ISBLANK(VLOOKUP(B239,AmmoTypeFactors,16,False)),1,VLOOKUP(B239,AmmoTypeFactors,16,False)) * (IFS(REGEXMATCH(B239, ""EMP""), 'Ammo Input'!M239 * N239 / 'Ingredient stats'!$C$5, REGEXMATCH(B239, ""Charge""), (U239^0.75), true, 0) + (IF(VLOOKUP(B2"&amp;"39, AmmoTypeFactors, 10, false), 2,0) + IF('Ammo Input'!P239, 2,0) + IF('Ammo Input'!Q239,MIN(ROUNDUP(0.2*('Ammo Input'!H239/1000)*'Ammo Input'!O239,0),20),0))))"),0)</f>
        <v>0</v>
      </c>
      <c r="W243">
        <v>0</v>
      </c>
      <c r="X243">
        <v>0</v>
      </c>
      <c r="Y243">
        <v>0</v>
      </c>
      <c r="Z243">
        <v>0</v>
      </c>
      <c r="AA243">
        <v>0</v>
      </c>
      <c r="AB243" s="30">
        <f>IF(B243="Sling Bullet (Stone)",ROUNDUP(D243*0.02*E243/'Ingredient stats'!$C$8,0),0)</f>
        <v>0</v>
      </c>
      <c r="AC243" t="str">
        <f t="shared" si="16"/>
        <v>None</v>
      </c>
      <c r="AD243" t="str">
        <f>IF(OR(B243="Buck",B243="Bird",B243="Charge (Scatter)"),'Ammo Input'!J243,"None")</f>
        <v>None</v>
      </c>
      <c r="AE243" t="str">
        <f>_xlfn.IFS(ISTEXT(Calcs!N243),Calcs!N243,Calcs!N243&lt;=40,Calcs!N243,Calcs!N243&gt;41,"40")</f>
        <v>None</v>
      </c>
      <c r="AF243" t="str">
        <f>_xlfn.IFS(ISTEXT(Calcs!O243),Calcs!O243,Calcs!O243&lt;=80,Calcs!O243,Calcs!O243&gt;=81,"80")</f>
        <v>None</v>
      </c>
      <c r="AG243" s="25">
        <f t="shared" si="17"/>
        <v>1</v>
      </c>
      <c r="AH243" s="25">
        <f t="shared" si="18"/>
        <v>1.61</v>
      </c>
      <c r="AI243" s="25">
        <f t="shared" si="19"/>
        <v>1</v>
      </c>
    </row>
    <row r="244" ht="14.4" spans="1:35">
      <c r="A244" s="24" t="str">
        <f>'Ammo Input'!A244</f>
        <v>.50 AE</v>
      </c>
      <c r="B244" t="str">
        <f>'Ammo Input'!B244</f>
        <v>HP</v>
      </c>
      <c r="C244">
        <f>ROUNDUP(('Ammo Input'!C244*(MAX('Ammo Input'!D244,'Ammo Input'!F244)*0.5)^2*PI())*3/1000000,2)</f>
        <v>0.02</v>
      </c>
      <c r="D244">
        <f>ROUNDUP(('Ammo Input'!E244+'Ammo Input'!H244*IF('Ammo Input'!J244&lt;&gt;"",MAX('Ammo Input'!J244,1),1))/1000,3)</f>
        <v>0.029</v>
      </c>
      <c r="E244">
        <f>MIN(5000,MAX(25,CEILING(Calcs!L244,_xlfn.IFS(Calcs!L244&lt;100,25,Calcs!L244&lt;250,50,Calcs!L244&lt;1000,250,Calcs!L244&gt;=1000,1000))))</f>
        <v>5000</v>
      </c>
      <c r="F244">
        <f>ROUNDUP('Ammo Input'!G244^(3/4),0)</f>
        <v>98</v>
      </c>
      <c r="G244">
        <f>ROUND((0.5*((IF(OR(B244="HEAT",B244="HEDP"),'Ammo Input'!N244,'Ammo Input'!H244)/1000)*(IF(B244="HEAT",9000,IF(B244="HEDP",1500,'Ammo Input'!G244))^2))),0)</f>
        <v>1924</v>
      </c>
      <c r="H244" s="25" t="str">
        <f>CONCATENATE(IF((B244="Foam")+(B244="Smoke"),"-",ROUND(Calcs!D244,0))," ",VLOOKUP(B244,AmmoTypeFactors,5,FALSE))</f>
        <v>24 Bullet</v>
      </c>
      <c r="I244" s="25" t="str">
        <f>IF(Calcs!E244=0,"None",CONCATENATE(ROUND(Calcs!E244,0)," ",VLOOKUP(B244,AmmoTypeFactors,6,FALSE)))</f>
        <v>None</v>
      </c>
      <c r="J244">
        <f>MROUND(2.42*'Ammo Input'!M244^(1/3)*VLOOKUP(B244,AmmoTypeFactors,3,FALSE),0.5)</f>
        <v>0</v>
      </c>
      <c r="K244" s="25" t="str">
        <f>IF(VLOOKUP(B244,AmmoTypeFactors,12,FALSE),MROUND(J244/3,0.5),"None")</f>
        <v>None</v>
      </c>
      <c r="L244" s="25">
        <f>IF(VLOOKUP(B244,AmmoTypeFactors,8,FALSE),"None",ROUNDUP(IF(Calcs!I244&gt;0,Calcs!I244,Calcs!H244),3))</f>
        <v>38.48</v>
      </c>
      <c r="M244" s="25">
        <f>IF(VLOOKUP(B244,AmmoTypeFactors,8,FALSE),"None",'Ammo Input'!L244)</f>
        <v>4</v>
      </c>
      <c r="N244">
        <f>'Ammo Input'!O244</f>
        <v>500</v>
      </c>
      <c r="O244" t="e">
        <f>ROUND((P244*0.0036+SUMPRODUCT(Q244:AB244,VLOOKUP($Q$1:$AB$1,IngredientStats,2,FALSE)))/N244*IF('Ammo Input'!R244,0.5,1),2)</f>
        <v>#VALUE!</v>
      </c>
      <c r="P244" t="e">
        <f>(SUMPRODUCT(Q244:AB244,VLOOKUP($Q$1:$AB$1,IngredientStats,4,FALSE))*VLOOKUP(B244,AmmoTypeFactors,14,FALSE)*IF('Ammo Input'!R244,1.1,1))</f>
        <v>#VALUE!</v>
      </c>
      <c r="Q244">
        <f>IFERROR(__xludf.DUMMYFUNCTION("((IF(NOT(OR(REGEXMATCH(B240, ""Arrow""), B240 = ""Javelin"", B240 = ""Stick bomb"")), ROUNDUP(('Ammo Input'!E240 / 1000) * N240)) + IF(VLOOKUP(B240, AmmoTypeFactors, 9, FALSE) = ""Steel"", ROUNDUP(('Ammo Input'!H240 -'Ammo Input'!M240) * MAX(IF('Ammo Inpu"&amp;"t'!J240 &gt; 0, 'Ammo Input'!J240, 1), 1) * N240 / 1000))) / 'Ingredient stats'!$C$2) * IF(ISBLANK(VLOOKUP(B240,AmmoTypeFactors,15,False)),1,VLOOKUP(B240,AmmoTypeFactors,15,False))"),30)</f>
        <v>30</v>
      </c>
      <c r="R244">
        <f>IFERROR(__xludf.DUMMYFUNCTION("ROUNDUP((IF(REGEXMATCH(B240, ""Arrow"") + (B240 = ""Javelin""), 'Ammo Input'!E240) + IF(VLOOKUP(B240, AmmoTypeFactors, 9, FALSE) = ""Wood"", 'Ammo Input'!H240) + IF(B240 = ""Stick bomb"", 'Ammo Input'!E240)) * N240 / 'Ingredient stats'!$C$12 / 1000)"),0)</f>
        <v>0</v>
      </c>
      <c r="S244">
        <v>0</v>
      </c>
      <c r="T244">
        <v>0</v>
      </c>
      <c r="U244">
        <f>IF(VLOOKUP(B244,AmmoTypeFactors,9,FALSE)="Plasteel",ROUNDUP(('Ammo Input'!H244*MAX(IF('Ammo Input'!J244&gt;0,'Ammo Input'!J244,1)*N244/1000/'Ingredient stats'!$C$4)),0),0)</f>
        <v>0</v>
      </c>
      <c r="V244">
        <f>IFERROR(__xludf.DUMMYFUNCTION("ROUNDUP(IF(ISBLANK(VLOOKUP(B240,AmmoTypeFactors,16,False)),1,VLOOKUP(B240,AmmoTypeFactors,16,False)) * (IFS(REGEXMATCH(B240, ""EMP""), 'Ammo Input'!M240 * N240 / 'Ingredient stats'!$C$5, REGEXMATCH(B240, ""Charge""), (U240^0.75), true, 0) + (IF(VLOOKUP(B2"&amp;"40, AmmoTypeFactors, 10, false), 2,0) + IF('Ammo Input'!P240, 2,0) + IF('Ammo Input'!Q240,MIN(ROUNDUP(0.2*('Ammo Input'!H240/1000)*'Ammo Input'!O240,0),20),0))))"),0)</f>
        <v>0</v>
      </c>
      <c r="W244">
        <v>0</v>
      </c>
      <c r="X244">
        <v>0</v>
      </c>
      <c r="Y244">
        <v>0</v>
      </c>
      <c r="Z244">
        <v>0</v>
      </c>
      <c r="AA244">
        <v>0</v>
      </c>
      <c r="AB244" s="30">
        <f>IF(B244="Sling Bullet (Stone)",ROUNDUP(D244*0.02*E244/'Ingredient stats'!$C$8,0),0)</f>
        <v>0</v>
      </c>
      <c r="AC244" t="str">
        <f t="shared" si="16"/>
        <v>None</v>
      </c>
      <c r="AD244" t="str">
        <f>IF(OR(B244="Buck",B244="Bird",B244="Charge (Scatter)"),'Ammo Input'!J244,"None")</f>
        <v>None</v>
      </c>
      <c r="AE244" t="str">
        <f>_xlfn.IFS(ISTEXT(Calcs!N244),Calcs!N244,Calcs!N244&lt;=40,Calcs!N244,Calcs!N244&gt;41,"40")</f>
        <v>None</v>
      </c>
      <c r="AF244" t="str">
        <f>_xlfn.IFS(ISTEXT(Calcs!O244),Calcs!O244,Calcs!O244&lt;=80,Calcs!O244,Calcs!O244&gt;=81,"80")</f>
        <v>None</v>
      </c>
      <c r="AG244" s="25">
        <f t="shared" si="17"/>
        <v>1</v>
      </c>
      <c r="AH244" s="25">
        <f t="shared" si="18"/>
        <v>1.61</v>
      </c>
      <c r="AI244" s="25">
        <f t="shared" si="19"/>
        <v>1</v>
      </c>
    </row>
    <row r="245" ht="14.4" spans="1:35">
      <c r="A245" s="24" t="str">
        <f>'Ammo Input'!A245</f>
        <v>.500 S&amp;W</v>
      </c>
      <c r="B245" t="str">
        <f>'Ammo Input'!B245</f>
        <v>FMJ</v>
      </c>
      <c r="C245">
        <f>ROUNDUP(('Ammo Input'!C245*(MAX('Ammo Input'!D245,'Ammo Input'!F245)*0.5)^2*PI())*3/1000000,2)</f>
        <v>0.03</v>
      </c>
      <c r="D245">
        <f>ROUNDUP(('Ammo Input'!E245+'Ammo Input'!H245*IF('Ammo Input'!J245&lt;&gt;"",MAX('Ammo Input'!J245,1),1))/1000,3)</f>
        <v>0.035</v>
      </c>
      <c r="E245">
        <f>MIN(5000,MAX(25,CEILING(Calcs!L245,_xlfn.IFS(Calcs!L245&lt;100,25,Calcs!L245&lt;250,50,Calcs!L245&lt;1000,250,Calcs!L245&gt;=1000,1000))))</f>
        <v>5000</v>
      </c>
      <c r="F245">
        <f>ROUNDUP('Ammo Input'!G245^(3/4),0)</f>
        <v>104</v>
      </c>
      <c r="G245">
        <f>ROUND((0.5*((IF(OR(B245="HEAT",B245="HEDP"),'Ammo Input'!N245,'Ammo Input'!H245)/1000)*(IF(B245="HEAT",9000,IF(B245="HEDP",1500,'Ammo Input'!G245))^2))),0)</f>
        <v>2691</v>
      </c>
      <c r="H245" s="25" t="str">
        <f>CONCATENATE(IF((B245="Foam")+(B245="Smoke"),"-",ROUND(Calcs!D245,0))," ",VLOOKUP(B245,AmmoTypeFactors,5,FALSE))</f>
        <v>21 Bullet</v>
      </c>
      <c r="I245" s="25" t="str">
        <f>IF(Calcs!E245=0,"None",CONCATENATE(ROUND(Calcs!E245,0)," ",VLOOKUP(B245,AmmoTypeFactors,6,FALSE)))</f>
        <v>None</v>
      </c>
      <c r="J245">
        <f>MROUND(2.42*'Ammo Input'!M245^(1/3)*VLOOKUP(B245,AmmoTypeFactors,3,FALSE),0.5)</f>
        <v>0</v>
      </c>
      <c r="K245" s="25" t="str">
        <f>IF(VLOOKUP(B245,AmmoTypeFactors,12,FALSE),MROUND(J245/3,0.5),"None")</f>
        <v>None</v>
      </c>
      <c r="L245" s="25">
        <f>IF(VLOOKUP(B245,AmmoTypeFactors,8,FALSE),"None",ROUNDUP(IF(Calcs!I245&gt;0,Calcs!I245,Calcs!H245),3))</f>
        <v>53.82</v>
      </c>
      <c r="M245" s="25">
        <f>IF(VLOOKUP(B245,AmmoTypeFactors,8,FALSE),"None",'Ammo Input'!L245)</f>
        <v>8</v>
      </c>
      <c r="N245">
        <f>'Ammo Input'!O245</f>
        <v>500</v>
      </c>
      <c r="O245" t="e">
        <f>ROUND((P245*0.0036+SUMPRODUCT(Q245:AB245,VLOOKUP($Q$1:$AB$1,IngredientStats,2,FALSE)))/N245*IF('Ammo Input'!R245,0.5,1),2)</f>
        <v>#VALUE!</v>
      </c>
      <c r="P245" t="e">
        <f>(SUMPRODUCT(Q245:AB245,VLOOKUP($Q$1:$AB$1,IngredientStats,4,FALSE))*VLOOKUP(B245,AmmoTypeFactors,14,FALSE)*IF('Ammo Input'!R245,1.1,1))</f>
        <v>#VALUE!</v>
      </c>
      <c r="Q245">
        <f>IFERROR(__xludf.DUMMYFUNCTION("((IF(NOT(OR(REGEXMATCH(B241, ""Arrow""), B241 = ""Javelin"", B241 = ""Stick bomb"")), ROUNDUP(('Ammo Input'!E241 / 1000) * N241)) + IF(VLOOKUP(B241, AmmoTypeFactors, 9, FALSE) = ""Steel"", ROUNDUP(('Ammo Input'!H241 -'Ammo Input'!M241) * MAX(IF('Ammo Inpu"&amp;"t'!J241 &gt; 0, 'Ammo Input'!J241, 1), 1) * N241 / 1000))) / 'Ingredient stats'!$C$2) * IF(ISBLANK(VLOOKUP(B241,AmmoTypeFactors,15,False)),1,VLOOKUP(B241,AmmoTypeFactors,15,False))"),38)</f>
        <v>38</v>
      </c>
      <c r="R245">
        <f>IFERROR(__xludf.DUMMYFUNCTION("ROUNDUP((IF(REGEXMATCH(B241, ""Arrow"") + (B241 = ""Javelin""), 'Ammo Input'!E241) + IF(VLOOKUP(B241, AmmoTypeFactors, 9, FALSE) = ""Wood"", 'Ammo Input'!H241) + IF(B241 = ""Stick bomb"", 'Ammo Input'!E241)) * N241 / 'Ingredient stats'!$C$12 / 1000)"),0)</f>
        <v>0</v>
      </c>
      <c r="S245">
        <v>0</v>
      </c>
      <c r="T245">
        <v>0</v>
      </c>
      <c r="U245">
        <f>IF(VLOOKUP(B245,AmmoTypeFactors,9,FALSE)="Plasteel",ROUNDUP(('Ammo Input'!H245*MAX(IF('Ammo Input'!J245&gt;0,'Ammo Input'!J245,1)*N245/1000/'Ingredient stats'!$C$4)),0),0)</f>
        <v>0</v>
      </c>
      <c r="V245">
        <f>IFERROR(__xludf.DUMMYFUNCTION("ROUNDUP(IF(ISBLANK(VLOOKUP(B241,AmmoTypeFactors,16,False)),1,VLOOKUP(B241,AmmoTypeFactors,16,False)) * (IFS(REGEXMATCH(B241, ""EMP""), 'Ammo Input'!M241 * N241 / 'Ingredient stats'!$C$5, REGEXMATCH(B241, ""Charge""), (U241^0.75), true, 0) + (IF(VLOOKUP(B2"&amp;"41, AmmoTypeFactors, 10, false), 2,0) + IF('Ammo Input'!P241, 2,0) + IF('Ammo Input'!Q241,MIN(ROUNDUP(0.2*('Ammo Input'!H241/1000)*'Ammo Input'!O241,0),20),0))))"),0)</f>
        <v>0</v>
      </c>
      <c r="W245">
        <v>0</v>
      </c>
      <c r="X245">
        <v>0</v>
      </c>
      <c r="Y245">
        <v>0</v>
      </c>
      <c r="Z245">
        <v>0</v>
      </c>
      <c r="AA245">
        <v>0</v>
      </c>
      <c r="AB245" s="30">
        <f>IF(B245="Sling Bullet (Stone)",ROUNDUP(D245*0.02*E245/'Ingredient stats'!$C$8,0),0)</f>
        <v>0</v>
      </c>
      <c r="AC245" t="str">
        <f t="shared" si="16"/>
        <v>None</v>
      </c>
      <c r="AD245" t="str">
        <f>IF(OR(B245="Buck",B245="Bird",B245="Charge (Scatter)"),'Ammo Input'!J245,"None")</f>
        <v>None</v>
      </c>
      <c r="AE245" t="str">
        <f>_xlfn.IFS(ISTEXT(Calcs!N245),Calcs!N245,Calcs!N245&lt;=40,Calcs!N245,Calcs!N245&gt;41,"40")</f>
        <v>None</v>
      </c>
      <c r="AF245" t="str">
        <f>_xlfn.IFS(ISTEXT(Calcs!O245),Calcs!O245,Calcs!O245&lt;=80,Calcs!O245,Calcs!O245&gt;=81,"80")</f>
        <v>None</v>
      </c>
      <c r="AG245" s="25">
        <f t="shared" si="17"/>
        <v>1</v>
      </c>
      <c r="AH245" s="25">
        <f t="shared" si="18"/>
        <v>1.71</v>
      </c>
      <c r="AI245" s="25">
        <f t="shared" si="19"/>
        <v>1</v>
      </c>
    </row>
    <row r="246" ht="14.4" spans="1:35">
      <c r="A246" s="24" t="str">
        <f>'Ammo Input'!A246</f>
        <v>.500 S&amp;W</v>
      </c>
      <c r="B246" t="str">
        <f>'Ammo Input'!B246</f>
        <v>AP</v>
      </c>
      <c r="C246">
        <f>ROUNDUP(('Ammo Input'!C246*(MAX('Ammo Input'!D246,'Ammo Input'!F246)*0.5)^2*PI())*3/1000000,2)</f>
        <v>0.03</v>
      </c>
      <c r="D246">
        <f>ROUNDUP(('Ammo Input'!E246+'Ammo Input'!H246*IF('Ammo Input'!J246&lt;&gt;"",MAX('Ammo Input'!J246,1),1))/1000,3)</f>
        <v>0.035</v>
      </c>
      <c r="E246">
        <f>MIN(5000,MAX(25,CEILING(Calcs!L246,_xlfn.IFS(Calcs!L246&lt;100,25,Calcs!L246&lt;250,50,Calcs!L246&lt;1000,250,Calcs!L246&gt;=1000,1000))))</f>
        <v>5000</v>
      </c>
      <c r="F246">
        <f>ROUNDUP('Ammo Input'!G246^(3/4),0)</f>
        <v>104</v>
      </c>
      <c r="G246">
        <f>ROUND((0.5*((IF(OR(B246="HEAT",B246="HEDP"),'Ammo Input'!N246,'Ammo Input'!H246)/1000)*(IF(B246="HEAT",9000,IF(B246="HEDP",1500,'Ammo Input'!G246))^2))),0)</f>
        <v>2691</v>
      </c>
      <c r="H246" s="25" t="str">
        <f>CONCATENATE(IF((B246="Foam")+(B246="Smoke"),"-",ROUND(Calcs!D246,0))," ",VLOOKUP(B246,AmmoTypeFactors,5,FALSE))</f>
        <v>13 Bullet</v>
      </c>
      <c r="I246" s="25" t="str">
        <f>IF(Calcs!E246=0,"None",CONCATENATE(ROUND(Calcs!E246,0)," ",VLOOKUP(B246,AmmoTypeFactors,6,FALSE)))</f>
        <v>None</v>
      </c>
      <c r="J246">
        <f>MROUND(2.42*'Ammo Input'!M246^(1/3)*VLOOKUP(B246,AmmoTypeFactors,3,FALSE),0.5)</f>
        <v>0</v>
      </c>
      <c r="K246" s="25" t="str">
        <f>IF(VLOOKUP(B246,AmmoTypeFactors,12,FALSE),MROUND(J246/3,0.5),"None")</f>
        <v>None</v>
      </c>
      <c r="L246" s="25">
        <f>IF(VLOOKUP(B246,AmmoTypeFactors,8,FALSE),"None",ROUNDUP(IF(Calcs!I246&gt;0,Calcs!I246,Calcs!H246),3))</f>
        <v>53.82</v>
      </c>
      <c r="M246" s="25">
        <f>IF(VLOOKUP(B246,AmmoTypeFactors,8,FALSE),"None",'Ammo Input'!L246)</f>
        <v>16</v>
      </c>
      <c r="N246">
        <f>'Ammo Input'!O246</f>
        <v>500</v>
      </c>
      <c r="O246" t="e">
        <f>ROUND((P246*0.0036+SUMPRODUCT(Q246:AB246,VLOOKUP($Q$1:$AB$1,IngredientStats,2,FALSE)))/N246*IF('Ammo Input'!R246,0.5,1),2)</f>
        <v>#VALUE!</v>
      </c>
      <c r="P246" t="e">
        <f>(SUMPRODUCT(Q246:AB246,VLOOKUP($Q$1:$AB$1,IngredientStats,4,FALSE))*VLOOKUP(B246,AmmoTypeFactors,14,FALSE)*IF('Ammo Input'!R246,1.1,1))</f>
        <v>#VALUE!</v>
      </c>
      <c r="Q246">
        <f>IFERROR(__xludf.DUMMYFUNCTION("((IF(NOT(OR(REGEXMATCH(B242, ""Arrow""), B242 = ""Javelin"", B242 = ""Stick bomb"")), ROUNDUP(('Ammo Input'!E242 / 1000) * N242)) + IF(VLOOKUP(B242, AmmoTypeFactors, 9, FALSE) = ""Steel"", ROUNDUP(('Ammo Input'!H242 -'Ammo Input'!M242) * MAX(IF('Ammo Inpu"&amp;"t'!J242 &gt; 0, 'Ammo Input'!J242, 1), 1) * N242 / 1000))) / 'Ingredient stats'!$C$2) * IF(ISBLANK(VLOOKUP(B242,AmmoTypeFactors,15,False)),1,VLOOKUP(B242,AmmoTypeFactors,15,False))"),38)</f>
        <v>38</v>
      </c>
      <c r="R246">
        <f>IFERROR(__xludf.DUMMYFUNCTION("ROUNDUP((IF(REGEXMATCH(B242, ""Arrow"") + (B242 = ""Javelin""), 'Ammo Input'!E242) + IF(VLOOKUP(B242, AmmoTypeFactors, 9, FALSE) = ""Wood"", 'Ammo Input'!H242) + IF(B242 = ""Stick bomb"", 'Ammo Input'!E242)) * N242 / 'Ingredient stats'!$C$12 / 1000)"),0)</f>
        <v>0</v>
      </c>
      <c r="S246">
        <v>0</v>
      </c>
      <c r="T246">
        <v>0</v>
      </c>
      <c r="U246">
        <f>IF(VLOOKUP(B246,AmmoTypeFactors,9,FALSE)="Plasteel",ROUNDUP(('Ammo Input'!H246*MAX(IF('Ammo Input'!J246&gt;0,'Ammo Input'!J246,1)*N246/1000/'Ingredient stats'!$C$4)),0),0)</f>
        <v>0</v>
      </c>
      <c r="V246">
        <f>IFERROR(__xludf.DUMMYFUNCTION("ROUNDUP(IF(ISBLANK(VLOOKUP(B242,AmmoTypeFactors,16,False)),1,VLOOKUP(B242,AmmoTypeFactors,16,False)) * (IFS(REGEXMATCH(B242, ""EMP""), 'Ammo Input'!M242 * N242 / 'Ingredient stats'!$C$5, REGEXMATCH(B242, ""Charge""), (U242^0.75), true, 0) + (IF(VLOOKUP(B2"&amp;"42, AmmoTypeFactors, 10, false), 2,0) + IF('Ammo Input'!P242, 2,0) + IF('Ammo Input'!Q242,MIN(ROUNDUP(0.2*('Ammo Input'!H242/1000)*'Ammo Input'!O242,0),20),0))))"),0)</f>
        <v>0</v>
      </c>
      <c r="W246">
        <v>0</v>
      </c>
      <c r="X246">
        <v>0</v>
      </c>
      <c r="Y246">
        <v>0</v>
      </c>
      <c r="Z246">
        <v>0</v>
      </c>
      <c r="AA246">
        <v>0</v>
      </c>
      <c r="AB246" s="30">
        <f>IF(B246="Sling Bullet (Stone)",ROUNDUP(D246*0.02*E246/'Ingredient stats'!$C$8,0),0)</f>
        <v>0</v>
      </c>
      <c r="AC246" t="str">
        <f t="shared" si="16"/>
        <v>None</v>
      </c>
      <c r="AD246" t="str">
        <f>IF(OR(B246="Buck",B246="Bird",B246="Charge (Scatter)"),'Ammo Input'!J246,"None")</f>
        <v>None</v>
      </c>
      <c r="AE246" t="str">
        <f>_xlfn.IFS(ISTEXT(Calcs!N246),Calcs!N246,Calcs!N246&lt;=40,Calcs!N246,Calcs!N246&gt;41,"40")</f>
        <v>None</v>
      </c>
      <c r="AF246" t="str">
        <f>_xlfn.IFS(ISTEXT(Calcs!O246),Calcs!O246,Calcs!O246&lt;=80,Calcs!O246,Calcs!O246&gt;=81,"80")</f>
        <v>None</v>
      </c>
      <c r="AG246" s="25">
        <f t="shared" si="17"/>
        <v>1</v>
      </c>
      <c r="AH246" s="25">
        <f t="shared" si="18"/>
        <v>1.71</v>
      </c>
      <c r="AI246" s="25">
        <f t="shared" si="19"/>
        <v>1</v>
      </c>
    </row>
    <row r="247" ht="14.4" spans="1:35">
      <c r="A247" s="24" t="str">
        <f>'Ammo Input'!A247</f>
        <v>.500 S&amp;W</v>
      </c>
      <c r="B247" t="str">
        <f>'Ammo Input'!B247</f>
        <v>HP</v>
      </c>
      <c r="C247">
        <f>ROUNDUP(('Ammo Input'!C247*(MAX('Ammo Input'!D247,'Ammo Input'!F247)*0.5)^2*PI())*3/1000000,2)</f>
        <v>0.03</v>
      </c>
      <c r="D247">
        <f>ROUNDUP(('Ammo Input'!E247+'Ammo Input'!H247*IF('Ammo Input'!J247&lt;&gt;"",MAX('Ammo Input'!J247,1),1))/1000,3)</f>
        <v>0.035</v>
      </c>
      <c r="E247">
        <f>MIN(5000,MAX(25,CEILING(Calcs!L247,_xlfn.IFS(Calcs!L247&lt;100,25,Calcs!L247&lt;250,50,Calcs!L247&lt;1000,250,Calcs!L247&gt;=1000,1000))))</f>
        <v>5000</v>
      </c>
      <c r="F247">
        <f>ROUNDUP('Ammo Input'!G247^(3/4),0)</f>
        <v>104</v>
      </c>
      <c r="G247">
        <f>ROUND((0.5*((IF(OR(B247="HEAT",B247="HEDP"),'Ammo Input'!N247,'Ammo Input'!H247)/1000)*(IF(B247="HEAT",9000,IF(B247="HEDP",1500,'Ammo Input'!G247))^2))),0)</f>
        <v>2691</v>
      </c>
      <c r="H247" s="25" t="str">
        <f>CONCATENATE(IF((B247="Foam")+(B247="Smoke"),"-",ROUND(Calcs!D247,0))," ",VLOOKUP(B247,AmmoTypeFactors,5,FALSE))</f>
        <v>27 Bullet</v>
      </c>
      <c r="I247" s="25" t="str">
        <f>IF(Calcs!E247=0,"None",CONCATENATE(ROUND(Calcs!E247,0)," ",VLOOKUP(B247,AmmoTypeFactors,6,FALSE)))</f>
        <v>None</v>
      </c>
      <c r="J247">
        <f>MROUND(2.42*'Ammo Input'!M247^(1/3)*VLOOKUP(B247,AmmoTypeFactors,3,FALSE),0.5)</f>
        <v>0</v>
      </c>
      <c r="K247" s="25" t="str">
        <f>IF(VLOOKUP(B247,AmmoTypeFactors,12,FALSE),MROUND(J247/3,0.5),"None")</f>
        <v>None</v>
      </c>
      <c r="L247" s="25">
        <f>IF(VLOOKUP(B247,AmmoTypeFactors,8,FALSE),"None",ROUNDUP(IF(Calcs!I247&gt;0,Calcs!I247,Calcs!H247),3))</f>
        <v>53.82</v>
      </c>
      <c r="M247" s="25">
        <f>IF(VLOOKUP(B247,AmmoTypeFactors,8,FALSE),"None",'Ammo Input'!L247)</f>
        <v>4</v>
      </c>
      <c r="N247">
        <f>'Ammo Input'!O247</f>
        <v>500</v>
      </c>
      <c r="O247" t="e">
        <f>ROUND((P247*0.0036+SUMPRODUCT(Q247:AB247,VLOOKUP($Q$1:$AB$1,IngredientStats,2,FALSE)))/N247*IF('Ammo Input'!R247,0.5,1),2)</f>
        <v>#VALUE!</v>
      </c>
      <c r="P247" t="e">
        <f>(SUMPRODUCT(Q247:AB247,VLOOKUP($Q$1:$AB$1,IngredientStats,4,FALSE))*VLOOKUP(B247,AmmoTypeFactors,14,FALSE)*IF('Ammo Input'!R247,1.1,1))</f>
        <v>#VALUE!</v>
      </c>
      <c r="Q247">
        <f>IFERROR(__xludf.DUMMYFUNCTION("((IF(NOT(OR(REGEXMATCH(B243, ""Arrow""), B243 = ""Javelin"", B243 = ""Stick bomb"")), ROUNDUP(('Ammo Input'!E243 / 1000) * N243)) + IF(VLOOKUP(B243, AmmoTypeFactors, 9, FALSE) = ""Steel"", ROUNDUP(('Ammo Input'!H243 -'Ammo Input'!M243) * MAX(IF('Ammo Inpu"&amp;"t'!J243 &gt; 0, 'Ammo Input'!J243, 1), 1) * N243 / 1000))) / 'Ingredient stats'!$C$2) * IF(ISBLANK(VLOOKUP(B243,AmmoTypeFactors,15,False)),1,VLOOKUP(B243,AmmoTypeFactors,15,False))"),38)</f>
        <v>38</v>
      </c>
      <c r="R247">
        <f>IFERROR(__xludf.DUMMYFUNCTION("ROUNDUP((IF(REGEXMATCH(B243, ""Arrow"") + (B243 = ""Javelin""), 'Ammo Input'!E243) + IF(VLOOKUP(B243, AmmoTypeFactors, 9, FALSE) = ""Wood"", 'Ammo Input'!H243) + IF(B243 = ""Stick bomb"", 'Ammo Input'!E243)) * N243 / 'Ingredient stats'!$C$12 / 1000)"),0)</f>
        <v>0</v>
      </c>
      <c r="S247">
        <v>0</v>
      </c>
      <c r="T247">
        <v>0</v>
      </c>
      <c r="U247">
        <f>IF(VLOOKUP(B247,AmmoTypeFactors,9,FALSE)="Plasteel",ROUNDUP(('Ammo Input'!H247*MAX(IF('Ammo Input'!J247&gt;0,'Ammo Input'!J247,1)*N247/1000/'Ingredient stats'!$C$4)),0),0)</f>
        <v>0</v>
      </c>
      <c r="V247">
        <f>IFERROR(__xludf.DUMMYFUNCTION("ROUNDUP(IF(ISBLANK(VLOOKUP(B243,AmmoTypeFactors,16,False)),1,VLOOKUP(B243,AmmoTypeFactors,16,False)) * (IFS(REGEXMATCH(B243, ""EMP""), 'Ammo Input'!M243 * N243 / 'Ingredient stats'!$C$5, REGEXMATCH(B243, ""Charge""), (U243^0.75), true, 0) + (IF(VLOOKUP(B2"&amp;"43, AmmoTypeFactors, 10, false), 2,0) + IF('Ammo Input'!P243, 2,0) + IF('Ammo Input'!Q243,MIN(ROUNDUP(0.2*('Ammo Input'!H243/1000)*'Ammo Input'!O243,0),20),0))))"),0)</f>
        <v>0</v>
      </c>
      <c r="W247">
        <v>0</v>
      </c>
      <c r="X247">
        <v>0</v>
      </c>
      <c r="Y247">
        <v>0</v>
      </c>
      <c r="Z247">
        <v>0</v>
      </c>
      <c r="AA247">
        <v>0</v>
      </c>
      <c r="AB247" s="30">
        <f>IF(B247="Sling Bullet (Stone)",ROUNDUP(D247*0.02*E247/'Ingredient stats'!$C$8,0),0)</f>
        <v>0</v>
      </c>
      <c r="AC247" t="str">
        <f t="shared" si="16"/>
        <v>None</v>
      </c>
      <c r="AD247" t="str">
        <f>IF(OR(B247="Buck",B247="Bird",B247="Charge (Scatter)"),'Ammo Input'!J247,"None")</f>
        <v>None</v>
      </c>
      <c r="AE247" t="str">
        <f>_xlfn.IFS(ISTEXT(Calcs!N247),Calcs!N247,Calcs!N247&lt;=40,Calcs!N247,Calcs!N247&gt;41,"40")</f>
        <v>None</v>
      </c>
      <c r="AF247" t="str">
        <f>_xlfn.IFS(ISTEXT(Calcs!O247),Calcs!O247,Calcs!O247&lt;=80,Calcs!O247,Calcs!O247&gt;=81,"80")</f>
        <v>None</v>
      </c>
      <c r="AG247" s="25">
        <f t="shared" si="17"/>
        <v>1</v>
      </c>
      <c r="AH247" s="25">
        <f t="shared" si="18"/>
        <v>1.71</v>
      </c>
      <c r="AI247" s="25">
        <f t="shared" si="19"/>
        <v>1</v>
      </c>
    </row>
    <row r="248" ht="14.4" spans="1:35">
      <c r="A248" s="24" t="str">
        <f>'Ammo Input'!A248</f>
        <v>.460 S&amp;W</v>
      </c>
      <c r="B248" t="str">
        <f>'Ammo Input'!B248</f>
        <v>FMJ</v>
      </c>
      <c r="C248">
        <f>ROUNDUP(('Ammo Input'!C248*(MAX('Ammo Input'!D248,'Ammo Input'!F248)*0.5)^2*PI())*3/1000000,2)</f>
        <v>0.03</v>
      </c>
      <c r="D248">
        <f>ROUNDUP(('Ammo Input'!E248+'Ammo Input'!H248*IF('Ammo Input'!J248&lt;&gt;"",MAX('Ammo Input'!J248,1),1))/1000,3)</f>
        <v>0.034</v>
      </c>
      <c r="E248">
        <f>MIN(5000,MAX(25,CEILING(Calcs!L248,_xlfn.IFS(Calcs!L248&lt;100,25,Calcs!L248&lt;250,50,Calcs!L248&lt;1000,250,Calcs!L248&gt;=1000,1000))))</f>
        <v>5000</v>
      </c>
      <c r="F248">
        <f>ROUNDUP('Ammo Input'!G248^(3/4),0)</f>
        <v>107</v>
      </c>
      <c r="G248">
        <f>ROUND((0.5*((IF(OR(B248="HEAT",B248="HEDP"),'Ammo Input'!N248,'Ammo Input'!H248)/1000)*(IF(B248="HEAT",9000,IF(B248="HEDP",1500,'Ammo Input'!G248))^2))),0)</f>
        <v>2663</v>
      </c>
      <c r="H248" s="25" t="str">
        <f>CONCATENATE(IF((B248="Foam")+(B248="Smoke"),"-",ROUND(Calcs!D248,0))," ",VLOOKUP(B248,AmmoTypeFactors,5,FALSE))</f>
        <v>21 Bullet</v>
      </c>
      <c r="I248" s="25" t="str">
        <f>IF(Calcs!E248=0,"None",CONCATENATE(ROUND(Calcs!E248,0)," ",VLOOKUP(B248,AmmoTypeFactors,6,FALSE)))</f>
        <v>None</v>
      </c>
      <c r="J248">
        <f>MROUND(2.42*'Ammo Input'!M248^(1/3)*VLOOKUP(B248,AmmoTypeFactors,3,FALSE),0.5)</f>
        <v>0</v>
      </c>
      <c r="K248" s="25" t="str">
        <f>IF(VLOOKUP(B248,AmmoTypeFactors,12,FALSE),MROUND(J248/3,0.5),"None")</f>
        <v>None</v>
      </c>
      <c r="L248" s="25">
        <f>IF(VLOOKUP(B248,AmmoTypeFactors,8,FALSE),"None",ROUNDUP(IF(Calcs!I248&gt;0,Calcs!I248,Calcs!H248),3))</f>
        <v>53.26</v>
      </c>
      <c r="M248" s="25">
        <f>IF(VLOOKUP(B248,AmmoTypeFactors,8,FALSE),"None",'Ammo Input'!L248)</f>
        <v>7</v>
      </c>
      <c r="N248">
        <f>'Ammo Input'!O248</f>
        <v>500</v>
      </c>
      <c r="O248" t="e">
        <f>ROUND((P248*0.0036+SUMPRODUCT(Q248:AB248,VLOOKUP($Q$1:$AB$1,IngredientStats,2,FALSE)))/N248*IF('Ammo Input'!R248,0.5,1),2)</f>
        <v>#VALUE!</v>
      </c>
      <c r="P248" t="e">
        <f>(SUMPRODUCT(Q248:AB248,VLOOKUP($Q$1:$AB$1,IngredientStats,4,FALSE))*VLOOKUP(B248,AmmoTypeFactors,14,FALSE)*IF('Ammo Input'!R248,1.1,1))</f>
        <v>#VALUE!</v>
      </c>
      <c r="Q248">
        <f>IFERROR(__xludf.DUMMYFUNCTION("((IF(NOT(OR(REGEXMATCH(B244, ""Arrow""), B244 = ""Javelin"", B244 = ""Stick bomb"")), ROUNDUP(('Ammo Input'!E244 / 1000) * N244)) + IF(VLOOKUP(B244, AmmoTypeFactors, 9, FALSE) = ""Steel"", ROUNDUP(('Ammo Input'!H244 -'Ammo Input'!M244) * MAX(IF('Ammo Inpu"&amp;"t'!J244 &gt; 0, 'Ammo Input'!J244, 1), 1) * N244 / 1000))) / 'Ingredient stats'!$C$2) * IF(ISBLANK(VLOOKUP(B244,AmmoTypeFactors,15,False)),1,VLOOKUP(B244,AmmoTypeFactors,15,False))"),36)</f>
        <v>36</v>
      </c>
      <c r="R248">
        <f>IFERROR(__xludf.DUMMYFUNCTION("ROUNDUP((IF(REGEXMATCH(B244, ""Arrow"") + (B244 = ""Javelin""), 'Ammo Input'!E244) + IF(VLOOKUP(B244, AmmoTypeFactors, 9, FALSE) = ""Wood"", 'Ammo Input'!H244) + IF(B244 = ""Stick bomb"", 'Ammo Input'!E244)) * N244 / 'Ingredient stats'!$C$12 / 1000)"),0)</f>
        <v>0</v>
      </c>
      <c r="S248">
        <v>0</v>
      </c>
      <c r="T248">
        <v>0</v>
      </c>
      <c r="U248">
        <f>IF(VLOOKUP(B248,AmmoTypeFactors,9,FALSE)="Plasteel",ROUNDUP(('Ammo Input'!H248*MAX(IF('Ammo Input'!J248&gt;0,'Ammo Input'!J248,1)*N248/1000/'Ingredient stats'!$C$4)),0),0)</f>
        <v>0</v>
      </c>
      <c r="V248">
        <f>IFERROR(__xludf.DUMMYFUNCTION("ROUNDUP(IF(ISBLANK(VLOOKUP(B244,AmmoTypeFactors,16,False)),1,VLOOKUP(B244,AmmoTypeFactors,16,False)) * (IFS(REGEXMATCH(B244, ""EMP""), 'Ammo Input'!M244 * N244 / 'Ingredient stats'!$C$5, REGEXMATCH(B244, ""Charge""), (U244^0.75), true, 0) + (IF(VLOOKUP(B2"&amp;"44, AmmoTypeFactors, 10, false), 2,0) + IF('Ammo Input'!P244, 2,0) + IF('Ammo Input'!Q244,MIN(ROUNDUP(0.2*('Ammo Input'!H244/1000)*'Ammo Input'!O244,0),20),0))))"),0)</f>
        <v>0</v>
      </c>
      <c r="W248">
        <v>0</v>
      </c>
      <c r="X248">
        <v>0</v>
      </c>
      <c r="Y248">
        <v>0</v>
      </c>
      <c r="Z248">
        <v>0</v>
      </c>
      <c r="AA248">
        <v>0</v>
      </c>
      <c r="AB248" s="30">
        <f>IF(B248="Sling Bullet (Stone)",ROUNDUP(D248*0.02*E248/'Ingredient stats'!$C$8,0),0)</f>
        <v>0</v>
      </c>
      <c r="AC248" t="str">
        <f t="shared" si="16"/>
        <v>None</v>
      </c>
      <c r="AD248" t="str">
        <f>IF(OR(B248="Buck",B248="Bird",B248="Charge (Scatter)"),'Ammo Input'!J248,"None")</f>
        <v>None</v>
      </c>
      <c r="AE248" t="str">
        <f>_xlfn.IFS(ISTEXT(Calcs!N248),Calcs!N248,Calcs!N248&lt;=40,Calcs!N248,Calcs!N248&gt;41,"40")</f>
        <v>None</v>
      </c>
      <c r="AF248" t="str">
        <f>_xlfn.IFS(ISTEXT(Calcs!O248),Calcs!O248,Calcs!O248&lt;=80,Calcs!O248,Calcs!O248&gt;=81,"80")</f>
        <v>None</v>
      </c>
      <c r="AG248" s="25">
        <f t="shared" si="17"/>
        <v>1</v>
      </c>
      <c r="AH248" s="25">
        <f t="shared" si="18"/>
        <v>1.75</v>
      </c>
      <c r="AI248" s="25">
        <f t="shared" si="19"/>
        <v>1</v>
      </c>
    </row>
    <row r="249" ht="14.4" spans="1:35">
      <c r="A249" s="24" t="str">
        <f>'Ammo Input'!A249</f>
        <v>.460 S&amp;W</v>
      </c>
      <c r="B249" t="str">
        <f>'Ammo Input'!B249</f>
        <v>AP</v>
      </c>
      <c r="C249">
        <f>ROUNDUP(('Ammo Input'!C249*(MAX('Ammo Input'!D249,'Ammo Input'!F249)*0.5)^2*PI())*3/1000000,2)</f>
        <v>0.03</v>
      </c>
      <c r="D249">
        <f>ROUNDUP(('Ammo Input'!E249+'Ammo Input'!H249*IF('Ammo Input'!J249&lt;&gt;"",MAX('Ammo Input'!J249,1),1))/1000,3)</f>
        <v>0.034</v>
      </c>
      <c r="E249">
        <f>MIN(5000,MAX(25,CEILING(Calcs!L249,_xlfn.IFS(Calcs!L249&lt;100,25,Calcs!L249&lt;250,50,Calcs!L249&lt;1000,250,Calcs!L249&gt;=1000,1000))))</f>
        <v>5000</v>
      </c>
      <c r="F249">
        <f>ROUNDUP('Ammo Input'!G249^(3/4),0)</f>
        <v>107</v>
      </c>
      <c r="G249">
        <f>ROUND((0.5*((IF(OR(B249="HEAT",B249="HEDP"),'Ammo Input'!N249,'Ammo Input'!H249)/1000)*(IF(B249="HEAT",9000,IF(B249="HEDP",1500,'Ammo Input'!G249))^2))),0)</f>
        <v>2663</v>
      </c>
      <c r="H249" s="25" t="str">
        <f>CONCATENATE(IF((B249="Foam")+(B249="Smoke"),"-",ROUND(Calcs!D249,0))," ",VLOOKUP(B249,AmmoTypeFactors,5,FALSE))</f>
        <v>13 Bullet</v>
      </c>
      <c r="I249" s="25" t="str">
        <f>IF(Calcs!E249=0,"None",CONCATENATE(ROUND(Calcs!E249,0)," ",VLOOKUP(B249,AmmoTypeFactors,6,FALSE)))</f>
        <v>None</v>
      </c>
      <c r="J249">
        <f>MROUND(2.42*'Ammo Input'!M249^(1/3)*VLOOKUP(B249,AmmoTypeFactors,3,FALSE),0.5)</f>
        <v>0</v>
      </c>
      <c r="K249" s="25" t="str">
        <f>IF(VLOOKUP(B249,AmmoTypeFactors,12,FALSE),MROUND(J249/3,0.5),"None")</f>
        <v>None</v>
      </c>
      <c r="L249" s="25">
        <f>IF(VLOOKUP(B249,AmmoTypeFactors,8,FALSE),"None",ROUNDUP(IF(Calcs!I249&gt;0,Calcs!I249,Calcs!H249),3))</f>
        <v>53.26</v>
      </c>
      <c r="M249" s="25">
        <f>IF(VLOOKUP(B249,AmmoTypeFactors,8,FALSE),"None",'Ammo Input'!L249)</f>
        <v>14</v>
      </c>
      <c r="N249">
        <f>'Ammo Input'!O249</f>
        <v>500</v>
      </c>
      <c r="O249" t="e">
        <f>ROUND((P249*0.0036+SUMPRODUCT(Q249:AB249,VLOOKUP($Q$1:$AB$1,IngredientStats,2,FALSE)))/N249*IF('Ammo Input'!R249,0.5,1),2)</f>
        <v>#VALUE!</v>
      </c>
      <c r="P249" t="e">
        <f>(SUMPRODUCT(Q249:AB249,VLOOKUP($Q$1:$AB$1,IngredientStats,4,FALSE))*VLOOKUP(B249,AmmoTypeFactors,14,FALSE)*IF('Ammo Input'!R249,1.1,1))</f>
        <v>#VALUE!</v>
      </c>
      <c r="Q249">
        <f>IFERROR(__xludf.DUMMYFUNCTION("((IF(NOT(OR(REGEXMATCH(B245, ""Arrow""), B245 = ""Javelin"", B245 = ""Stick bomb"")), ROUNDUP(('Ammo Input'!E245 / 1000) * N245)) + IF(VLOOKUP(B245, AmmoTypeFactors, 9, FALSE) = ""Steel"", ROUNDUP(('Ammo Input'!H245 -'Ammo Input'!M245) * MAX(IF('Ammo Inpu"&amp;"t'!J245 &gt; 0, 'Ammo Input'!J245, 1), 1) * N245 / 1000))) / 'Ingredient stats'!$C$2) * IF(ISBLANK(VLOOKUP(B245,AmmoTypeFactors,15,False)),1,VLOOKUP(B245,AmmoTypeFactors,15,False))"),36)</f>
        <v>36</v>
      </c>
      <c r="R249">
        <f>IFERROR(__xludf.DUMMYFUNCTION("ROUNDUP((IF(REGEXMATCH(B245, ""Arrow"") + (B245 = ""Javelin""), 'Ammo Input'!E245) + IF(VLOOKUP(B245, AmmoTypeFactors, 9, FALSE) = ""Wood"", 'Ammo Input'!H245) + IF(B245 = ""Stick bomb"", 'Ammo Input'!E245)) * N245 / 'Ingredient stats'!$C$12 / 1000)"),0)</f>
        <v>0</v>
      </c>
      <c r="S249">
        <v>0</v>
      </c>
      <c r="T249">
        <v>0</v>
      </c>
      <c r="U249">
        <f>IF(VLOOKUP(B249,AmmoTypeFactors,9,FALSE)="Plasteel",ROUNDUP(('Ammo Input'!H249*MAX(IF('Ammo Input'!J249&gt;0,'Ammo Input'!J249,1)*N249/1000/'Ingredient stats'!$C$4)),0),0)</f>
        <v>0</v>
      </c>
      <c r="V249">
        <f>IFERROR(__xludf.DUMMYFUNCTION("ROUNDUP(IF(ISBLANK(VLOOKUP(B245,AmmoTypeFactors,16,False)),1,VLOOKUP(B245,AmmoTypeFactors,16,False)) * (IFS(REGEXMATCH(B245, ""EMP""), 'Ammo Input'!M245 * N245 / 'Ingredient stats'!$C$5, REGEXMATCH(B245, ""Charge""), (U245^0.75), true, 0) + (IF(VLOOKUP(B2"&amp;"45, AmmoTypeFactors, 10, false), 2,0) + IF('Ammo Input'!P245, 2,0) + IF('Ammo Input'!Q245,MIN(ROUNDUP(0.2*('Ammo Input'!H245/1000)*'Ammo Input'!O245,0),20),0))))"),0)</f>
        <v>0</v>
      </c>
      <c r="W249">
        <v>0</v>
      </c>
      <c r="X249">
        <v>0</v>
      </c>
      <c r="Y249">
        <v>0</v>
      </c>
      <c r="Z249">
        <v>0</v>
      </c>
      <c r="AA249">
        <v>0</v>
      </c>
      <c r="AB249" s="30">
        <f>IF(B249="Sling Bullet (Stone)",ROUNDUP(D249*0.02*E249/'Ingredient stats'!$C$8,0),0)</f>
        <v>0</v>
      </c>
      <c r="AC249" t="str">
        <f t="shared" si="16"/>
        <v>None</v>
      </c>
      <c r="AD249" t="str">
        <f>IF(OR(B249="Buck",B249="Bird",B249="Charge (Scatter)"),'Ammo Input'!J249,"None")</f>
        <v>None</v>
      </c>
      <c r="AE249" t="str">
        <f>_xlfn.IFS(ISTEXT(Calcs!N249),Calcs!N249,Calcs!N249&lt;=40,Calcs!N249,Calcs!N249&gt;41,"40")</f>
        <v>None</v>
      </c>
      <c r="AF249" t="str">
        <f>_xlfn.IFS(ISTEXT(Calcs!O249),Calcs!O249,Calcs!O249&lt;=80,Calcs!O249,Calcs!O249&gt;=81,"80")</f>
        <v>None</v>
      </c>
      <c r="AG249" s="25">
        <f t="shared" si="17"/>
        <v>1</v>
      </c>
      <c r="AH249" s="25">
        <f t="shared" si="18"/>
        <v>1.75</v>
      </c>
      <c r="AI249" s="25">
        <f t="shared" si="19"/>
        <v>1</v>
      </c>
    </row>
    <row r="250" ht="14.4" spans="1:35">
      <c r="A250" s="24" t="str">
        <f>'Ammo Input'!A250</f>
        <v>.460 S&amp;W</v>
      </c>
      <c r="B250" t="str">
        <f>'Ammo Input'!B250</f>
        <v>HP</v>
      </c>
      <c r="C250">
        <f>ROUNDUP(('Ammo Input'!C250*(MAX('Ammo Input'!D250,'Ammo Input'!F250)*0.5)^2*PI())*3/1000000,2)</f>
        <v>0.03</v>
      </c>
      <c r="D250">
        <f>ROUNDUP(('Ammo Input'!E250+'Ammo Input'!H250*IF('Ammo Input'!J250&lt;&gt;"",MAX('Ammo Input'!J250,1),1))/1000,3)</f>
        <v>0.034</v>
      </c>
      <c r="E250">
        <f>MIN(5000,MAX(25,CEILING(Calcs!L250,_xlfn.IFS(Calcs!L250&lt;100,25,Calcs!L250&lt;250,50,Calcs!L250&lt;1000,250,Calcs!L250&gt;=1000,1000))))</f>
        <v>5000</v>
      </c>
      <c r="F250">
        <f>ROUNDUP('Ammo Input'!G250^(3/4),0)</f>
        <v>107</v>
      </c>
      <c r="G250">
        <f>ROUND((0.5*((IF(OR(B250="HEAT",B250="HEDP"),'Ammo Input'!N250,'Ammo Input'!H250)/1000)*(IF(B250="HEAT",9000,IF(B250="HEDP",1500,'Ammo Input'!G250))^2))),0)</f>
        <v>2663</v>
      </c>
      <c r="H250" s="25" t="str">
        <f>CONCATENATE(IF((B250="Foam")+(B250="Smoke"),"-",ROUND(Calcs!D250,0))," ",VLOOKUP(B250,AmmoTypeFactors,5,FALSE))</f>
        <v>26 Bullet</v>
      </c>
      <c r="I250" s="25" t="str">
        <f>IF(Calcs!E250=0,"None",CONCATENATE(ROUND(Calcs!E250,0)," ",VLOOKUP(B250,AmmoTypeFactors,6,FALSE)))</f>
        <v>None</v>
      </c>
      <c r="J250">
        <f>MROUND(2.42*'Ammo Input'!M250^(1/3)*VLOOKUP(B250,AmmoTypeFactors,3,FALSE),0.5)</f>
        <v>0</v>
      </c>
      <c r="K250" s="25" t="str">
        <f>IF(VLOOKUP(B250,AmmoTypeFactors,12,FALSE),MROUND(J250/3,0.5),"None")</f>
        <v>None</v>
      </c>
      <c r="L250" s="25">
        <f>IF(VLOOKUP(B250,AmmoTypeFactors,8,FALSE),"None",ROUNDUP(IF(Calcs!I250&gt;0,Calcs!I250,Calcs!H250),3))</f>
        <v>53.26</v>
      </c>
      <c r="M250" s="25">
        <f>IF(VLOOKUP(B250,AmmoTypeFactors,8,FALSE),"None",'Ammo Input'!L250)</f>
        <v>3.5</v>
      </c>
      <c r="N250">
        <f>'Ammo Input'!O250</f>
        <v>500</v>
      </c>
      <c r="O250" t="e">
        <f>ROUND((P250*0.0036+SUMPRODUCT(Q250:AB250,VLOOKUP($Q$1:$AB$1,IngredientStats,2,FALSE)))/N250*IF('Ammo Input'!R250,0.5,1),2)</f>
        <v>#VALUE!</v>
      </c>
      <c r="P250" t="e">
        <f>(SUMPRODUCT(Q250:AB250,VLOOKUP($Q$1:$AB$1,IngredientStats,4,FALSE))*VLOOKUP(B250,AmmoTypeFactors,14,FALSE)*IF('Ammo Input'!R250,1.1,1))</f>
        <v>#VALUE!</v>
      </c>
      <c r="Q250">
        <f>IFERROR(__xludf.DUMMYFUNCTION("((IF(NOT(OR(REGEXMATCH(B246, ""Arrow""), B246 = ""Javelin"", B246 = ""Stick bomb"")), ROUNDUP(('Ammo Input'!E246 / 1000) * N246)) + IF(VLOOKUP(B246, AmmoTypeFactors, 9, FALSE) = ""Steel"", ROUNDUP(('Ammo Input'!H246 -'Ammo Input'!M246) * MAX(IF('Ammo Inpu"&amp;"t'!J246 &gt; 0, 'Ammo Input'!J246, 1), 1) * N246 / 1000))) / 'Ingredient stats'!$C$2) * IF(ISBLANK(VLOOKUP(B246,AmmoTypeFactors,15,False)),1,VLOOKUP(B246,AmmoTypeFactors,15,False))"),36)</f>
        <v>36</v>
      </c>
      <c r="R250">
        <f>IFERROR(__xludf.DUMMYFUNCTION("ROUNDUP((IF(REGEXMATCH(B246, ""Arrow"") + (B246 = ""Javelin""), 'Ammo Input'!E246) + IF(VLOOKUP(B246, AmmoTypeFactors, 9, FALSE) = ""Wood"", 'Ammo Input'!H246) + IF(B246 = ""Stick bomb"", 'Ammo Input'!E246)) * N246 / 'Ingredient stats'!$C$12 / 1000)"),0)</f>
        <v>0</v>
      </c>
      <c r="S250">
        <v>0</v>
      </c>
      <c r="T250">
        <v>0</v>
      </c>
      <c r="U250">
        <f>IF(VLOOKUP(B250,AmmoTypeFactors,9,FALSE)="Plasteel",ROUNDUP(('Ammo Input'!H250*MAX(IF('Ammo Input'!J250&gt;0,'Ammo Input'!J250,1)*N250/1000/'Ingredient stats'!$C$4)),0),0)</f>
        <v>0</v>
      </c>
      <c r="V250">
        <f>IFERROR(__xludf.DUMMYFUNCTION("ROUNDUP(IF(ISBLANK(VLOOKUP(B246,AmmoTypeFactors,16,False)),1,VLOOKUP(B246,AmmoTypeFactors,16,False)) * (IFS(REGEXMATCH(B246, ""EMP""), 'Ammo Input'!M246 * N246 / 'Ingredient stats'!$C$5, REGEXMATCH(B246, ""Charge""), (U246^0.75), true, 0) + (IF(VLOOKUP(B2"&amp;"46, AmmoTypeFactors, 10, false), 2,0) + IF('Ammo Input'!P246, 2,0) + IF('Ammo Input'!Q246,MIN(ROUNDUP(0.2*('Ammo Input'!H246/1000)*'Ammo Input'!O246,0),20),0))))"),0)</f>
        <v>0</v>
      </c>
      <c r="W250">
        <v>0</v>
      </c>
      <c r="X250">
        <v>0</v>
      </c>
      <c r="Y250">
        <v>0</v>
      </c>
      <c r="Z250">
        <v>0</v>
      </c>
      <c r="AA250">
        <v>0</v>
      </c>
      <c r="AB250" s="30">
        <f>IF(B250="Sling Bullet (Stone)",ROUNDUP(D250*0.02*E250/'Ingredient stats'!$C$8,0),0)</f>
        <v>0</v>
      </c>
      <c r="AC250" t="str">
        <f t="shared" si="16"/>
        <v>None</v>
      </c>
      <c r="AD250" t="str">
        <f>IF(OR(B250="Buck",B250="Bird",B250="Charge (Scatter)"),'Ammo Input'!J250,"None")</f>
        <v>None</v>
      </c>
      <c r="AE250" t="str">
        <f>_xlfn.IFS(ISTEXT(Calcs!N250),Calcs!N250,Calcs!N250&lt;=40,Calcs!N250,Calcs!N250&gt;41,"40")</f>
        <v>None</v>
      </c>
      <c r="AF250" t="str">
        <f>_xlfn.IFS(ISTEXT(Calcs!O250),Calcs!O250,Calcs!O250&lt;=80,Calcs!O250,Calcs!O250&gt;=81,"80")</f>
        <v>None</v>
      </c>
      <c r="AG250" s="25">
        <f t="shared" si="17"/>
        <v>1</v>
      </c>
      <c r="AH250" s="25">
        <f t="shared" si="18"/>
        <v>1.75</v>
      </c>
      <c r="AI250" s="25">
        <f t="shared" si="19"/>
        <v>1</v>
      </c>
    </row>
    <row r="251" ht="14.4" spans="1:35">
      <c r="A251" s="24" t="str">
        <f>'Ammo Input'!A251</f>
        <v>.22 LR</v>
      </c>
      <c r="B251" t="str">
        <f>'Ammo Input'!B251</f>
        <v>FMJ</v>
      </c>
      <c r="C251">
        <f>ROUNDUP(('Ammo Input'!C251*(MAX('Ammo Input'!D251,'Ammo Input'!F251)*0.5)^2*PI())*3/1000000,2)</f>
        <v>0.01</v>
      </c>
      <c r="D251">
        <f>ROUNDUP(('Ammo Input'!E251+'Ammo Input'!H251*IF('Ammo Input'!J251&lt;&gt;"",MAX('Ammo Input'!J251,1),1))/1000,3)</f>
        <v>0.003</v>
      </c>
      <c r="E251">
        <f>MIN(5000,MAX(25,CEILING(Calcs!L251,_xlfn.IFS(Calcs!L251&lt;100,25,Calcs!L251&lt;250,50,Calcs!L251&lt;1000,250,Calcs!L251&gt;=1000,1000))))</f>
        <v>5000</v>
      </c>
      <c r="F251">
        <f>ROUNDUP('Ammo Input'!G251^(3/4),0)</f>
        <v>97</v>
      </c>
      <c r="G251">
        <f>ROUND((0.5*((IF(OR(B251="HEAT",B251="HEDP"),'Ammo Input'!N251,'Ammo Input'!H251)/1000)*(IF(B251="HEAT",9000,IF(B251="HEDP",1500,'Ammo Input'!G251))^2))),0)</f>
        <v>203</v>
      </c>
      <c r="H251" s="25" t="str">
        <f>CONCATENATE(IF((B251="Foam")+(B251="Smoke"),"-",ROUND(Calcs!D251,0))," ",VLOOKUP(B251,AmmoTypeFactors,5,FALSE))</f>
        <v>7 Bullet</v>
      </c>
      <c r="I251" s="25" t="str">
        <f>IF(Calcs!E251=0,"None",CONCATENATE(ROUND(Calcs!E251,0)," ",VLOOKUP(B251,AmmoTypeFactors,6,FALSE)))</f>
        <v>None</v>
      </c>
      <c r="J251">
        <f>MROUND(2.42*'Ammo Input'!M251^(1/3)*VLOOKUP(B251,AmmoTypeFactors,3,FALSE),0.5)</f>
        <v>0</v>
      </c>
      <c r="K251" s="25" t="str">
        <f>IF(VLOOKUP(B251,AmmoTypeFactors,12,FALSE),MROUND(J251/3,0.5),"None")</f>
        <v>None</v>
      </c>
      <c r="L251" s="25">
        <f>IF(VLOOKUP(B251,AmmoTypeFactors,8,FALSE),"None",ROUNDUP(IF(Calcs!I251&gt;0,Calcs!I251,Calcs!H251),3))</f>
        <v>4.06</v>
      </c>
      <c r="M251" s="25">
        <f>IF(VLOOKUP(B251,AmmoTypeFactors,8,FALSE),"None",'Ammo Input'!L251)</f>
        <v>4</v>
      </c>
      <c r="N251">
        <f>'Ammo Input'!O251</f>
        <v>500</v>
      </c>
      <c r="O251" t="e">
        <f>ROUND((P251*0.0036+SUMPRODUCT(Q251:AB251,VLOOKUP($Q$1:$AB$1,IngredientStats,2,FALSE)))/N251*IF('Ammo Input'!R251,0.5,1),2)</f>
        <v>#VALUE!</v>
      </c>
      <c r="P251" t="e">
        <f>(SUMPRODUCT(Q251:AB251,VLOOKUP($Q$1:$AB$1,IngredientStats,4,FALSE))*VLOOKUP(B251,AmmoTypeFactors,14,FALSE)*IF('Ammo Input'!R251,1.1,1))</f>
        <v>#VALUE!</v>
      </c>
      <c r="Q251">
        <f>IFERROR(__xludf.DUMMYFUNCTION("((IF(NOT(OR(REGEXMATCH(B247, ""Arrow""), B247 = ""Javelin"", B247 = ""Stick bomb"")), ROUNDUP(('Ammo Input'!E247 / 1000) * N247)) + IF(VLOOKUP(B247, AmmoTypeFactors, 9, FALSE) = ""Steel"", ROUNDUP(('Ammo Input'!H247 -'Ammo Input'!M247) * MAX(IF('Ammo Inpu"&amp;"t'!J247 &gt; 0, 'Ammo Input'!J247, 1), 1) * N247 / 1000))) / 'Ingredient stats'!$C$2) * IF(ISBLANK(VLOOKUP(B247,AmmoTypeFactors,15,False)),1,VLOOKUP(B247,AmmoTypeFactors,15,False))"),6)</f>
        <v>6</v>
      </c>
      <c r="R251">
        <f>IFERROR(__xludf.DUMMYFUNCTION("ROUNDUP((IF(REGEXMATCH(B247, ""Arrow"") + (B247 = ""Javelin""), 'Ammo Input'!E247) + IF(VLOOKUP(B247, AmmoTypeFactors, 9, FALSE) = ""Wood"", 'Ammo Input'!H247) + IF(B247 = ""Stick bomb"", 'Ammo Input'!E247)) * N247 / 'Ingredient stats'!$C$12 / 1000)"),0)</f>
        <v>0</v>
      </c>
      <c r="S251">
        <v>0</v>
      </c>
      <c r="T251">
        <v>0</v>
      </c>
      <c r="U251">
        <f>IF(VLOOKUP(B251,AmmoTypeFactors,9,FALSE)="Plasteel",ROUNDUP(('Ammo Input'!H251*MAX(IF('Ammo Input'!J251&gt;0,'Ammo Input'!J251,1)*N251/1000/'Ingredient stats'!$C$4)),0),0)</f>
        <v>0</v>
      </c>
      <c r="V251">
        <f>IFERROR(__xludf.DUMMYFUNCTION("ROUNDUP(IF(ISBLANK(VLOOKUP(B247,AmmoTypeFactors,16,False)),1,VLOOKUP(B247,AmmoTypeFactors,16,False)) * (IFS(REGEXMATCH(B247, ""EMP""), 'Ammo Input'!M247 * N247 / 'Ingredient stats'!$C$5, REGEXMATCH(B247, ""Charge""), (U247^0.75), true, 0) + (IF(VLOOKUP(B2"&amp;"47, AmmoTypeFactors, 10, false), 2,0) + IF('Ammo Input'!P247, 2,0) + IF('Ammo Input'!Q247,MIN(ROUNDUP(0.2*('Ammo Input'!H247/1000)*'Ammo Input'!O247,0),20),0))))"),0)</f>
        <v>0</v>
      </c>
      <c r="W251">
        <v>0</v>
      </c>
      <c r="X251">
        <v>0</v>
      </c>
      <c r="Y251">
        <v>0</v>
      </c>
      <c r="Z251">
        <v>0</v>
      </c>
      <c r="AA251">
        <v>0</v>
      </c>
      <c r="AB251" s="30">
        <f>IF(B251="Sling Bullet (Stone)",ROUNDUP(D251*0.02*E251/'Ingredient stats'!$C$8,0),0)</f>
        <v>0</v>
      </c>
      <c r="AC251" t="str">
        <f t="shared" si="16"/>
        <v>None</v>
      </c>
      <c r="AD251" t="str">
        <f>IF(OR(B251="Buck",B251="Bird",B251="Charge (Scatter)"),'Ammo Input'!J251,"None")</f>
        <v>None</v>
      </c>
      <c r="AE251" t="str">
        <f>_xlfn.IFS(ISTEXT(Calcs!N251),Calcs!N251,Calcs!N251&lt;=40,Calcs!N251,Calcs!N251&gt;41,"40")</f>
        <v>None</v>
      </c>
      <c r="AF251" t="str">
        <f>_xlfn.IFS(ISTEXT(Calcs!O251),Calcs!O251,Calcs!O251&lt;=80,Calcs!O251,Calcs!O251&gt;=81,"80")</f>
        <v>None</v>
      </c>
      <c r="AG251" s="25">
        <f t="shared" si="17"/>
        <v>1</v>
      </c>
      <c r="AH251" s="25">
        <f t="shared" si="18"/>
        <v>1.6</v>
      </c>
      <c r="AI251" s="25">
        <f t="shared" si="19"/>
        <v>1</v>
      </c>
    </row>
    <row r="252" ht="14.4" spans="1:35">
      <c r="A252" s="24" t="str">
        <f>'Ammo Input'!A252</f>
        <v>.22 LR</v>
      </c>
      <c r="B252" t="str">
        <f>'Ammo Input'!B252</f>
        <v>AP</v>
      </c>
      <c r="C252">
        <f>ROUNDUP(('Ammo Input'!C252*(MAX('Ammo Input'!D252,'Ammo Input'!F252)*0.5)^2*PI())*3/1000000,2)</f>
        <v>0.01</v>
      </c>
      <c r="D252">
        <f>ROUNDUP(('Ammo Input'!E252+'Ammo Input'!H252*IF('Ammo Input'!J252&lt;&gt;"",MAX('Ammo Input'!J252,1),1))/1000,3)</f>
        <v>0.003</v>
      </c>
      <c r="E252">
        <f>MIN(5000,MAX(25,CEILING(Calcs!L252,_xlfn.IFS(Calcs!L252&lt;100,25,Calcs!L252&lt;250,50,Calcs!L252&lt;1000,250,Calcs!L252&gt;=1000,1000))))</f>
        <v>5000</v>
      </c>
      <c r="F252">
        <f>ROUNDUP('Ammo Input'!G252^(3/4),0)</f>
        <v>97</v>
      </c>
      <c r="G252">
        <f>ROUND((0.5*((IF(OR(B252="HEAT",B252="HEDP"),'Ammo Input'!N252,'Ammo Input'!H252)/1000)*(IF(B252="HEAT",9000,IF(B252="HEDP",1500,'Ammo Input'!G252))^2))),0)</f>
        <v>203</v>
      </c>
      <c r="H252" s="25" t="str">
        <f>CONCATENATE(IF((B252="Foam")+(B252="Smoke"),"-",ROUND(Calcs!D252,0))," ",VLOOKUP(B252,AmmoTypeFactors,5,FALSE))</f>
        <v>4 Bullet</v>
      </c>
      <c r="I252" s="25" t="str">
        <f>IF(Calcs!E252=0,"None",CONCATENATE(ROUND(Calcs!E252,0)," ",VLOOKUP(B252,AmmoTypeFactors,6,FALSE)))</f>
        <v>None</v>
      </c>
      <c r="J252">
        <f>MROUND(2.42*'Ammo Input'!M252^(1/3)*VLOOKUP(B252,AmmoTypeFactors,3,FALSE),0.5)</f>
        <v>0</v>
      </c>
      <c r="K252" s="25" t="str">
        <f>IF(VLOOKUP(B252,AmmoTypeFactors,12,FALSE),MROUND(J252/3,0.5),"None")</f>
        <v>None</v>
      </c>
      <c r="L252" s="25">
        <f>IF(VLOOKUP(B252,AmmoTypeFactors,8,FALSE),"None",ROUNDUP(IF(Calcs!I252&gt;0,Calcs!I252,Calcs!H252),3))</f>
        <v>4.06</v>
      </c>
      <c r="M252" s="25">
        <f>IF(VLOOKUP(B252,AmmoTypeFactors,8,FALSE),"None",'Ammo Input'!L252)</f>
        <v>8</v>
      </c>
      <c r="N252">
        <f>'Ammo Input'!O252</f>
        <v>500</v>
      </c>
      <c r="O252" t="e">
        <f>ROUND((P252*0.0036+SUMPRODUCT(Q252:AB252,VLOOKUP($Q$1:$AB$1,IngredientStats,2,FALSE)))/N252*IF('Ammo Input'!R252,0.5,1),2)</f>
        <v>#VALUE!</v>
      </c>
      <c r="P252" t="e">
        <f>(SUMPRODUCT(Q252:AB252,VLOOKUP($Q$1:$AB$1,IngredientStats,4,FALSE))*VLOOKUP(B252,AmmoTypeFactors,14,FALSE)*IF('Ammo Input'!R252,1.1,1))</f>
        <v>#VALUE!</v>
      </c>
      <c r="Q252">
        <f>IFERROR(__xludf.DUMMYFUNCTION("((IF(NOT(OR(REGEXMATCH(B248, ""Arrow""), B248 = ""Javelin"", B248 = ""Stick bomb"")), ROUNDUP(('Ammo Input'!E248 / 1000) * N248)) + IF(VLOOKUP(B248, AmmoTypeFactors, 9, FALSE) = ""Steel"", ROUNDUP(('Ammo Input'!H248 -'Ammo Input'!M248) * MAX(IF('Ammo Inpu"&amp;"t'!J248 &gt; 0, 'Ammo Input'!J248, 1), 1) * N248 / 1000))) / 'Ingredient stats'!$C$2) * IF(ISBLANK(VLOOKUP(B248,AmmoTypeFactors,15,False)),1,VLOOKUP(B248,AmmoTypeFactors,15,False))"),6)</f>
        <v>6</v>
      </c>
      <c r="R252">
        <f>IFERROR(__xludf.DUMMYFUNCTION("ROUNDUP((IF(REGEXMATCH(B248, ""Arrow"") + (B248 = ""Javelin""), 'Ammo Input'!E248) + IF(VLOOKUP(B248, AmmoTypeFactors, 9, FALSE) = ""Wood"", 'Ammo Input'!H248) + IF(B248 = ""Stick bomb"", 'Ammo Input'!E248)) * N248 / 'Ingredient stats'!$C$12 / 1000)"),0)</f>
        <v>0</v>
      </c>
      <c r="S252">
        <v>0</v>
      </c>
      <c r="T252">
        <v>0</v>
      </c>
      <c r="U252">
        <f>IF(VLOOKUP(B252,AmmoTypeFactors,9,FALSE)="Plasteel",ROUNDUP(('Ammo Input'!H252*MAX(IF('Ammo Input'!J252&gt;0,'Ammo Input'!J252,1)*N252/1000/'Ingredient stats'!$C$4)),0),0)</f>
        <v>0</v>
      </c>
      <c r="V252">
        <f>IFERROR(__xludf.DUMMYFUNCTION("ROUNDUP(IF(ISBLANK(VLOOKUP(B248,AmmoTypeFactors,16,False)),1,VLOOKUP(B248,AmmoTypeFactors,16,False)) * (IFS(REGEXMATCH(B248, ""EMP""), 'Ammo Input'!M248 * N248 / 'Ingredient stats'!$C$5, REGEXMATCH(B248, ""Charge""), (U248^0.75), true, 0) + (IF(VLOOKUP(B2"&amp;"48, AmmoTypeFactors, 10, false), 2,0) + IF('Ammo Input'!P248, 2,0) + IF('Ammo Input'!Q248,MIN(ROUNDUP(0.2*('Ammo Input'!H248/1000)*'Ammo Input'!O248,0),20),0))))"),0)</f>
        <v>0</v>
      </c>
      <c r="W252">
        <v>0</v>
      </c>
      <c r="X252">
        <v>0</v>
      </c>
      <c r="Y252">
        <v>0</v>
      </c>
      <c r="Z252">
        <v>0</v>
      </c>
      <c r="AA252">
        <v>0</v>
      </c>
      <c r="AB252" s="30">
        <f>IF(B252="Sling Bullet (Stone)",ROUNDUP(D252*0.02*E252/'Ingredient stats'!$C$8,0),0)</f>
        <v>0</v>
      </c>
      <c r="AC252" t="str">
        <f t="shared" si="16"/>
        <v>None</v>
      </c>
      <c r="AD252" t="str">
        <f>IF(OR(B252="Buck",B252="Bird",B252="Charge (Scatter)"),'Ammo Input'!J252,"None")</f>
        <v>None</v>
      </c>
      <c r="AE252" t="str">
        <f>_xlfn.IFS(ISTEXT(Calcs!N252),Calcs!N252,Calcs!N252&lt;=40,Calcs!N252,Calcs!N252&gt;41,"40")</f>
        <v>None</v>
      </c>
      <c r="AF252" t="str">
        <f>_xlfn.IFS(ISTEXT(Calcs!O252),Calcs!O252,Calcs!O252&lt;=80,Calcs!O252,Calcs!O252&gt;=81,"80")</f>
        <v>None</v>
      </c>
      <c r="AG252" s="25">
        <f t="shared" si="17"/>
        <v>1</v>
      </c>
      <c r="AH252" s="25">
        <f t="shared" si="18"/>
        <v>1.6</v>
      </c>
      <c r="AI252" s="25">
        <f t="shared" si="19"/>
        <v>1</v>
      </c>
    </row>
    <row r="253" ht="14.4" spans="1:35">
      <c r="A253" s="24" t="str">
        <f>'Ammo Input'!A253</f>
        <v>.22 LR</v>
      </c>
      <c r="B253" t="str">
        <f>'Ammo Input'!B253</f>
        <v>HP</v>
      </c>
      <c r="C253">
        <f>ROUNDUP(('Ammo Input'!C253*(MAX('Ammo Input'!D253,'Ammo Input'!F253)*0.5)^2*PI())*3/1000000,2)</f>
        <v>0.01</v>
      </c>
      <c r="D253">
        <f>ROUNDUP(('Ammo Input'!E253+'Ammo Input'!H253*IF('Ammo Input'!J253&lt;&gt;"",MAX('Ammo Input'!J253,1),1))/1000,3)</f>
        <v>0.003</v>
      </c>
      <c r="E253">
        <f>MIN(5000,MAX(25,CEILING(Calcs!L253,_xlfn.IFS(Calcs!L253&lt;100,25,Calcs!L253&lt;250,50,Calcs!L253&lt;1000,250,Calcs!L253&gt;=1000,1000))))</f>
        <v>5000</v>
      </c>
      <c r="F253">
        <f>ROUNDUP('Ammo Input'!G253^(3/4),0)</f>
        <v>97</v>
      </c>
      <c r="G253">
        <f>ROUND((0.5*((IF(OR(B253="HEAT",B253="HEDP"),'Ammo Input'!N253,'Ammo Input'!H253)/1000)*(IF(B253="HEAT",9000,IF(B253="HEDP",1500,'Ammo Input'!G253))^2))),0)</f>
        <v>203</v>
      </c>
      <c r="H253" s="25" t="str">
        <f>CONCATENATE(IF((B253="Foam")+(B253="Smoke"),"-",ROUND(Calcs!D253,0))," ",VLOOKUP(B253,AmmoTypeFactors,5,FALSE))</f>
        <v>8 Bullet</v>
      </c>
      <c r="I253" s="25" t="str">
        <f>IF(Calcs!E253=0,"None",CONCATENATE(ROUND(Calcs!E253,0)," ",VLOOKUP(B253,AmmoTypeFactors,6,FALSE)))</f>
        <v>None</v>
      </c>
      <c r="J253">
        <f>MROUND(2.42*'Ammo Input'!M253^(1/3)*VLOOKUP(B253,AmmoTypeFactors,3,FALSE),0.5)</f>
        <v>0</v>
      </c>
      <c r="K253" s="25" t="str">
        <f>IF(VLOOKUP(B253,AmmoTypeFactors,12,FALSE),MROUND(J253/3,0.5),"None")</f>
        <v>None</v>
      </c>
      <c r="L253" s="25">
        <f>IF(VLOOKUP(B253,AmmoTypeFactors,8,FALSE),"None",ROUNDUP(IF(Calcs!I253&gt;0,Calcs!I253,Calcs!H253),3))</f>
        <v>4.06</v>
      </c>
      <c r="M253" s="25">
        <f>IF(VLOOKUP(B253,AmmoTypeFactors,8,FALSE),"None",'Ammo Input'!L253)</f>
        <v>2</v>
      </c>
      <c r="N253">
        <f>'Ammo Input'!O253</f>
        <v>500</v>
      </c>
      <c r="O253" t="e">
        <f>ROUND((P253*0.0036+SUMPRODUCT(Q253:AB253,VLOOKUP($Q$1:$AB$1,IngredientStats,2,FALSE)))/N253*IF('Ammo Input'!R253,0.5,1),2)</f>
        <v>#VALUE!</v>
      </c>
      <c r="P253" t="e">
        <f>(SUMPRODUCT(Q253:AB253,VLOOKUP($Q$1:$AB$1,IngredientStats,4,FALSE))*VLOOKUP(B253,AmmoTypeFactors,14,FALSE)*IF('Ammo Input'!R253,1.1,1))</f>
        <v>#VALUE!</v>
      </c>
      <c r="Q253">
        <f>IFERROR(__xludf.DUMMYFUNCTION("((IF(NOT(OR(REGEXMATCH(B249, ""Arrow""), B249 = ""Javelin"", B249 = ""Stick bomb"")), ROUNDUP(('Ammo Input'!E249 / 1000) * N249)) + IF(VLOOKUP(B249, AmmoTypeFactors, 9, FALSE) = ""Steel"", ROUNDUP(('Ammo Input'!H249 -'Ammo Input'!M249) * MAX(IF('Ammo Inpu"&amp;"t'!J249 &gt; 0, 'Ammo Input'!J249, 1), 1) * N249 / 1000))) / 'Ingredient stats'!$C$2) * IF(ISBLANK(VLOOKUP(B249,AmmoTypeFactors,15,False)),1,VLOOKUP(B249,AmmoTypeFactors,15,False))"),6)</f>
        <v>6</v>
      </c>
      <c r="R253">
        <f>IFERROR(__xludf.DUMMYFUNCTION("ROUNDUP((IF(REGEXMATCH(B249, ""Arrow"") + (B249 = ""Javelin""), 'Ammo Input'!E249) + IF(VLOOKUP(B249, AmmoTypeFactors, 9, FALSE) = ""Wood"", 'Ammo Input'!H249) + IF(B249 = ""Stick bomb"", 'Ammo Input'!E249)) * N249 / 'Ingredient stats'!$C$12 / 1000)"),0)</f>
        <v>0</v>
      </c>
      <c r="S253">
        <v>0</v>
      </c>
      <c r="T253">
        <v>0</v>
      </c>
      <c r="U253">
        <f>IF(VLOOKUP(B253,AmmoTypeFactors,9,FALSE)="Plasteel",ROUNDUP(('Ammo Input'!H253*MAX(IF('Ammo Input'!J253&gt;0,'Ammo Input'!J253,1)*N253/1000/'Ingredient stats'!$C$4)),0),0)</f>
        <v>0</v>
      </c>
      <c r="V253">
        <f>IFERROR(__xludf.DUMMYFUNCTION("ROUNDUP(IF(ISBLANK(VLOOKUP(B249,AmmoTypeFactors,16,False)),1,VLOOKUP(B249,AmmoTypeFactors,16,False)) * (IFS(REGEXMATCH(B249, ""EMP""), 'Ammo Input'!M249 * N249 / 'Ingredient stats'!$C$5, REGEXMATCH(B249, ""Charge""), (U249^0.75), true, 0) + (IF(VLOOKUP(B2"&amp;"49, AmmoTypeFactors, 10, false), 2,0) + IF('Ammo Input'!P249, 2,0) + IF('Ammo Input'!Q249,MIN(ROUNDUP(0.2*('Ammo Input'!H249/1000)*'Ammo Input'!O249,0),20),0))))"),0)</f>
        <v>0</v>
      </c>
      <c r="W253">
        <v>0</v>
      </c>
      <c r="X253">
        <v>0</v>
      </c>
      <c r="Y253">
        <v>0</v>
      </c>
      <c r="Z253">
        <v>0</v>
      </c>
      <c r="AA253">
        <v>0</v>
      </c>
      <c r="AB253" s="30">
        <f>IF(B253="Sling Bullet (Stone)",ROUNDUP(D253*0.02*E253/'Ingredient stats'!$C$8,0),0)</f>
        <v>0</v>
      </c>
      <c r="AC253" t="str">
        <f t="shared" si="16"/>
        <v>None</v>
      </c>
      <c r="AD253" t="str">
        <f>IF(OR(B253="Buck",B253="Bird",B253="Charge (Scatter)"),'Ammo Input'!J253,"None")</f>
        <v>None</v>
      </c>
      <c r="AE253" t="str">
        <f>_xlfn.IFS(ISTEXT(Calcs!N253),Calcs!N253,Calcs!N253&lt;=40,Calcs!N253,Calcs!N253&gt;41,"40")</f>
        <v>None</v>
      </c>
      <c r="AF253" t="str">
        <f>_xlfn.IFS(ISTEXT(Calcs!O253),Calcs!O253,Calcs!O253&lt;=80,Calcs!O253,Calcs!O253&gt;=81,"80")</f>
        <v>None</v>
      </c>
      <c r="AG253" s="25">
        <f t="shared" si="17"/>
        <v>1</v>
      </c>
      <c r="AH253" s="25">
        <f t="shared" si="18"/>
        <v>1.6</v>
      </c>
      <c r="AI253" s="25">
        <f t="shared" si="19"/>
        <v>1</v>
      </c>
    </row>
    <row r="254" ht="14.4" spans="1:35">
      <c r="A254" s="24" t="str">
        <f>'Ammo Input'!A254</f>
        <v>.357 Magnum</v>
      </c>
      <c r="B254" t="str">
        <f>'Ammo Input'!B254</f>
        <v>FMJ</v>
      </c>
      <c r="C254">
        <f>ROUNDUP(('Ammo Input'!C254*(MAX('Ammo Input'!D254,'Ammo Input'!F254)*0.5)^2*PI())*3/1000000,2)</f>
        <v>0.01</v>
      </c>
      <c r="D254">
        <f>ROUNDUP(('Ammo Input'!E254+'Ammo Input'!H254*IF('Ammo Input'!J254&lt;&gt;"",MAX('Ammo Input'!J254,1),1))/1000,3)</f>
        <v>0.017</v>
      </c>
      <c r="E254">
        <f>MIN(5000,MAX(25,CEILING(Calcs!L254,_xlfn.IFS(Calcs!L254&lt;100,25,Calcs!L254&lt;250,50,Calcs!L254&lt;1000,250,Calcs!L254&gt;=1000,1000))))</f>
        <v>5000</v>
      </c>
      <c r="F254">
        <f>ROUNDUP('Ammo Input'!G254^(3/4),0)</f>
        <v>94</v>
      </c>
      <c r="G254">
        <f>ROUND((0.5*((IF(OR(B254="HEAT",B254="HEDP"),'Ammo Input'!N254,'Ammo Input'!H254)/1000)*(IF(B254="HEAT",9000,IF(B254="HEDP",1500,'Ammo Input'!G254))^2))),0)</f>
        <v>930</v>
      </c>
      <c r="H254" s="25" t="str">
        <f>CONCATENATE(IF((B254="Foam")+(B254="Smoke"),"-",ROUND(Calcs!D254,0))," ",VLOOKUP(B254,AmmoTypeFactors,5,FALSE))</f>
        <v>13 Bullet</v>
      </c>
      <c r="I254" s="25" t="str">
        <f>IF(Calcs!E254=0,"None",CONCATENATE(ROUND(Calcs!E254,0)," ",VLOOKUP(B254,AmmoTypeFactors,6,FALSE)))</f>
        <v>None</v>
      </c>
      <c r="J254">
        <f>MROUND(2.42*'Ammo Input'!M254^(1/3)*VLOOKUP(B254,AmmoTypeFactors,3,FALSE),0.5)</f>
        <v>0</v>
      </c>
      <c r="K254" s="25" t="str">
        <f>IF(VLOOKUP(B254,AmmoTypeFactors,12,FALSE),MROUND(J254/3,0.5),"None")</f>
        <v>None</v>
      </c>
      <c r="L254" s="25">
        <f>IF(VLOOKUP(B254,AmmoTypeFactors,8,FALSE),"None",ROUNDUP(IF(Calcs!I254&gt;0,Calcs!I254,Calcs!H254),3))</f>
        <v>18.6</v>
      </c>
      <c r="M254" s="25">
        <f>IF(VLOOKUP(B254,AmmoTypeFactors,8,FALSE),"None",'Ammo Input'!L254)</f>
        <v>6</v>
      </c>
      <c r="N254">
        <f>'Ammo Input'!O254</f>
        <v>500</v>
      </c>
      <c r="O254" t="e">
        <f>ROUND((P254*0.0036+SUMPRODUCT(Q254:AB254,VLOOKUP($Q$1:$AB$1,IngredientStats,2,FALSE)))/N254*IF('Ammo Input'!R254,0.5,1),2)</f>
        <v>#VALUE!</v>
      </c>
      <c r="P254" t="e">
        <f>(SUMPRODUCT(Q254:AB254,VLOOKUP($Q$1:$AB$1,IngredientStats,4,FALSE))*VLOOKUP(B254,AmmoTypeFactors,14,FALSE)*IF('Ammo Input'!R254,1.1,1))</f>
        <v>#VALUE!</v>
      </c>
      <c r="Q254">
        <f>IFERROR(__xludf.DUMMYFUNCTION("((IF(NOT(OR(REGEXMATCH(B250, ""Arrow""), B250 = ""Javelin"", B250 = ""Stick bomb"")), ROUNDUP(('Ammo Input'!E250 / 1000) * N250)) + IF(VLOOKUP(B250, AmmoTypeFactors, 9, FALSE) = ""Steel"", ROUNDUP(('Ammo Input'!H250 -'Ammo Input'!M250) * MAX(IF('Ammo Inpu"&amp;"t'!J250 &gt; 0, 'Ammo Input'!J250, 1), 1) * N250 / 1000))) / 'Ingredient stats'!$C$2) * IF(ISBLANK(VLOOKUP(B250,AmmoTypeFactors,15,False)),1,VLOOKUP(B250,AmmoTypeFactors,15,False))"),18)</f>
        <v>18</v>
      </c>
      <c r="R254">
        <f>IFERROR(__xludf.DUMMYFUNCTION("ROUNDUP((IF(REGEXMATCH(B250, ""Arrow"") + (B250 = ""Javelin""), 'Ammo Input'!E250) + IF(VLOOKUP(B250, AmmoTypeFactors, 9, FALSE) = ""Wood"", 'Ammo Input'!H250) + IF(B250 = ""Stick bomb"", 'Ammo Input'!E250)) * N250 / 'Ingredient stats'!$C$12 / 1000)"),0)</f>
        <v>0</v>
      </c>
      <c r="S254">
        <v>0</v>
      </c>
      <c r="T254">
        <v>0</v>
      </c>
      <c r="U254">
        <f>IF(VLOOKUP(B254,AmmoTypeFactors,9,FALSE)="Plasteel",ROUNDUP(('Ammo Input'!H254*MAX(IF('Ammo Input'!J254&gt;0,'Ammo Input'!J254,1)*N254/1000/'Ingredient stats'!$C$4)),0),0)</f>
        <v>0</v>
      </c>
      <c r="V254">
        <f>IFERROR(__xludf.DUMMYFUNCTION("ROUNDUP(IF(ISBLANK(VLOOKUP(B250,AmmoTypeFactors,16,False)),1,VLOOKUP(B250,AmmoTypeFactors,16,False)) * (IFS(REGEXMATCH(B250, ""EMP""), 'Ammo Input'!M250 * N250 / 'Ingredient stats'!$C$5, REGEXMATCH(B250, ""Charge""), (U250^0.75), true, 0) + (IF(VLOOKUP(B2"&amp;"50, AmmoTypeFactors, 10, false), 2,0) + IF('Ammo Input'!P250, 2,0) + IF('Ammo Input'!Q250,MIN(ROUNDUP(0.2*('Ammo Input'!H250/1000)*'Ammo Input'!O250,0),20),0))))"),0)</f>
        <v>0</v>
      </c>
      <c r="W254">
        <v>0</v>
      </c>
      <c r="X254">
        <v>0</v>
      </c>
      <c r="Y254">
        <v>0</v>
      </c>
      <c r="Z254">
        <v>0</v>
      </c>
      <c r="AA254">
        <v>0</v>
      </c>
      <c r="AB254" s="30">
        <f>IF(B254="Sling Bullet (Stone)",ROUNDUP(D254*0.02*E254/'Ingredient stats'!$C$8,0),0)</f>
        <v>0</v>
      </c>
      <c r="AC254" t="str">
        <f t="shared" si="16"/>
        <v>None</v>
      </c>
      <c r="AD254" t="str">
        <f>IF(OR(B254="Buck",B254="Bird",B254="Charge (Scatter)"),'Ammo Input'!J254,"None")</f>
        <v>None</v>
      </c>
      <c r="AE254" t="str">
        <f>_xlfn.IFS(ISTEXT(Calcs!N254),Calcs!N254,Calcs!N254&lt;=40,Calcs!N254,Calcs!N254&gt;41,"40")</f>
        <v>None</v>
      </c>
      <c r="AF254" t="str">
        <f>_xlfn.IFS(ISTEXT(Calcs!O254),Calcs!O254,Calcs!O254&lt;=80,Calcs!O254,Calcs!O254&gt;=81,"80")</f>
        <v>None</v>
      </c>
      <c r="AG254" s="25">
        <f t="shared" si="17"/>
        <v>1</v>
      </c>
      <c r="AH254" s="25">
        <f t="shared" si="18"/>
        <v>1.55</v>
      </c>
      <c r="AI254" s="25">
        <f t="shared" si="19"/>
        <v>1</v>
      </c>
    </row>
    <row r="255" ht="14.4" spans="1:35">
      <c r="A255" s="24" t="str">
        <f>'Ammo Input'!A255</f>
        <v>.357 Magnum</v>
      </c>
      <c r="B255" t="str">
        <f>'Ammo Input'!B255</f>
        <v>AP</v>
      </c>
      <c r="C255">
        <f>ROUNDUP(('Ammo Input'!C255*(MAX('Ammo Input'!D255,'Ammo Input'!F255)*0.5)^2*PI())*3/1000000,2)</f>
        <v>0.01</v>
      </c>
      <c r="D255">
        <f>ROUNDUP(('Ammo Input'!E255+'Ammo Input'!H255*IF('Ammo Input'!J255&lt;&gt;"",MAX('Ammo Input'!J255,1),1))/1000,3)</f>
        <v>0.017</v>
      </c>
      <c r="E255">
        <f>MIN(5000,MAX(25,CEILING(Calcs!L255,_xlfn.IFS(Calcs!L255&lt;100,25,Calcs!L255&lt;250,50,Calcs!L255&lt;1000,250,Calcs!L255&gt;=1000,1000))))</f>
        <v>5000</v>
      </c>
      <c r="F255">
        <f>ROUNDUP('Ammo Input'!G255^(3/4),0)</f>
        <v>94</v>
      </c>
      <c r="G255">
        <f>ROUND((0.5*((IF(OR(B255="HEAT",B255="HEDP"),'Ammo Input'!N255,'Ammo Input'!H255)/1000)*(IF(B255="HEAT",9000,IF(B255="HEDP",1500,'Ammo Input'!G255))^2))),0)</f>
        <v>930</v>
      </c>
      <c r="H255" s="25" t="str">
        <f>CONCATENATE(IF((B255="Foam")+(B255="Smoke"),"-",ROUND(Calcs!D255,0))," ",VLOOKUP(B255,AmmoTypeFactors,5,FALSE))</f>
        <v>8 Bullet</v>
      </c>
      <c r="I255" s="25" t="str">
        <f>IF(Calcs!E255=0,"None",CONCATENATE(ROUND(Calcs!E255,0)," ",VLOOKUP(B255,AmmoTypeFactors,6,FALSE)))</f>
        <v>None</v>
      </c>
      <c r="J255">
        <f>MROUND(2.42*'Ammo Input'!M255^(1/3)*VLOOKUP(B255,AmmoTypeFactors,3,FALSE),0.5)</f>
        <v>0</v>
      </c>
      <c r="K255" s="25" t="str">
        <f>IF(VLOOKUP(B255,AmmoTypeFactors,12,FALSE),MROUND(J255/3,0.5),"None")</f>
        <v>None</v>
      </c>
      <c r="L255" s="25">
        <f>IF(VLOOKUP(B255,AmmoTypeFactors,8,FALSE),"None",ROUNDUP(IF(Calcs!I255&gt;0,Calcs!I255,Calcs!H255),3))</f>
        <v>18.6</v>
      </c>
      <c r="M255" s="25">
        <f>IF(VLOOKUP(B255,AmmoTypeFactors,8,FALSE),"None",'Ammo Input'!L255)</f>
        <v>12</v>
      </c>
      <c r="N255">
        <f>'Ammo Input'!O255</f>
        <v>500</v>
      </c>
      <c r="O255" t="e">
        <f>ROUND((P255*0.0036+SUMPRODUCT(Q255:AB255,VLOOKUP($Q$1:$AB$1,IngredientStats,2,FALSE)))/N255*IF('Ammo Input'!R255,0.5,1),2)</f>
        <v>#VALUE!</v>
      </c>
      <c r="P255" t="e">
        <f>(SUMPRODUCT(Q255:AB255,VLOOKUP($Q$1:$AB$1,IngredientStats,4,FALSE))*VLOOKUP(B255,AmmoTypeFactors,14,FALSE)*IF('Ammo Input'!R255,1.1,1))</f>
        <v>#VALUE!</v>
      </c>
      <c r="Q255">
        <f>IFERROR(__xludf.DUMMYFUNCTION("((IF(NOT(OR(REGEXMATCH(B251, ""Arrow""), B251 = ""Javelin"", B251 = ""Stick bomb"")), ROUNDUP(('Ammo Input'!E251 / 1000) * N251)) + IF(VLOOKUP(B251, AmmoTypeFactors, 9, FALSE) = ""Steel"", ROUNDUP(('Ammo Input'!H251 -'Ammo Input'!M251) * MAX(IF('Ammo Inpu"&amp;"t'!J251 &gt; 0, 'Ammo Input'!J251, 1), 1) * N251 / 1000))) / 'Ingredient stats'!$C$2) * IF(ISBLANK(VLOOKUP(B251,AmmoTypeFactors,15,False)),1,VLOOKUP(B251,AmmoTypeFactors,15,False))"),18)</f>
        <v>18</v>
      </c>
      <c r="R255">
        <f>IFERROR(__xludf.DUMMYFUNCTION("ROUNDUP((IF(REGEXMATCH(B251, ""Arrow"") + (B251 = ""Javelin""), 'Ammo Input'!E251) + IF(VLOOKUP(B251, AmmoTypeFactors, 9, FALSE) = ""Wood"", 'Ammo Input'!H251) + IF(B251 = ""Stick bomb"", 'Ammo Input'!E251)) * N251 / 'Ingredient stats'!$C$12 / 1000)"),0)</f>
        <v>0</v>
      </c>
      <c r="S255">
        <v>0</v>
      </c>
      <c r="T255">
        <v>0</v>
      </c>
      <c r="U255">
        <f>IF(VLOOKUP(B255,AmmoTypeFactors,9,FALSE)="Plasteel",ROUNDUP(('Ammo Input'!H255*MAX(IF('Ammo Input'!J255&gt;0,'Ammo Input'!J255,1)*N255/1000/'Ingredient stats'!$C$4)),0),0)</f>
        <v>0</v>
      </c>
      <c r="V255">
        <f>IFERROR(__xludf.DUMMYFUNCTION("ROUNDUP(IF(ISBLANK(VLOOKUP(B251,AmmoTypeFactors,16,False)),1,VLOOKUP(B251,AmmoTypeFactors,16,False)) * (IFS(REGEXMATCH(B251, ""EMP""), 'Ammo Input'!M251 * N251 / 'Ingredient stats'!$C$5, REGEXMATCH(B251, ""Charge""), (U251^0.75), true, 0) + (IF(VLOOKUP(B2"&amp;"51, AmmoTypeFactors, 10, false), 2,0) + IF('Ammo Input'!P251, 2,0) + IF('Ammo Input'!Q251,MIN(ROUNDUP(0.2*('Ammo Input'!H251/1000)*'Ammo Input'!O251,0),20),0))))"),0)</f>
        <v>0</v>
      </c>
      <c r="W255">
        <v>0</v>
      </c>
      <c r="X255">
        <v>0</v>
      </c>
      <c r="Y255">
        <v>0</v>
      </c>
      <c r="Z255">
        <v>0</v>
      </c>
      <c r="AA255">
        <v>0</v>
      </c>
      <c r="AB255" s="30">
        <f>IF(B255="Sling Bullet (Stone)",ROUNDUP(D255*0.02*E255/'Ingredient stats'!$C$8,0),0)</f>
        <v>0</v>
      </c>
      <c r="AC255" t="str">
        <f t="shared" si="16"/>
        <v>None</v>
      </c>
      <c r="AD255" t="str">
        <f>IF(OR(B255="Buck",B255="Bird",B255="Charge (Scatter)"),'Ammo Input'!J255,"None")</f>
        <v>None</v>
      </c>
      <c r="AE255" t="str">
        <f>_xlfn.IFS(ISTEXT(Calcs!N255),Calcs!N255,Calcs!N255&lt;=40,Calcs!N255,Calcs!N255&gt;41,"40")</f>
        <v>None</v>
      </c>
      <c r="AF255" t="str">
        <f>_xlfn.IFS(ISTEXT(Calcs!O255),Calcs!O255,Calcs!O255&lt;=80,Calcs!O255,Calcs!O255&gt;=81,"80")</f>
        <v>None</v>
      </c>
      <c r="AG255" s="25">
        <f t="shared" si="17"/>
        <v>1</v>
      </c>
      <c r="AH255" s="25">
        <f t="shared" si="18"/>
        <v>1.55</v>
      </c>
      <c r="AI255" s="25">
        <f t="shared" si="19"/>
        <v>1</v>
      </c>
    </row>
    <row r="256" ht="14.4" spans="1:35">
      <c r="A256" s="24" t="str">
        <f>'Ammo Input'!A256</f>
        <v>.357 Magnum</v>
      </c>
      <c r="B256" t="str">
        <f>'Ammo Input'!B256</f>
        <v>HP</v>
      </c>
      <c r="C256">
        <f>ROUNDUP(('Ammo Input'!C256*(MAX('Ammo Input'!D256,'Ammo Input'!F256)*0.5)^2*PI())*3/1000000,2)</f>
        <v>0.01</v>
      </c>
      <c r="D256">
        <f>ROUNDUP(('Ammo Input'!E256+'Ammo Input'!H256*IF('Ammo Input'!J256&lt;&gt;"",MAX('Ammo Input'!J256,1),1))/1000,3)</f>
        <v>0.017</v>
      </c>
      <c r="E256">
        <f>MIN(5000,MAX(25,CEILING(Calcs!L256,_xlfn.IFS(Calcs!L256&lt;100,25,Calcs!L256&lt;250,50,Calcs!L256&lt;1000,250,Calcs!L256&gt;=1000,1000))))</f>
        <v>5000</v>
      </c>
      <c r="F256">
        <f>ROUNDUP('Ammo Input'!G256^(3/4),0)</f>
        <v>94</v>
      </c>
      <c r="G256">
        <f>ROUND((0.5*((IF(OR(B256="HEAT",B256="HEDP"),'Ammo Input'!N256,'Ammo Input'!H256)/1000)*(IF(B256="HEAT",9000,IF(B256="HEDP",1500,'Ammo Input'!G256))^2))),0)</f>
        <v>930</v>
      </c>
      <c r="H256" s="25" t="str">
        <f>CONCATENATE(IF((B256="Foam")+(B256="Smoke"),"-",ROUND(Calcs!D256,0))," ",VLOOKUP(B256,AmmoTypeFactors,5,FALSE))</f>
        <v>17 Bullet</v>
      </c>
      <c r="I256" s="25" t="str">
        <f>IF(Calcs!E256=0,"None",CONCATENATE(ROUND(Calcs!E256,0)," ",VLOOKUP(B256,AmmoTypeFactors,6,FALSE)))</f>
        <v>None</v>
      </c>
      <c r="J256">
        <f>MROUND(2.42*'Ammo Input'!M256^(1/3)*VLOOKUP(B256,AmmoTypeFactors,3,FALSE),0.5)</f>
        <v>0</v>
      </c>
      <c r="K256" s="25" t="str">
        <f>IF(VLOOKUP(B256,AmmoTypeFactors,12,FALSE),MROUND(J256/3,0.5),"None")</f>
        <v>None</v>
      </c>
      <c r="L256" s="25">
        <f>IF(VLOOKUP(B256,AmmoTypeFactors,8,FALSE),"None",ROUNDUP(IF(Calcs!I256&gt;0,Calcs!I256,Calcs!H256),3))</f>
        <v>18.6</v>
      </c>
      <c r="M256" s="25">
        <f>IF(VLOOKUP(B256,AmmoTypeFactors,8,FALSE),"None",'Ammo Input'!L256)</f>
        <v>3</v>
      </c>
      <c r="N256">
        <f>'Ammo Input'!O256</f>
        <v>500</v>
      </c>
      <c r="O256" t="e">
        <f>ROUND((P256*0.0036+SUMPRODUCT(Q256:AB256,VLOOKUP($Q$1:$AB$1,IngredientStats,2,FALSE)))/N256*IF('Ammo Input'!R256,0.5,1),2)</f>
        <v>#VALUE!</v>
      </c>
      <c r="P256" t="e">
        <f>(SUMPRODUCT(Q256:AB256,VLOOKUP($Q$1:$AB$1,IngredientStats,4,FALSE))*VLOOKUP(B256,AmmoTypeFactors,14,FALSE)*IF('Ammo Input'!R256,1.1,1))</f>
        <v>#VALUE!</v>
      </c>
      <c r="Q256">
        <f>IFERROR(__xludf.DUMMYFUNCTION("((IF(NOT(OR(REGEXMATCH(B252, ""Arrow""), B252 = ""Javelin"", B252 = ""Stick bomb"")), ROUNDUP(('Ammo Input'!E252 / 1000) * N252)) + IF(VLOOKUP(B252, AmmoTypeFactors, 9, FALSE) = ""Steel"", ROUNDUP(('Ammo Input'!H252 -'Ammo Input'!M252) * MAX(IF('Ammo Inpu"&amp;"t'!J252 &gt; 0, 'Ammo Input'!J252, 1), 1) * N252 / 1000))) / 'Ingredient stats'!$C$2) * IF(ISBLANK(VLOOKUP(B252,AmmoTypeFactors,15,False)),1,VLOOKUP(B252,AmmoTypeFactors,15,False))"),18)</f>
        <v>18</v>
      </c>
      <c r="R256">
        <f>IFERROR(__xludf.DUMMYFUNCTION("ROUNDUP((IF(REGEXMATCH(B252, ""Arrow"") + (B252 = ""Javelin""), 'Ammo Input'!E252) + IF(VLOOKUP(B252, AmmoTypeFactors, 9, FALSE) = ""Wood"", 'Ammo Input'!H252) + IF(B252 = ""Stick bomb"", 'Ammo Input'!E252)) * N252 / 'Ingredient stats'!$C$12 / 1000)"),0)</f>
        <v>0</v>
      </c>
      <c r="S256">
        <v>0</v>
      </c>
      <c r="T256">
        <v>0</v>
      </c>
      <c r="U256">
        <f>IF(VLOOKUP(B256,AmmoTypeFactors,9,FALSE)="Plasteel",ROUNDUP(('Ammo Input'!H256*MAX(IF('Ammo Input'!J256&gt;0,'Ammo Input'!J256,1)*N256/1000/'Ingredient stats'!$C$4)),0),0)</f>
        <v>0</v>
      </c>
      <c r="V256">
        <f>IFERROR(__xludf.DUMMYFUNCTION("ROUNDUP(IF(ISBLANK(VLOOKUP(B252,AmmoTypeFactors,16,False)),1,VLOOKUP(B252,AmmoTypeFactors,16,False)) * (IFS(REGEXMATCH(B252, ""EMP""), 'Ammo Input'!M252 * N252 / 'Ingredient stats'!$C$5, REGEXMATCH(B252, ""Charge""), (U252^0.75), true, 0) + (IF(VLOOKUP(B2"&amp;"52, AmmoTypeFactors, 10, false), 2,0) + IF('Ammo Input'!P252, 2,0) + IF('Ammo Input'!Q252,MIN(ROUNDUP(0.2*('Ammo Input'!H252/1000)*'Ammo Input'!O252,0),20),0))))"),0)</f>
        <v>0</v>
      </c>
      <c r="W256">
        <v>0</v>
      </c>
      <c r="X256">
        <v>0</v>
      </c>
      <c r="Y256">
        <v>0</v>
      </c>
      <c r="Z256">
        <v>0</v>
      </c>
      <c r="AA256">
        <v>0</v>
      </c>
      <c r="AB256" s="30">
        <f>IF(B256="Sling Bullet (Stone)",ROUNDUP(D256*0.02*E256/'Ingredient stats'!$C$8,0),0)</f>
        <v>0</v>
      </c>
      <c r="AC256" t="str">
        <f t="shared" si="16"/>
        <v>None</v>
      </c>
      <c r="AD256" t="str">
        <f>IF(OR(B256="Buck",B256="Bird",B256="Charge (Scatter)"),'Ammo Input'!J256,"None")</f>
        <v>None</v>
      </c>
      <c r="AE256" t="str">
        <f>_xlfn.IFS(ISTEXT(Calcs!N256),Calcs!N256,Calcs!N256&lt;=40,Calcs!N256,Calcs!N256&gt;41,"40")</f>
        <v>None</v>
      </c>
      <c r="AF256" t="str">
        <f>_xlfn.IFS(ISTEXT(Calcs!O256),Calcs!O256,Calcs!O256&lt;=80,Calcs!O256,Calcs!O256&gt;=81,"80")</f>
        <v>None</v>
      </c>
      <c r="AG256" s="25">
        <f t="shared" si="17"/>
        <v>1</v>
      </c>
      <c r="AH256" s="25">
        <f t="shared" si="18"/>
        <v>1.55</v>
      </c>
      <c r="AI256" s="25">
        <f t="shared" si="19"/>
        <v>1</v>
      </c>
    </row>
    <row r="257" ht="14.4" spans="1:35">
      <c r="A257" s="24" t="str">
        <f>'Ammo Input'!A257</f>
        <v>.44 Magnum</v>
      </c>
      <c r="B257" t="str">
        <f>'Ammo Input'!B257</f>
        <v>FMJ</v>
      </c>
      <c r="C257">
        <f>ROUNDUP(('Ammo Input'!C257*(MAX('Ammo Input'!D257,'Ammo Input'!F257)*0.5)^2*PI())*3/1000000,2)</f>
        <v>0.02</v>
      </c>
      <c r="D257">
        <f>ROUNDUP(('Ammo Input'!E257+'Ammo Input'!H257*IF('Ammo Input'!J257&lt;&gt;"",MAX('Ammo Input'!J257,1),1))/1000,3)</f>
        <v>0.023</v>
      </c>
      <c r="E257">
        <f>MIN(5000,MAX(25,CEILING(Calcs!L257,_xlfn.IFS(Calcs!L257&lt;100,25,Calcs!L257&lt;250,50,Calcs!L257&lt;1000,250,Calcs!L257&gt;=1000,1000))))</f>
        <v>5000</v>
      </c>
      <c r="F257">
        <f>ROUNDUP('Ammo Input'!G257^(3/4),0)</f>
        <v>88</v>
      </c>
      <c r="G257">
        <f>ROUND((0.5*((IF(OR(B257="HEAT",B257="HEDP"),'Ammo Input'!N257,'Ammo Input'!H257)/1000)*(IF(B257="HEAT",9000,IF(B257="HEDP",1500,'Ammo Input'!G257))^2))),0)</f>
        <v>1164</v>
      </c>
      <c r="H257" s="25" t="str">
        <f>CONCATENATE(IF((B257="Foam")+(B257="Smoke"),"-",ROUND(Calcs!D257,0))," ",VLOOKUP(B257,AmmoTypeFactors,5,FALSE))</f>
        <v>15 Bullet</v>
      </c>
      <c r="I257" s="25" t="str">
        <f>IF(Calcs!E257=0,"None",CONCATENATE(ROUND(Calcs!E257,0)," ",VLOOKUP(B257,AmmoTypeFactors,6,FALSE)))</f>
        <v>None</v>
      </c>
      <c r="J257">
        <f>MROUND(2.42*'Ammo Input'!M257^(1/3)*VLOOKUP(B257,AmmoTypeFactors,3,FALSE),0.5)</f>
        <v>0</v>
      </c>
      <c r="K257" s="25" t="str">
        <f>IF(VLOOKUP(B257,AmmoTypeFactors,12,FALSE),MROUND(J257/3,0.5),"None")</f>
        <v>None</v>
      </c>
      <c r="L257" s="25">
        <f>IF(VLOOKUP(B257,AmmoTypeFactors,8,FALSE),"None",ROUNDUP(IF(Calcs!I257&gt;0,Calcs!I257,Calcs!H257),3))</f>
        <v>23.28</v>
      </c>
      <c r="M257" s="25">
        <f>IF(VLOOKUP(B257,AmmoTypeFactors,8,FALSE),"None",'Ammo Input'!L257)</f>
        <v>6</v>
      </c>
      <c r="N257">
        <f>'Ammo Input'!O257</f>
        <v>500</v>
      </c>
      <c r="O257" t="e">
        <f>ROUND((P257*0.0036+SUMPRODUCT(Q257:AB257,VLOOKUP($Q$1:$AB$1,IngredientStats,2,FALSE)))/N257*IF('Ammo Input'!R257,0.5,1),2)</f>
        <v>#VALUE!</v>
      </c>
      <c r="P257" t="e">
        <f>(SUMPRODUCT(Q257:AB257,VLOOKUP($Q$1:$AB$1,IngredientStats,4,FALSE))*VLOOKUP(B257,AmmoTypeFactors,14,FALSE)*IF('Ammo Input'!R257,1.1,1))</f>
        <v>#VALUE!</v>
      </c>
      <c r="Q257">
        <f>IFERROR(__xludf.DUMMYFUNCTION("((IF(NOT(OR(REGEXMATCH(B253, ""Arrow""), B253 = ""Javelin"", B253 = ""Stick bomb"")), ROUNDUP(('Ammo Input'!E253 / 1000) * N253)) + IF(VLOOKUP(B253, AmmoTypeFactors, 9, FALSE) = ""Steel"", ROUNDUP(('Ammo Input'!H253 -'Ammo Input'!M253) * MAX(IF('Ammo Inpu"&amp;"t'!J253 &gt; 0, 'Ammo Input'!J253, 1), 1) * N253 / 1000))) / 'Ingredient stats'!$C$2) * IF(ISBLANK(VLOOKUP(B253,AmmoTypeFactors,15,False)),1,VLOOKUP(B253,AmmoTypeFactors,15,False))"),24)</f>
        <v>24</v>
      </c>
      <c r="R257">
        <f>IFERROR(__xludf.DUMMYFUNCTION("ROUNDUP((IF(REGEXMATCH(B253, ""Arrow"") + (B253 = ""Javelin""), 'Ammo Input'!E253) + IF(VLOOKUP(B253, AmmoTypeFactors, 9, FALSE) = ""Wood"", 'Ammo Input'!H253) + IF(B253 = ""Stick bomb"", 'Ammo Input'!E253)) * N253 / 'Ingredient stats'!$C$12 / 1000)"),0)</f>
        <v>0</v>
      </c>
      <c r="S257">
        <v>0</v>
      </c>
      <c r="T257">
        <v>0</v>
      </c>
      <c r="U257">
        <f>IF(VLOOKUP(B257,AmmoTypeFactors,9,FALSE)="Plasteel",ROUNDUP(('Ammo Input'!H257*MAX(IF('Ammo Input'!J257&gt;0,'Ammo Input'!J257,1)*N257/1000/'Ingredient stats'!$C$4)),0),0)</f>
        <v>0</v>
      </c>
      <c r="V257">
        <f>IFERROR(__xludf.DUMMYFUNCTION("ROUNDUP(IF(ISBLANK(VLOOKUP(B253,AmmoTypeFactors,16,False)),1,VLOOKUP(B253,AmmoTypeFactors,16,False)) * (IFS(REGEXMATCH(B253, ""EMP""), 'Ammo Input'!M253 * N253 / 'Ingredient stats'!$C$5, REGEXMATCH(B253, ""Charge""), (U253^0.75), true, 0) + (IF(VLOOKUP(B2"&amp;"53, AmmoTypeFactors, 10, false), 2,0) + IF('Ammo Input'!P253, 2,0) + IF('Ammo Input'!Q253,MIN(ROUNDUP(0.2*('Ammo Input'!H253/1000)*'Ammo Input'!O253,0),20),0))))"),0)</f>
        <v>0</v>
      </c>
      <c r="W257">
        <v>0</v>
      </c>
      <c r="X257">
        <v>0</v>
      </c>
      <c r="Y257">
        <v>0</v>
      </c>
      <c r="Z257">
        <v>0</v>
      </c>
      <c r="AA257">
        <v>0</v>
      </c>
      <c r="AB257" s="30">
        <f>IF(B257="Sling Bullet (Stone)",ROUNDUP(D257*0.02*E257/'Ingredient stats'!$C$8,0),0)</f>
        <v>0</v>
      </c>
      <c r="AC257" t="str">
        <f t="shared" si="16"/>
        <v>None</v>
      </c>
      <c r="AD257" t="str">
        <f>IF(OR(B257="Buck",B257="Bird",B257="Charge (Scatter)"),'Ammo Input'!J257,"None")</f>
        <v>None</v>
      </c>
      <c r="AE257" t="str">
        <f>_xlfn.IFS(ISTEXT(Calcs!N257),Calcs!N257,Calcs!N257&lt;=40,Calcs!N257,Calcs!N257&gt;41,"40")</f>
        <v>None</v>
      </c>
      <c r="AF257" t="str">
        <f>_xlfn.IFS(ISTEXT(Calcs!O257),Calcs!O257,Calcs!O257&lt;=80,Calcs!O257,Calcs!O257&gt;=81,"80")</f>
        <v>None</v>
      </c>
      <c r="AG257" s="25">
        <f t="shared" si="17"/>
        <v>1</v>
      </c>
      <c r="AH257" s="25">
        <f t="shared" si="18"/>
        <v>1.45</v>
      </c>
      <c r="AI257" s="25">
        <f t="shared" si="19"/>
        <v>1</v>
      </c>
    </row>
    <row r="258" ht="14.4" spans="1:35">
      <c r="A258" s="24" t="str">
        <f>'Ammo Input'!A258</f>
        <v>.44 Magnum</v>
      </c>
      <c r="B258" t="str">
        <f>'Ammo Input'!B258</f>
        <v>AP</v>
      </c>
      <c r="C258">
        <f>ROUNDUP(('Ammo Input'!C258*(MAX('Ammo Input'!D258,'Ammo Input'!F258)*0.5)^2*PI())*3/1000000,2)</f>
        <v>0.02</v>
      </c>
      <c r="D258">
        <f>ROUNDUP(('Ammo Input'!E258+'Ammo Input'!H258*IF('Ammo Input'!J258&lt;&gt;"",MAX('Ammo Input'!J258,1),1))/1000,3)</f>
        <v>0.023</v>
      </c>
      <c r="E258">
        <f>MIN(5000,MAX(25,CEILING(Calcs!L258,_xlfn.IFS(Calcs!L258&lt;100,25,Calcs!L258&lt;250,50,Calcs!L258&lt;1000,250,Calcs!L258&gt;=1000,1000))))</f>
        <v>5000</v>
      </c>
      <c r="F258">
        <f>ROUNDUP('Ammo Input'!G258^(3/4),0)</f>
        <v>88</v>
      </c>
      <c r="G258">
        <f>ROUND((0.5*((IF(OR(B258="HEAT",B258="HEDP"),'Ammo Input'!N258,'Ammo Input'!H258)/1000)*(IF(B258="HEAT",9000,IF(B258="HEDP",1500,'Ammo Input'!G258))^2))),0)</f>
        <v>1164</v>
      </c>
      <c r="H258" s="25" t="str">
        <f>CONCATENATE(IF((B258="Foam")+(B258="Smoke"),"-",ROUND(Calcs!D258,0))," ",VLOOKUP(B258,AmmoTypeFactors,5,FALSE))</f>
        <v>10 Bullet</v>
      </c>
      <c r="I258" s="25" t="str">
        <f>IF(Calcs!E258=0,"None",CONCATENATE(ROUND(Calcs!E258,0)," ",VLOOKUP(B258,AmmoTypeFactors,6,FALSE)))</f>
        <v>None</v>
      </c>
      <c r="J258">
        <f>MROUND(2.42*'Ammo Input'!M258^(1/3)*VLOOKUP(B258,AmmoTypeFactors,3,FALSE),0.5)</f>
        <v>0</v>
      </c>
      <c r="K258" s="25" t="str">
        <f>IF(VLOOKUP(B258,AmmoTypeFactors,12,FALSE),MROUND(J258/3,0.5),"None")</f>
        <v>None</v>
      </c>
      <c r="L258" s="25">
        <f>IF(VLOOKUP(B258,AmmoTypeFactors,8,FALSE),"None",ROUNDUP(IF(Calcs!I258&gt;0,Calcs!I258,Calcs!H258),3))</f>
        <v>23.28</v>
      </c>
      <c r="M258" s="25">
        <f>IF(VLOOKUP(B258,AmmoTypeFactors,8,FALSE),"None",'Ammo Input'!L258)</f>
        <v>12</v>
      </c>
      <c r="N258">
        <f>'Ammo Input'!O258</f>
        <v>500</v>
      </c>
      <c r="O258" t="e">
        <f>ROUND((P258*0.0036+SUMPRODUCT(Q258:AB258,VLOOKUP($Q$1:$AB$1,IngredientStats,2,FALSE)))/N258*IF('Ammo Input'!R258,0.5,1),2)</f>
        <v>#VALUE!</v>
      </c>
      <c r="P258" t="e">
        <f>(SUMPRODUCT(Q258:AB258,VLOOKUP($Q$1:$AB$1,IngredientStats,4,FALSE))*VLOOKUP(B258,AmmoTypeFactors,14,FALSE)*IF('Ammo Input'!R258,1.1,1))</f>
        <v>#VALUE!</v>
      </c>
      <c r="Q258">
        <f>IFERROR(__xludf.DUMMYFUNCTION("((IF(NOT(OR(REGEXMATCH(B254, ""Arrow""), B254 = ""Javelin"", B254 = ""Stick bomb"")), ROUNDUP(('Ammo Input'!E254 / 1000) * N254)) + IF(VLOOKUP(B254, AmmoTypeFactors, 9, FALSE) = ""Steel"", ROUNDUP(('Ammo Input'!H254 -'Ammo Input'!M254) * MAX(IF('Ammo Inpu"&amp;"t'!J254 &gt; 0, 'Ammo Input'!J254, 1), 1) * N254 / 1000))) / 'Ingredient stats'!$C$2) * IF(ISBLANK(VLOOKUP(B254,AmmoTypeFactors,15,False)),1,VLOOKUP(B254,AmmoTypeFactors,15,False))"),24)</f>
        <v>24</v>
      </c>
      <c r="R258">
        <f>IFERROR(__xludf.DUMMYFUNCTION("ROUNDUP((IF(REGEXMATCH(B254, ""Arrow"") + (B254 = ""Javelin""), 'Ammo Input'!E254) + IF(VLOOKUP(B254, AmmoTypeFactors, 9, FALSE) = ""Wood"", 'Ammo Input'!H254) + IF(B254 = ""Stick bomb"", 'Ammo Input'!E254)) * N254 / 'Ingredient stats'!$C$12 / 1000)"),0)</f>
        <v>0</v>
      </c>
      <c r="S258">
        <v>0</v>
      </c>
      <c r="T258">
        <v>0</v>
      </c>
      <c r="U258">
        <f>IF(VLOOKUP(B258,AmmoTypeFactors,9,FALSE)="Plasteel",ROUNDUP(('Ammo Input'!H258*MAX(IF('Ammo Input'!J258&gt;0,'Ammo Input'!J258,1)*N258/1000/'Ingredient stats'!$C$4)),0),0)</f>
        <v>0</v>
      </c>
      <c r="V258">
        <f>IFERROR(__xludf.DUMMYFUNCTION("ROUNDUP(IF(ISBLANK(VLOOKUP(B254,AmmoTypeFactors,16,False)),1,VLOOKUP(B254,AmmoTypeFactors,16,False)) * (IFS(REGEXMATCH(B254, ""EMP""), 'Ammo Input'!M254 * N254 / 'Ingredient stats'!$C$5, REGEXMATCH(B254, ""Charge""), (U254^0.75), true, 0) + (IF(VLOOKUP(B2"&amp;"54, AmmoTypeFactors, 10, false), 2,0) + IF('Ammo Input'!P254, 2,0) + IF('Ammo Input'!Q254,MIN(ROUNDUP(0.2*('Ammo Input'!H254/1000)*'Ammo Input'!O254,0),20),0))))"),0)</f>
        <v>0</v>
      </c>
      <c r="W258">
        <v>0</v>
      </c>
      <c r="X258">
        <v>0</v>
      </c>
      <c r="Y258">
        <v>0</v>
      </c>
      <c r="Z258">
        <v>0</v>
      </c>
      <c r="AA258">
        <v>0</v>
      </c>
      <c r="AB258" s="30">
        <f>IF(B258="Sling Bullet (Stone)",ROUNDUP(D258*0.02*E258/'Ingredient stats'!$C$8,0),0)</f>
        <v>0</v>
      </c>
      <c r="AC258" t="str">
        <f t="shared" si="16"/>
        <v>None</v>
      </c>
      <c r="AD258" t="str">
        <f>IF(OR(B258="Buck",B258="Bird",B258="Charge (Scatter)"),'Ammo Input'!J258,"None")</f>
        <v>None</v>
      </c>
      <c r="AE258" t="str">
        <f>_xlfn.IFS(ISTEXT(Calcs!N258),Calcs!N258,Calcs!N258&lt;=40,Calcs!N258,Calcs!N258&gt;41,"40")</f>
        <v>None</v>
      </c>
      <c r="AF258" t="str">
        <f>_xlfn.IFS(ISTEXT(Calcs!O258),Calcs!O258,Calcs!O258&lt;=80,Calcs!O258,Calcs!O258&gt;=81,"80")</f>
        <v>None</v>
      </c>
      <c r="AG258" s="25">
        <f t="shared" si="17"/>
        <v>1</v>
      </c>
      <c r="AH258" s="25">
        <f t="shared" si="18"/>
        <v>1.45</v>
      </c>
      <c r="AI258" s="25">
        <f t="shared" si="19"/>
        <v>1</v>
      </c>
    </row>
    <row r="259" ht="14.4" spans="1:35">
      <c r="A259" s="24" t="str">
        <f>'Ammo Input'!A259</f>
        <v>.44 Magnum</v>
      </c>
      <c r="B259" t="str">
        <f>'Ammo Input'!B259</f>
        <v>HP</v>
      </c>
      <c r="C259">
        <f>ROUNDUP(('Ammo Input'!C259*(MAX('Ammo Input'!D259,'Ammo Input'!F259)*0.5)^2*PI())*3/1000000,2)</f>
        <v>0.02</v>
      </c>
      <c r="D259">
        <f>ROUNDUP(('Ammo Input'!E259+'Ammo Input'!H259*IF('Ammo Input'!J259&lt;&gt;"",MAX('Ammo Input'!J259,1),1))/1000,3)</f>
        <v>0.023</v>
      </c>
      <c r="E259">
        <f>MIN(5000,MAX(25,CEILING(Calcs!L259,_xlfn.IFS(Calcs!L259&lt;100,25,Calcs!L259&lt;250,50,Calcs!L259&lt;1000,250,Calcs!L259&gt;=1000,1000))))</f>
        <v>5000</v>
      </c>
      <c r="F259">
        <f>ROUNDUP('Ammo Input'!G259^(3/4),0)</f>
        <v>88</v>
      </c>
      <c r="G259">
        <f>ROUND((0.5*((IF(OR(B259="HEAT",B259="HEDP"),'Ammo Input'!N259,'Ammo Input'!H259)/1000)*(IF(B259="HEAT",9000,IF(B259="HEDP",1500,'Ammo Input'!G259))^2))),0)</f>
        <v>1164</v>
      </c>
      <c r="H259" s="25" t="str">
        <f>CONCATENATE(IF((B259="Foam")+(B259="Smoke"),"-",ROUND(Calcs!D259,0))," ",VLOOKUP(B259,AmmoTypeFactors,5,FALSE))</f>
        <v>19 Bullet</v>
      </c>
      <c r="I259" s="25" t="str">
        <f>IF(Calcs!E259=0,"None",CONCATENATE(ROUND(Calcs!E259,0)," ",VLOOKUP(B259,AmmoTypeFactors,6,FALSE)))</f>
        <v>None</v>
      </c>
      <c r="J259">
        <f>MROUND(2.42*'Ammo Input'!M259^(1/3)*VLOOKUP(B259,AmmoTypeFactors,3,FALSE),0.5)</f>
        <v>0</v>
      </c>
      <c r="K259" s="25" t="str">
        <f>IF(VLOOKUP(B259,AmmoTypeFactors,12,FALSE),MROUND(J259/3,0.5),"None")</f>
        <v>None</v>
      </c>
      <c r="L259" s="25">
        <f>IF(VLOOKUP(B259,AmmoTypeFactors,8,FALSE),"None",ROUNDUP(IF(Calcs!I259&gt;0,Calcs!I259,Calcs!H259),3))</f>
        <v>23.28</v>
      </c>
      <c r="M259" s="25">
        <f>IF(VLOOKUP(B259,AmmoTypeFactors,8,FALSE),"None",'Ammo Input'!L259)</f>
        <v>3</v>
      </c>
      <c r="N259">
        <f>'Ammo Input'!O259</f>
        <v>500</v>
      </c>
      <c r="O259" t="e">
        <f>ROUND((P259*0.0036+SUMPRODUCT(Q259:AB259,VLOOKUP($Q$1:$AB$1,IngredientStats,2,FALSE)))/N259*IF('Ammo Input'!R259,0.5,1),2)</f>
        <v>#VALUE!</v>
      </c>
      <c r="P259" t="e">
        <f>(SUMPRODUCT(Q259:AB259,VLOOKUP($Q$1:$AB$1,IngredientStats,4,FALSE))*VLOOKUP(B259,AmmoTypeFactors,14,FALSE)*IF('Ammo Input'!R259,1.1,1))</f>
        <v>#VALUE!</v>
      </c>
      <c r="Q259">
        <f>IFERROR(__xludf.DUMMYFUNCTION("((IF(NOT(OR(REGEXMATCH(B255, ""Arrow""), B255 = ""Javelin"", B255 = ""Stick bomb"")), ROUNDUP(('Ammo Input'!E255 / 1000) * N255)) + IF(VLOOKUP(B255, AmmoTypeFactors, 9, FALSE) = ""Steel"", ROUNDUP(('Ammo Input'!H255 -'Ammo Input'!M255) * MAX(IF('Ammo Inpu"&amp;"t'!J255 &gt; 0, 'Ammo Input'!J255, 1), 1) * N255 / 1000))) / 'Ingredient stats'!$C$2) * IF(ISBLANK(VLOOKUP(B255,AmmoTypeFactors,15,False)),1,VLOOKUP(B255,AmmoTypeFactors,15,False))"),24)</f>
        <v>24</v>
      </c>
      <c r="R259">
        <f>IFERROR(__xludf.DUMMYFUNCTION("ROUNDUP((IF(REGEXMATCH(B255, ""Arrow"") + (B255 = ""Javelin""), 'Ammo Input'!E255) + IF(VLOOKUP(B255, AmmoTypeFactors, 9, FALSE) = ""Wood"", 'Ammo Input'!H255) + IF(B255 = ""Stick bomb"", 'Ammo Input'!E255)) * N255 / 'Ingredient stats'!$C$12 / 1000)"),0)</f>
        <v>0</v>
      </c>
      <c r="S259">
        <v>0</v>
      </c>
      <c r="T259">
        <v>0</v>
      </c>
      <c r="U259">
        <f>IF(VLOOKUP(B259,AmmoTypeFactors,9,FALSE)="Plasteel",ROUNDUP(('Ammo Input'!H259*MAX(IF('Ammo Input'!J259&gt;0,'Ammo Input'!J259,1)*N259/1000/'Ingredient stats'!$C$4)),0),0)</f>
        <v>0</v>
      </c>
      <c r="V259">
        <f>IFERROR(__xludf.DUMMYFUNCTION("ROUNDUP(IF(ISBLANK(VLOOKUP(B255,AmmoTypeFactors,16,False)),1,VLOOKUP(B255,AmmoTypeFactors,16,False)) * (IFS(REGEXMATCH(B255, ""EMP""), 'Ammo Input'!M255 * N255 / 'Ingredient stats'!$C$5, REGEXMATCH(B255, ""Charge""), (U255^0.75), true, 0) + (IF(VLOOKUP(B2"&amp;"55, AmmoTypeFactors, 10, false), 2,0) + IF('Ammo Input'!P255, 2,0) + IF('Ammo Input'!Q255,MIN(ROUNDUP(0.2*('Ammo Input'!H255/1000)*'Ammo Input'!O255,0),20),0))))"),0)</f>
        <v>0</v>
      </c>
      <c r="W259">
        <v>0</v>
      </c>
      <c r="X259">
        <v>0</v>
      </c>
      <c r="Y259">
        <v>0</v>
      </c>
      <c r="Z259">
        <v>0</v>
      </c>
      <c r="AA259">
        <v>0</v>
      </c>
      <c r="AB259" s="30">
        <f>IF(B259="Sling Bullet (Stone)",ROUNDUP(D259*0.02*E259/'Ingredient stats'!$C$8,0),0)</f>
        <v>0</v>
      </c>
      <c r="AC259" t="str">
        <f t="shared" si="16"/>
        <v>None</v>
      </c>
      <c r="AD259" t="str">
        <f>IF(OR(B259="Buck",B259="Bird",B259="Charge (Scatter)"),'Ammo Input'!J259,"None")</f>
        <v>None</v>
      </c>
      <c r="AE259" t="str">
        <f>_xlfn.IFS(ISTEXT(Calcs!N259),Calcs!N259,Calcs!N259&lt;=40,Calcs!N259,Calcs!N259&gt;41,"40")</f>
        <v>None</v>
      </c>
      <c r="AF259" t="str">
        <f>_xlfn.IFS(ISTEXT(Calcs!O259),Calcs!O259,Calcs!O259&lt;=80,Calcs!O259,Calcs!O259&gt;=81,"80")</f>
        <v>None</v>
      </c>
      <c r="AG259" s="25">
        <f t="shared" si="17"/>
        <v>1</v>
      </c>
      <c r="AH259" s="25">
        <f t="shared" si="18"/>
        <v>1.45</v>
      </c>
      <c r="AI259" s="25">
        <f t="shared" si="19"/>
        <v>1</v>
      </c>
    </row>
    <row r="260" ht="14.4" spans="1:35">
      <c r="A260" s="24" t="str">
        <f>'Ammo Input'!A260</f>
        <v>.44 Magnum HV</v>
      </c>
      <c r="B260" t="str">
        <f>'Ammo Input'!B260</f>
        <v>FMJ</v>
      </c>
      <c r="C260">
        <f>ROUNDUP(('Ammo Input'!C260*(MAX('Ammo Input'!D260,'Ammo Input'!F260)*0.5)^2*PI())*3/1000000,2)</f>
        <v>0.02</v>
      </c>
      <c r="D260">
        <f>ROUNDUP(('Ammo Input'!E260+'Ammo Input'!H260*IF('Ammo Input'!J260&lt;&gt;"",MAX('Ammo Input'!J260,1),1))/1000,3)</f>
        <v>0.023</v>
      </c>
      <c r="E260">
        <f>MIN(5000,MAX(25,CEILING(Calcs!L260,_xlfn.IFS(Calcs!L260&lt;100,25,Calcs!L260&lt;250,50,Calcs!L260&lt;1000,250,Calcs!L260&gt;=1000,1000))))</f>
        <v>5000</v>
      </c>
      <c r="F260">
        <f>ROUNDUP('Ammo Input'!G260^(3/4),0)</f>
        <v>114</v>
      </c>
      <c r="G260">
        <f>ROUND((0.5*((IF(OR(B260="HEAT",B260="HEDP"),'Ammo Input'!N260,'Ammo Input'!H260)/1000)*(IF(B260="HEAT",9000,IF(B260="HEDP",1500,'Ammo Input'!G260))^2))),0)</f>
        <v>2352</v>
      </c>
      <c r="H260" s="25" t="str">
        <f>CONCATENATE(IF((B260="Foam")+(B260="Smoke"),"-",ROUND(Calcs!D260,0))," ",VLOOKUP(B260,AmmoTypeFactors,5,FALSE))</f>
        <v>19 Bullet</v>
      </c>
      <c r="I260" s="25" t="str">
        <f>IF(Calcs!E260=0,"None",CONCATENATE(ROUND(Calcs!E260,0)," ",VLOOKUP(B260,AmmoTypeFactors,6,FALSE)))</f>
        <v>None</v>
      </c>
      <c r="J260">
        <f>MROUND(2.42*'Ammo Input'!M260^(1/3)*VLOOKUP(B260,AmmoTypeFactors,3,FALSE),0.5)</f>
        <v>0</v>
      </c>
      <c r="K260" s="25" t="str">
        <f>IF(VLOOKUP(B260,AmmoTypeFactors,12,FALSE),MROUND(J260/3,0.5),"None")</f>
        <v>None</v>
      </c>
      <c r="L260" s="25">
        <f>IF(VLOOKUP(B260,AmmoTypeFactors,8,FALSE),"None",ROUNDUP(IF(Calcs!I260&gt;0,Calcs!I260,Calcs!H260),3))</f>
        <v>47.04</v>
      </c>
      <c r="M260" s="25">
        <f>IF(VLOOKUP(B260,AmmoTypeFactors,8,FALSE),"None",'Ammo Input'!L260)</f>
        <v>7</v>
      </c>
      <c r="N260">
        <f>'Ammo Input'!O260</f>
        <v>500</v>
      </c>
      <c r="O260" t="e">
        <f>ROUND((P260*0.0036+SUMPRODUCT(Q260:AB260,VLOOKUP($Q$1:$AB$1,IngredientStats,2,FALSE)))/N260*IF('Ammo Input'!R260,0.5,1),2)</f>
        <v>#VALUE!</v>
      </c>
      <c r="P260" t="e">
        <f>(SUMPRODUCT(Q260:AB260,VLOOKUP($Q$1:$AB$1,IngredientStats,4,FALSE))*VLOOKUP(B260,AmmoTypeFactors,14,FALSE)*IF('Ammo Input'!R260,1.1,1))</f>
        <v>#VALUE!</v>
      </c>
      <c r="Q260">
        <f>IFERROR(__xludf.DUMMYFUNCTION("((IF(NOT(OR(REGEXMATCH(B256, ""Arrow""), B256 = ""Javelin"", B256 = ""Stick bomb"")), ROUNDUP(('Ammo Input'!E256 / 1000) * N256)) + IF(VLOOKUP(B256, AmmoTypeFactors, 9, FALSE) = ""Steel"", ROUNDUP(('Ammo Input'!H256 -'Ammo Input'!M256) * MAX(IF('Ammo Inpu"&amp;"t'!J256 &gt; 0, 'Ammo Input'!J256, 1), 1) * N256 / 1000))) / 'Ingredient stats'!$C$2) * IF(ISBLANK(VLOOKUP(B256,AmmoTypeFactors,15,False)),1,VLOOKUP(B256,AmmoTypeFactors,15,False))"),24)</f>
        <v>24</v>
      </c>
      <c r="R260">
        <f>IFERROR(__xludf.DUMMYFUNCTION("ROUNDUP((IF(REGEXMATCH(B256, ""Arrow"") + (B256 = ""Javelin""), 'Ammo Input'!E256) + IF(VLOOKUP(B256, AmmoTypeFactors, 9, FALSE) = ""Wood"", 'Ammo Input'!H256) + IF(B256 = ""Stick bomb"", 'Ammo Input'!E256)) * N256 / 'Ingredient stats'!$C$12 / 1000)"),0)</f>
        <v>0</v>
      </c>
      <c r="S260">
        <v>0</v>
      </c>
      <c r="T260">
        <v>0</v>
      </c>
      <c r="U260">
        <f>IF(VLOOKUP(B260,AmmoTypeFactors,9,FALSE)="Plasteel",ROUNDUP(('Ammo Input'!H260*MAX(IF('Ammo Input'!J260&gt;0,'Ammo Input'!J260,1)*N260/1000/'Ingredient stats'!$C$4)),0),0)</f>
        <v>0</v>
      </c>
      <c r="V260">
        <f>IFERROR(__xludf.DUMMYFUNCTION("ROUNDUP(IF(ISBLANK(VLOOKUP(B256,AmmoTypeFactors,16,False)),1,VLOOKUP(B256,AmmoTypeFactors,16,False)) * (IFS(REGEXMATCH(B256, ""EMP""), 'Ammo Input'!M256 * N256 / 'Ingredient stats'!$C$5, REGEXMATCH(B256, ""Charge""), (U256^0.75), true, 0) + (IF(VLOOKUP(B2"&amp;"56, AmmoTypeFactors, 10, false), 2,0) + IF('Ammo Input'!P256, 2,0) + IF('Ammo Input'!Q256,MIN(ROUNDUP(0.2*('Ammo Input'!H256/1000)*'Ammo Input'!O256,0),20),0))))"),0)</f>
        <v>0</v>
      </c>
      <c r="W260">
        <v>0</v>
      </c>
      <c r="X260">
        <v>0</v>
      </c>
      <c r="Y260">
        <v>0</v>
      </c>
      <c r="Z260">
        <v>0</v>
      </c>
      <c r="AA260">
        <v>0</v>
      </c>
      <c r="AB260" s="30">
        <f>IF(B260="Sling Bullet (Stone)",ROUNDUP(D260*0.02*E260/'Ingredient stats'!$C$8,0),0)</f>
        <v>0</v>
      </c>
      <c r="AC260" t="str">
        <f t="shared" si="16"/>
        <v>None</v>
      </c>
      <c r="AD260" t="str">
        <f>IF(OR(B260="Buck",B260="Bird",B260="Charge (Scatter)"),'Ammo Input'!J260,"None")</f>
        <v>None</v>
      </c>
      <c r="AE260" t="str">
        <f>_xlfn.IFS(ISTEXT(Calcs!N260),Calcs!N260,Calcs!N260&lt;=40,Calcs!N260,Calcs!N260&gt;41,"40")</f>
        <v>None</v>
      </c>
      <c r="AF260" t="str">
        <f>_xlfn.IFS(ISTEXT(Calcs!O260),Calcs!O260,Calcs!O260&lt;=80,Calcs!O260,Calcs!O260&gt;=81,"80")</f>
        <v>None</v>
      </c>
      <c r="AG260" s="25">
        <f t="shared" si="17"/>
        <v>1</v>
      </c>
      <c r="AH260" s="25">
        <f t="shared" si="18"/>
        <v>1.87</v>
      </c>
      <c r="AI260" s="25">
        <f t="shared" si="19"/>
        <v>1</v>
      </c>
    </row>
    <row r="261" ht="14.4" spans="1:35">
      <c r="A261" s="24" t="str">
        <f>'Ammo Input'!A261</f>
        <v>.44 Magnum HV</v>
      </c>
      <c r="B261" t="str">
        <f>'Ammo Input'!B261</f>
        <v>AP</v>
      </c>
      <c r="C261">
        <f>ROUNDUP(('Ammo Input'!C261*(MAX('Ammo Input'!D261,'Ammo Input'!F261)*0.5)^2*PI())*3/1000000,2)</f>
        <v>0.02</v>
      </c>
      <c r="D261">
        <f>ROUNDUP(('Ammo Input'!E261+'Ammo Input'!H261*IF('Ammo Input'!J261&lt;&gt;"",MAX('Ammo Input'!J261,1),1))/1000,3)</f>
        <v>0.023</v>
      </c>
      <c r="E261">
        <f>MIN(5000,MAX(25,CEILING(Calcs!L261,_xlfn.IFS(Calcs!L261&lt;100,25,Calcs!L261&lt;250,50,Calcs!L261&lt;1000,250,Calcs!L261&gt;=1000,1000))))</f>
        <v>5000</v>
      </c>
      <c r="F261">
        <f>ROUNDUP('Ammo Input'!G261^(3/4),0)</f>
        <v>114</v>
      </c>
      <c r="G261">
        <f>ROUND((0.5*((IF(OR(B261="HEAT",B261="HEDP"),'Ammo Input'!N261,'Ammo Input'!H261)/1000)*(IF(B261="HEAT",9000,IF(B261="HEDP",1500,'Ammo Input'!G261))^2))),0)</f>
        <v>2352</v>
      </c>
      <c r="H261" s="25" t="str">
        <f>CONCATENATE(IF((B261="Foam")+(B261="Smoke"),"-",ROUND(Calcs!D261,0))," ",VLOOKUP(B261,AmmoTypeFactors,5,FALSE))</f>
        <v>12 Bullet</v>
      </c>
      <c r="I261" s="25" t="str">
        <f>IF(Calcs!E261=0,"None",CONCATENATE(ROUND(Calcs!E261,0)," ",VLOOKUP(B261,AmmoTypeFactors,6,FALSE)))</f>
        <v>None</v>
      </c>
      <c r="J261">
        <f>MROUND(2.42*'Ammo Input'!M261^(1/3)*VLOOKUP(B261,AmmoTypeFactors,3,FALSE),0.5)</f>
        <v>0</v>
      </c>
      <c r="K261" s="25" t="str">
        <f>IF(VLOOKUP(B261,AmmoTypeFactors,12,FALSE),MROUND(J261/3,0.5),"None")</f>
        <v>None</v>
      </c>
      <c r="L261" s="25">
        <f>IF(VLOOKUP(B261,AmmoTypeFactors,8,FALSE),"None",ROUNDUP(IF(Calcs!I261&gt;0,Calcs!I261,Calcs!H261),3))</f>
        <v>47.04</v>
      </c>
      <c r="M261" s="25">
        <f>IF(VLOOKUP(B261,AmmoTypeFactors,8,FALSE),"None",'Ammo Input'!L261)</f>
        <v>14</v>
      </c>
      <c r="N261">
        <f>'Ammo Input'!O261</f>
        <v>500</v>
      </c>
      <c r="O261" t="e">
        <f>ROUND((P261*0.0036+SUMPRODUCT(Q261:AB261,VLOOKUP($Q$1:$AB$1,IngredientStats,2,FALSE)))/N261*IF('Ammo Input'!R261,0.5,1),2)</f>
        <v>#VALUE!</v>
      </c>
      <c r="P261" t="e">
        <f>(SUMPRODUCT(Q261:AB261,VLOOKUP($Q$1:$AB$1,IngredientStats,4,FALSE))*VLOOKUP(B261,AmmoTypeFactors,14,FALSE)*IF('Ammo Input'!R261,1.1,1))</f>
        <v>#VALUE!</v>
      </c>
      <c r="Q261">
        <f>IFERROR(__xludf.DUMMYFUNCTION("((IF(NOT(OR(REGEXMATCH(B257, ""Arrow""), B257 = ""Javelin"", B257 = ""Stick bomb"")), ROUNDUP(('Ammo Input'!E257 / 1000) * N257)) + IF(VLOOKUP(B257, AmmoTypeFactors, 9, FALSE) = ""Steel"", ROUNDUP(('Ammo Input'!H257 -'Ammo Input'!M257) * MAX(IF('Ammo Inpu"&amp;"t'!J257 &gt; 0, 'Ammo Input'!J257, 1), 1) * N257 / 1000))) / 'Ingredient stats'!$C$2) * IF(ISBLANK(VLOOKUP(B257,AmmoTypeFactors,15,False)),1,VLOOKUP(B257,AmmoTypeFactors,15,False))"),24)</f>
        <v>24</v>
      </c>
      <c r="R261">
        <f>IFERROR(__xludf.DUMMYFUNCTION("ROUNDUP((IF(REGEXMATCH(B257, ""Arrow"") + (B257 = ""Javelin""), 'Ammo Input'!E257) + IF(VLOOKUP(B257, AmmoTypeFactors, 9, FALSE) = ""Wood"", 'Ammo Input'!H257) + IF(B257 = ""Stick bomb"", 'Ammo Input'!E257)) * N257 / 'Ingredient stats'!$C$12 / 1000)"),0)</f>
        <v>0</v>
      </c>
      <c r="S261">
        <v>0</v>
      </c>
      <c r="T261">
        <v>0</v>
      </c>
      <c r="U261">
        <f>IF(VLOOKUP(B261,AmmoTypeFactors,9,FALSE)="Plasteel",ROUNDUP(('Ammo Input'!H261*MAX(IF('Ammo Input'!J261&gt;0,'Ammo Input'!J261,1)*N261/1000/'Ingredient stats'!$C$4)),0),0)</f>
        <v>0</v>
      </c>
      <c r="V261">
        <f>IFERROR(__xludf.DUMMYFUNCTION("ROUNDUP(IF(ISBLANK(VLOOKUP(B257,AmmoTypeFactors,16,False)),1,VLOOKUP(B257,AmmoTypeFactors,16,False)) * (IFS(REGEXMATCH(B257, ""EMP""), 'Ammo Input'!M257 * N257 / 'Ingredient stats'!$C$5, REGEXMATCH(B257, ""Charge""), (U257^0.75), true, 0) + (IF(VLOOKUP(B2"&amp;"57, AmmoTypeFactors, 10, false), 2,0) + IF('Ammo Input'!P257, 2,0) + IF('Ammo Input'!Q257,MIN(ROUNDUP(0.2*('Ammo Input'!H257/1000)*'Ammo Input'!O257,0),20),0))))"),0)</f>
        <v>0</v>
      </c>
      <c r="W261">
        <v>0</v>
      </c>
      <c r="X261">
        <v>0</v>
      </c>
      <c r="Y261">
        <v>0</v>
      </c>
      <c r="Z261">
        <v>0</v>
      </c>
      <c r="AA261">
        <v>0</v>
      </c>
      <c r="AB261" s="30">
        <f>IF(B261="Sling Bullet (Stone)",ROUNDUP(D261*0.02*E261/'Ingredient stats'!$C$8,0),0)</f>
        <v>0</v>
      </c>
      <c r="AC261" t="str">
        <f t="shared" si="16"/>
        <v>None</v>
      </c>
      <c r="AD261" t="str">
        <f>IF(OR(B261="Buck",B261="Bird",B261="Charge (Scatter)"),'Ammo Input'!J261,"None")</f>
        <v>None</v>
      </c>
      <c r="AE261" t="str">
        <f>_xlfn.IFS(ISTEXT(Calcs!N261),Calcs!N261,Calcs!N261&lt;=40,Calcs!N261,Calcs!N261&gt;41,"40")</f>
        <v>None</v>
      </c>
      <c r="AF261" t="str">
        <f>_xlfn.IFS(ISTEXT(Calcs!O261),Calcs!O261,Calcs!O261&lt;=80,Calcs!O261,Calcs!O261&gt;=81,"80")</f>
        <v>None</v>
      </c>
      <c r="AG261" s="25">
        <f t="shared" si="17"/>
        <v>1</v>
      </c>
      <c r="AH261" s="25">
        <f t="shared" si="18"/>
        <v>1.87</v>
      </c>
      <c r="AI261" s="25">
        <f t="shared" si="19"/>
        <v>1</v>
      </c>
    </row>
    <row r="262" ht="14.4" spans="1:35">
      <c r="A262" s="24" t="str">
        <f>'Ammo Input'!A262</f>
        <v>.44 Magnum HV</v>
      </c>
      <c r="B262" t="str">
        <f>'Ammo Input'!B262</f>
        <v>HP</v>
      </c>
      <c r="C262">
        <f>ROUNDUP(('Ammo Input'!C262*(MAX('Ammo Input'!D262,'Ammo Input'!F262)*0.5)^2*PI())*3/1000000,2)</f>
        <v>0.02</v>
      </c>
      <c r="D262">
        <f>ROUNDUP(('Ammo Input'!E262+'Ammo Input'!H262*IF('Ammo Input'!J262&lt;&gt;"",MAX('Ammo Input'!J262,1),1))/1000,3)</f>
        <v>0.023</v>
      </c>
      <c r="E262">
        <f>MIN(5000,MAX(25,CEILING(Calcs!L262,_xlfn.IFS(Calcs!L262&lt;100,25,Calcs!L262&lt;250,50,Calcs!L262&lt;1000,250,Calcs!L262&gt;=1000,1000))))</f>
        <v>5000</v>
      </c>
      <c r="F262">
        <f>ROUNDUP('Ammo Input'!G262^(3/4),0)</f>
        <v>114</v>
      </c>
      <c r="G262">
        <f>ROUND((0.5*((IF(OR(B262="HEAT",B262="HEDP"),'Ammo Input'!N262,'Ammo Input'!H262)/1000)*(IF(B262="HEAT",9000,IF(B262="HEDP",1500,'Ammo Input'!G262))^2))),0)</f>
        <v>2352</v>
      </c>
      <c r="H262" s="25" t="str">
        <f>CONCATENATE(IF((B262="Foam")+(B262="Smoke"),"-",ROUND(Calcs!D262,0))," ",VLOOKUP(B262,AmmoTypeFactors,5,FALSE))</f>
        <v>25 Bullet</v>
      </c>
      <c r="I262" s="25" t="str">
        <f>IF(Calcs!E262=0,"None",CONCATENATE(ROUND(Calcs!E262,0)," ",VLOOKUP(B262,AmmoTypeFactors,6,FALSE)))</f>
        <v>None</v>
      </c>
      <c r="J262">
        <f>MROUND(2.42*'Ammo Input'!M262^(1/3)*VLOOKUP(B262,AmmoTypeFactors,3,FALSE),0.5)</f>
        <v>0</v>
      </c>
      <c r="K262" s="25" t="str">
        <f>IF(VLOOKUP(B262,AmmoTypeFactors,12,FALSE),MROUND(J262/3,0.5),"None")</f>
        <v>None</v>
      </c>
      <c r="L262" s="25">
        <f>IF(VLOOKUP(B262,AmmoTypeFactors,8,FALSE),"None",ROUNDUP(IF(Calcs!I262&gt;0,Calcs!I262,Calcs!H262),3))</f>
        <v>47.04</v>
      </c>
      <c r="M262" s="25">
        <f>IF(VLOOKUP(B262,AmmoTypeFactors,8,FALSE),"None",'Ammo Input'!L262)</f>
        <v>3.5</v>
      </c>
      <c r="N262">
        <f>'Ammo Input'!O262</f>
        <v>500</v>
      </c>
      <c r="O262" t="e">
        <f>ROUND((P262*0.0036+SUMPRODUCT(Q262:AB262,VLOOKUP($Q$1:$AB$1,IngredientStats,2,FALSE)))/N262*IF('Ammo Input'!R262,0.5,1),2)</f>
        <v>#VALUE!</v>
      </c>
      <c r="P262" t="e">
        <f>(SUMPRODUCT(Q262:AB262,VLOOKUP($Q$1:$AB$1,IngredientStats,4,FALSE))*VLOOKUP(B262,AmmoTypeFactors,14,FALSE)*IF('Ammo Input'!R262,1.1,1))</f>
        <v>#VALUE!</v>
      </c>
      <c r="Q262">
        <f>IFERROR(__xludf.DUMMYFUNCTION("((IF(NOT(OR(REGEXMATCH(B258, ""Arrow""), B258 = ""Javelin"", B258 = ""Stick bomb"")), ROUNDUP(('Ammo Input'!E258 / 1000) * N258)) + IF(VLOOKUP(B258, AmmoTypeFactors, 9, FALSE) = ""Steel"", ROUNDUP(('Ammo Input'!H258 -'Ammo Input'!M258) * MAX(IF('Ammo Inpu"&amp;"t'!J258 &gt; 0, 'Ammo Input'!J258, 1), 1) * N258 / 1000))) / 'Ingredient stats'!$C$2) * IF(ISBLANK(VLOOKUP(B258,AmmoTypeFactors,15,False)),1,VLOOKUP(B258,AmmoTypeFactors,15,False))"),24)</f>
        <v>24</v>
      </c>
      <c r="R262">
        <f>IFERROR(__xludf.DUMMYFUNCTION("ROUNDUP((IF(REGEXMATCH(B258, ""Arrow"") + (B258 = ""Javelin""), 'Ammo Input'!E258) + IF(VLOOKUP(B258, AmmoTypeFactors, 9, FALSE) = ""Wood"", 'Ammo Input'!H258) + IF(B258 = ""Stick bomb"", 'Ammo Input'!E258)) * N258 / 'Ingredient stats'!$C$12 / 1000)"),0)</f>
        <v>0</v>
      </c>
      <c r="S262">
        <v>0</v>
      </c>
      <c r="T262">
        <v>0</v>
      </c>
      <c r="U262">
        <f>IF(VLOOKUP(B262,AmmoTypeFactors,9,FALSE)="Plasteel",ROUNDUP(('Ammo Input'!H262*MAX(IF('Ammo Input'!J262&gt;0,'Ammo Input'!J262,1)*N262/1000/'Ingredient stats'!$C$4)),0),0)</f>
        <v>0</v>
      </c>
      <c r="V262">
        <f>IFERROR(__xludf.DUMMYFUNCTION("ROUNDUP(IF(ISBLANK(VLOOKUP(B258,AmmoTypeFactors,16,False)),1,VLOOKUP(B258,AmmoTypeFactors,16,False)) * (IFS(REGEXMATCH(B258, ""EMP""), 'Ammo Input'!M258 * N258 / 'Ingredient stats'!$C$5, REGEXMATCH(B258, ""Charge""), (U258^0.75), true, 0) + (IF(VLOOKUP(B2"&amp;"58, AmmoTypeFactors, 10, false), 2,0) + IF('Ammo Input'!P258, 2,0) + IF('Ammo Input'!Q258,MIN(ROUNDUP(0.2*('Ammo Input'!H258/1000)*'Ammo Input'!O258,0),20),0))))"),0)</f>
        <v>0</v>
      </c>
      <c r="W262">
        <v>0</v>
      </c>
      <c r="X262">
        <v>0</v>
      </c>
      <c r="Y262">
        <v>0</v>
      </c>
      <c r="Z262">
        <v>0</v>
      </c>
      <c r="AA262">
        <v>0</v>
      </c>
      <c r="AB262" s="30">
        <f>IF(B262="Sling Bullet (Stone)",ROUNDUP(D262*0.02*E262/'Ingredient stats'!$C$8,0),0)</f>
        <v>0</v>
      </c>
      <c r="AC262" t="str">
        <f t="shared" si="16"/>
        <v>None</v>
      </c>
      <c r="AD262" t="str">
        <f>IF(OR(B262="Buck",B262="Bird",B262="Charge (Scatter)"),'Ammo Input'!J262,"None")</f>
        <v>None</v>
      </c>
      <c r="AE262" t="str">
        <f>_xlfn.IFS(ISTEXT(Calcs!N262),Calcs!N262,Calcs!N262&lt;=40,Calcs!N262,Calcs!N262&gt;41,"40")</f>
        <v>None</v>
      </c>
      <c r="AF262" t="str">
        <f>_xlfn.IFS(ISTEXT(Calcs!O262),Calcs!O262,Calcs!O262&lt;=80,Calcs!O262,Calcs!O262&gt;=81,"80")</f>
        <v>None</v>
      </c>
      <c r="AG262" s="25">
        <f t="shared" si="17"/>
        <v>1</v>
      </c>
      <c r="AH262" s="25">
        <f t="shared" si="18"/>
        <v>1.87</v>
      </c>
      <c r="AI262" s="25">
        <f t="shared" si="19"/>
        <v>1</v>
      </c>
    </row>
    <row r="263" ht="14.4" spans="1:35">
      <c r="A263" s="24" t="str">
        <f>'Ammo Input'!A263</f>
        <v>.44 S&amp;W Special</v>
      </c>
      <c r="B263" t="str">
        <f>'Ammo Input'!B263</f>
        <v>FMJ</v>
      </c>
      <c r="C263">
        <f>ROUNDUP(('Ammo Input'!C263*(MAX('Ammo Input'!D263,'Ammo Input'!F263)*0.5)^2*PI())*3/1000000,2)</f>
        <v>0.02</v>
      </c>
      <c r="D263">
        <f>ROUNDUP(('Ammo Input'!E263+'Ammo Input'!H263*IF('Ammo Input'!J263&lt;&gt;"",MAX('Ammo Input'!J263,1),1))/1000,3)</f>
        <v>0.019</v>
      </c>
      <c r="E263">
        <f>MIN(5000,MAX(25,CEILING(Calcs!L263,_xlfn.IFS(Calcs!L263&lt;100,25,Calcs!L263&lt;250,50,Calcs!L263&lt;1000,250,Calcs!L263&gt;=1000,1000))))</f>
        <v>5000</v>
      </c>
      <c r="F263">
        <f>ROUNDUP('Ammo Input'!G263^(3/4),0)</f>
        <v>67</v>
      </c>
      <c r="G263">
        <f>ROUND((0.5*((IF(OR(B263="HEAT",B263="HEDP"),'Ammo Input'!N263,'Ammo Input'!H263)/1000)*(IF(B263="HEAT",9000,IF(B263="HEDP",1500,'Ammo Input'!G263))^2))),0)</f>
        <v>474</v>
      </c>
      <c r="H263" s="25" t="str">
        <f>CONCATENATE(IF((B263="Foam")+(B263="Smoke"),"-",ROUND(Calcs!D263,0))," ",VLOOKUP(B263,AmmoTypeFactors,5,FALSE))</f>
        <v>11 Bullet</v>
      </c>
      <c r="I263" s="25" t="str">
        <f>IF(Calcs!E263=0,"None",CONCATENATE(ROUND(Calcs!E263,0)," ",VLOOKUP(B263,AmmoTypeFactors,6,FALSE)))</f>
        <v>None</v>
      </c>
      <c r="J263">
        <f>MROUND(2.42*'Ammo Input'!M263^(1/3)*VLOOKUP(B263,AmmoTypeFactors,3,FALSE),0.5)</f>
        <v>0</v>
      </c>
      <c r="K263" s="25" t="str">
        <f>IF(VLOOKUP(B263,AmmoTypeFactors,12,FALSE),MROUND(J263/3,0.5),"None")</f>
        <v>None</v>
      </c>
      <c r="L263" s="25">
        <f>IF(VLOOKUP(B263,AmmoTypeFactors,8,FALSE),"None",ROUNDUP(IF(Calcs!I263&gt;0,Calcs!I263,Calcs!H263),3))</f>
        <v>9.48</v>
      </c>
      <c r="M263" s="25">
        <f>IF(VLOOKUP(B263,AmmoTypeFactors,8,FALSE),"None",'Ammo Input'!L263)</f>
        <v>3</v>
      </c>
      <c r="N263">
        <f>'Ammo Input'!O263</f>
        <v>500</v>
      </c>
      <c r="O263" t="e">
        <f>ROUND((P263*0.0036+SUMPRODUCT(Q263:AB263,VLOOKUP($Q$1:$AB$1,IngredientStats,2,FALSE)))/N263*IF('Ammo Input'!R263,0.5,1),2)</f>
        <v>#VALUE!</v>
      </c>
      <c r="P263" t="e">
        <f>(SUMPRODUCT(Q263:AB263,VLOOKUP($Q$1:$AB$1,IngredientStats,4,FALSE))*VLOOKUP(B263,AmmoTypeFactors,14,FALSE)*IF('Ammo Input'!R263,1.1,1))</f>
        <v>#VALUE!</v>
      </c>
      <c r="Q263">
        <f>IFERROR(__xludf.DUMMYFUNCTION("((IF(NOT(OR(REGEXMATCH(B259, ""Arrow""), B259 = ""Javelin"", B259 = ""Stick bomb"")), ROUNDUP(('Ammo Input'!E259 / 1000) * N259)) + IF(VLOOKUP(B259, AmmoTypeFactors, 9, FALSE) = ""Steel"", ROUNDUP(('Ammo Input'!H259 -'Ammo Input'!M259) * MAX(IF('Ammo Inpu"&amp;"t'!J259 &gt; 0, 'Ammo Input'!J259, 1), 1) * N259 / 1000))) / 'Ingredient stats'!$C$2) * IF(ISBLANK(VLOOKUP(B259,AmmoTypeFactors,15,False)),1,VLOOKUP(B259,AmmoTypeFactors,15,False))"),20)</f>
        <v>20</v>
      </c>
      <c r="R263">
        <f>IFERROR(__xludf.DUMMYFUNCTION("ROUNDUP((IF(REGEXMATCH(B259, ""Arrow"") + (B259 = ""Javelin""), 'Ammo Input'!E259) + IF(VLOOKUP(B259, AmmoTypeFactors, 9, FALSE) = ""Wood"", 'Ammo Input'!H259) + IF(B259 = ""Stick bomb"", 'Ammo Input'!E259)) * N259 / 'Ingredient stats'!$C$12 / 1000)"),0)</f>
        <v>0</v>
      </c>
      <c r="S263">
        <v>0</v>
      </c>
      <c r="T263">
        <v>0</v>
      </c>
      <c r="U263">
        <f>IF(VLOOKUP(B263,AmmoTypeFactors,9,FALSE)="Plasteel",ROUNDUP(('Ammo Input'!H263*MAX(IF('Ammo Input'!J263&gt;0,'Ammo Input'!J263,1)*N263/1000/'Ingredient stats'!$C$4)),0),0)</f>
        <v>0</v>
      </c>
      <c r="V263">
        <f>IFERROR(__xludf.DUMMYFUNCTION("ROUNDUP(IF(ISBLANK(VLOOKUP(B259,AmmoTypeFactors,16,False)),1,VLOOKUP(B259,AmmoTypeFactors,16,False)) * (IFS(REGEXMATCH(B259, ""EMP""), 'Ammo Input'!M259 * N259 / 'Ingredient stats'!$C$5, REGEXMATCH(B259, ""Charge""), (U259^0.75), true, 0) + (IF(VLOOKUP(B2"&amp;"59, AmmoTypeFactors, 10, false), 2,0) + IF('Ammo Input'!P259, 2,0) + IF('Ammo Input'!Q259,MIN(ROUNDUP(0.2*('Ammo Input'!H259/1000)*'Ammo Input'!O259,0),20),0))))"),0)</f>
        <v>0</v>
      </c>
      <c r="W263">
        <v>0</v>
      </c>
      <c r="X263">
        <v>0</v>
      </c>
      <c r="Y263">
        <v>0</v>
      </c>
      <c r="Z263">
        <v>0</v>
      </c>
      <c r="AA263">
        <v>0</v>
      </c>
      <c r="AB263" s="30">
        <f>IF(B263="Sling Bullet (Stone)",ROUNDUP(D263*0.02*E263/'Ingredient stats'!$C$8,0),0)</f>
        <v>0</v>
      </c>
      <c r="AC263" t="str">
        <f t="shared" si="16"/>
        <v>None</v>
      </c>
      <c r="AD263" t="str">
        <f>IF(OR(B263="Buck",B263="Bird",B263="Charge (Scatter)"),'Ammo Input'!J263,"None")</f>
        <v>None</v>
      </c>
      <c r="AE263" t="str">
        <f>_xlfn.IFS(ISTEXT(Calcs!N263),Calcs!N263,Calcs!N263&lt;=40,Calcs!N263,Calcs!N263&gt;41,"40")</f>
        <v>None</v>
      </c>
      <c r="AF263" t="str">
        <f>_xlfn.IFS(ISTEXT(Calcs!O263),Calcs!O263,Calcs!O263&lt;=80,Calcs!O263,Calcs!O263&gt;=81,"80")</f>
        <v>None</v>
      </c>
      <c r="AG263" s="25">
        <f t="shared" si="17"/>
        <v>1</v>
      </c>
      <c r="AH263" s="25">
        <f t="shared" si="18"/>
        <v>1.1</v>
      </c>
      <c r="AI263" s="25">
        <f t="shared" si="19"/>
        <v>1</v>
      </c>
    </row>
    <row r="264" ht="14.4" spans="1:35">
      <c r="A264" s="24" t="str">
        <f>'Ammo Input'!A264</f>
        <v>.44 S&amp;W Special</v>
      </c>
      <c r="B264" t="str">
        <f>'Ammo Input'!B264</f>
        <v>AP</v>
      </c>
      <c r="C264">
        <f>ROUNDUP(('Ammo Input'!C264*(MAX('Ammo Input'!D264,'Ammo Input'!F264)*0.5)^2*PI())*3/1000000,2)</f>
        <v>0.02</v>
      </c>
      <c r="D264">
        <f>ROUNDUP(('Ammo Input'!E264+'Ammo Input'!H264*IF('Ammo Input'!J264&lt;&gt;"",MAX('Ammo Input'!J264,1),1))/1000,3)</f>
        <v>0.019</v>
      </c>
      <c r="E264">
        <f>MIN(5000,MAX(25,CEILING(Calcs!L264,_xlfn.IFS(Calcs!L264&lt;100,25,Calcs!L264&lt;250,50,Calcs!L264&lt;1000,250,Calcs!L264&gt;=1000,1000))))</f>
        <v>5000</v>
      </c>
      <c r="F264">
        <f>ROUNDUP('Ammo Input'!G264^(3/4),0)</f>
        <v>67</v>
      </c>
      <c r="G264">
        <f>ROUND((0.5*((IF(OR(B264="HEAT",B264="HEDP"),'Ammo Input'!N264,'Ammo Input'!H264)/1000)*(IF(B264="HEAT",9000,IF(B264="HEDP",1500,'Ammo Input'!G264))^2))),0)</f>
        <v>474</v>
      </c>
      <c r="H264" s="25" t="str">
        <f>CONCATENATE(IF((B264="Foam")+(B264="Smoke"),"-",ROUND(Calcs!D264,0))," ",VLOOKUP(B264,AmmoTypeFactors,5,FALSE))</f>
        <v>7 Bullet</v>
      </c>
      <c r="I264" s="25" t="str">
        <f>IF(Calcs!E264=0,"None",CONCATENATE(ROUND(Calcs!E264,0)," ",VLOOKUP(B264,AmmoTypeFactors,6,FALSE)))</f>
        <v>None</v>
      </c>
      <c r="J264">
        <f>MROUND(2.42*'Ammo Input'!M264^(1/3)*VLOOKUP(B264,AmmoTypeFactors,3,FALSE),0.5)</f>
        <v>0</v>
      </c>
      <c r="K264" s="25" t="str">
        <f>IF(VLOOKUP(B264,AmmoTypeFactors,12,FALSE),MROUND(J264/3,0.5),"None")</f>
        <v>None</v>
      </c>
      <c r="L264" s="25">
        <f>IF(VLOOKUP(B264,AmmoTypeFactors,8,FALSE),"None",ROUNDUP(IF(Calcs!I264&gt;0,Calcs!I264,Calcs!H264),3))</f>
        <v>9.48</v>
      </c>
      <c r="M264" s="25">
        <f>IF(VLOOKUP(B264,AmmoTypeFactors,8,FALSE),"None",'Ammo Input'!L264)</f>
        <v>6</v>
      </c>
      <c r="N264">
        <f>'Ammo Input'!O264</f>
        <v>500</v>
      </c>
      <c r="O264" t="e">
        <f>ROUND((P264*0.0036+SUMPRODUCT(Q264:AB264,VLOOKUP($Q$1:$AB$1,IngredientStats,2,FALSE)))/N264*IF('Ammo Input'!R264,0.5,1),2)</f>
        <v>#VALUE!</v>
      </c>
      <c r="P264" t="e">
        <f>(SUMPRODUCT(Q264:AB264,VLOOKUP($Q$1:$AB$1,IngredientStats,4,FALSE))*VLOOKUP(B264,AmmoTypeFactors,14,FALSE)*IF('Ammo Input'!R264,1.1,1))</f>
        <v>#VALUE!</v>
      </c>
      <c r="Q264">
        <f>IFERROR(__xludf.DUMMYFUNCTION("((IF(NOT(OR(REGEXMATCH(B260, ""Arrow""), B260 = ""Javelin"", B260 = ""Stick bomb"")), ROUNDUP(('Ammo Input'!E260 / 1000) * N260)) + IF(VLOOKUP(B260, AmmoTypeFactors, 9, FALSE) = ""Steel"", ROUNDUP(('Ammo Input'!H260 -'Ammo Input'!M260) * MAX(IF('Ammo Inpu"&amp;"t'!J260 &gt; 0, 'Ammo Input'!J260, 1), 1) * N260 / 1000))) / 'Ingredient stats'!$C$2) * IF(ISBLANK(VLOOKUP(B260,AmmoTypeFactors,15,False)),1,VLOOKUP(B260,AmmoTypeFactors,15,False))"),20)</f>
        <v>20</v>
      </c>
      <c r="R264">
        <f>IFERROR(__xludf.DUMMYFUNCTION("ROUNDUP((IF(REGEXMATCH(B260, ""Arrow"") + (B260 = ""Javelin""), 'Ammo Input'!E260) + IF(VLOOKUP(B260, AmmoTypeFactors, 9, FALSE) = ""Wood"", 'Ammo Input'!H260) + IF(B260 = ""Stick bomb"", 'Ammo Input'!E260)) * N260 / 'Ingredient stats'!$C$12 / 1000)"),0)</f>
        <v>0</v>
      </c>
      <c r="S264">
        <v>0</v>
      </c>
      <c r="T264">
        <v>0</v>
      </c>
      <c r="U264">
        <f>IF(VLOOKUP(B264,AmmoTypeFactors,9,FALSE)="Plasteel",ROUNDUP(('Ammo Input'!H264*MAX(IF('Ammo Input'!J264&gt;0,'Ammo Input'!J264,1)*N264/1000/'Ingredient stats'!$C$4)),0),0)</f>
        <v>0</v>
      </c>
      <c r="V264">
        <f>IFERROR(__xludf.DUMMYFUNCTION("ROUNDUP(IF(ISBLANK(VLOOKUP(B260,AmmoTypeFactors,16,False)),1,VLOOKUP(B260,AmmoTypeFactors,16,False)) * (IFS(REGEXMATCH(B260, ""EMP""), 'Ammo Input'!M260 * N260 / 'Ingredient stats'!$C$5, REGEXMATCH(B260, ""Charge""), (U260^0.75), true, 0) + (IF(VLOOKUP(B2"&amp;"60, AmmoTypeFactors, 10, false), 2,0) + IF('Ammo Input'!P260, 2,0) + IF('Ammo Input'!Q260,MIN(ROUNDUP(0.2*('Ammo Input'!H260/1000)*'Ammo Input'!O260,0),20),0))))"),0)</f>
        <v>0</v>
      </c>
      <c r="W264">
        <v>0</v>
      </c>
      <c r="X264">
        <v>0</v>
      </c>
      <c r="Y264">
        <v>0</v>
      </c>
      <c r="Z264">
        <v>0</v>
      </c>
      <c r="AA264">
        <v>0</v>
      </c>
      <c r="AB264" s="30">
        <f>IF(B264="Sling Bullet (Stone)",ROUNDUP(D264*0.02*E264/'Ingredient stats'!$C$8,0),0)</f>
        <v>0</v>
      </c>
      <c r="AC264" t="str">
        <f t="shared" si="16"/>
        <v>None</v>
      </c>
      <c r="AD264" t="str">
        <f>IF(OR(B264="Buck",B264="Bird",B264="Charge (Scatter)"),'Ammo Input'!J264,"None")</f>
        <v>None</v>
      </c>
      <c r="AE264" t="str">
        <f>_xlfn.IFS(ISTEXT(Calcs!N264),Calcs!N264,Calcs!N264&lt;=40,Calcs!N264,Calcs!N264&gt;41,"40")</f>
        <v>None</v>
      </c>
      <c r="AF264" t="str">
        <f>_xlfn.IFS(ISTEXT(Calcs!O264),Calcs!O264,Calcs!O264&lt;=80,Calcs!O264,Calcs!O264&gt;=81,"80")</f>
        <v>None</v>
      </c>
      <c r="AG264" s="25">
        <f t="shared" si="17"/>
        <v>1</v>
      </c>
      <c r="AH264" s="25">
        <f t="shared" si="18"/>
        <v>1.1</v>
      </c>
      <c r="AI264" s="25">
        <f t="shared" si="19"/>
        <v>1</v>
      </c>
    </row>
    <row r="265" ht="14.4" spans="1:35">
      <c r="A265" s="24" t="str">
        <f>'Ammo Input'!A265</f>
        <v>.44 S&amp;W Special</v>
      </c>
      <c r="B265" t="str">
        <f>'Ammo Input'!B265</f>
        <v>HP</v>
      </c>
      <c r="C265">
        <f>ROUNDUP(('Ammo Input'!C265*(MAX('Ammo Input'!D265,'Ammo Input'!F265)*0.5)^2*PI())*3/1000000,2)</f>
        <v>0.02</v>
      </c>
      <c r="D265">
        <f>ROUNDUP(('Ammo Input'!E265+'Ammo Input'!H265*IF('Ammo Input'!J265&lt;&gt;"",MAX('Ammo Input'!J265,1),1))/1000,3)</f>
        <v>0.019</v>
      </c>
      <c r="E265">
        <f>MIN(5000,MAX(25,CEILING(Calcs!L265,_xlfn.IFS(Calcs!L265&lt;100,25,Calcs!L265&lt;250,50,Calcs!L265&lt;1000,250,Calcs!L265&gt;=1000,1000))))</f>
        <v>5000</v>
      </c>
      <c r="F265">
        <f>ROUNDUP('Ammo Input'!G265^(3/4),0)</f>
        <v>67</v>
      </c>
      <c r="G265">
        <f>ROUND((0.5*((IF(OR(B265="HEAT",B265="HEDP"),'Ammo Input'!N265,'Ammo Input'!H265)/1000)*(IF(B265="HEAT",9000,IF(B265="HEDP",1500,'Ammo Input'!G265))^2))),0)</f>
        <v>474</v>
      </c>
      <c r="H265" s="25" t="str">
        <f>CONCATENATE(IF((B265="Foam")+(B265="Smoke"),"-",ROUND(Calcs!D265,0))," ",VLOOKUP(B265,AmmoTypeFactors,5,FALSE))</f>
        <v>14 Bullet</v>
      </c>
      <c r="I265" s="25" t="str">
        <f>IF(Calcs!E265=0,"None",CONCATENATE(ROUND(Calcs!E265,0)," ",VLOOKUP(B265,AmmoTypeFactors,6,FALSE)))</f>
        <v>None</v>
      </c>
      <c r="J265">
        <f>MROUND(2.42*'Ammo Input'!M265^(1/3)*VLOOKUP(B265,AmmoTypeFactors,3,FALSE),0.5)</f>
        <v>0</v>
      </c>
      <c r="K265" s="25" t="str">
        <f>IF(VLOOKUP(B265,AmmoTypeFactors,12,FALSE),MROUND(J265/3,0.5),"None")</f>
        <v>None</v>
      </c>
      <c r="L265" s="25">
        <f>IF(VLOOKUP(B265,AmmoTypeFactors,8,FALSE),"None",ROUNDUP(IF(Calcs!I265&gt;0,Calcs!I265,Calcs!H265),3))</f>
        <v>9.48</v>
      </c>
      <c r="M265" s="25">
        <f>IF(VLOOKUP(B265,AmmoTypeFactors,8,FALSE),"None",'Ammo Input'!L265)</f>
        <v>2</v>
      </c>
      <c r="N265">
        <f>'Ammo Input'!O265</f>
        <v>500</v>
      </c>
      <c r="O265" t="e">
        <f>ROUND((P265*0.0036+SUMPRODUCT(Q265:AB265,VLOOKUP($Q$1:$AB$1,IngredientStats,2,FALSE)))/N265*IF('Ammo Input'!R265,0.5,1),2)</f>
        <v>#VALUE!</v>
      </c>
      <c r="P265" t="e">
        <f>(SUMPRODUCT(Q265:AB265,VLOOKUP($Q$1:$AB$1,IngredientStats,4,FALSE))*VLOOKUP(B265,AmmoTypeFactors,14,FALSE)*IF('Ammo Input'!R265,1.1,1))</f>
        <v>#VALUE!</v>
      </c>
      <c r="Q265">
        <f>IFERROR(__xludf.DUMMYFUNCTION("((IF(NOT(OR(REGEXMATCH(B261, ""Arrow""), B261 = ""Javelin"", B261 = ""Stick bomb"")), ROUNDUP(('Ammo Input'!E261 / 1000) * N261)) + IF(VLOOKUP(B261, AmmoTypeFactors, 9, FALSE) = ""Steel"", ROUNDUP(('Ammo Input'!H261 -'Ammo Input'!M261) * MAX(IF('Ammo Inpu"&amp;"t'!J261 &gt; 0, 'Ammo Input'!J261, 1), 1) * N261 / 1000))) / 'Ingredient stats'!$C$2) * IF(ISBLANK(VLOOKUP(B261,AmmoTypeFactors,15,False)),1,VLOOKUP(B261,AmmoTypeFactors,15,False))"),20)</f>
        <v>20</v>
      </c>
      <c r="R265">
        <f>IFERROR(__xludf.DUMMYFUNCTION("ROUNDUP((IF(REGEXMATCH(B261, ""Arrow"") + (B261 = ""Javelin""), 'Ammo Input'!E261) + IF(VLOOKUP(B261, AmmoTypeFactors, 9, FALSE) = ""Wood"", 'Ammo Input'!H261) + IF(B261 = ""Stick bomb"", 'Ammo Input'!E261)) * N261 / 'Ingredient stats'!$C$12 / 1000)"),0)</f>
        <v>0</v>
      </c>
      <c r="S265">
        <v>0</v>
      </c>
      <c r="T265">
        <v>0</v>
      </c>
      <c r="U265">
        <f>IF(VLOOKUP(B265,AmmoTypeFactors,9,FALSE)="Plasteel",ROUNDUP(('Ammo Input'!H265*MAX(IF('Ammo Input'!J265&gt;0,'Ammo Input'!J265,1)*N265/1000/'Ingredient stats'!$C$4)),0),0)</f>
        <v>0</v>
      </c>
      <c r="V265">
        <f>IFERROR(__xludf.DUMMYFUNCTION("ROUNDUP(IF(ISBLANK(VLOOKUP(B261,AmmoTypeFactors,16,False)),1,VLOOKUP(B261,AmmoTypeFactors,16,False)) * (IFS(REGEXMATCH(B261, ""EMP""), 'Ammo Input'!M261 * N261 / 'Ingredient stats'!$C$5, REGEXMATCH(B261, ""Charge""), (U261^0.75), true, 0) + (IF(VLOOKUP(B2"&amp;"61, AmmoTypeFactors, 10, false), 2,0) + IF('Ammo Input'!P261, 2,0) + IF('Ammo Input'!Q261,MIN(ROUNDUP(0.2*('Ammo Input'!H261/1000)*'Ammo Input'!O261,0),20),0))))"),0)</f>
        <v>0</v>
      </c>
      <c r="W265">
        <v>0</v>
      </c>
      <c r="X265">
        <v>0</v>
      </c>
      <c r="Y265">
        <v>0</v>
      </c>
      <c r="Z265">
        <v>0</v>
      </c>
      <c r="AA265">
        <v>0</v>
      </c>
      <c r="AB265" s="30">
        <f>IF(B265="Sling Bullet (Stone)",ROUNDUP(D265*0.02*E265/'Ingredient stats'!$C$8,0),0)</f>
        <v>0</v>
      </c>
      <c r="AC265" t="str">
        <f t="shared" si="16"/>
        <v>None</v>
      </c>
      <c r="AD265" t="str">
        <f>IF(OR(B265="Buck",B265="Bird",B265="Charge (Scatter)"),'Ammo Input'!J265,"None")</f>
        <v>None</v>
      </c>
      <c r="AE265" t="str">
        <f>_xlfn.IFS(ISTEXT(Calcs!N265),Calcs!N265,Calcs!N265&lt;=40,Calcs!N265,Calcs!N265&gt;41,"40")</f>
        <v>None</v>
      </c>
      <c r="AF265" t="str">
        <f>_xlfn.IFS(ISTEXT(Calcs!O265),Calcs!O265,Calcs!O265&lt;=80,Calcs!O265,Calcs!O265&gt;=81,"80")</f>
        <v>None</v>
      </c>
      <c r="AG265" s="25">
        <f t="shared" si="17"/>
        <v>1</v>
      </c>
      <c r="AH265" s="25">
        <f t="shared" si="18"/>
        <v>1.1</v>
      </c>
      <c r="AI265" s="25">
        <f t="shared" si="19"/>
        <v>1</v>
      </c>
    </row>
    <row r="266" ht="14.4" spans="1:35">
      <c r="A266" s="24" t="str">
        <f>'Ammo Input'!A266</f>
        <v>.45 Colt</v>
      </c>
      <c r="B266" t="str">
        <f>'Ammo Input'!B266</f>
        <v>FMJ</v>
      </c>
      <c r="C266">
        <f>ROUNDUP(('Ammo Input'!C266*(MAX('Ammo Input'!D266,'Ammo Input'!F266)*0.5)^2*PI())*3/1000000,2)</f>
        <v>0.02</v>
      </c>
      <c r="D266">
        <f>ROUNDUP(('Ammo Input'!E266+'Ammo Input'!H266*IF('Ammo Input'!J266&lt;&gt;"",MAX('Ammo Input'!J266,1),1))/1000,3)</f>
        <v>0.022</v>
      </c>
      <c r="E266">
        <f>MIN(5000,MAX(25,CEILING(Calcs!L266,_xlfn.IFS(Calcs!L266&lt;100,25,Calcs!L266&lt;250,50,Calcs!L266&lt;1000,250,Calcs!L266&gt;=1000,1000))))</f>
        <v>5000</v>
      </c>
      <c r="F266">
        <f>ROUNDUP('Ammo Input'!G266^(3/4),0)</f>
        <v>69</v>
      </c>
      <c r="G266">
        <f>ROUND((0.5*((IF(OR(B266="HEAT",B266="HEDP"),'Ammo Input'!N266,'Ammo Input'!H266)/1000)*(IF(B266="HEAT",9000,IF(B266="HEDP",1500,'Ammo Input'!G266))^2))),0)</f>
        <v>572</v>
      </c>
      <c r="H266" s="25" t="str">
        <f>CONCATENATE(IF((B266="Foam")+(B266="Smoke"),"-",ROUND(Calcs!D266,0))," ",VLOOKUP(B266,AmmoTypeFactors,5,FALSE))</f>
        <v>12 Bullet</v>
      </c>
      <c r="I266" s="25" t="str">
        <f>IF(Calcs!E266=0,"None",CONCATENATE(ROUND(Calcs!E266,0)," ",VLOOKUP(B266,AmmoTypeFactors,6,FALSE)))</f>
        <v>None</v>
      </c>
      <c r="J266">
        <f>MROUND(2.42*'Ammo Input'!M266^(1/3)*VLOOKUP(B266,AmmoTypeFactors,3,FALSE),0.5)</f>
        <v>0</v>
      </c>
      <c r="K266" s="25" t="str">
        <f>IF(VLOOKUP(B266,AmmoTypeFactors,12,FALSE),MROUND(J266/3,0.5),"None")</f>
        <v>None</v>
      </c>
      <c r="L266" s="25">
        <f>IF(VLOOKUP(B266,AmmoTypeFactors,8,FALSE),"None",ROUNDUP(IF(Calcs!I266&gt;0,Calcs!I266,Calcs!H266),3))</f>
        <v>11.44</v>
      </c>
      <c r="M266" s="25">
        <f>IF(VLOOKUP(B266,AmmoTypeFactors,8,FALSE),"None",'Ammo Input'!L266)</f>
        <v>4</v>
      </c>
      <c r="N266">
        <f>'Ammo Input'!O266</f>
        <v>500</v>
      </c>
      <c r="O266" t="e">
        <f>ROUND((P266*0.0036+SUMPRODUCT(Q266:AB266,VLOOKUP($Q$1:$AB$1,IngredientStats,2,FALSE)))/N266*IF('Ammo Input'!R266,0.5,1),2)</f>
        <v>#VALUE!</v>
      </c>
      <c r="P266" t="e">
        <f>(SUMPRODUCT(Q266:AB266,VLOOKUP($Q$1:$AB$1,IngredientStats,4,FALSE))*VLOOKUP(B266,AmmoTypeFactors,14,FALSE)*IF('Ammo Input'!R266,1.1,1))</f>
        <v>#VALUE!</v>
      </c>
      <c r="Q266">
        <f>IFERROR(__xludf.DUMMYFUNCTION("((IF(NOT(OR(REGEXMATCH(B262, ""Arrow""), B262 = ""Javelin"", B262 = ""Stick bomb"")), ROUNDUP(('Ammo Input'!E262 / 1000) * N262)) + IF(VLOOKUP(B262, AmmoTypeFactors, 9, FALSE) = ""Steel"", ROUNDUP(('Ammo Input'!H262 -'Ammo Input'!M262) * MAX(IF('Ammo Inpu"&amp;"t'!J262 &gt; 0, 'Ammo Input'!J262, 1), 1) * N262 / 1000))) / 'Ingredient stats'!$C$2) * IF(ISBLANK(VLOOKUP(B262,AmmoTypeFactors,15,False)),1,VLOOKUP(B262,AmmoTypeFactors,15,False))"),24)</f>
        <v>24</v>
      </c>
      <c r="R266">
        <f>IFERROR(__xludf.DUMMYFUNCTION("ROUNDUP((IF(REGEXMATCH(B262, ""Arrow"") + (B262 = ""Javelin""), 'Ammo Input'!E262) + IF(VLOOKUP(B262, AmmoTypeFactors, 9, FALSE) = ""Wood"", 'Ammo Input'!H262) + IF(B262 = ""Stick bomb"", 'Ammo Input'!E262)) * N262 / 'Ingredient stats'!$C$12 / 1000)"),0)</f>
        <v>0</v>
      </c>
      <c r="S266">
        <v>0</v>
      </c>
      <c r="T266">
        <v>0</v>
      </c>
      <c r="U266">
        <f>IF(VLOOKUP(B266,AmmoTypeFactors,9,FALSE)="Plasteel",ROUNDUP(('Ammo Input'!H266*MAX(IF('Ammo Input'!J266&gt;0,'Ammo Input'!J266,1)*N266/1000/'Ingredient stats'!$C$4)),0),0)</f>
        <v>0</v>
      </c>
      <c r="V266">
        <f>IFERROR(__xludf.DUMMYFUNCTION("ROUNDUP(IF(ISBLANK(VLOOKUP(B262,AmmoTypeFactors,16,False)),1,VLOOKUP(B262,AmmoTypeFactors,16,False)) * (IFS(REGEXMATCH(B262, ""EMP""), 'Ammo Input'!M262 * N262 / 'Ingredient stats'!$C$5, REGEXMATCH(B262, ""Charge""), (U262^0.75), true, 0) + (IF(VLOOKUP(B2"&amp;"62, AmmoTypeFactors, 10, false), 2,0) + IF('Ammo Input'!P262, 2,0) + IF('Ammo Input'!Q262,MIN(ROUNDUP(0.2*('Ammo Input'!H262/1000)*'Ammo Input'!O262,0),20),0))))"),0)</f>
        <v>0</v>
      </c>
      <c r="W266">
        <v>0</v>
      </c>
      <c r="X266">
        <v>0</v>
      </c>
      <c r="Y266">
        <v>0</v>
      </c>
      <c r="Z266">
        <v>0</v>
      </c>
      <c r="AA266">
        <v>0</v>
      </c>
      <c r="AB266" s="30">
        <f>IF(B266="Sling Bullet (Stone)",ROUNDUP(D266*0.02*E266/'Ingredient stats'!$C$8,0),0)</f>
        <v>0</v>
      </c>
      <c r="AC266" t="str">
        <f t="shared" si="16"/>
        <v>None</v>
      </c>
      <c r="AD266" t="str">
        <f>IF(OR(B266="Buck",B266="Bird",B266="Charge (Scatter)"),'Ammo Input'!J266,"None")</f>
        <v>None</v>
      </c>
      <c r="AE266" t="str">
        <f>_xlfn.IFS(ISTEXT(Calcs!N266),Calcs!N266,Calcs!N266&lt;=40,Calcs!N266,Calcs!N266&gt;41,"40")</f>
        <v>None</v>
      </c>
      <c r="AF266" t="str">
        <f>_xlfn.IFS(ISTEXT(Calcs!O266),Calcs!O266,Calcs!O266&lt;=80,Calcs!O266,Calcs!O266&gt;=81,"80")</f>
        <v>None</v>
      </c>
      <c r="AG266" s="25">
        <f t="shared" si="17"/>
        <v>1</v>
      </c>
      <c r="AH266" s="25">
        <f t="shared" si="18"/>
        <v>1.14</v>
      </c>
      <c r="AI266" s="25">
        <f t="shared" si="19"/>
        <v>1</v>
      </c>
    </row>
    <row r="267" ht="14.4" spans="1:35">
      <c r="A267" s="24" t="str">
        <f>'Ammo Input'!A267</f>
        <v>.45 Colt</v>
      </c>
      <c r="B267" t="str">
        <f>'Ammo Input'!B267</f>
        <v>AP</v>
      </c>
      <c r="C267">
        <f>ROUNDUP(('Ammo Input'!C267*(MAX('Ammo Input'!D267,'Ammo Input'!F267)*0.5)^2*PI())*3/1000000,2)</f>
        <v>0.02</v>
      </c>
      <c r="D267">
        <f>ROUNDUP(('Ammo Input'!E267+'Ammo Input'!H267*IF('Ammo Input'!J267&lt;&gt;"",MAX('Ammo Input'!J267,1),1))/1000,3)</f>
        <v>0.022</v>
      </c>
      <c r="E267">
        <f>MIN(5000,MAX(25,CEILING(Calcs!L267,_xlfn.IFS(Calcs!L267&lt;100,25,Calcs!L267&lt;250,50,Calcs!L267&lt;1000,250,Calcs!L267&gt;=1000,1000))))</f>
        <v>5000</v>
      </c>
      <c r="F267">
        <f>ROUNDUP('Ammo Input'!G267^(3/4),0)</f>
        <v>69</v>
      </c>
      <c r="G267">
        <f>ROUND((0.5*((IF(OR(B267="HEAT",B267="HEDP"),'Ammo Input'!N267,'Ammo Input'!H267)/1000)*(IF(B267="HEAT",9000,IF(B267="HEDP",1500,'Ammo Input'!G267))^2))),0)</f>
        <v>572</v>
      </c>
      <c r="H267" s="25" t="str">
        <f>CONCATENATE(IF((B267="Foam")+(B267="Smoke"),"-",ROUND(Calcs!D267,0))," ",VLOOKUP(B267,AmmoTypeFactors,5,FALSE))</f>
        <v>8 Bullet</v>
      </c>
      <c r="I267" s="25" t="str">
        <f>IF(Calcs!E267=0,"None",CONCATENATE(ROUND(Calcs!E267,0)," ",VLOOKUP(B267,AmmoTypeFactors,6,FALSE)))</f>
        <v>None</v>
      </c>
      <c r="J267">
        <f>MROUND(2.42*'Ammo Input'!M267^(1/3)*VLOOKUP(B267,AmmoTypeFactors,3,FALSE),0.5)</f>
        <v>0</v>
      </c>
      <c r="K267" s="25" t="str">
        <f>IF(VLOOKUP(B267,AmmoTypeFactors,12,FALSE),MROUND(J267/3,0.5),"None")</f>
        <v>None</v>
      </c>
      <c r="L267" s="25">
        <f>IF(VLOOKUP(B267,AmmoTypeFactors,8,FALSE),"None",ROUNDUP(IF(Calcs!I267&gt;0,Calcs!I267,Calcs!H267),3))</f>
        <v>11.44</v>
      </c>
      <c r="M267" s="25">
        <f>IF(VLOOKUP(B267,AmmoTypeFactors,8,FALSE),"None",'Ammo Input'!L267)</f>
        <v>8</v>
      </c>
      <c r="N267">
        <f>'Ammo Input'!O267</f>
        <v>500</v>
      </c>
      <c r="O267" t="e">
        <f>ROUND((P267*0.0036+SUMPRODUCT(Q267:AB267,VLOOKUP($Q$1:$AB$1,IngredientStats,2,FALSE)))/N267*IF('Ammo Input'!R267,0.5,1),2)</f>
        <v>#VALUE!</v>
      </c>
      <c r="P267" t="e">
        <f>(SUMPRODUCT(Q267:AB267,VLOOKUP($Q$1:$AB$1,IngredientStats,4,FALSE))*VLOOKUP(B267,AmmoTypeFactors,14,FALSE)*IF('Ammo Input'!R267,1.1,1))</f>
        <v>#VALUE!</v>
      </c>
      <c r="Q267">
        <f>IFERROR(__xludf.DUMMYFUNCTION("((IF(NOT(OR(REGEXMATCH(B263, ""Arrow""), B263 = ""Javelin"", B263 = ""Stick bomb"")), ROUNDUP(('Ammo Input'!E263 / 1000) * N263)) + IF(VLOOKUP(B263, AmmoTypeFactors, 9, FALSE) = ""Steel"", ROUNDUP(('Ammo Input'!H263 -'Ammo Input'!M263) * MAX(IF('Ammo Inpu"&amp;"t'!J263 &gt; 0, 'Ammo Input'!J263, 1), 1) * N263 / 1000))) / 'Ingredient stats'!$C$2) * IF(ISBLANK(VLOOKUP(B263,AmmoTypeFactors,15,False)),1,VLOOKUP(B263,AmmoTypeFactors,15,False))"),24)</f>
        <v>24</v>
      </c>
      <c r="R267">
        <f>IFERROR(__xludf.DUMMYFUNCTION("ROUNDUP((IF(REGEXMATCH(B263, ""Arrow"") + (B263 = ""Javelin""), 'Ammo Input'!E263) + IF(VLOOKUP(B263, AmmoTypeFactors, 9, FALSE) = ""Wood"", 'Ammo Input'!H263) + IF(B263 = ""Stick bomb"", 'Ammo Input'!E263)) * N263 / 'Ingredient stats'!$C$12 / 1000)"),0)</f>
        <v>0</v>
      </c>
      <c r="S267">
        <v>0</v>
      </c>
      <c r="T267">
        <v>0</v>
      </c>
      <c r="U267">
        <f>IF(VLOOKUP(B267,AmmoTypeFactors,9,FALSE)="Plasteel",ROUNDUP(('Ammo Input'!H267*MAX(IF('Ammo Input'!J267&gt;0,'Ammo Input'!J267,1)*N267/1000/'Ingredient stats'!$C$4)),0),0)</f>
        <v>0</v>
      </c>
      <c r="V267">
        <f>IFERROR(__xludf.DUMMYFUNCTION("ROUNDUP(IF(ISBLANK(VLOOKUP(B263,AmmoTypeFactors,16,False)),1,VLOOKUP(B263,AmmoTypeFactors,16,False)) * (IFS(REGEXMATCH(B263, ""EMP""), 'Ammo Input'!M263 * N263 / 'Ingredient stats'!$C$5, REGEXMATCH(B263, ""Charge""), (U263^0.75), true, 0) + (IF(VLOOKUP(B2"&amp;"63, AmmoTypeFactors, 10, false), 2,0) + IF('Ammo Input'!P263, 2,0) + IF('Ammo Input'!Q263,MIN(ROUNDUP(0.2*('Ammo Input'!H263/1000)*'Ammo Input'!O263,0),20),0))))"),0)</f>
        <v>0</v>
      </c>
      <c r="W267">
        <v>0</v>
      </c>
      <c r="X267">
        <v>0</v>
      </c>
      <c r="Y267">
        <v>0</v>
      </c>
      <c r="Z267">
        <v>0</v>
      </c>
      <c r="AA267">
        <v>0</v>
      </c>
      <c r="AB267" s="30">
        <f>IF(B267="Sling Bullet (Stone)",ROUNDUP(D267*0.02*E267/'Ingredient stats'!$C$8,0),0)</f>
        <v>0</v>
      </c>
      <c r="AC267" t="str">
        <f t="shared" si="16"/>
        <v>None</v>
      </c>
      <c r="AD267" t="str">
        <f>IF(OR(B267="Buck",B267="Bird",B267="Charge (Scatter)"),'Ammo Input'!J267,"None")</f>
        <v>None</v>
      </c>
      <c r="AE267" t="str">
        <f>_xlfn.IFS(ISTEXT(Calcs!N267),Calcs!N267,Calcs!N267&lt;=40,Calcs!N267,Calcs!N267&gt;41,"40")</f>
        <v>None</v>
      </c>
      <c r="AF267" t="str">
        <f>_xlfn.IFS(ISTEXT(Calcs!O267),Calcs!O267,Calcs!O267&lt;=80,Calcs!O267,Calcs!O267&gt;=81,"80")</f>
        <v>None</v>
      </c>
      <c r="AG267" s="25">
        <f t="shared" si="17"/>
        <v>1</v>
      </c>
      <c r="AH267" s="25">
        <f t="shared" si="18"/>
        <v>1.14</v>
      </c>
      <c r="AI267" s="25">
        <f t="shared" si="19"/>
        <v>1</v>
      </c>
    </row>
    <row r="268" ht="14.4" spans="1:35">
      <c r="A268" s="24" t="str">
        <f>'Ammo Input'!A268</f>
        <v>.45 Colt</v>
      </c>
      <c r="B268" t="str">
        <f>'Ammo Input'!B268</f>
        <v>HP</v>
      </c>
      <c r="C268">
        <f>ROUNDUP(('Ammo Input'!C268*(MAX('Ammo Input'!D268,'Ammo Input'!F268)*0.5)^2*PI())*3/1000000,2)</f>
        <v>0.02</v>
      </c>
      <c r="D268">
        <f>ROUNDUP(('Ammo Input'!E268+'Ammo Input'!H268*IF('Ammo Input'!J268&lt;&gt;"",MAX('Ammo Input'!J268,1),1))/1000,3)</f>
        <v>0.022</v>
      </c>
      <c r="E268">
        <f>MIN(5000,MAX(25,CEILING(Calcs!L268,_xlfn.IFS(Calcs!L268&lt;100,25,Calcs!L268&lt;250,50,Calcs!L268&lt;1000,250,Calcs!L268&gt;=1000,1000))))</f>
        <v>5000</v>
      </c>
      <c r="F268">
        <f>ROUNDUP('Ammo Input'!G268^(3/4),0)</f>
        <v>69</v>
      </c>
      <c r="G268">
        <f>ROUND((0.5*((IF(OR(B268="HEAT",B268="HEDP"),'Ammo Input'!N268,'Ammo Input'!H268)/1000)*(IF(B268="HEAT",9000,IF(B268="HEDP",1500,'Ammo Input'!G268))^2))),0)</f>
        <v>572</v>
      </c>
      <c r="H268" s="25" t="str">
        <f>CONCATENATE(IF((B268="Foam")+(B268="Smoke"),"-",ROUND(Calcs!D268,0))," ",VLOOKUP(B268,AmmoTypeFactors,5,FALSE))</f>
        <v>15 Bullet</v>
      </c>
      <c r="I268" s="25" t="str">
        <f>IF(Calcs!E268=0,"None",CONCATENATE(ROUND(Calcs!E268,0)," ",VLOOKUP(B268,AmmoTypeFactors,6,FALSE)))</f>
        <v>None</v>
      </c>
      <c r="J268">
        <f>MROUND(2.42*'Ammo Input'!M268^(1/3)*VLOOKUP(B268,AmmoTypeFactors,3,FALSE),0.5)</f>
        <v>0</v>
      </c>
      <c r="K268" s="25" t="str">
        <f>IF(VLOOKUP(B268,AmmoTypeFactors,12,FALSE),MROUND(J268/3,0.5),"None")</f>
        <v>None</v>
      </c>
      <c r="L268" s="25">
        <f>IF(VLOOKUP(B268,AmmoTypeFactors,8,FALSE),"None",ROUNDUP(IF(Calcs!I268&gt;0,Calcs!I268,Calcs!H268),3))</f>
        <v>11.44</v>
      </c>
      <c r="M268" s="25">
        <f>IF(VLOOKUP(B268,AmmoTypeFactors,8,FALSE),"None",'Ammo Input'!L268)</f>
        <v>2</v>
      </c>
      <c r="N268">
        <f>'Ammo Input'!O268</f>
        <v>500</v>
      </c>
      <c r="O268" t="e">
        <f>ROUND((P268*0.0036+SUMPRODUCT(Q268:AB268,VLOOKUP($Q$1:$AB$1,IngredientStats,2,FALSE)))/N268*IF('Ammo Input'!R268,0.5,1),2)</f>
        <v>#VALUE!</v>
      </c>
      <c r="P268" t="e">
        <f>(SUMPRODUCT(Q268:AB268,VLOOKUP($Q$1:$AB$1,IngredientStats,4,FALSE))*VLOOKUP(B268,AmmoTypeFactors,14,FALSE)*IF('Ammo Input'!R268,1.1,1))</f>
        <v>#VALUE!</v>
      </c>
      <c r="Q268">
        <f>IFERROR(__xludf.DUMMYFUNCTION("((IF(NOT(OR(REGEXMATCH(B264, ""Arrow""), B264 = ""Javelin"", B264 = ""Stick bomb"")), ROUNDUP(('Ammo Input'!E264 / 1000) * N264)) + IF(VLOOKUP(B264, AmmoTypeFactors, 9, FALSE) = ""Steel"", ROUNDUP(('Ammo Input'!H264 -'Ammo Input'!M264) * MAX(IF('Ammo Inpu"&amp;"t'!J264 &gt; 0, 'Ammo Input'!J264, 1), 1) * N264 / 1000))) / 'Ingredient stats'!$C$2) * IF(ISBLANK(VLOOKUP(B264,AmmoTypeFactors,15,False)),1,VLOOKUP(B264,AmmoTypeFactors,15,False))"),24)</f>
        <v>24</v>
      </c>
      <c r="R268">
        <f>IFERROR(__xludf.DUMMYFUNCTION("ROUNDUP((IF(REGEXMATCH(B264, ""Arrow"") + (B264 = ""Javelin""), 'Ammo Input'!E264) + IF(VLOOKUP(B264, AmmoTypeFactors, 9, FALSE) = ""Wood"", 'Ammo Input'!H264) + IF(B264 = ""Stick bomb"", 'Ammo Input'!E264)) * N264 / 'Ingredient stats'!$C$12 / 1000)"),0)</f>
        <v>0</v>
      </c>
      <c r="S268">
        <v>0</v>
      </c>
      <c r="T268">
        <v>0</v>
      </c>
      <c r="U268">
        <f>IF(VLOOKUP(B268,AmmoTypeFactors,9,FALSE)="Plasteel",ROUNDUP(('Ammo Input'!H268*MAX(IF('Ammo Input'!J268&gt;0,'Ammo Input'!J268,1)*N268/1000/'Ingredient stats'!$C$4)),0),0)</f>
        <v>0</v>
      </c>
      <c r="V268">
        <f>IFERROR(__xludf.DUMMYFUNCTION("ROUNDUP(IF(ISBLANK(VLOOKUP(B264,AmmoTypeFactors,16,False)),1,VLOOKUP(B264,AmmoTypeFactors,16,False)) * (IFS(REGEXMATCH(B264, ""EMP""), 'Ammo Input'!M264 * N264 / 'Ingredient stats'!$C$5, REGEXMATCH(B264, ""Charge""), (U264^0.75), true, 0) + (IF(VLOOKUP(B2"&amp;"64, AmmoTypeFactors, 10, false), 2,0) + IF('Ammo Input'!P264, 2,0) + IF('Ammo Input'!Q264,MIN(ROUNDUP(0.2*('Ammo Input'!H264/1000)*'Ammo Input'!O264,0),20),0))))"),0)</f>
        <v>0</v>
      </c>
      <c r="W268">
        <v>0</v>
      </c>
      <c r="X268">
        <v>0</v>
      </c>
      <c r="Y268">
        <v>0</v>
      </c>
      <c r="Z268">
        <v>0</v>
      </c>
      <c r="AA268">
        <v>0</v>
      </c>
      <c r="AB268" s="30">
        <f>IF(B268="Sling Bullet (Stone)",ROUNDUP(D268*0.02*E268/'Ingredient stats'!$C$8,0),0)</f>
        <v>0</v>
      </c>
      <c r="AC268" t="str">
        <f t="shared" si="16"/>
        <v>None</v>
      </c>
      <c r="AD268" t="str">
        <f>IF(OR(B268="Buck",B268="Bird",B268="Charge (Scatter)"),'Ammo Input'!J268,"None")</f>
        <v>None</v>
      </c>
      <c r="AE268" t="str">
        <f>_xlfn.IFS(ISTEXT(Calcs!N268),Calcs!N268,Calcs!N268&lt;=40,Calcs!N268,Calcs!N268&gt;41,"40")</f>
        <v>None</v>
      </c>
      <c r="AF268" t="str">
        <f>_xlfn.IFS(ISTEXT(Calcs!O268),Calcs!O268,Calcs!O268&lt;=80,Calcs!O268,Calcs!O268&gt;=81,"80")</f>
        <v>None</v>
      </c>
      <c r="AG268" s="25">
        <f t="shared" si="17"/>
        <v>1</v>
      </c>
      <c r="AH268" s="25">
        <f t="shared" si="18"/>
        <v>1.14</v>
      </c>
      <c r="AI268" s="25">
        <f t="shared" si="19"/>
        <v>1</v>
      </c>
    </row>
    <row r="269" ht="14.4" spans="1:35">
      <c r="A269" s="24" t="str">
        <f>'Ammo Input'!A269</f>
        <v>.45 Colt HV</v>
      </c>
      <c r="B269" t="str">
        <f>'Ammo Input'!B269</f>
        <v>FMJ</v>
      </c>
      <c r="C269">
        <f>ROUNDUP(('Ammo Input'!C269*(MAX('Ammo Input'!D269,'Ammo Input'!F269)*0.5)^2*PI())*3/1000000,2)</f>
        <v>0.02</v>
      </c>
      <c r="D269">
        <f>ROUNDUP(('Ammo Input'!E269+'Ammo Input'!H269*IF('Ammo Input'!J269&lt;&gt;"",MAX('Ammo Input'!J269,1),1))/1000,3)</f>
        <v>0.022</v>
      </c>
      <c r="E269">
        <f>MIN(5000,MAX(25,CEILING(Calcs!L269,_xlfn.IFS(Calcs!L269&lt;100,25,Calcs!L269&lt;250,50,Calcs!L269&lt;1000,250,Calcs!L269&gt;=1000,1000))))</f>
        <v>5000</v>
      </c>
      <c r="F269">
        <f>ROUNDUP('Ammo Input'!G269^(3/4),0)</f>
        <v>94</v>
      </c>
      <c r="G269">
        <f>ROUND((0.5*((IF(OR(B269="HEAT",B269="HEDP"),'Ammo Input'!N269,'Ammo Input'!H269)/1000)*(IF(B269="HEAT",9000,IF(B269="HEDP",1500,'Ammo Input'!G269))^2))),0)</f>
        <v>1329</v>
      </c>
      <c r="H269" s="25" t="str">
        <f>CONCATENATE(IF((B269="Foam")+(B269="Smoke"),"-",ROUND(Calcs!D269,0))," ",VLOOKUP(B269,AmmoTypeFactors,5,FALSE))</f>
        <v>16 Bullet</v>
      </c>
      <c r="I269" s="25" t="str">
        <f>IF(Calcs!E269=0,"None",CONCATENATE(ROUND(Calcs!E269,0)," ",VLOOKUP(B269,AmmoTypeFactors,6,FALSE)))</f>
        <v>None</v>
      </c>
      <c r="J269">
        <f>MROUND(2.42*'Ammo Input'!M269^(1/3)*VLOOKUP(B269,AmmoTypeFactors,3,FALSE),0.5)</f>
        <v>0</v>
      </c>
      <c r="K269" s="25" t="str">
        <f>IF(VLOOKUP(B269,AmmoTypeFactors,12,FALSE),MROUND(J269/3,0.5),"None")</f>
        <v>None</v>
      </c>
      <c r="L269" s="25">
        <f>IF(VLOOKUP(B269,AmmoTypeFactors,8,FALSE),"None",ROUNDUP(IF(Calcs!I269&gt;0,Calcs!I269,Calcs!H269),3))</f>
        <v>26.58</v>
      </c>
      <c r="M269" s="25">
        <f>IF(VLOOKUP(B269,AmmoTypeFactors,8,FALSE),"None",'Ammo Input'!L269)</f>
        <v>4</v>
      </c>
      <c r="N269">
        <f>'Ammo Input'!O269</f>
        <v>500</v>
      </c>
      <c r="O269" t="e">
        <f>ROUND((P269*0.0036+SUMPRODUCT(Q269:AB269,VLOOKUP($Q$1:$AB$1,IngredientStats,2,FALSE)))/N269*IF('Ammo Input'!R269,0.5,1),2)</f>
        <v>#VALUE!</v>
      </c>
      <c r="P269" t="e">
        <f>(SUMPRODUCT(Q269:AB269,VLOOKUP($Q$1:$AB$1,IngredientStats,4,FALSE))*VLOOKUP(B269,AmmoTypeFactors,14,FALSE)*IF('Ammo Input'!R269,1.1,1))</f>
        <v>#VALUE!</v>
      </c>
      <c r="Q269">
        <f>IFERROR(__xludf.DUMMYFUNCTION("((IF(NOT(OR(REGEXMATCH(B265, ""Arrow""), B265 = ""Javelin"", B265 = ""Stick bomb"")), ROUNDUP(('Ammo Input'!E265 / 1000) * N265)) + IF(VLOOKUP(B265, AmmoTypeFactors, 9, FALSE) = ""Steel"", ROUNDUP(('Ammo Input'!H265 -'Ammo Input'!M265) * MAX(IF('Ammo Inpu"&amp;"t'!J265 &gt; 0, 'Ammo Input'!J265, 1), 1) * N265 / 1000))) / 'Ingredient stats'!$C$2) * IF(ISBLANK(VLOOKUP(B265,AmmoTypeFactors,15,False)),1,VLOOKUP(B265,AmmoTypeFactors,15,False))"),24)</f>
        <v>24</v>
      </c>
      <c r="R269">
        <f>IFERROR(__xludf.DUMMYFUNCTION("ROUNDUP((IF(REGEXMATCH(B265, ""Arrow"") + (B265 = ""Javelin""), 'Ammo Input'!E265) + IF(VLOOKUP(B265, AmmoTypeFactors, 9, FALSE) = ""Wood"", 'Ammo Input'!H265) + IF(B265 = ""Stick bomb"", 'Ammo Input'!E265)) * N265 / 'Ingredient stats'!$C$12 / 1000)"),0)</f>
        <v>0</v>
      </c>
      <c r="S269">
        <v>0</v>
      </c>
      <c r="T269">
        <v>0</v>
      </c>
      <c r="U269">
        <f>IF(VLOOKUP(B269,AmmoTypeFactors,9,FALSE)="Plasteel",ROUNDUP(('Ammo Input'!H269*MAX(IF('Ammo Input'!J269&gt;0,'Ammo Input'!J269,1)*N269/1000/'Ingredient stats'!$C$4)),0),0)</f>
        <v>0</v>
      </c>
      <c r="V269">
        <f>IFERROR(__xludf.DUMMYFUNCTION("ROUNDUP(IF(ISBLANK(VLOOKUP(B265,AmmoTypeFactors,16,False)),1,VLOOKUP(B265,AmmoTypeFactors,16,False)) * (IFS(REGEXMATCH(B265, ""EMP""), 'Ammo Input'!M265 * N265 / 'Ingredient stats'!$C$5, REGEXMATCH(B265, ""Charge""), (U265^0.75), true, 0) + (IF(VLOOKUP(B2"&amp;"65, AmmoTypeFactors, 10, false), 2,0) + IF('Ammo Input'!P265, 2,0) + IF('Ammo Input'!Q265,MIN(ROUNDUP(0.2*('Ammo Input'!H265/1000)*'Ammo Input'!O265,0),20),0))))"),0)</f>
        <v>0</v>
      </c>
      <c r="W269">
        <v>0</v>
      </c>
      <c r="X269">
        <v>0</v>
      </c>
      <c r="Y269">
        <v>0</v>
      </c>
      <c r="Z269">
        <v>0</v>
      </c>
      <c r="AA269">
        <v>0</v>
      </c>
      <c r="AB269" s="30">
        <f>IF(B269="Sling Bullet (Stone)",ROUNDUP(D269*0.02*E269/'Ingredient stats'!$C$8,0),0)</f>
        <v>0</v>
      </c>
      <c r="AC269" t="str">
        <f t="shared" si="16"/>
        <v>None</v>
      </c>
      <c r="AD269" t="str">
        <f>IF(OR(B269="Buck",B269="Bird",B269="Charge (Scatter)"),'Ammo Input'!J269,"None")</f>
        <v>None</v>
      </c>
      <c r="AE269" t="str">
        <f>_xlfn.IFS(ISTEXT(Calcs!N269),Calcs!N269,Calcs!N269&lt;=40,Calcs!N269,Calcs!N269&gt;41,"40")</f>
        <v>None</v>
      </c>
      <c r="AF269" t="str">
        <f>_xlfn.IFS(ISTEXT(Calcs!O269),Calcs!O269,Calcs!O269&lt;=80,Calcs!O269,Calcs!O269&gt;=81,"80")</f>
        <v>None</v>
      </c>
      <c r="AG269" s="25">
        <f t="shared" si="17"/>
        <v>1</v>
      </c>
      <c r="AH269" s="25">
        <f t="shared" si="18"/>
        <v>1.55</v>
      </c>
      <c r="AI269" s="25">
        <f t="shared" si="19"/>
        <v>1</v>
      </c>
    </row>
    <row r="270" ht="14.4" spans="1:35">
      <c r="A270" s="24" t="str">
        <f>'Ammo Input'!A270</f>
        <v>.45 Colt HV</v>
      </c>
      <c r="B270" t="str">
        <f>'Ammo Input'!B270</f>
        <v>AP</v>
      </c>
      <c r="C270">
        <f>ROUNDUP(('Ammo Input'!C270*(MAX('Ammo Input'!D270,'Ammo Input'!F270)*0.5)^2*PI())*3/1000000,2)</f>
        <v>0.02</v>
      </c>
      <c r="D270">
        <f>ROUNDUP(('Ammo Input'!E270+'Ammo Input'!H270*IF('Ammo Input'!J270&lt;&gt;"",MAX('Ammo Input'!J270,1),1))/1000,3)</f>
        <v>0.022</v>
      </c>
      <c r="E270">
        <f>MIN(5000,MAX(25,CEILING(Calcs!L270,_xlfn.IFS(Calcs!L270&lt;100,25,Calcs!L270&lt;250,50,Calcs!L270&lt;1000,250,Calcs!L270&gt;=1000,1000))))</f>
        <v>5000</v>
      </c>
      <c r="F270">
        <f>ROUNDUP('Ammo Input'!G270^(3/4),0)</f>
        <v>94</v>
      </c>
      <c r="G270">
        <f>ROUND((0.5*((IF(OR(B270="HEAT",B270="HEDP"),'Ammo Input'!N270,'Ammo Input'!H270)/1000)*(IF(B270="HEAT",9000,IF(B270="HEDP",1500,'Ammo Input'!G270))^2))),0)</f>
        <v>1329</v>
      </c>
      <c r="H270" s="25" t="str">
        <f>CONCATENATE(IF((B270="Foam")+(B270="Smoke"),"-",ROUND(Calcs!D270,0))," ",VLOOKUP(B270,AmmoTypeFactors,5,FALSE))</f>
        <v>10 Bullet</v>
      </c>
      <c r="I270" s="25" t="str">
        <f>IF(Calcs!E270=0,"None",CONCATENATE(ROUND(Calcs!E270,0)," ",VLOOKUP(B270,AmmoTypeFactors,6,FALSE)))</f>
        <v>None</v>
      </c>
      <c r="J270">
        <f>MROUND(2.42*'Ammo Input'!M270^(1/3)*VLOOKUP(B270,AmmoTypeFactors,3,FALSE),0.5)</f>
        <v>0</v>
      </c>
      <c r="K270" s="25" t="str">
        <f>IF(VLOOKUP(B270,AmmoTypeFactors,12,FALSE),MROUND(J270/3,0.5),"None")</f>
        <v>None</v>
      </c>
      <c r="L270" s="25">
        <f>IF(VLOOKUP(B270,AmmoTypeFactors,8,FALSE),"None",ROUNDUP(IF(Calcs!I270&gt;0,Calcs!I270,Calcs!H270),3))</f>
        <v>26.58</v>
      </c>
      <c r="M270" s="25">
        <f>IF(VLOOKUP(B270,AmmoTypeFactors,8,FALSE),"None",'Ammo Input'!L270)</f>
        <v>8</v>
      </c>
      <c r="N270">
        <f>'Ammo Input'!O270</f>
        <v>500</v>
      </c>
      <c r="O270" t="e">
        <f>ROUND((P270*0.0036+SUMPRODUCT(Q270:AB270,VLOOKUP($Q$1:$AB$1,IngredientStats,2,FALSE)))/N270*IF('Ammo Input'!R270,0.5,1),2)</f>
        <v>#VALUE!</v>
      </c>
      <c r="P270" t="e">
        <f>(SUMPRODUCT(Q270:AB270,VLOOKUP($Q$1:$AB$1,IngredientStats,4,FALSE))*VLOOKUP(B270,AmmoTypeFactors,14,FALSE)*IF('Ammo Input'!R270,1.1,1))</f>
        <v>#VALUE!</v>
      </c>
      <c r="Q270">
        <f>IFERROR(__xludf.DUMMYFUNCTION("((IF(NOT(OR(REGEXMATCH(B266, ""Arrow""), B266 = ""Javelin"", B266 = ""Stick bomb"")), ROUNDUP(('Ammo Input'!E266 / 1000) * N266)) + IF(VLOOKUP(B266, AmmoTypeFactors, 9, FALSE) = ""Steel"", ROUNDUP(('Ammo Input'!H266 -'Ammo Input'!M266) * MAX(IF('Ammo Inpu"&amp;"t'!J266 &gt; 0, 'Ammo Input'!J266, 1), 1) * N266 / 1000))) / 'Ingredient stats'!$C$2) * IF(ISBLANK(VLOOKUP(B266,AmmoTypeFactors,15,False)),1,VLOOKUP(B266,AmmoTypeFactors,15,False))"),24)</f>
        <v>24</v>
      </c>
      <c r="R270">
        <f>IFERROR(__xludf.DUMMYFUNCTION("ROUNDUP((IF(REGEXMATCH(B266, ""Arrow"") + (B266 = ""Javelin""), 'Ammo Input'!E266) + IF(VLOOKUP(B266, AmmoTypeFactors, 9, FALSE) = ""Wood"", 'Ammo Input'!H266) + IF(B266 = ""Stick bomb"", 'Ammo Input'!E266)) * N266 / 'Ingredient stats'!$C$12 / 1000)"),0)</f>
        <v>0</v>
      </c>
      <c r="S270">
        <v>0</v>
      </c>
      <c r="T270">
        <v>0</v>
      </c>
      <c r="U270">
        <f>IF(VLOOKUP(B270,AmmoTypeFactors,9,FALSE)="Plasteel",ROUNDUP(('Ammo Input'!H270*MAX(IF('Ammo Input'!J270&gt;0,'Ammo Input'!J270,1)*N270/1000/'Ingredient stats'!$C$4)),0),0)</f>
        <v>0</v>
      </c>
      <c r="V270">
        <f>IFERROR(__xludf.DUMMYFUNCTION("ROUNDUP(IF(ISBLANK(VLOOKUP(B266,AmmoTypeFactors,16,False)),1,VLOOKUP(B266,AmmoTypeFactors,16,False)) * (IFS(REGEXMATCH(B266, ""EMP""), 'Ammo Input'!M266 * N266 / 'Ingredient stats'!$C$5, REGEXMATCH(B266, ""Charge""), (U266^0.75), true, 0) + (IF(VLOOKUP(B2"&amp;"66, AmmoTypeFactors, 10, false), 2,0) + IF('Ammo Input'!P266, 2,0) + IF('Ammo Input'!Q266,MIN(ROUNDUP(0.2*('Ammo Input'!H266/1000)*'Ammo Input'!O266,0),20),0))))"),0)</f>
        <v>0</v>
      </c>
      <c r="W270">
        <v>0</v>
      </c>
      <c r="X270">
        <v>0</v>
      </c>
      <c r="Y270">
        <v>0</v>
      </c>
      <c r="Z270">
        <v>0</v>
      </c>
      <c r="AA270">
        <v>0</v>
      </c>
      <c r="AB270" s="30">
        <f>IF(B270="Sling Bullet (Stone)",ROUNDUP(D270*0.02*E270/'Ingredient stats'!$C$8,0),0)</f>
        <v>0</v>
      </c>
      <c r="AC270" t="str">
        <f t="shared" si="16"/>
        <v>None</v>
      </c>
      <c r="AD270" t="str">
        <f>IF(OR(B270="Buck",B270="Bird",B270="Charge (Scatter)"),'Ammo Input'!J270,"None")</f>
        <v>None</v>
      </c>
      <c r="AE270" t="str">
        <f>_xlfn.IFS(ISTEXT(Calcs!N270),Calcs!N270,Calcs!N270&lt;=40,Calcs!N270,Calcs!N270&gt;41,"40")</f>
        <v>None</v>
      </c>
      <c r="AF270" t="str">
        <f>_xlfn.IFS(ISTEXT(Calcs!O270),Calcs!O270,Calcs!O270&lt;=80,Calcs!O270,Calcs!O270&gt;=81,"80")</f>
        <v>None</v>
      </c>
      <c r="AG270" s="25">
        <f t="shared" si="17"/>
        <v>1</v>
      </c>
      <c r="AH270" s="25">
        <f t="shared" si="18"/>
        <v>1.55</v>
      </c>
      <c r="AI270" s="25">
        <f t="shared" si="19"/>
        <v>1</v>
      </c>
    </row>
    <row r="271" ht="14.4" spans="1:35">
      <c r="A271" s="24" t="str">
        <f>'Ammo Input'!A271</f>
        <v>.45 Colt HV</v>
      </c>
      <c r="B271" t="str">
        <f>'Ammo Input'!B271</f>
        <v>HP</v>
      </c>
      <c r="C271">
        <f>ROUNDUP(('Ammo Input'!C271*(MAX('Ammo Input'!D271,'Ammo Input'!F271)*0.5)^2*PI())*3/1000000,2)</f>
        <v>0.02</v>
      </c>
      <c r="D271">
        <f>ROUNDUP(('Ammo Input'!E271+'Ammo Input'!H271*IF('Ammo Input'!J271&lt;&gt;"",MAX('Ammo Input'!J271,1),1))/1000,3)</f>
        <v>0.022</v>
      </c>
      <c r="E271">
        <f>MIN(5000,MAX(25,CEILING(Calcs!L271,_xlfn.IFS(Calcs!L271&lt;100,25,Calcs!L271&lt;250,50,Calcs!L271&lt;1000,250,Calcs!L271&gt;=1000,1000))))</f>
        <v>5000</v>
      </c>
      <c r="F271">
        <f>ROUNDUP('Ammo Input'!G271^(3/4),0)</f>
        <v>94</v>
      </c>
      <c r="G271">
        <f>ROUND((0.5*((IF(OR(B271="HEAT",B271="HEDP"),'Ammo Input'!N271,'Ammo Input'!H271)/1000)*(IF(B271="HEAT",9000,IF(B271="HEDP",1500,'Ammo Input'!G271))^2))),0)</f>
        <v>1329</v>
      </c>
      <c r="H271" s="25" t="str">
        <f>CONCATENATE(IF((B271="Foam")+(B271="Smoke"),"-",ROUND(Calcs!D271,0))," ",VLOOKUP(B271,AmmoTypeFactors,5,FALSE))</f>
        <v>21 Bullet</v>
      </c>
      <c r="I271" s="25" t="str">
        <f>IF(Calcs!E271=0,"None",CONCATENATE(ROUND(Calcs!E271,0)," ",VLOOKUP(B271,AmmoTypeFactors,6,FALSE)))</f>
        <v>None</v>
      </c>
      <c r="J271">
        <f>MROUND(2.42*'Ammo Input'!M271^(1/3)*VLOOKUP(B271,AmmoTypeFactors,3,FALSE),0.5)</f>
        <v>0</v>
      </c>
      <c r="K271" s="25" t="str">
        <f>IF(VLOOKUP(B271,AmmoTypeFactors,12,FALSE),MROUND(J271/3,0.5),"None")</f>
        <v>None</v>
      </c>
      <c r="L271" s="25">
        <f>IF(VLOOKUP(B271,AmmoTypeFactors,8,FALSE),"None",ROUNDUP(IF(Calcs!I271&gt;0,Calcs!I271,Calcs!H271),3))</f>
        <v>26.58</v>
      </c>
      <c r="M271" s="25">
        <f>IF(VLOOKUP(B271,AmmoTypeFactors,8,FALSE),"None",'Ammo Input'!L271)</f>
        <v>2</v>
      </c>
      <c r="N271">
        <f>'Ammo Input'!O271</f>
        <v>500</v>
      </c>
      <c r="O271" t="e">
        <f>ROUND((P271*0.0036+SUMPRODUCT(Q271:AB271,VLOOKUP($Q$1:$AB$1,IngredientStats,2,FALSE)))/N271*IF('Ammo Input'!R271,0.5,1),2)</f>
        <v>#VALUE!</v>
      </c>
      <c r="P271" t="e">
        <f>(SUMPRODUCT(Q271:AB271,VLOOKUP($Q$1:$AB$1,IngredientStats,4,FALSE))*VLOOKUP(B271,AmmoTypeFactors,14,FALSE)*IF('Ammo Input'!R271,1.1,1))</f>
        <v>#VALUE!</v>
      </c>
      <c r="Q271">
        <f>IFERROR(__xludf.DUMMYFUNCTION("((IF(NOT(OR(REGEXMATCH(B267, ""Arrow""), B267 = ""Javelin"", B267 = ""Stick bomb"")), ROUNDUP(('Ammo Input'!E267 / 1000) * N267)) + IF(VLOOKUP(B267, AmmoTypeFactors, 9, FALSE) = ""Steel"", ROUNDUP(('Ammo Input'!H267 -'Ammo Input'!M267) * MAX(IF('Ammo Inpu"&amp;"t'!J267 &gt; 0, 'Ammo Input'!J267, 1), 1) * N267 / 1000))) / 'Ingredient stats'!$C$2) * IF(ISBLANK(VLOOKUP(B267,AmmoTypeFactors,15,False)),1,VLOOKUP(B267,AmmoTypeFactors,15,False))"),24)</f>
        <v>24</v>
      </c>
      <c r="R271">
        <f>IFERROR(__xludf.DUMMYFUNCTION("ROUNDUP((IF(REGEXMATCH(B267, ""Arrow"") + (B267 = ""Javelin""), 'Ammo Input'!E267) + IF(VLOOKUP(B267, AmmoTypeFactors, 9, FALSE) = ""Wood"", 'Ammo Input'!H267) + IF(B267 = ""Stick bomb"", 'Ammo Input'!E267)) * N267 / 'Ingredient stats'!$C$12 / 1000)"),0)</f>
        <v>0</v>
      </c>
      <c r="S271">
        <v>0</v>
      </c>
      <c r="T271">
        <v>0</v>
      </c>
      <c r="U271">
        <f>IF(VLOOKUP(B271,AmmoTypeFactors,9,FALSE)="Plasteel",ROUNDUP(('Ammo Input'!H271*MAX(IF('Ammo Input'!J271&gt;0,'Ammo Input'!J271,1)*N271/1000/'Ingredient stats'!$C$4)),0),0)</f>
        <v>0</v>
      </c>
      <c r="V271">
        <f>IFERROR(__xludf.DUMMYFUNCTION("ROUNDUP(IF(ISBLANK(VLOOKUP(B267,AmmoTypeFactors,16,False)),1,VLOOKUP(B267,AmmoTypeFactors,16,False)) * (IFS(REGEXMATCH(B267, ""EMP""), 'Ammo Input'!M267 * N267 / 'Ingredient stats'!$C$5, REGEXMATCH(B267, ""Charge""), (U267^0.75), true, 0) + (IF(VLOOKUP(B2"&amp;"67, AmmoTypeFactors, 10, false), 2,0) + IF('Ammo Input'!P267, 2,0) + IF('Ammo Input'!Q267,MIN(ROUNDUP(0.2*('Ammo Input'!H267/1000)*'Ammo Input'!O267,0),20),0))))"),0)</f>
        <v>0</v>
      </c>
      <c r="W271">
        <v>0</v>
      </c>
      <c r="X271">
        <v>0</v>
      </c>
      <c r="Y271">
        <v>0</v>
      </c>
      <c r="Z271">
        <v>0</v>
      </c>
      <c r="AA271">
        <v>0</v>
      </c>
      <c r="AB271" s="30">
        <f>IF(B271="Sling Bullet (Stone)",ROUNDUP(D271*0.02*E271/'Ingredient stats'!$C$8,0),0)</f>
        <v>0</v>
      </c>
      <c r="AC271" t="str">
        <f t="shared" si="16"/>
        <v>None</v>
      </c>
      <c r="AD271" t="str">
        <f>IF(OR(B271="Buck",B271="Bird",B271="Charge (Scatter)"),'Ammo Input'!J271,"None")</f>
        <v>None</v>
      </c>
      <c r="AE271" t="str">
        <f>_xlfn.IFS(ISTEXT(Calcs!N271),Calcs!N271,Calcs!N271&lt;=40,Calcs!N271,Calcs!N271&gt;41,"40")</f>
        <v>None</v>
      </c>
      <c r="AF271" t="str">
        <f>_xlfn.IFS(ISTEXT(Calcs!O271),Calcs!O271,Calcs!O271&lt;=80,Calcs!O271,Calcs!O271&gt;=81,"80")</f>
        <v>None</v>
      </c>
      <c r="AG271" s="25">
        <f t="shared" si="17"/>
        <v>1</v>
      </c>
      <c r="AH271" s="25">
        <f t="shared" si="18"/>
        <v>1.55</v>
      </c>
      <c r="AI271" s="25">
        <f t="shared" si="19"/>
        <v>1</v>
      </c>
    </row>
    <row r="272" ht="14.4" spans="1:35">
      <c r="A272" s="24" t="str">
        <f>'Ammo Input'!A272</f>
        <v>.45 Schofield</v>
      </c>
      <c r="B272" t="str">
        <f>'Ammo Input'!B272</f>
        <v>FMJ</v>
      </c>
      <c r="C272">
        <f>ROUNDUP(('Ammo Input'!C272*(MAX('Ammo Input'!D272,'Ammo Input'!F272)*0.5)^2*PI())*3/1000000,2)</f>
        <v>0.02</v>
      </c>
      <c r="D272">
        <f>ROUNDUP(('Ammo Input'!E272+'Ammo Input'!H272*IF('Ammo Input'!J272&lt;&gt;"",MAX('Ammo Input'!J272,1),1))/1000,3)</f>
        <v>0.021</v>
      </c>
      <c r="E272">
        <f>MIN(5000,MAX(25,CEILING(Calcs!L272,_xlfn.IFS(Calcs!L272&lt;100,25,Calcs!L272&lt;250,50,Calcs!L272&lt;1000,250,Calcs!L272&gt;=1000,1000))))</f>
        <v>5000</v>
      </c>
      <c r="F272">
        <f>ROUNDUP('Ammo Input'!G272^(3/4),0)</f>
        <v>58</v>
      </c>
      <c r="G272">
        <f>ROUND((0.5*((IF(OR(B272="HEAT",B272="HEDP"),'Ammo Input'!N272,'Ammo Input'!H272)/1000)*(IF(B272="HEAT",9000,IF(B272="HEDP",1500,'Ammo Input'!G272))^2))),0)</f>
        <v>363</v>
      </c>
      <c r="H272" s="25" t="str">
        <f>CONCATENATE(IF((B272="Foam")+(B272="Smoke"),"-",ROUND(Calcs!D272,0))," ",VLOOKUP(B272,AmmoTypeFactors,5,FALSE))</f>
        <v>10 Bullet</v>
      </c>
      <c r="I272" s="25" t="str">
        <f>IF(Calcs!E272=0,"None",CONCATENATE(ROUND(Calcs!E272,0)," ",VLOOKUP(B272,AmmoTypeFactors,6,FALSE)))</f>
        <v>None</v>
      </c>
      <c r="J272">
        <f>MROUND(2.42*'Ammo Input'!M272^(1/3)*VLOOKUP(B272,AmmoTypeFactors,3,FALSE),0.5)</f>
        <v>0</v>
      </c>
      <c r="K272" s="25" t="str">
        <f>IF(VLOOKUP(B272,AmmoTypeFactors,12,FALSE),MROUND(J272/3,0.5),"None")</f>
        <v>None</v>
      </c>
      <c r="L272" s="25">
        <f>IF(VLOOKUP(B272,AmmoTypeFactors,8,FALSE),"None",ROUNDUP(IF(Calcs!I272&gt;0,Calcs!I272,Calcs!H272),3))</f>
        <v>7.26</v>
      </c>
      <c r="M272" s="25">
        <f>IF(VLOOKUP(B272,AmmoTypeFactors,8,FALSE),"None",'Ammo Input'!L272)</f>
        <v>2.5</v>
      </c>
      <c r="N272">
        <f>'Ammo Input'!O272</f>
        <v>500</v>
      </c>
      <c r="O272" t="e">
        <f>ROUND((P272*0.0036+SUMPRODUCT(Q272:AB272,VLOOKUP($Q$1:$AB$1,IngredientStats,2,FALSE)))/N272*IF('Ammo Input'!R272,0.5,1),2)</f>
        <v>#VALUE!</v>
      </c>
      <c r="P272" t="e">
        <f>(SUMPRODUCT(Q272:AB272,VLOOKUP($Q$1:$AB$1,IngredientStats,4,FALSE))*VLOOKUP(B272,AmmoTypeFactors,14,FALSE)*IF('Ammo Input'!R272,1.1,1))</f>
        <v>#VALUE!</v>
      </c>
      <c r="Q272">
        <f>IFERROR(__xludf.DUMMYFUNCTION("((IF(NOT(OR(REGEXMATCH(B268, ""Arrow""), B268 = ""Javelin"", B268 = ""Stick bomb"")), ROUNDUP(('Ammo Input'!E268 / 1000) * N268)) + IF(VLOOKUP(B268, AmmoTypeFactors, 9, FALSE) = ""Steel"", ROUNDUP(('Ammo Input'!H268 -'Ammo Input'!M268) * MAX(IF('Ammo Inpu"&amp;"t'!J268 &gt; 0, 'Ammo Input'!J268, 1), 1) * N268 / 1000))) / 'Ingredient stats'!$C$2) * IF(ISBLANK(VLOOKUP(B268,AmmoTypeFactors,15,False)),1,VLOOKUP(B268,AmmoTypeFactors,15,False))"),22)</f>
        <v>22</v>
      </c>
      <c r="R272">
        <f>IFERROR(__xludf.DUMMYFUNCTION("ROUNDUP((IF(REGEXMATCH(B268, ""Arrow"") + (B268 = ""Javelin""), 'Ammo Input'!E268) + IF(VLOOKUP(B268, AmmoTypeFactors, 9, FALSE) = ""Wood"", 'Ammo Input'!H268) + IF(B268 = ""Stick bomb"", 'Ammo Input'!E268)) * N268 / 'Ingredient stats'!$C$12 / 1000)"),0)</f>
        <v>0</v>
      </c>
      <c r="S272">
        <v>0</v>
      </c>
      <c r="T272">
        <v>0</v>
      </c>
      <c r="U272">
        <f>IF(VLOOKUP(B272,AmmoTypeFactors,9,FALSE)="Plasteel",ROUNDUP(('Ammo Input'!H272*MAX(IF('Ammo Input'!J272&gt;0,'Ammo Input'!J272,1)*N272/1000/'Ingredient stats'!$C$4)),0),0)</f>
        <v>0</v>
      </c>
      <c r="V272">
        <f>IFERROR(__xludf.DUMMYFUNCTION("ROUNDUP(IF(ISBLANK(VLOOKUP(B268,AmmoTypeFactors,16,False)),1,VLOOKUP(B268,AmmoTypeFactors,16,False)) * (IFS(REGEXMATCH(B268, ""EMP""), 'Ammo Input'!M268 * N268 / 'Ingredient stats'!$C$5, REGEXMATCH(B268, ""Charge""), (U268^0.75), true, 0) + (IF(VLOOKUP(B2"&amp;"68, AmmoTypeFactors, 10, false), 2,0) + IF('Ammo Input'!P268, 2,0) + IF('Ammo Input'!Q268,MIN(ROUNDUP(0.2*('Ammo Input'!H268/1000)*'Ammo Input'!O268,0),20),0))))"),0)</f>
        <v>0</v>
      </c>
      <c r="W272">
        <v>0</v>
      </c>
      <c r="X272">
        <v>0</v>
      </c>
      <c r="Y272">
        <v>0</v>
      </c>
      <c r="Z272">
        <v>0</v>
      </c>
      <c r="AA272">
        <v>0</v>
      </c>
      <c r="AB272" s="30">
        <f>IF(B272="Sling Bullet (Stone)",ROUNDUP(D272*0.02*E272/'Ingredient stats'!$C$8,0),0)</f>
        <v>0</v>
      </c>
      <c r="AC272" t="str">
        <f t="shared" si="16"/>
        <v>None</v>
      </c>
      <c r="AD272" t="str">
        <f>IF(OR(B272="Buck",B272="Bird",B272="Charge (Scatter)"),'Ammo Input'!J272,"None")</f>
        <v>None</v>
      </c>
      <c r="AE272" t="str">
        <f>_xlfn.IFS(ISTEXT(Calcs!N272),Calcs!N272,Calcs!N272&lt;=40,Calcs!N272,Calcs!N272&gt;41,"40")</f>
        <v>None</v>
      </c>
      <c r="AF272" t="str">
        <f>_xlfn.IFS(ISTEXT(Calcs!O272),Calcs!O272,Calcs!O272&lt;=80,Calcs!O272,Calcs!O272&gt;=81,"80")</f>
        <v>None</v>
      </c>
      <c r="AG272" s="25">
        <f t="shared" si="17"/>
        <v>1</v>
      </c>
      <c r="AH272" s="25">
        <f t="shared" si="18"/>
        <v>0.96</v>
      </c>
      <c r="AI272" s="25">
        <f t="shared" si="19"/>
        <v>1</v>
      </c>
    </row>
    <row r="273" ht="14.4" spans="1:35">
      <c r="A273" s="24" t="str">
        <f>'Ammo Input'!A273</f>
        <v>.45 Schofield</v>
      </c>
      <c r="B273" t="str">
        <f>'Ammo Input'!B273</f>
        <v>AP</v>
      </c>
      <c r="C273">
        <f>ROUNDUP(('Ammo Input'!C273*(MAX('Ammo Input'!D273,'Ammo Input'!F273)*0.5)^2*PI())*3/1000000,2)</f>
        <v>0.02</v>
      </c>
      <c r="D273">
        <f>ROUNDUP(('Ammo Input'!E273+'Ammo Input'!H273*IF('Ammo Input'!J273&lt;&gt;"",MAX('Ammo Input'!J273,1),1))/1000,3)</f>
        <v>0.021</v>
      </c>
      <c r="E273">
        <f>MIN(5000,MAX(25,CEILING(Calcs!L273,_xlfn.IFS(Calcs!L273&lt;100,25,Calcs!L273&lt;250,50,Calcs!L273&lt;1000,250,Calcs!L273&gt;=1000,1000))))</f>
        <v>5000</v>
      </c>
      <c r="F273">
        <f>ROUNDUP('Ammo Input'!G273^(3/4),0)</f>
        <v>58</v>
      </c>
      <c r="G273">
        <f>ROUND((0.5*((IF(OR(B273="HEAT",B273="HEDP"),'Ammo Input'!N273,'Ammo Input'!H273)/1000)*(IF(B273="HEAT",9000,IF(B273="HEDP",1500,'Ammo Input'!G273))^2))),0)</f>
        <v>363</v>
      </c>
      <c r="H273" s="25" t="str">
        <f>CONCATENATE(IF((B273="Foam")+(B273="Smoke"),"-",ROUND(Calcs!D273,0))," ",VLOOKUP(B273,AmmoTypeFactors,5,FALSE))</f>
        <v>7 Bullet</v>
      </c>
      <c r="I273" s="25" t="str">
        <f>IF(Calcs!E273=0,"None",CONCATENATE(ROUND(Calcs!E273,0)," ",VLOOKUP(B273,AmmoTypeFactors,6,FALSE)))</f>
        <v>None</v>
      </c>
      <c r="J273">
        <f>MROUND(2.42*'Ammo Input'!M273^(1/3)*VLOOKUP(B273,AmmoTypeFactors,3,FALSE),0.5)</f>
        <v>0</v>
      </c>
      <c r="K273" s="25" t="str">
        <f>IF(VLOOKUP(B273,AmmoTypeFactors,12,FALSE),MROUND(J273/3,0.5),"None")</f>
        <v>None</v>
      </c>
      <c r="L273" s="25">
        <f>IF(VLOOKUP(B273,AmmoTypeFactors,8,FALSE),"None",ROUNDUP(IF(Calcs!I273&gt;0,Calcs!I273,Calcs!H273),3))</f>
        <v>7.26</v>
      </c>
      <c r="M273" s="25">
        <f>IF(VLOOKUP(B273,AmmoTypeFactors,8,FALSE),"None",'Ammo Input'!L273)</f>
        <v>5</v>
      </c>
      <c r="N273">
        <f>'Ammo Input'!O273</f>
        <v>500</v>
      </c>
      <c r="O273" t="e">
        <f>ROUND((P273*0.0036+SUMPRODUCT(Q273:AB273,VLOOKUP($Q$1:$AB$1,IngredientStats,2,FALSE)))/N273*IF('Ammo Input'!R273,0.5,1),2)</f>
        <v>#VALUE!</v>
      </c>
      <c r="P273" t="e">
        <f>(SUMPRODUCT(Q273:AB273,VLOOKUP($Q$1:$AB$1,IngredientStats,4,FALSE))*VLOOKUP(B273,AmmoTypeFactors,14,FALSE)*IF('Ammo Input'!R273,1.1,1))</f>
        <v>#VALUE!</v>
      </c>
      <c r="Q273">
        <f>IFERROR(__xludf.DUMMYFUNCTION("((IF(NOT(OR(REGEXMATCH(B269, ""Arrow""), B269 = ""Javelin"", B269 = ""Stick bomb"")), ROUNDUP(('Ammo Input'!E269 / 1000) * N269)) + IF(VLOOKUP(B269, AmmoTypeFactors, 9, FALSE) = ""Steel"", ROUNDUP(('Ammo Input'!H269 -'Ammo Input'!M269) * MAX(IF('Ammo Inpu"&amp;"t'!J269 &gt; 0, 'Ammo Input'!J269, 1), 1) * N269 / 1000))) / 'Ingredient stats'!$C$2) * IF(ISBLANK(VLOOKUP(B269,AmmoTypeFactors,15,False)),1,VLOOKUP(B269,AmmoTypeFactors,15,False))"),22)</f>
        <v>22</v>
      </c>
      <c r="R273">
        <f>IFERROR(__xludf.DUMMYFUNCTION("ROUNDUP((IF(REGEXMATCH(B269, ""Arrow"") + (B269 = ""Javelin""), 'Ammo Input'!E269) + IF(VLOOKUP(B269, AmmoTypeFactors, 9, FALSE) = ""Wood"", 'Ammo Input'!H269) + IF(B269 = ""Stick bomb"", 'Ammo Input'!E269)) * N269 / 'Ingredient stats'!$C$12 / 1000)"),0)</f>
        <v>0</v>
      </c>
      <c r="S273">
        <v>0</v>
      </c>
      <c r="T273">
        <v>0</v>
      </c>
      <c r="U273">
        <f>IF(VLOOKUP(B273,AmmoTypeFactors,9,FALSE)="Plasteel",ROUNDUP(('Ammo Input'!H273*MAX(IF('Ammo Input'!J273&gt;0,'Ammo Input'!J273,1)*N273/1000/'Ingredient stats'!$C$4)),0),0)</f>
        <v>0</v>
      </c>
      <c r="V273">
        <f>IFERROR(__xludf.DUMMYFUNCTION("ROUNDUP(IF(ISBLANK(VLOOKUP(B269,AmmoTypeFactors,16,False)),1,VLOOKUP(B269,AmmoTypeFactors,16,False)) * (IFS(REGEXMATCH(B269, ""EMP""), 'Ammo Input'!M269 * N269 / 'Ingredient stats'!$C$5, REGEXMATCH(B269, ""Charge""), (U269^0.75), true, 0) + (IF(VLOOKUP(B2"&amp;"69, AmmoTypeFactors, 10, false), 2,0) + IF('Ammo Input'!P269, 2,0) + IF('Ammo Input'!Q269,MIN(ROUNDUP(0.2*('Ammo Input'!H269/1000)*'Ammo Input'!O269,0),20),0))))"),0)</f>
        <v>0</v>
      </c>
      <c r="W273">
        <v>0</v>
      </c>
      <c r="X273">
        <v>0</v>
      </c>
      <c r="Y273">
        <v>0</v>
      </c>
      <c r="Z273">
        <v>0</v>
      </c>
      <c r="AA273">
        <v>0</v>
      </c>
      <c r="AB273" s="30">
        <f>IF(B273="Sling Bullet (Stone)",ROUNDUP(D273*0.02*E273/'Ingredient stats'!$C$8,0),0)</f>
        <v>0</v>
      </c>
      <c r="AC273" t="str">
        <f t="shared" si="16"/>
        <v>None</v>
      </c>
      <c r="AD273" t="str">
        <f>IF(OR(B273="Buck",B273="Bird",B273="Charge (Scatter)"),'Ammo Input'!J273,"None")</f>
        <v>None</v>
      </c>
      <c r="AE273" t="str">
        <f>_xlfn.IFS(ISTEXT(Calcs!N273),Calcs!N273,Calcs!N273&lt;=40,Calcs!N273,Calcs!N273&gt;41,"40")</f>
        <v>None</v>
      </c>
      <c r="AF273" t="str">
        <f>_xlfn.IFS(ISTEXT(Calcs!O273),Calcs!O273,Calcs!O273&lt;=80,Calcs!O273,Calcs!O273&gt;=81,"80")</f>
        <v>None</v>
      </c>
      <c r="AG273" s="25">
        <f t="shared" si="17"/>
        <v>1</v>
      </c>
      <c r="AH273" s="25">
        <f t="shared" si="18"/>
        <v>0.96</v>
      </c>
      <c r="AI273" s="25">
        <f t="shared" si="19"/>
        <v>1</v>
      </c>
    </row>
    <row r="274" ht="14.4" spans="1:35">
      <c r="A274" s="24" t="str">
        <f>'Ammo Input'!A274</f>
        <v>.45 Schofield</v>
      </c>
      <c r="B274" t="str">
        <f>'Ammo Input'!B274</f>
        <v>HP</v>
      </c>
      <c r="C274">
        <f>ROUNDUP(('Ammo Input'!C274*(MAX('Ammo Input'!D274,'Ammo Input'!F274)*0.5)^2*PI())*3/1000000,2)</f>
        <v>0.02</v>
      </c>
      <c r="D274">
        <f>ROUNDUP(('Ammo Input'!E274+'Ammo Input'!H274*IF('Ammo Input'!J274&lt;&gt;"",MAX('Ammo Input'!J274,1),1))/1000,3)</f>
        <v>0.021</v>
      </c>
      <c r="E274">
        <f>MIN(5000,MAX(25,CEILING(Calcs!L274,_xlfn.IFS(Calcs!L274&lt;100,25,Calcs!L274&lt;250,50,Calcs!L274&lt;1000,250,Calcs!L274&gt;=1000,1000))))</f>
        <v>5000</v>
      </c>
      <c r="F274">
        <f>ROUNDUP('Ammo Input'!G274^(3/4),0)</f>
        <v>58</v>
      </c>
      <c r="G274">
        <f>ROUND((0.5*((IF(OR(B274="HEAT",B274="HEDP"),'Ammo Input'!N274,'Ammo Input'!H274)/1000)*(IF(B274="HEAT",9000,IF(B274="HEDP",1500,'Ammo Input'!G274))^2))),0)</f>
        <v>363</v>
      </c>
      <c r="H274" s="25" t="str">
        <f>CONCATENATE(IF((B274="Foam")+(B274="Smoke"),"-",ROUND(Calcs!D274,0))," ",VLOOKUP(B274,AmmoTypeFactors,5,FALSE))</f>
        <v>13 Bullet</v>
      </c>
      <c r="I274" s="25" t="str">
        <f>IF(Calcs!E274=0,"None",CONCATENATE(ROUND(Calcs!E274,0)," ",VLOOKUP(B274,AmmoTypeFactors,6,FALSE)))</f>
        <v>None</v>
      </c>
      <c r="J274">
        <f>MROUND(2.42*'Ammo Input'!M274^(1/3)*VLOOKUP(B274,AmmoTypeFactors,3,FALSE),0.5)</f>
        <v>0</v>
      </c>
      <c r="K274" s="25" t="str">
        <f>IF(VLOOKUP(B274,AmmoTypeFactors,12,FALSE),MROUND(J274/3,0.5),"None")</f>
        <v>None</v>
      </c>
      <c r="L274" s="25">
        <f>IF(VLOOKUP(B274,AmmoTypeFactors,8,FALSE),"None",ROUNDUP(IF(Calcs!I274&gt;0,Calcs!I274,Calcs!H274),3))</f>
        <v>7.26</v>
      </c>
      <c r="M274" s="25">
        <f>IF(VLOOKUP(B274,AmmoTypeFactors,8,FALSE),"None",'Ammo Input'!L274)</f>
        <v>1.5</v>
      </c>
      <c r="N274">
        <f>'Ammo Input'!O274</f>
        <v>500</v>
      </c>
      <c r="O274" t="e">
        <f>ROUND((P274*0.0036+SUMPRODUCT(Q274:AB274,VLOOKUP($Q$1:$AB$1,IngredientStats,2,FALSE)))/N274*IF('Ammo Input'!R274,0.5,1),2)</f>
        <v>#VALUE!</v>
      </c>
      <c r="P274" t="e">
        <f>(SUMPRODUCT(Q274:AB274,VLOOKUP($Q$1:$AB$1,IngredientStats,4,FALSE))*VLOOKUP(B274,AmmoTypeFactors,14,FALSE)*IF('Ammo Input'!R274,1.1,1))</f>
        <v>#VALUE!</v>
      </c>
      <c r="Q274">
        <f>IFERROR(__xludf.DUMMYFUNCTION("((IF(NOT(OR(REGEXMATCH(B270, ""Arrow""), B270 = ""Javelin"", B270 = ""Stick bomb"")), ROUNDUP(('Ammo Input'!E270 / 1000) * N270)) + IF(VLOOKUP(B270, AmmoTypeFactors, 9, FALSE) = ""Steel"", ROUNDUP(('Ammo Input'!H270 -'Ammo Input'!M270) * MAX(IF('Ammo Inpu"&amp;"t'!J270 &gt; 0, 'Ammo Input'!J270, 1), 1) * N270 / 1000))) / 'Ingredient stats'!$C$2) * IF(ISBLANK(VLOOKUP(B270,AmmoTypeFactors,15,False)),1,VLOOKUP(B270,AmmoTypeFactors,15,False))"),22)</f>
        <v>22</v>
      </c>
      <c r="R274">
        <f>IFERROR(__xludf.DUMMYFUNCTION("ROUNDUP((IF(REGEXMATCH(B270, ""Arrow"") + (B270 = ""Javelin""), 'Ammo Input'!E270) + IF(VLOOKUP(B270, AmmoTypeFactors, 9, FALSE) = ""Wood"", 'Ammo Input'!H270) + IF(B270 = ""Stick bomb"", 'Ammo Input'!E270)) * N270 / 'Ingredient stats'!$C$12 / 1000)"),0)</f>
        <v>0</v>
      </c>
      <c r="S274">
        <v>0</v>
      </c>
      <c r="T274">
        <v>0</v>
      </c>
      <c r="U274">
        <f>IF(VLOOKUP(B274,AmmoTypeFactors,9,FALSE)="Plasteel",ROUNDUP(('Ammo Input'!H274*MAX(IF('Ammo Input'!J274&gt;0,'Ammo Input'!J274,1)*N274/1000/'Ingredient stats'!$C$4)),0),0)</f>
        <v>0</v>
      </c>
      <c r="V274">
        <f>IFERROR(__xludf.DUMMYFUNCTION("ROUNDUP(IF(ISBLANK(VLOOKUP(B270,AmmoTypeFactors,16,False)),1,VLOOKUP(B270,AmmoTypeFactors,16,False)) * (IFS(REGEXMATCH(B270, ""EMP""), 'Ammo Input'!M270 * N270 / 'Ingredient stats'!$C$5, REGEXMATCH(B270, ""Charge""), (U270^0.75), true, 0) + (IF(VLOOKUP(B2"&amp;"70, AmmoTypeFactors, 10, false), 2,0) + IF('Ammo Input'!P270, 2,0) + IF('Ammo Input'!Q270,MIN(ROUNDUP(0.2*('Ammo Input'!H270/1000)*'Ammo Input'!O270,0),20),0))))"),0)</f>
        <v>0</v>
      </c>
      <c r="W274">
        <v>0</v>
      </c>
      <c r="X274">
        <v>0</v>
      </c>
      <c r="Y274">
        <v>0</v>
      </c>
      <c r="Z274">
        <v>0</v>
      </c>
      <c r="AA274">
        <v>0</v>
      </c>
      <c r="AB274" s="30">
        <f>IF(B274="Sling Bullet (Stone)",ROUNDUP(D274*0.02*E274/'Ingredient stats'!$C$8,0),0)</f>
        <v>0</v>
      </c>
      <c r="AC274" t="str">
        <f t="shared" si="16"/>
        <v>None</v>
      </c>
      <c r="AD274" t="str">
        <f>IF(OR(B274="Buck",B274="Bird",B274="Charge (Scatter)"),'Ammo Input'!J274,"None")</f>
        <v>None</v>
      </c>
      <c r="AE274" t="str">
        <f>_xlfn.IFS(ISTEXT(Calcs!N274),Calcs!N274,Calcs!N274&lt;=40,Calcs!N274,Calcs!N274&gt;41,"40")</f>
        <v>None</v>
      </c>
      <c r="AF274" t="str">
        <f>_xlfn.IFS(ISTEXT(Calcs!O274),Calcs!O274,Calcs!O274&lt;=80,Calcs!O274,Calcs!O274&gt;=81,"80")</f>
        <v>None</v>
      </c>
      <c r="AG274" s="25">
        <f t="shared" si="17"/>
        <v>1</v>
      </c>
      <c r="AH274" s="25">
        <f t="shared" si="18"/>
        <v>0.96</v>
      </c>
      <c r="AI274" s="25">
        <f t="shared" si="19"/>
        <v>1</v>
      </c>
    </row>
    <row r="275" ht="14.4" spans="1:35">
      <c r="A275" s="24" t="str">
        <f>'Ammo Input'!A275</f>
        <v>10mm Auto</v>
      </c>
      <c r="B275" t="str">
        <f>'Ammo Input'!B275</f>
        <v>FMJ</v>
      </c>
      <c r="C275">
        <f>ROUNDUP(('Ammo Input'!C275*(MAX('Ammo Input'!D275,'Ammo Input'!F275)*0.5)^2*PI())*3/1000000,2)</f>
        <v>0.01</v>
      </c>
      <c r="D275">
        <f>ROUNDUP(('Ammo Input'!E275+'Ammo Input'!H275*IF('Ammo Input'!J275&lt;&gt;"",MAX('Ammo Input'!J275,1),1))/1000,3)</f>
        <v>0.024</v>
      </c>
      <c r="E275">
        <f>MIN(5000,MAX(25,CEILING(Calcs!L275,_xlfn.IFS(Calcs!L275&lt;100,25,Calcs!L275&lt;250,50,Calcs!L275&lt;1000,250,Calcs!L275&gt;=1000,1000))))</f>
        <v>5000</v>
      </c>
      <c r="F275">
        <f>ROUNDUP('Ammo Input'!G275^(3/4),0)</f>
        <v>90</v>
      </c>
      <c r="G275">
        <f>ROUND((0.5*((IF(OR(B275="HEAT",B275="HEDP"),'Ammo Input'!N275,'Ammo Input'!H275)/1000)*(IF(B275="HEAT",9000,IF(B275="HEDP",1500,'Ammo Input'!G275))^2))),0)</f>
        <v>960</v>
      </c>
      <c r="H275" s="25" t="str">
        <f>CONCATENATE(IF((B275="Foam")+(B275="Smoke"),"-",ROUND(Calcs!D275,0))," ",VLOOKUP(B275,AmmoTypeFactors,5,FALSE))</f>
        <v>14 Bullet</v>
      </c>
      <c r="I275" s="25" t="str">
        <f>IF(Calcs!E275=0,"None",CONCATENATE(ROUND(Calcs!E275,0)," ",VLOOKUP(B275,AmmoTypeFactors,6,FALSE)))</f>
        <v>None</v>
      </c>
      <c r="J275">
        <f>MROUND(2.42*'Ammo Input'!M275^(1/3)*VLOOKUP(B275,AmmoTypeFactors,3,FALSE),0.5)</f>
        <v>0</v>
      </c>
      <c r="K275" s="25" t="str">
        <f>IF(VLOOKUP(B275,AmmoTypeFactors,12,FALSE),MROUND(J275/3,0.5),"None")</f>
        <v>None</v>
      </c>
      <c r="L275" s="25">
        <f>IF(VLOOKUP(B275,AmmoTypeFactors,8,FALSE),"None",ROUNDUP(IF(Calcs!I275&gt;0,Calcs!I275,Calcs!H275),3))</f>
        <v>19.2</v>
      </c>
      <c r="M275" s="25">
        <f>IF(VLOOKUP(B275,AmmoTypeFactors,8,FALSE),"None",'Ammo Input'!L275)</f>
        <v>4</v>
      </c>
      <c r="N275">
        <f>'Ammo Input'!O275</f>
        <v>500</v>
      </c>
      <c r="O275" t="e">
        <f>ROUND((P275*0.0036+SUMPRODUCT(Q275:AB275,VLOOKUP($Q$1:$AB$1,IngredientStats,2,FALSE)))/N275*IF('Ammo Input'!R275,0.5,1),2)</f>
        <v>#VALUE!</v>
      </c>
      <c r="P275" t="e">
        <f>(SUMPRODUCT(Q275:AB275,VLOOKUP($Q$1:$AB$1,IngredientStats,4,FALSE))*VLOOKUP(B275,AmmoTypeFactors,14,FALSE)*IF('Ammo Input'!R275,1.1,1))</f>
        <v>#VALUE!</v>
      </c>
      <c r="Q275">
        <f>IFERROR(__xludf.DUMMYFUNCTION("((IF(NOT(OR(REGEXMATCH(B271, ""Arrow""), B271 = ""Javelin"", B271 = ""Stick bomb"")), ROUNDUP(('Ammo Input'!E271 / 1000) * N271)) + IF(VLOOKUP(B271, AmmoTypeFactors, 9, FALSE) = ""Steel"", ROUNDUP(('Ammo Input'!H271 -'Ammo Input'!M271) * MAX(IF('Ammo Inpu"&amp;"t'!J271 &gt; 0, 'Ammo Input'!J271, 1), 1) * N271 / 1000))) / 'Ingredient stats'!$C$2) * IF(ISBLANK(VLOOKUP(B271,AmmoTypeFactors,15,False)),1,VLOOKUP(B271,AmmoTypeFactors,15,False))"),24)</f>
        <v>24</v>
      </c>
      <c r="R275">
        <f>IFERROR(__xludf.DUMMYFUNCTION("ROUNDUP((IF(REGEXMATCH(B271, ""Arrow"") + (B271 = ""Javelin""), 'Ammo Input'!E271) + IF(VLOOKUP(B271, AmmoTypeFactors, 9, FALSE) = ""Wood"", 'Ammo Input'!H271) + IF(B271 = ""Stick bomb"", 'Ammo Input'!E271)) * N271 / 'Ingredient stats'!$C$12 / 1000)"),0)</f>
        <v>0</v>
      </c>
      <c r="S275">
        <v>0</v>
      </c>
      <c r="T275">
        <v>0</v>
      </c>
      <c r="U275">
        <f>IF(VLOOKUP(B275,AmmoTypeFactors,9,FALSE)="Plasteel",ROUNDUP(('Ammo Input'!H275*MAX(IF('Ammo Input'!J275&gt;0,'Ammo Input'!J275,1)*N275/1000/'Ingredient stats'!$C$4)),0),0)</f>
        <v>0</v>
      </c>
      <c r="V275">
        <f>IFERROR(__xludf.DUMMYFUNCTION("ROUNDUP(IF(ISBLANK(VLOOKUP(B271,AmmoTypeFactors,16,False)),1,VLOOKUP(B271,AmmoTypeFactors,16,False)) * (IFS(REGEXMATCH(B271, ""EMP""), 'Ammo Input'!M271 * N271 / 'Ingredient stats'!$C$5, REGEXMATCH(B271, ""Charge""), (U271^0.75), true, 0) + (IF(VLOOKUP(B2"&amp;"71, AmmoTypeFactors, 10, false), 2,0) + IF('Ammo Input'!P271, 2,0) + IF('Ammo Input'!Q271,MIN(ROUNDUP(0.2*('Ammo Input'!H271/1000)*'Ammo Input'!O271,0),20),0))))"),0)</f>
        <v>0</v>
      </c>
      <c r="W275">
        <v>0</v>
      </c>
      <c r="X275">
        <v>0</v>
      </c>
      <c r="Y275">
        <v>0</v>
      </c>
      <c r="Z275">
        <v>0</v>
      </c>
      <c r="AA275">
        <v>0</v>
      </c>
      <c r="AB275" s="30">
        <f>IF(B275="Sling Bullet (Stone)",ROUNDUP(D275*0.02*E275/'Ingredient stats'!$C$8,0),0)</f>
        <v>0</v>
      </c>
      <c r="AC275" t="str">
        <f t="shared" si="16"/>
        <v>None</v>
      </c>
      <c r="AD275" t="str">
        <f>IF(OR(B275="Buck",B275="Bird",B275="Charge (Scatter)"),'Ammo Input'!J275,"None")</f>
        <v>None</v>
      </c>
      <c r="AE275" t="str">
        <f>_xlfn.IFS(ISTEXT(Calcs!N275),Calcs!N275,Calcs!N275&lt;=40,Calcs!N275,Calcs!N275&gt;41,"40")</f>
        <v>None</v>
      </c>
      <c r="AF275" t="str">
        <f>_xlfn.IFS(ISTEXT(Calcs!O275),Calcs!O275,Calcs!O275&lt;=80,Calcs!O275,Calcs!O275&gt;=81,"80")</f>
        <v>None</v>
      </c>
      <c r="AG275" s="25">
        <f t="shared" si="17"/>
        <v>1</v>
      </c>
      <c r="AH275" s="25">
        <f t="shared" si="18"/>
        <v>1.48</v>
      </c>
      <c r="AI275" s="25">
        <f t="shared" si="19"/>
        <v>1</v>
      </c>
    </row>
    <row r="276" ht="14.4" spans="1:35">
      <c r="A276" s="24" t="str">
        <f>'Ammo Input'!A276</f>
        <v>10mm Auto</v>
      </c>
      <c r="B276" t="str">
        <f>'Ammo Input'!B276</f>
        <v>AP</v>
      </c>
      <c r="C276">
        <f>ROUNDUP(('Ammo Input'!C276*(MAX('Ammo Input'!D276,'Ammo Input'!F276)*0.5)^2*PI())*3/1000000,2)</f>
        <v>0.01</v>
      </c>
      <c r="D276">
        <f>ROUNDUP(('Ammo Input'!E276+'Ammo Input'!H276*IF('Ammo Input'!J276&lt;&gt;"",MAX('Ammo Input'!J276,1),1))/1000,3)</f>
        <v>0.024</v>
      </c>
      <c r="E276">
        <f>MIN(5000,MAX(25,CEILING(Calcs!L276,_xlfn.IFS(Calcs!L276&lt;100,25,Calcs!L276&lt;250,50,Calcs!L276&lt;1000,250,Calcs!L276&gt;=1000,1000))))</f>
        <v>5000</v>
      </c>
      <c r="F276">
        <f>ROUNDUP('Ammo Input'!G276^(3/4),0)</f>
        <v>90</v>
      </c>
      <c r="G276">
        <f>ROUND((0.5*((IF(OR(B276="HEAT",B276="HEDP"),'Ammo Input'!N276,'Ammo Input'!H276)/1000)*(IF(B276="HEAT",9000,IF(B276="HEDP",1500,'Ammo Input'!G276))^2))),0)</f>
        <v>960</v>
      </c>
      <c r="H276" s="25" t="str">
        <f>CONCATENATE(IF((B276="Foam")+(B276="Smoke"),"-",ROUND(Calcs!D276,0))," ",VLOOKUP(B276,AmmoTypeFactors,5,FALSE))</f>
        <v>9 Bullet</v>
      </c>
      <c r="I276" s="25" t="str">
        <f>IF(Calcs!E276=0,"None",CONCATENATE(ROUND(Calcs!E276,0)," ",VLOOKUP(B276,AmmoTypeFactors,6,FALSE)))</f>
        <v>None</v>
      </c>
      <c r="J276">
        <f>MROUND(2.42*'Ammo Input'!M276^(1/3)*VLOOKUP(B276,AmmoTypeFactors,3,FALSE),0.5)</f>
        <v>0</v>
      </c>
      <c r="K276" s="25" t="str">
        <f>IF(VLOOKUP(B276,AmmoTypeFactors,12,FALSE),MROUND(J276/3,0.5),"None")</f>
        <v>None</v>
      </c>
      <c r="L276" s="25">
        <f>IF(VLOOKUP(B276,AmmoTypeFactors,8,FALSE),"None",ROUNDUP(IF(Calcs!I276&gt;0,Calcs!I276,Calcs!H276),3))</f>
        <v>19.2</v>
      </c>
      <c r="M276" s="25">
        <f>IF(VLOOKUP(B276,AmmoTypeFactors,8,FALSE),"None",'Ammo Input'!L276)</f>
        <v>8</v>
      </c>
      <c r="N276">
        <f>'Ammo Input'!O276</f>
        <v>500</v>
      </c>
      <c r="O276" t="e">
        <f>ROUND((P276*0.0036+SUMPRODUCT(Q276:AB276,VLOOKUP($Q$1:$AB$1,IngredientStats,2,FALSE)))/N276*IF('Ammo Input'!R276,0.5,1),2)</f>
        <v>#VALUE!</v>
      </c>
      <c r="P276" t="e">
        <f>(SUMPRODUCT(Q276:AB276,VLOOKUP($Q$1:$AB$1,IngredientStats,4,FALSE))*VLOOKUP(B276,AmmoTypeFactors,14,FALSE)*IF('Ammo Input'!R276,1.1,1))</f>
        <v>#VALUE!</v>
      </c>
      <c r="Q276">
        <f>IFERROR(__xludf.DUMMYFUNCTION("((IF(NOT(OR(REGEXMATCH(B272, ""Arrow""), B272 = ""Javelin"", B272 = ""Stick bomb"")), ROUNDUP(('Ammo Input'!E272 / 1000) * N272)) + IF(VLOOKUP(B272, AmmoTypeFactors, 9, FALSE) = ""Steel"", ROUNDUP(('Ammo Input'!H272 -'Ammo Input'!M272) * MAX(IF('Ammo Inpu"&amp;"t'!J272 &gt; 0, 'Ammo Input'!J272, 1), 1) * N272 / 1000))) / 'Ingredient stats'!$C$2) * IF(ISBLANK(VLOOKUP(B272,AmmoTypeFactors,15,False)),1,VLOOKUP(B272,AmmoTypeFactors,15,False))"),24)</f>
        <v>24</v>
      </c>
      <c r="R276">
        <f>IFERROR(__xludf.DUMMYFUNCTION("ROUNDUP((IF(REGEXMATCH(B272, ""Arrow"") + (B272 = ""Javelin""), 'Ammo Input'!E272) + IF(VLOOKUP(B272, AmmoTypeFactors, 9, FALSE) = ""Wood"", 'Ammo Input'!H272) + IF(B272 = ""Stick bomb"", 'Ammo Input'!E272)) * N272 / 'Ingredient stats'!$C$12 / 1000)"),0)</f>
        <v>0</v>
      </c>
      <c r="S276">
        <v>0</v>
      </c>
      <c r="T276">
        <v>0</v>
      </c>
      <c r="U276">
        <f>IF(VLOOKUP(B276,AmmoTypeFactors,9,FALSE)="Plasteel",ROUNDUP(('Ammo Input'!H276*MAX(IF('Ammo Input'!J276&gt;0,'Ammo Input'!J276,1)*N276/1000/'Ingredient stats'!$C$4)),0),0)</f>
        <v>0</v>
      </c>
      <c r="V276">
        <f>IFERROR(__xludf.DUMMYFUNCTION("ROUNDUP(IF(ISBLANK(VLOOKUP(B272,AmmoTypeFactors,16,False)),1,VLOOKUP(B272,AmmoTypeFactors,16,False)) * (IFS(REGEXMATCH(B272, ""EMP""), 'Ammo Input'!M272 * N272 / 'Ingredient stats'!$C$5, REGEXMATCH(B272, ""Charge""), (U272^0.75), true, 0) + (IF(VLOOKUP(B2"&amp;"72, AmmoTypeFactors, 10, false), 2,0) + IF('Ammo Input'!P272, 2,0) + IF('Ammo Input'!Q272,MIN(ROUNDUP(0.2*('Ammo Input'!H272/1000)*'Ammo Input'!O272,0),20),0))))"),0)</f>
        <v>0</v>
      </c>
      <c r="W276">
        <v>0</v>
      </c>
      <c r="X276">
        <v>0</v>
      </c>
      <c r="Y276">
        <v>0</v>
      </c>
      <c r="Z276">
        <v>0</v>
      </c>
      <c r="AA276">
        <v>0</v>
      </c>
      <c r="AB276" s="30">
        <f>IF(B276="Sling Bullet (Stone)",ROUNDUP(D276*0.02*E276/'Ingredient stats'!$C$8,0),0)</f>
        <v>0</v>
      </c>
      <c r="AC276" t="str">
        <f t="shared" si="16"/>
        <v>None</v>
      </c>
      <c r="AD276" t="str">
        <f>IF(OR(B276="Buck",B276="Bird",B276="Charge (Scatter)"),'Ammo Input'!J276,"None")</f>
        <v>None</v>
      </c>
      <c r="AE276" t="str">
        <f>_xlfn.IFS(ISTEXT(Calcs!N276),Calcs!N276,Calcs!N276&lt;=40,Calcs!N276,Calcs!N276&gt;41,"40")</f>
        <v>None</v>
      </c>
      <c r="AF276" t="str">
        <f>_xlfn.IFS(ISTEXT(Calcs!O276),Calcs!O276,Calcs!O276&lt;=80,Calcs!O276,Calcs!O276&gt;=81,"80")</f>
        <v>None</v>
      </c>
      <c r="AG276" s="25">
        <f t="shared" si="17"/>
        <v>1</v>
      </c>
      <c r="AH276" s="25">
        <f t="shared" si="18"/>
        <v>1.48</v>
      </c>
      <c r="AI276" s="25">
        <f t="shared" si="19"/>
        <v>1</v>
      </c>
    </row>
    <row r="277" ht="14.4" spans="1:35">
      <c r="A277" s="24" t="str">
        <f>'Ammo Input'!A277</f>
        <v>10mm Auto</v>
      </c>
      <c r="B277" t="str">
        <f>'Ammo Input'!B277</f>
        <v>HP</v>
      </c>
      <c r="C277">
        <f>ROUNDUP(('Ammo Input'!C277*(MAX('Ammo Input'!D277,'Ammo Input'!F277)*0.5)^2*PI())*3/1000000,2)</f>
        <v>0.01</v>
      </c>
      <c r="D277">
        <f>ROUNDUP(('Ammo Input'!E277+'Ammo Input'!H277*IF('Ammo Input'!J277&lt;&gt;"",MAX('Ammo Input'!J277,1),1))/1000,3)</f>
        <v>0.024</v>
      </c>
      <c r="E277">
        <f>MIN(5000,MAX(25,CEILING(Calcs!L277,_xlfn.IFS(Calcs!L277&lt;100,25,Calcs!L277&lt;250,50,Calcs!L277&lt;1000,250,Calcs!L277&gt;=1000,1000))))</f>
        <v>5000</v>
      </c>
      <c r="F277">
        <f>ROUNDUP('Ammo Input'!G277^(3/4),0)</f>
        <v>90</v>
      </c>
      <c r="G277">
        <f>ROUND((0.5*((IF(OR(B277="HEAT",B277="HEDP"),'Ammo Input'!N277,'Ammo Input'!H277)/1000)*(IF(B277="HEAT",9000,IF(B277="HEDP",1500,'Ammo Input'!G277))^2))),0)</f>
        <v>960</v>
      </c>
      <c r="H277" s="25" t="str">
        <f>CONCATENATE(IF((B277="Foam")+(B277="Smoke"),"-",ROUND(Calcs!D277,0))," ",VLOOKUP(B277,AmmoTypeFactors,5,FALSE))</f>
        <v>18 Bullet</v>
      </c>
      <c r="I277" s="25" t="str">
        <f>IF(Calcs!E277=0,"None",CONCATENATE(ROUND(Calcs!E277,0)," ",VLOOKUP(B277,AmmoTypeFactors,6,FALSE)))</f>
        <v>None</v>
      </c>
      <c r="J277">
        <f>MROUND(2.42*'Ammo Input'!M277^(1/3)*VLOOKUP(B277,AmmoTypeFactors,3,FALSE),0.5)</f>
        <v>0</v>
      </c>
      <c r="K277" s="25" t="str">
        <f>IF(VLOOKUP(B277,AmmoTypeFactors,12,FALSE),MROUND(J277/3,0.5),"None")</f>
        <v>None</v>
      </c>
      <c r="L277" s="25">
        <f>IF(VLOOKUP(B277,AmmoTypeFactors,8,FALSE),"None",ROUNDUP(IF(Calcs!I277&gt;0,Calcs!I277,Calcs!H277),3))</f>
        <v>19.2</v>
      </c>
      <c r="M277" s="25">
        <f>IF(VLOOKUP(B277,AmmoTypeFactors,8,FALSE),"None",'Ammo Input'!L277)</f>
        <v>2</v>
      </c>
      <c r="N277">
        <f>'Ammo Input'!O277</f>
        <v>500</v>
      </c>
      <c r="O277" t="e">
        <f>ROUND((P277*0.0036+SUMPRODUCT(Q277:AB277,VLOOKUP($Q$1:$AB$1,IngredientStats,2,FALSE)))/N277*IF('Ammo Input'!R277,0.5,1),2)</f>
        <v>#VALUE!</v>
      </c>
      <c r="P277" t="e">
        <f>(SUMPRODUCT(Q277:AB277,VLOOKUP($Q$1:$AB$1,IngredientStats,4,FALSE))*VLOOKUP(B277,AmmoTypeFactors,14,FALSE)*IF('Ammo Input'!R277,1.1,1))</f>
        <v>#VALUE!</v>
      </c>
      <c r="Q277">
        <f>IFERROR(__xludf.DUMMYFUNCTION("((IF(NOT(OR(REGEXMATCH(B273, ""Arrow""), B273 = ""Javelin"", B273 = ""Stick bomb"")), ROUNDUP(('Ammo Input'!E273 / 1000) * N273)) + IF(VLOOKUP(B273, AmmoTypeFactors, 9, FALSE) = ""Steel"", ROUNDUP(('Ammo Input'!H273 -'Ammo Input'!M273) * MAX(IF('Ammo Inpu"&amp;"t'!J273 &gt; 0, 'Ammo Input'!J273, 1), 1) * N273 / 1000))) / 'Ingredient stats'!$C$2) * IF(ISBLANK(VLOOKUP(B273,AmmoTypeFactors,15,False)),1,VLOOKUP(B273,AmmoTypeFactors,15,False))"),24)</f>
        <v>24</v>
      </c>
      <c r="R277">
        <f>IFERROR(__xludf.DUMMYFUNCTION("ROUNDUP((IF(REGEXMATCH(B273, ""Arrow"") + (B273 = ""Javelin""), 'Ammo Input'!E273) + IF(VLOOKUP(B273, AmmoTypeFactors, 9, FALSE) = ""Wood"", 'Ammo Input'!H273) + IF(B273 = ""Stick bomb"", 'Ammo Input'!E273)) * N273 / 'Ingredient stats'!$C$12 / 1000)"),0)</f>
        <v>0</v>
      </c>
      <c r="S277">
        <v>0</v>
      </c>
      <c r="T277">
        <v>0</v>
      </c>
      <c r="U277">
        <f>IF(VLOOKUP(B277,AmmoTypeFactors,9,FALSE)="Plasteel",ROUNDUP(('Ammo Input'!H277*MAX(IF('Ammo Input'!J277&gt;0,'Ammo Input'!J277,1)*N277/1000/'Ingredient stats'!$C$4)),0),0)</f>
        <v>0</v>
      </c>
      <c r="V277">
        <f>IFERROR(__xludf.DUMMYFUNCTION("ROUNDUP(IF(ISBLANK(VLOOKUP(B273,AmmoTypeFactors,16,False)),1,VLOOKUP(B273,AmmoTypeFactors,16,False)) * (IFS(REGEXMATCH(B273, ""EMP""), 'Ammo Input'!M273 * N273 / 'Ingredient stats'!$C$5, REGEXMATCH(B273, ""Charge""), (U273^0.75), true, 0) + (IF(VLOOKUP(B2"&amp;"73, AmmoTypeFactors, 10, false), 2,0) + IF('Ammo Input'!P273, 2,0) + IF('Ammo Input'!Q273,MIN(ROUNDUP(0.2*('Ammo Input'!H273/1000)*'Ammo Input'!O273,0),20),0))))"),0)</f>
        <v>0</v>
      </c>
      <c r="W277">
        <v>0</v>
      </c>
      <c r="X277">
        <v>0</v>
      </c>
      <c r="Y277">
        <v>0</v>
      </c>
      <c r="Z277">
        <v>0</v>
      </c>
      <c r="AA277">
        <v>0</v>
      </c>
      <c r="AB277" s="30">
        <f>IF(B277="Sling Bullet (Stone)",ROUNDUP(D277*0.02*E277/'Ingredient stats'!$C$8,0),0)</f>
        <v>0</v>
      </c>
      <c r="AC277" t="str">
        <f t="shared" si="16"/>
        <v>None</v>
      </c>
      <c r="AD277" t="str">
        <f>IF(OR(B277="Buck",B277="Bird",B277="Charge (Scatter)"),'Ammo Input'!J277,"None")</f>
        <v>None</v>
      </c>
      <c r="AE277" t="str">
        <f>_xlfn.IFS(ISTEXT(Calcs!N277),Calcs!N277,Calcs!N277&lt;=40,Calcs!N277,Calcs!N277&gt;41,"40")</f>
        <v>None</v>
      </c>
      <c r="AF277" t="str">
        <f>_xlfn.IFS(ISTEXT(Calcs!O277),Calcs!O277,Calcs!O277&lt;=80,Calcs!O277,Calcs!O277&gt;=81,"80")</f>
        <v>None</v>
      </c>
      <c r="AG277" s="25">
        <f t="shared" si="17"/>
        <v>1</v>
      </c>
      <c r="AH277" s="25">
        <f t="shared" si="18"/>
        <v>1.48</v>
      </c>
      <c r="AI277" s="25">
        <f t="shared" si="19"/>
        <v>1</v>
      </c>
    </row>
    <row r="278" ht="14.4" spans="1:35">
      <c r="A278" s="24" t="str">
        <f>'Ammo Input'!A278</f>
        <v>13mm Gyrojet</v>
      </c>
      <c r="B278" t="str">
        <f>'Ammo Input'!B278</f>
        <v>FMJ</v>
      </c>
      <c r="C278">
        <f>ROUNDUP(('Ammo Input'!C278*(MAX('Ammo Input'!D278,'Ammo Input'!F278)*0.5)^2*PI())*3/1000000,2)</f>
        <v>0.02</v>
      </c>
      <c r="D278">
        <f>ROUNDUP(('Ammo Input'!E278+'Ammo Input'!H278*IF('Ammo Input'!J278&lt;&gt;"",MAX('Ammo Input'!J278,1),1))/1000,3)</f>
        <v>0.014</v>
      </c>
      <c r="E278">
        <f>MIN(5000,MAX(25,CEILING(Calcs!L278,_xlfn.IFS(Calcs!L278&lt;100,25,Calcs!L278&lt;250,50,Calcs!L278&lt;1000,250,Calcs!L278&gt;=1000,1000))))</f>
        <v>5000</v>
      </c>
      <c r="F278">
        <f>ROUNDUP('Ammo Input'!G278^(3/4),0)</f>
        <v>68</v>
      </c>
      <c r="G278">
        <f>ROUND((0.5*((IF(OR(B278="HEAT",B278="HEDP"),'Ammo Input'!N278,'Ammo Input'!H278)/1000)*(IF(B278="HEAT",9000,IF(B278="HEDP",1500,'Ammo Input'!G278))^2))),0)</f>
        <v>510</v>
      </c>
      <c r="H278" s="25" t="str">
        <f>CONCATENATE(IF((B278="Foam")+(B278="Smoke"),"-",ROUND(Calcs!D278,0))," ",VLOOKUP(B278,AmmoTypeFactors,5,FALSE))</f>
        <v>12 Bullet</v>
      </c>
      <c r="I278" s="25" t="str">
        <f>IF(Calcs!E278=0,"None",CONCATENATE(ROUND(Calcs!E278,0)," ",VLOOKUP(B278,AmmoTypeFactors,6,FALSE)))</f>
        <v>None</v>
      </c>
      <c r="J278">
        <f>MROUND(2.42*'Ammo Input'!M278^(1/3)*VLOOKUP(B278,AmmoTypeFactors,3,FALSE),0.5)</f>
        <v>0</v>
      </c>
      <c r="K278" s="25" t="str">
        <f>IF(VLOOKUP(B278,AmmoTypeFactors,12,FALSE),MROUND(J278/3,0.5),"None")</f>
        <v>None</v>
      </c>
      <c r="L278" s="25">
        <f>IF(VLOOKUP(B278,AmmoTypeFactors,8,FALSE),"None",ROUNDUP(IF(Calcs!I278&gt;0,Calcs!I278,Calcs!H278),3))</f>
        <v>10.2</v>
      </c>
      <c r="M278" s="25">
        <f>IF(VLOOKUP(B278,AmmoTypeFactors,8,FALSE),"None",'Ammo Input'!L278)</f>
        <v>3</v>
      </c>
      <c r="N278">
        <f>'Ammo Input'!O278</f>
        <v>500</v>
      </c>
      <c r="O278" t="e">
        <f>ROUND((P278*0.0036+SUMPRODUCT(Q278:AB278,VLOOKUP($Q$1:$AB$1,IngredientStats,2,FALSE)))/N278*IF('Ammo Input'!R278,0.5,1),2)</f>
        <v>#VALUE!</v>
      </c>
      <c r="P278" t="e">
        <f>(SUMPRODUCT(Q278:AB278,VLOOKUP($Q$1:$AB$1,IngredientStats,4,FALSE))*VLOOKUP(B278,AmmoTypeFactors,14,FALSE)*IF('Ammo Input'!R278,1.1,1))</f>
        <v>#VALUE!</v>
      </c>
      <c r="Q278">
        <f>IFERROR(__xludf.DUMMYFUNCTION("((IF(NOT(OR(REGEXMATCH(B274, ""Arrow""), B274 = ""Javelin"", B274 = ""Stick bomb"")), ROUNDUP(('Ammo Input'!E274 / 1000) * N274)) + IF(VLOOKUP(B274, AmmoTypeFactors, 9, FALSE) = ""Steel"", ROUNDUP(('Ammo Input'!H274 -'Ammo Input'!M274) * MAX(IF('Ammo Inpu"&amp;"t'!J274 &gt; 0, 'Ammo Input'!J274, 1), 1) * N274 / 1000))) / 'Ingredient stats'!$C$2) * IF(ISBLANK(VLOOKUP(B274,AmmoTypeFactors,15,False)),1,VLOOKUP(B274,AmmoTypeFactors,15,False))"),14)</f>
        <v>14</v>
      </c>
      <c r="R278">
        <f>IFERROR(__xludf.DUMMYFUNCTION("ROUNDUP((IF(REGEXMATCH(B274, ""Arrow"") + (B274 = ""Javelin""), 'Ammo Input'!E274) + IF(VLOOKUP(B274, AmmoTypeFactors, 9, FALSE) = ""Wood"", 'Ammo Input'!H274) + IF(B274 = ""Stick bomb"", 'Ammo Input'!E274)) * N274 / 'Ingredient stats'!$C$12 / 1000)"),0)</f>
        <v>0</v>
      </c>
      <c r="S278">
        <v>0</v>
      </c>
      <c r="T278">
        <v>0</v>
      </c>
      <c r="U278">
        <f>IF(VLOOKUP(B278,AmmoTypeFactors,9,FALSE)="Plasteel",ROUNDUP(('Ammo Input'!H278*MAX(IF('Ammo Input'!J278&gt;0,'Ammo Input'!J278,1)*N278/1000/'Ingredient stats'!$C$4)),0),0)</f>
        <v>0</v>
      </c>
      <c r="V278">
        <f>IFERROR(__xludf.DUMMYFUNCTION("ROUNDUP(IF(ISBLANK(VLOOKUP(B274,AmmoTypeFactors,16,False)),1,VLOOKUP(B274,AmmoTypeFactors,16,False)) * (IFS(REGEXMATCH(B274, ""EMP""), 'Ammo Input'!M274 * N274 / 'Ingredient stats'!$C$5, REGEXMATCH(B274, ""Charge""), (U274^0.75), true, 0) + (IF(VLOOKUP(B2"&amp;"74, AmmoTypeFactors, 10, false), 2,0) + IF('Ammo Input'!P274, 2,0) + IF('Ammo Input'!Q274,MIN(ROUNDUP(0.2*('Ammo Input'!H274/1000)*'Ammo Input'!O274,0),20),0))))"),0)</f>
        <v>0</v>
      </c>
      <c r="W278">
        <v>0</v>
      </c>
      <c r="X278">
        <v>0</v>
      </c>
      <c r="Y278">
        <v>0</v>
      </c>
      <c r="Z278">
        <v>0</v>
      </c>
      <c r="AA278">
        <v>0</v>
      </c>
      <c r="AB278" s="30">
        <f>IF(B278="Sling Bullet (Stone)",ROUNDUP(D278*0.02*E278/'Ingredient stats'!$C$8,0),0)</f>
        <v>0</v>
      </c>
      <c r="AC278" t="str">
        <f t="shared" si="16"/>
        <v>None</v>
      </c>
      <c r="AD278" t="str">
        <f>IF(OR(B278="Buck",B278="Bird",B278="Charge (Scatter)"),'Ammo Input'!J278,"None")</f>
        <v>None</v>
      </c>
      <c r="AE278" t="str">
        <f>_xlfn.IFS(ISTEXT(Calcs!N278),Calcs!N278,Calcs!N278&lt;=40,Calcs!N278,Calcs!N278&gt;41,"40")</f>
        <v>None</v>
      </c>
      <c r="AF278" t="str">
        <f>_xlfn.IFS(ISTEXT(Calcs!O278),Calcs!O278,Calcs!O278&lt;=80,Calcs!O278,Calcs!O278&gt;=81,"80")</f>
        <v>None</v>
      </c>
      <c r="AG278" s="25">
        <f t="shared" si="17"/>
        <v>1</v>
      </c>
      <c r="AH278" s="25">
        <f t="shared" si="18"/>
        <v>1.12</v>
      </c>
      <c r="AI278" s="25">
        <f t="shared" si="19"/>
        <v>1</v>
      </c>
    </row>
    <row r="279" ht="14.4" spans="1:35">
      <c r="A279" s="24" t="str">
        <f>'Ammo Input'!A279</f>
        <v>13mm Gyrojet</v>
      </c>
      <c r="B279" t="str">
        <f>'Ammo Input'!B279</f>
        <v>AP</v>
      </c>
      <c r="C279">
        <f>ROUNDUP(('Ammo Input'!C279*(MAX('Ammo Input'!D279,'Ammo Input'!F279)*0.5)^2*PI())*3/1000000,2)</f>
        <v>0.02</v>
      </c>
      <c r="D279">
        <f>ROUNDUP(('Ammo Input'!E279+'Ammo Input'!H279*IF('Ammo Input'!J279&lt;&gt;"",MAX('Ammo Input'!J279,1),1))/1000,3)</f>
        <v>0.014</v>
      </c>
      <c r="E279">
        <f>MIN(5000,MAX(25,CEILING(Calcs!L279,_xlfn.IFS(Calcs!L279&lt;100,25,Calcs!L279&lt;250,50,Calcs!L279&lt;1000,250,Calcs!L279&gt;=1000,1000))))</f>
        <v>5000</v>
      </c>
      <c r="F279">
        <f>ROUNDUP('Ammo Input'!G279^(3/4),0)</f>
        <v>68</v>
      </c>
      <c r="G279">
        <f>ROUND((0.5*((IF(OR(B279="HEAT",B279="HEDP"),'Ammo Input'!N279,'Ammo Input'!H279)/1000)*(IF(B279="HEAT",9000,IF(B279="HEDP",1500,'Ammo Input'!G279))^2))),0)</f>
        <v>510</v>
      </c>
      <c r="H279" s="25" t="str">
        <f>CONCATENATE(IF((B279="Foam")+(B279="Smoke"),"-",ROUND(Calcs!D279,0))," ",VLOOKUP(B279,AmmoTypeFactors,5,FALSE))</f>
        <v>8 Bullet</v>
      </c>
      <c r="I279" s="25" t="str">
        <f>IF(Calcs!E279=0,"None",CONCATENATE(ROUND(Calcs!E279,0)," ",VLOOKUP(B279,AmmoTypeFactors,6,FALSE)))</f>
        <v>None</v>
      </c>
      <c r="J279">
        <f>MROUND(2.42*'Ammo Input'!M279^(1/3)*VLOOKUP(B279,AmmoTypeFactors,3,FALSE),0.5)</f>
        <v>0</v>
      </c>
      <c r="K279" s="25" t="str">
        <f>IF(VLOOKUP(B279,AmmoTypeFactors,12,FALSE),MROUND(J279/3,0.5),"None")</f>
        <v>None</v>
      </c>
      <c r="L279" s="25">
        <f>IF(VLOOKUP(B279,AmmoTypeFactors,8,FALSE),"None",ROUNDUP(IF(Calcs!I279&gt;0,Calcs!I279,Calcs!H279),3))</f>
        <v>10.2</v>
      </c>
      <c r="M279" s="25">
        <f>IF(VLOOKUP(B279,AmmoTypeFactors,8,FALSE),"None",'Ammo Input'!L279)</f>
        <v>6</v>
      </c>
      <c r="N279">
        <f>'Ammo Input'!O279</f>
        <v>500</v>
      </c>
      <c r="O279" t="e">
        <f>ROUND((P279*0.0036+SUMPRODUCT(Q279:AB279,VLOOKUP($Q$1:$AB$1,IngredientStats,2,FALSE)))/N279*IF('Ammo Input'!R279,0.5,1),2)</f>
        <v>#VALUE!</v>
      </c>
      <c r="P279" t="e">
        <f>(SUMPRODUCT(Q279:AB279,VLOOKUP($Q$1:$AB$1,IngredientStats,4,FALSE))*VLOOKUP(B279,AmmoTypeFactors,14,FALSE)*IF('Ammo Input'!R279,1.1,1))</f>
        <v>#VALUE!</v>
      </c>
      <c r="Q279">
        <f>IFERROR(__xludf.DUMMYFUNCTION("((IF(NOT(OR(REGEXMATCH(B275, ""Arrow""), B275 = ""Javelin"", B275 = ""Stick bomb"")), ROUNDUP(('Ammo Input'!E275 / 1000) * N275)) + IF(VLOOKUP(B275, AmmoTypeFactors, 9, FALSE) = ""Steel"", ROUNDUP(('Ammo Input'!H275 -'Ammo Input'!M275) * MAX(IF('Ammo Inpu"&amp;"t'!J275 &gt; 0, 'Ammo Input'!J275, 1), 1) * N275 / 1000))) / 'Ingredient stats'!$C$2) * IF(ISBLANK(VLOOKUP(B275,AmmoTypeFactors,15,False)),1,VLOOKUP(B275,AmmoTypeFactors,15,False))"),14)</f>
        <v>14</v>
      </c>
      <c r="R279">
        <f>IFERROR(__xludf.DUMMYFUNCTION("ROUNDUP((IF(REGEXMATCH(B275, ""Arrow"") + (B275 = ""Javelin""), 'Ammo Input'!E275) + IF(VLOOKUP(B275, AmmoTypeFactors, 9, FALSE) = ""Wood"", 'Ammo Input'!H275) + IF(B275 = ""Stick bomb"", 'Ammo Input'!E275)) * N275 / 'Ingredient stats'!$C$12 / 1000)"),0)</f>
        <v>0</v>
      </c>
      <c r="S279">
        <v>0</v>
      </c>
      <c r="T279">
        <v>0</v>
      </c>
      <c r="U279">
        <f>IF(VLOOKUP(B279,AmmoTypeFactors,9,FALSE)="Plasteel",ROUNDUP(('Ammo Input'!H279*MAX(IF('Ammo Input'!J279&gt;0,'Ammo Input'!J279,1)*N279/1000/'Ingredient stats'!$C$4)),0),0)</f>
        <v>0</v>
      </c>
      <c r="V279">
        <f>IFERROR(__xludf.DUMMYFUNCTION("ROUNDUP(IF(ISBLANK(VLOOKUP(B275,AmmoTypeFactors,16,False)),1,VLOOKUP(B275,AmmoTypeFactors,16,False)) * (IFS(REGEXMATCH(B275, ""EMP""), 'Ammo Input'!M275 * N275 / 'Ingredient stats'!$C$5, REGEXMATCH(B275, ""Charge""), (U275^0.75), true, 0) + (IF(VLOOKUP(B2"&amp;"75, AmmoTypeFactors, 10, false), 2,0) + IF('Ammo Input'!P275, 2,0) + IF('Ammo Input'!Q275,MIN(ROUNDUP(0.2*('Ammo Input'!H275/1000)*'Ammo Input'!O275,0),20),0))))"),0)</f>
        <v>0</v>
      </c>
      <c r="W279">
        <v>0</v>
      </c>
      <c r="X279">
        <v>0</v>
      </c>
      <c r="Y279">
        <v>0</v>
      </c>
      <c r="Z279">
        <v>0</v>
      </c>
      <c r="AA279">
        <v>0</v>
      </c>
      <c r="AB279" s="30">
        <f>IF(B279="Sling Bullet (Stone)",ROUNDUP(D279*0.02*E279/'Ingredient stats'!$C$8,0),0)</f>
        <v>0</v>
      </c>
      <c r="AC279" t="str">
        <f t="shared" si="16"/>
        <v>None</v>
      </c>
      <c r="AD279" t="str">
        <f>IF(OR(B279="Buck",B279="Bird",B279="Charge (Scatter)"),'Ammo Input'!J279,"None")</f>
        <v>None</v>
      </c>
      <c r="AE279" t="str">
        <f>_xlfn.IFS(ISTEXT(Calcs!N279),Calcs!N279,Calcs!N279&lt;=40,Calcs!N279,Calcs!N279&gt;41,"40")</f>
        <v>None</v>
      </c>
      <c r="AF279" t="str">
        <f>_xlfn.IFS(ISTEXT(Calcs!O279),Calcs!O279,Calcs!O279&lt;=80,Calcs!O279,Calcs!O279&gt;=81,"80")</f>
        <v>None</v>
      </c>
      <c r="AG279" s="25">
        <f t="shared" si="17"/>
        <v>1</v>
      </c>
      <c r="AH279" s="25">
        <f t="shared" si="18"/>
        <v>1.12</v>
      </c>
      <c r="AI279" s="25">
        <f t="shared" si="19"/>
        <v>1</v>
      </c>
    </row>
    <row r="280" ht="14.4" spans="1:35">
      <c r="A280" s="24" t="str">
        <f>'Ammo Input'!A280</f>
        <v>13mm Gyrojet</v>
      </c>
      <c r="B280" t="str">
        <f>'Ammo Input'!B280</f>
        <v>HP</v>
      </c>
      <c r="C280">
        <f>ROUNDUP(('Ammo Input'!C280*(MAX('Ammo Input'!D280,'Ammo Input'!F280)*0.5)^2*PI())*3/1000000,2)</f>
        <v>0.02</v>
      </c>
      <c r="D280">
        <f>ROUNDUP(('Ammo Input'!E280+'Ammo Input'!H280*IF('Ammo Input'!J280&lt;&gt;"",MAX('Ammo Input'!J280,1),1))/1000,3)</f>
        <v>0.014</v>
      </c>
      <c r="E280">
        <f>MIN(5000,MAX(25,CEILING(Calcs!L280,_xlfn.IFS(Calcs!L280&lt;100,25,Calcs!L280&lt;250,50,Calcs!L280&lt;1000,250,Calcs!L280&gt;=1000,1000))))</f>
        <v>5000</v>
      </c>
      <c r="F280">
        <f>ROUNDUP('Ammo Input'!G280^(3/4),0)</f>
        <v>68</v>
      </c>
      <c r="G280">
        <f>ROUND((0.5*((IF(OR(B280="HEAT",B280="HEDP"),'Ammo Input'!N280,'Ammo Input'!H280)/1000)*(IF(B280="HEAT",9000,IF(B280="HEDP",1500,'Ammo Input'!G280))^2))),0)</f>
        <v>510</v>
      </c>
      <c r="H280" s="25" t="str">
        <f>CONCATENATE(IF((B280="Foam")+(B280="Smoke"),"-",ROUND(Calcs!D280,0))," ",VLOOKUP(B280,AmmoTypeFactors,5,FALSE))</f>
        <v>15 Bullet</v>
      </c>
      <c r="I280" s="25" t="str">
        <f>IF(Calcs!E280=0,"None",CONCATENATE(ROUND(Calcs!E280,0)," ",VLOOKUP(B280,AmmoTypeFactors,6,FALSE)))</f>
        <v>None</v>
      </c>
      <c r="J280">
        <f>MROUND(2.42*'Ammo Input'!M280^(1/3)*VLOOKUP(B280,AmmoTypeFactors,3,FALSE),0.5)</f>
        <v>0</v>
      </c>
      <c r="K280" s="25" t="str">
        <f>IF(VLOOKUP(B280,AmmoTypeFactors,12,FALSE),MROUND(J280/3,0.5),"None")</f>
        <v>None</v>
      </c>
      <c r="L280" s="25">
        <f>IF(VLOOKUP(B280,AmmoTypeFactors,8,FALSE),"None",ROUNDUP(IF(Calcs!I280&gt;0,Calcs!I280,Calcs!H280),3))</f>
        <v>10.2</v>
      </c>
      <c r="M280" s="25">
        <f>IF(VLOOKUP(B280,AmmoTypeFactors,8,FALSE),"None",'Ammo Input'!L280)</f>
        <v>2</v>
      </c>
      <c r="N280">
        <f>'Ammo Input'!O280</f>
        <v>500</v>
      </c>
      <c r="O280" t="e">
        <f>ROUND((P280*0.0036+SUMPRODUCT(Q280:AB280,VLOOKUP($Q$1:$AB$1,IngredientStats,2,FALSE)))/N280*IF('Ammo Input'!R280,0.5,1),2)</f>
        <v>#VALUE!</v>
      </c>
      <c r="P280" t="e">
        <f>(SUMPRODUCT(Q280:AB280,VLOOKUP($Q$1:$AB$1,IngredientStats,4,FALSE))*VLOOKUP(B280,AmmoTypeFactors,14,FALSE)*IF('Ammo Input'!R280,1.1,1))</f>
        <v>#VALUE!</v>
      </c>
      <c r="Q280">
        <f>IFERROR(__xludf.DUMMYFUNCTION("((IF(NOT(OR(REGEXMATCH(B276, ""Arrow""), B276 = ""Javelin"", B276 = ""Stick bomb"")), ROUNDUP(('Ammo Input'!E276 / 1000) * N276)) + IF(VLOOKUP(B276, AmmoTypeFactors, 9, FALSE) = ""Steel"", ROUNDUP(('Ammo Input'!H276 -'Ammo Input'!M276) * MAX(IF('Ammo Inpu"&amp;"t'!J276 &gt; 0, 'Ammo Input'!J276, 1), 1) * N276 / 1000))) / 'Ingredient stats'!$C$2) * IF(ISBLANK(VLOOKUP(B276,AmmoTypeFactors,15,False)),1,VLOOKUP(B276,AmmoTypeFactors,15,False))"),14)</f>
        <v>14</v>
      </c>
      <c r="R280">
        <f>IFERROR(__xludf.DUMMYFUNCTION("ROUNDUP((IF(REGEXMATCH(B276, ""Arrow"") + (B276 = ""Javelin""), 'Ammo Input'!E276) + IF(VLOOKUP(B276, AmmoTypeFactors, 9, FALSE) = ""Wood"", 'Ammo Input'!H276) + IF(B276 = ""Stick bomb"", 'Ammo Input'!E276)) * N276 / 'Ingredient stats'!$C$12 / 1000)"),0)</f>
        <v>0</v>
      </c>
      <c r="S280">
        <v>0</v>
      </c>
      <c r="T280">
        <v>0</v>
      </c>
      <c r="U280">
        <f>IF(VLOOKUP(B280,AmmoTypeFactors,9,FALSE)="Plasteel",ROUNDUP(('Ammo Input'!H280*MAX(IF('Ammo Input'!J280&gt;0,'Ammo Input'!J280,1)*N280/1000/'Ingredient stats'!$C$4)),0),0)</f>
        <v>0</v>
      </c>
      <c r="V280">
        <f>IFERROR(__xludf.DUMMYFUNCTION("ROUNDUP(IF(ISBLANK(VLOOKUP(B276,AmmoTypeFactors,16,False)),1,VLOOKUP(B276,AmmoTypeFactors,16,False)) * (IFS(REGEXMATCH(B276, ""EMP""), 'Ammo Input'!M276 * N276 / 'Ingredient stats'!$C$5, REGEXMATCH(B276, ""Charge""), (U276^0.75), true, 0) + (IF(VLOOKUP(B2"&amp;"76, AmmoTypeFactors, 10, false), 2,0) + IF('Ammo Input'!P276, 2,0) + IF('Ammo Input'!Q276,MIN(ROUNDUP(0.2*('Ammo Input'!H276/1000)*'Ammo Input'!O276,0),20),0))))"),0)</f>
        <v>0</v>
      </c>
      <c r="W280">
        <v>0</v>
      </c>
      <c r="X280">
        <v>0</v>
      </c>
      <c r="Y280">
        <v>0</v>
      </c>
      <c r="Z280">
        <v>0</v>
      </c>
      <c r="AA280">
        <v>0</v>
      </c>
      <c r="AB280" s="30">
        <f>IF(B280="Sling Bullet (Stone)",ROUNDUP(D280*0.02*E280/'Ingredient stats'!$C$8,0),0)</f>
        <v>0</v>
      </c>
      <c r="AC280" t="str">
        <f t="shared" si="16"/>
        <v>None</v>
      </c>
      <c r="AD280" t="str">
        <f>IF(OR(B280="Buck",B280="Bird",B280="Charge (Scatter)"),'Ammo Input'!J280,"None")</f>
        <v>None</v>
      </c>
      <c r="AE280" t="str">
        <f>_xlfn.IFS(ISTEXT(Calcs!N280),Calcs!N280,Calcs!N280&lt;=40,Calcs!N280,Calcs!N280&gt;41,"40")</f>
        <v>None</v>
      </c>
      <c r="AF280" t="str">
        <f>_xlfn.IFS(ISTEXT(Calcs!O280),Calcs!O280,Calcs!O280&lt;=80,Calcs!O280,Calcs!O280&gt;=81,"80")</f>
        <v>None</v>
      </c>
      <c r="AG280" s="25">
        <f t="shared" si="17"/>
        <v>1</v>
      </c>
      <c r="AH280" s="25">
        <f t="shared" si="18"/>
        <v>1.12</v>
      </c>
      <c r="AI280" s="25">
        <f t="shared" si="19"/>
        <v>1</v>
      </c>
    </row>
    <row r="281" ht="14.4" spans="1:35">
      <c r="A281" s="24" t="str">
        <f>'Ammo Input'!A281</f>
        <v>.22 Short</v>
      </c>
      <c r="B281" t="str">
        <f>'Ammo Input'!B281</f>
        <v>FMJ</v>
      </c>
      <c r="C281">
        <f>ROUNDUP(('Ammo Input'!C281*(MAX('Ammo Input'!D281,'Ammo Input'!F281)*0.5)^2*PI())*3/1000000,2)</f>
        <v>0.01</v>
      </c>
      <c r="D281">
        <f>ROUNDUP(('Ammo Input'!E281+'Ammo Input'!H281*IF('Ammo Input'!J281&lt;&gt;"",MAX('Ammo Input'!J281,1),1))/1000,3)</f>
        <v>0.004</v>
      </c>
      <c r="E281">
        <f>MIN(5000,MAX(25,CEILING(Calcs!L281,_xlfn.IFS(Calcs!L281&lt;100,25,Calcs!L281&lt;250,50,Calcs!L281&lt;1000,250,Calcs!L281&gt;=1000,1000))))</f>
        <v>5000</v>
      </c>
      <c r="F281">
        <f>ROUNDUP('Ammo Input'!G281^(3/4),0)</f>
        <v>63</v>
      </c>
      <c r="G281">
        <f>ROUND((0.5*((IF(OR(B281="HEAT",B281="HEDP"),'Ammo Input'!N281,'Ammo Input'!H281)/1000)*(IF(B281="HEAT",9000,IF(B281="HEDP",1500,'Ammo Input'!G281))^2))),0)</f>
        <v>59</v>
      </c>
      <c r="H281" s="25" t="str">
        <f>CONCATENATE(IF((B281="Foam")+(B281="Smoke"),"-",ROUND(Calcs!D281,0))," ",VLOOKUP(B281,AmmoTypeFactors,5,FALSE))</f>
        <v>4 Bullet</v>
      </c>
      <c r="I281" s="25" t="str">
        <f>IF(Calcs!E281=0,"None",CONCATENATE(ROUND(Calcs!E281,0)," ",VLOOKUP(B281,AmmoTypeFactors,6,FALSE)))</f>
        <v>None</v>
      </c>
      <c r="J281">
        <f>MROUND(2.42*'Ammo Input'!M281^(1/3)*VLOOKUP(B281,AmmoTypeFactors,3,FALSE),0.5)</f>
        <v>0</v>
      </c>
      <c r="K281" s="25" t="str">
        <f>IF(VLOOKUP(B281,AmmoTypeFactors,12,FALSE),MROUND(J281/3,0.5),"None")</f>
        <v>None</v>
      </c>
      <c r="L281" s="25">
        <f>IF(VLOOKUP(B281,AmmoTypeFactors,8,FALSE),"None",ROUNDUP(IF(Calcs!I281&gt;0,Calcs!I281,Calcs!H281),3))</f>
        <v>1.18</v>
      </c>
      <c r="M281" s="25">
        <f>IF(VLOOKUP(B281,AmmoTypeFactors,8,FALSE),"None",'Ammo Input'!L281)</f>
        <v>1</v>
      </c>
      <c r="N281">
        <f>'Ammo Input'!O281</f>
        <v>500</v>
      </c>
      <c r="O281" t="e">
        <f>ROUND((P281*0.0036+SUMPRODUCT(Q281:AB281,VLOOKUP($Q$1:$AB$1,IngredientStats,2,FALSE)))/N281*IF('Ammo Input'!R281,0.5,1),2)</f>
        <v>#VALUE!</v>
      </c>
      <c r="P281" t="e">
        <f>(SUMPRODUCT(Q281:AB281,VLOOKUP($Q$1:$AB$1,IngredientStats,4,FALSE))*VLOOKUP(B281,AmmoTypeFactors,14,FALSE)*IF('Ammo Input'!R281,1.1,1))</f>
        <v>#VALUE!</v>
      </c>
      <c r="Q281">
        <f>IFERROR(__xludf.DUMMYFUNCTION("((IF(NOT(OR(REGEXMATCH(B277, ""Arrow""), B277 = ""Javelin"", B277 = ""Stick bomb"")), ROUNDUP(('Ammo Input'!E277 / 1000) * N277)) + IF(VLOOKUP(B277, AmmoTypeFactors, 9, FALSE) = ""Steel"", ROUNDUP(('Ammo Input'!H277 -'Ammo Input'!M277) * MAX(IF('Ammo Inpu"&amp;"t'!J277 &gt; 0, 'Ammo Input'!J277, 1), 1) * N277 / 1000))) / 'Ingredient stats'!$C$2) * IF(ISBLANK(VLOOKUP(B277,AmmoTypeFactors,15,False)),1,VLOOKUP(B277,AmmoTypeFactors,15,False))"),4)</f>
        <v>4</v>
      </c>
      <c r="R281">
        <f>IFERROR(__xludf.DUMMYFUNCTION("ROUNDUP((IF(REGEXMATCH(B277, ""Arrow"") + (B277 = ""Javelin""), 'Ammo Input'!E277) + IF(VLOOKUP(B277, AmmoTypeFactors, 9, FALSE) = ""Wood"", 'Ammo Input'!H277) + IF(B277 = ""Stick bomb"", 'Ammo Input'!E277)) * N277 / 'Ingredient stats'!$C$12 / 1000)"),0)</f>
        <v>0</v>
      </c>
      <c r="S281">
        <v>0</v>
      </c>
      <c r="T281">
        <v>0</v>
      </c>
      <c r="U281">
        <f>IF(VLOOKUP(B281,AmmoTypeFactors,9,FALSE)="Plasteel",ROUNDUP(('Ammo Input'!H281*MAX(IF('Ammo Input'!J281&gt;0,'Ammo Input'!J281,1)*N281/1000/'Ingredient stats'!$C$4)),0),0)</f>
        <v>0</v>
      </c>
      <c r="V281">
        <f>IFERROR(__xludf.DUMMYFUNCTION("ROUNDUP(IF(ISBLANK(VLOOKUP(B277,AmmoTypeFactors,16,False)),1,VLOOKUP(B277,AmmoTypeFactors,16,False)) * (IFS(REGEXMATCH(B277, ""EMP""), 'Ammo Input'!M277 * N277 / 'Ingredient stats'!$C$5, REGEXMATCH(B277, ""Charge""), (U277^0.75), true, 0) + (IF(VLOOKUP(B2"&amp;"77, AmmoTypeFactors, 10, false), 2,0) + IF('Ammo Input'!P277, 2,0) + IF('Ammo Input'!Q277,MIN(ROUNDUP(0.2*('Ammo Input'!H277/1000)*'Ammo Input'!O277,0),20),0))))"),0)</f>
        <v>0</v>
      </c>
      <c r="W281">
        <v>0</v>
      </c>
      <c r="X281">
        <v>0</v>
      </c>
      <c r="Y281">
        <v>0</v>
      </c>
      <c r="Z281">
        <v>0</v>
      </c>
      <c r="AA281">
        <v>0</v>
      </c>
      <c r="AB281" s="30">
        <f>IF(B281="Sling Bullet (Stone)",ROUNDUP(D281*0.02*E281/'Ingredient stats'!$C$8,0),0)</f>
        <v>0</v>
      </c>
      <c r="AC281" t="str">
        <f t="shared" si="16"/>
        <v>None</v>
      </c>
      <c r="AD281" t="str">
        <f>IF(OR(B281="Buck",B281="Bird",B281="Charge (Scatter)"),'Ammo Input'!J281,"None")</f>
        <v>None</v>
      </c>
      <c r="AE281" t="str">
        <f>_xlfn.IFS(ISTEXT(Calcs!N281),Calcs!N281,Calcs!N281&lt;=40,Calcs!N281,Calcs!N281&gt;41,"40")</f>
        <v>None</v>
      </c>
      <c r="AF281" t="str">
        <f>_xlfn.IFS(ISTEXT(Calcs!O281),Calcs!O281,Calcs!O281&lt;=80,Calcs!O281,Calcs!O281&gt;=81,"80")</f>
        <v>None</v>
      </c>
      <c r="AG281" s="25">
        <f t="shared" si="17"/>
        <v>1</v>
      </c>
      <c r="AH281" s="25">
        <f t="shared" si="18"/>
        <v>1.04</v>
      </c>
      <c r="AI281" s="25">
        <f t="shared" si="19"/>
        <v>1</v>
      </c>
    </row>
    <row r="282" ht="14.4" spans="1:35">
      <c r="A282" s="24" t="str">
        <f>'Ammo Input'!A282</f>
        <v>.22 Short</v>
      </c>
      <c r="B282" t="str">
        <f>'Ammo Input'!B282</f>
        <v>AP</v>
      </c>
      <c r="C282">
        <f>ROUNDUP(('Ammo Input'!C282*(MAX('Ammo Input'!D282,'Ammo Input'!F282)*0.5)^2*PI())*3/1000000,2)</f>
        <v>0.01</v>
      </c>
      <c r="D282">
        <f>ROUNDUP(('Ammo Input'!E282+'Ammo Input'!H282*IF('Ammo Input'!J282&lt;&gt;"",MAX('Ammo Input'!J282,1),1))/1000,3)</f>
        <v>0.004</v>
      </c>
      <c r="E282">
        <f>MIN(5000,MAX(25,CEILING(Calcs!L282,_xlfn.IFS(Calcs!L282&lt;100,25,Calcs!L282&lt;250,50,Calcs!L282&lt;1000,250,Calcs!L282&gt;=1000,1000))))</f>
        <v>5000</v>
      </c>
      <c r="F282">
        <f>ROUNDUP('Ammo Input'!G282^(3/4),0)</f>
        <v>63</v>
      </c>
      <c r="G282">
        <f>ROUND((0.5*((IF(OR(B282="HEAT",B282="HEDP"),'Ammo Input'!N282,'Ammo Input'!H282)/1000)*(IF(B282="HEAT",9000,IF(B282="HEDP",1500,'Ammo Input'!G282))^2))),0)</f>
        <v>59</v>
      </c>
      <c r="H282" s="25" t="str">
        <f>CONCATENATE(IF((B282="Foam")+(B282="Smoke"),"-",ROUND(Calcs!D282,0))," ",VLOOKUP(B282,AmmoTypeFactors,5,FALSE))</f>
        <v>3 Bullet</v>
      </c>
      <c r="I282" s="25" t="str">
        <f>IF(Calcs!E282=0,"None",CONCATENATE(ROUND(Calcs!E282,0)," ",VLOOKUP(B282,AmmoTypeFactors,6,FALSE)))</f>
        <v>None</v>
      </c>
      <c r="J282">
        <f>MROUND(2.42*'Ammo Input'!M282^(1/3)*VLOOKUP(B282,AmmoTypeFactors,3,FALSE),0.5)</f>
        <v>0</v>
      </c>
      <c r="K282" s="25" t="str">
        <f>IF(VLOOKUP(B282,AmmoTypeFactors,12,FALSE),MROUND(J282/3,0.5),"None")</f>
        <v>None</v>
      </c>
      <c r="L282" s="25">
        <f>IF(VLOOKUP(B282,AmmoTypeFactors,8,FALSE),"None",ROUNDUP(IF(Calcs!I282&gt;0,Calcs!I282,Calcs!H282),3))</f>
        <v>1.18</v>
      </c>
      <c r="M282" s="25">
        <f>IF(VLOOKUP(B282,AmmoTypeFactors,8,FALSE),"None",'Ammo Input'!L282)</f>
        <v>2</v>
      </c>
      <c r="N282">
        <f>'Ammo Input'!O282</f>
        <v>500</v>
      </c>
      <c r="O282" t="e">
        <f>ROUND((P282*0.0036+SUMPRODUCT(Q282:AB282,VLOOKUP($Q$1:$AB$1,IngredientStats,2,FALSE)))/N282*IF('Ammo Input'!R282,0.5,1),2)</f>
        <v>#VALUE!</v>
      </c>
      <c r="P282" t="e">
        <f>(SUMPRODUCT(Q282:AB282,VLOOKUP($Q$1:$AB$1,IngredientStats,4,FALSE))*VLOOKUP(B282,AmmoTypeFactors,14,FALSE)*IF('Ammo Input'!R282,1.1,1))</f>
        <v>#VALUE!</v>
      </c>
      <c r="Q282">
        <f>IFERROR(__xludf.DUMMYFUNCTION("((IF(NOT(OR(REGEXMATCH(B278, ""Arrow""), B278 = ""Javelin"", B278 = ""Stick bomb"")), ROUNDUP(('Ammo Input'!E278 / 1000) * N278)) + IF(VLOOKUP(B278, AmmoTypeFactors, 9, FALSE) = ""Steel"", ROUNDUP(('Ammo Input'!H278 -'Ammo Input'!M278) * MAX(IF('Ammo Inpu"&amp;"t'!J278 &gt; 0, 'Ammo Input'!J278, 1), 1) * N278 / 1000))) / 'Ingredient stats'!$C$2) * IF(ISBLANK(VLOOKUP(B278,AmmoTypeFactors,15,False)),1,VLOOKUP(B278,AmmoTypeFactors,15,False))"),4)</f>
        <v>4</v>
      </c>
      <c r="R282">
        <f>IFERROR(__xludf.DUMMYFUNCTION("ROUNDUP((IF(REGEXMATCH(B278, ""Arrow"") + (B278 = ""Javelin""), 'Ammo Input'!E278) + IF(VLOOKUP(B278, AmmoTypeFactors, 9, FALSE) = ""Wood"", 'Ammo Input'!H278) + IF(B278 = ""Stick bomb"", 'Ammo Input'!E278)) * N278 / 'Ingredient stats'!$C$12 / 1000)"),0)</f>
        <v>0</v>
      </c>
      <c r="S282">
        <v>0</v>
      </c>
      <c r="T282">
        <v>0</v>
      </c>
      <c r="U282">
        <f>IF(VLOOKUP(B282,AmmoTypeFactors,9,FALSE)="Plasteel",ROUNDUP(('Ammo Input'!H282*MAX(IF('Ammo Input'!J282&gt;0,'Ammo Input'!J282,1)*N282/1000/'Ingredient stats'!$C$4)),0),0)</f>
        <v>0</v>
      </c>
      <c r="V282">
        <f>IFERROR(__xludf.DUMMYFUNCTION("ROUNDUP(IF(ISBLANK(VLOOKUP(B278,AmmoTypeFactors,16,False)),1,VLOOKUP(B278,AmmoTypeFactors,16,False)) * (IFS(REGEXMATCH(B278, ""EMP""), 'Ammo Input'!M278 * N278 / 'Ingredient stats'!$C$5, REGEXMATCH(B278, ""Charge""), (U278^0.75), true, 0) + (IF(VLOOKUP(B2"&amp;"78, AmmoTypeFactors, 10, false), 2,0) + IF('Ammo Input'!P278, 2,0) + IF('Ammo Input'!Q278,MIN(ROUNDUP(0.2*('Ammo Input'!H278/1000)*'Ammo Input'!O278,0),20),0))))"),0)</f>
        <v>0</v>
      </c>
      <c r="W282">
        <v>0</v>
      </c>
      <c r="X282">
        <v>0</v>
      </c>
      <c r="Y282">
        <v>0</v>
      </c>
      <c r="Z282">
        <v>0</v>
      </c>
      <c r="AA282">
        <v>0</v>
      </c>
      <c r="AB282" s="30">
        <f>IF(B282="Sling Bullet (Stone)",ROUNDUP(D282*0.02*E282/'Ingredient stats'!$C$8,0),0)</f>
        <v>0</v>
      </c>
      <c r="AC282" t="str">
        <f t="shared" si="16"/>
        <v>None</v>
      </c>
      <c r="AD282" t="str">
        <f>IF(OR(B282="Buck",B282="Bird",B282="Charge (Scatter)"),'Ammo Input'!J282,"None")</f>
        <v>None</v>
      </c>
      <c r="AE282" t="str">
        <f>_xlfn.IFS(ISTEXT(Calcs!N282),Calcs!N282,Calcs!N282&lt;=40,Calcs!N282,Calcs!N282&gt;41,"40")</f>
        <v>None</v>
      </c>
      <c r="AF282" t="str">
        <f>_xlfn.IFS(ISTEXT(Calcs!O282),Calcs!O282,Calcs!O282&lt;=80,Calcs!O282,Calcs!O282&gt;=81,"80")</f>
        <v>None</v>
      </c>
      <c r="AG282" s="25">
        <f t="shared" si="17"/>
        <v>1</v>
      </c>
      <c r="AH282" s="25">
        <f t="shared" si="18"/>
        <v>1.04</v>
      </c>
      <c r="AI282" s="25">
        <f t="shared" si="19"/>
        <v>1</v>
      </c>
    </row>
    <row r="283" ht="14.4" spans="1:35">
      <c r="A283" s="24" t="str">
        <f>'Ammo Input'!A283</f>
        <v>.22 Short</v>
      </c>
      <c r="B283" t="str">
        <f>'Ammo Input'!B283</f>
        <v>HP</v>
      </c>
      <c r="C283">
        <f>ROUNDUP(('Ammo Input'!C283*(MAX('Ammo Input'!D283,'Ammo Input'!F283)*0.5)^2*PI())*3/1000000,2)</f>
        <v>0.01</v>
      </c>
      <c r="D283">
        <f>ROUNDUP(('Ammo Input'!E283+'Ammo Input'!H283*IF('Ammo Input'!J283&lt;&gt;"",MAX('Ammo Input'!J283,1),1))/1000,3)</f>
        <v>0.004</v>
      </c>
      <c r="E283">
        <f>MIN(5000,MAX(25,CEILING(Calcs!L283,_xlfn.IFS(Calcs!L283&lt;100,25,Calcs!L283&lt;250,50,Calcs!L283&lt;1000,250,Calcs!L283&gt;=1000,1000))))</f>
        <v>5000</v>
      </c>
      <c r="F283">
        <f>ROUNDUP('Ammo Input'!G283^(3/4),0)</f>
        <v>63</v>
      </c>
      <c r="G283">
        <f>ROUND((0.5*((IF(OR(B283="HEAT",B283="HEDP"),'Ammo Input'!N283,'Ammo Input'!H283)/1000)*(IF(B283="HEAT",9000,IF(B283="HEDP",1500,'Ammo Input'!G283))^2))),0)</f>
        <v>59</v>
      </c>
      <c r="H283" s="25" t="str">
        <f>CONCATENATE(IF((B283="Foam")+(B283="Smoke"),"-",ROUND(Calcs!D283,0))," ",VLOOKUP(B283,AmmoTypeFactors,5,FALSE))</f>
        <v>5 Bullet</v>
      </c>
      <c r="I283" s="25" t="str">
        <f>IF(Calcs!E283=0,"None",CONCATENATE(ROUND(Calcs!E283,0)," ",VLOOKUP(B283,AmmoTypeFactors,6,FALSE)))</f>
        <v>None</v>
      </c>
      <c r="J283">
        <f>MROUND(2.42*'Ammo Input'!M283^(1/3)*VLOOKUP(B283,AmmoTypeFactors,3,FALSE),0.5)</f>
        <v>0</v>
      </c>
      <c r="K283" s="25" t="str">
        <f>IF(VLOOKUP(B283,AmmoTypeFactors,12,FALSE),MROUND(J283/3,0.5),"None")</f>
        <v>None</v>
      </c>
      <c r="L283" s="25">
        <f>IF(VLOOKUP(B283,AmmoTypeFactors,8,FALSE),"None",ROUNDUP(IF(Calcs!I283&gt;0,Calcs!I283,Calcs!H283),3))</f>
        <v>1.18</v>
      </c>
      <c r="M283" s="25">
        <f>IF(VLOOKUP(B283,AmmoTypeFactors,8,FALSE),"None",'Ammo Input'!L283)</f>
        <v>1</v>
      </c>
      <c r="N283">
        <f>'Ammo Input'!O283</f>
        <v>500</v>
      </c>
      <c r="O283" t="e">
        <f>ROUND((P283*0.0036+SUMPRODUCT(Q283:AB283,VLOOKUP($Q$1:$AB$1,IngredientStats,2,FALSE)))/N283*IF('Ammo Input'!R283,0.5,1),2)</f>
        <v>#VALUE!</v>
      </c>
      <c r="P283" t="e">
        <f>(SUMPRODUCT(Q283:AB283,VLOOKUP($Q$1:$AB$1,IngredientStats,4,FALSE))*VLOOKUP(B283,AmmoTypeFactors,14,FALSE)*IF('Ammo Input'!R283,1.1,1))</f>
        <v>#VALUE!</v>
      </c>
      <c r="Q283">
        <f>IFERROR(__xludf.DUMMYFUNCTION("((IF(NOT(OR(REGEXMATCH(B279, ""Arrow""), B279 = ""Javelin"", B279 = ""Stick bomb"")), ROUNDUP(('Ammo Input'!E279 / 1000) * N279)) + IF(VLOOKUP(B279, AmmoTypeFactors, 9, FALSE) = ""Steel"", ROUNDUP(('Ammo Input'!H279 -'Ammo Input'!M279) * MAX(IF('Ammo Inpu"&amp;"t'!J279 &gt; 0, 'Ammo Input'!J279, 1), 1) * N279 / 1000))) / 'Ingredient stats'!$C$2) * IF(ISBLANK(VLOOKUP(B279,AmmoTypeFactors,15,False)),1,VLOOKUP(B279,AmmoTypeFactors,15,False))"),4)</f>
        <v>4</v>
      </c>
      <c r="R283">
        <f>IFERROR(__xludf.DUMMYFUNCTION("ROUNDUP((IF(REGEXMATCH(B279, ""Arrow"") + (B279 = ""Javelin""), 'Ammo Input'!E279) + IF(VLOOKUP(B279, AmmoTypeFactors, 9, FALSE) = ""Wood"", 'Ammo Input'!H279) + IF(B279 = ""Stick bomb"", 'Ammo Input'!E279)) * N279 / 'Ingredient stats'!$C$12 / 1000)"),0)</f>
        <v>0</v>
      </c>
      <c r="S283">
        <v>0</v>
      </c>
      <c r="T283">
        <v>0</v>
      </c>
      <c r="U283">
        <f>IF(VLOOKUP(B283,AmmoTypeFactors,9,FALSE)="Plasteel",ROUNDUP(('Ammo Input'!H283*MAX(IF('Ammo Input'!J283&gt;0,'Ammo Input'!J283,1)*N283/1000/'Ingredient stats'!$C$4)),0),0)</f>
        <v>0</v>
      </c>
      <c r="V283">
        <f>IFERROR(__xludf.DUMMYFUNCTION("ROUNDUP(IF(ISBLANK(VLOOKUP(B279,AmmoTypeFactors,16,False)),1,VLOOKUP(B279,AmmoTypeFactors,16,False)) * (IFS(REGEXMATCH(B279, ""EMP""), 'Ammo Input'!M279 * N279 / 'Ingredient stats'!$C$5, REGEXMATCH(B279, ""Charge""), (U279^0.75), true, 0) + (IF(VLOOKUP(B2"&amp;"79, AmmoTypeFactors, 10, false), 2,0) + IF('Ammo Input'!P279, 2,0) + IF('Ammo Input'!Q279,MIN(ROUNDUP(0.2*('Ammo Input'!H279/1000)*'Ammo Input'!O279,0),20),0))))"),0)</f>
        <v>0</v>
      </c>
      <c r="W283">
        <v>0</v>
      </c>
      <c r="X283">
        <v>0</v>
      </c>
      <c r="Y283">
        <v>0</v>
      </c>
      <c r="Z283">
        <v>0</v>
      </c>
      <c r="AA283">
        <v>0</v>
      </c>
      <c r="AB283" s="30">
        <f>IF(B283="Sling Bullet (Stone)",ROUNDUP(D283*0.02*E283/'Ingredient stats'!$C$8,0),0)</f>
        <v>0</v>
      </c>
      <c r="AC283" t="str">
        <f t="shared" si="16"/>
        <v>None</v>
      </c>
      <c r="AD283" t="str">
        <f>IF(OR(B283="Buck",B283="Bird",B283="Charge (Scatter)"),'Ammo Input'!J283,"None")</f>
        <v>None</v>
      </c>
      <c r="AE283" t="str">
        <f>_xlfn.IFS(ISTEXT(Calcs!N283),Calcs!N283,Calcs!N283&lt;=40,Calcs!N283,Calcs!N283&gt;41,"40")</f>
        <v>None</v>
      </c>
      <c r="AF283" t="str">
        <f>_xlfn.IFS(ISTEXT(Calcs!O283),Calcs!O283,Calcs!O283&lt;=80,Calcs!O283,Calcs!O283&gt;=81,"80")</f>
        <v>None</v>
      </c>
      <c r="AG283" s="25">
        <f t="shared" si="17"/>
        <v>1</v>
      </c>
      <c r="AH283" s="25">
        <f t="shared" si="18"/>
        <v>1.04</v>
      </c>
      <c r="AI283" s="25">
        <f t="shared" si="19"/>
        <v>1</v>
      </c>
    </row>
    <row r="284" ht="14.4" spans="1:35">
      <c r="A284" s="24" t="str">
        <f>'Ammo Input'!A284</f>
        <v>.40 SW</v>
      </c>
      <c r="B284" t="str">
        <f>'Ammo Input'!B284</f>
        <v>FMJ</v>
      </c>
      <c r="C284">
        <f>ROUNDUP(('Ammo Input'!C284*(MAX('Ammo Input'!D284,'Ammo Input'!F284)*0.5)^2*PI())*3/1000000,2)</f>
        <v>0.01</v>
      </c>
      <c r="D284">
        <f>ROUNDUP(('Ammo Input'!E284+'Ammo Input'!H284*IF('Ammo Input'!J284&lt;&gt;"",MAX('Ammo Input'!J284,1),1))/1000,3)</f>
        <v>0.016</v>
      </c>
      <c r="E284">
        <f>MIN(5000,MAX(25,CEILING(Calcs!L284,_xlfn.IFS(Calcs!L284&lt;100,25,Calcs!L284&lt;250,50,Calcs!L284&lt;1000,250,Calcs!L284&gt;=1000,1000))))</f>
        <v>5000</v>
      </c>
      <c r="F284">
        <f>ROUNDUP('Ammo Input'!G284^(3/4),0)</f>
        <v>80</v>
      </c>
      <c r="G284">
        <f>ROUND((0.5*((IF(OR(B284="HEAT",B284="HEDP"),'Ammo Input'!N284,'Ammo Input'!H284)/1000)*(IF(B284="HEAT",9000,IF(B284="HEDP",1500,'Ammo Input'!G284))^2))),0)</f>
        <v>618</v>
      </c>
      <c r="H284" s="25" t="str">
        <f>CONCATENATE(IF((B284="Foam")+(B284="Smoke"),"-",ROUND(Calcs!D284,0))," ",VLOOKUP(B284,AmmoTypeFactors,5,FALSE))</f>
        <v>12 Bullet</v>
      </c>
      <c r="I284" s="25" t="str">
        <f>IF(Calcs!E284=0,"None",CONCATENATE(ROUND(Calcs!E284,0)," ",VLOOKUP(B284,AmmoTypeFactors,6,FALSE)))</f>
        <v>None</v>
      </c>
      <c r="J284">
        <f>MROUND(2.42*'Ammo Input'!M284^(1/3)*VLOOKUP(B284,AmmoTypeFactors,3,FALSE),0.5)</f>
        <v>0</v>
      </c>
      <c r="K284" s="25" t="str">
        <f>IF(VLOOKUP(B284,AmmoTypeFactors,12,FALSE),MROUND(J284/3,0.5),"None")</f>
        <v>None</v>
      </c>
      <c r="L284" s="25">
        <f>IF(VLOOKUP(B284,AmmoTypeFactors,8,FALSE),"None",ROUNDUP(IF(Calcs!I284&gt;0,Calcs!I284,Calcs!H284),3))</f>
        <v>12.36</v>
      </c>
      <c r="M284" s="25">
        <f>IF(VLOOKUP(B284,AmmoTypeFactors,8,FALSE),"None",'Ammo Input'!L284)</f>
        <v>4</v>
      </c>
      <c r="N284">
        <f>'Ammo Input'!O284</f>
        <v>500</v>
      </c>
      <c r="O284" t="e">
        <f>ROUND((P284*0.0036+SUMPRODUCT(Q284:AB284,VLOOKUP($Q$1:$AB$1,IngredientStats,2,FALSE)))/N284*IF('Ammo Input'!R284,0.5,1),2)</f>
        <v>#VALUE!</v>
      </c>
      <c r="P284" t="e">
        <f>(SUMPRODUCT(Q284:AB284,VLOOKUP($Q$1:$AB$1,IngredientStats,4,FALSE))*VLOOKUP(B284,AmmoTypeFactors,14,FALSE)*IF('Ammo Input'!R284,1.1,1))</f>
        <v>#VALUE!</v>
      </c>
      <c r="Q284">
        <f>IFERROR(__xludf.DUMMYFUNCTION("((IF(NOT(OR(REGEXMATCH(B280, ""Arrow""), B280 = ""Javelin"", B280 = ""Stick bomb"")), ROUNDUP(('Ammo Input'!E280 / 1000) * N280)) + IF(VLOOKUP(B280, AmmoTypeFactors, 9, FALSE) = ""Steel"", ROUNDUP(('Ammo Input'!H280 -'Ammo Input'!M280) * MAX(IF('Ammo Inpu"&amp;"t'!J280 &gt; 0, 'Ammo Input'!J280, 1), 1) * N280 / 1000))) / 'Ingredient stats'!$C$2) * IF(ISBLANK(VLOOKUP(B280,AmmoTypeFactors,15,False)),1,VLOOKUP(B280,AmmoTypeFactors,15,False))"),18)</f>
        <v>18</v>
      </c>
      <c r="R284">
        <f>IFERROR(__xludf.DUMMYFUNCTION("ROUNDUP((IF(REGEXMATCH(B280, ""Arrow"") + (B280 = ""Javelin""), 'Ammo Input'!E280) + IF(VLOOKUP(B280, AmmoTypeFactors, 9, FALSE) = ""Wood"", 'Ammo Input'!H280) + IF(B280 = ""Stick bomb"", 'Ammo Input'!E280)) * N280 / 'Ingredient stats'!$C$12 / 1000)"),0)</f>
        <v>0</v>
      </c>
      <c r="S284">
        <v>0</v>
      </c>
      <c r="T284">
        <v>0</v>
      </c>
      <c r="U284">
        <f>IF(VLOOKUP(B284,AmmoTypeFactors,9,FALSE)="Plasteel",ROUNDUP(('Ammo Input'!H284*MAX(IF('Ammo Input'!J284&gt;0,'Ammo Input'!J284,1)*N284/1000/'Ingredient stats'!$C$4)),0),0)</f>
        <v>0</v>
      </c>
      <c r="V284">
        <f>IFERROR(__xludf.DUMMYFUNCTION("ROUNDUP(IF(ISBLANK(VLOOKUP(B280,AmmoTypeFactors,16,False)),1,VLOOKUP(B280,AmmoTypeFactors,16,False)) * (IFS(REGEXMATCH(B280, ""EMP""), 'Ammo Input'!M280 * N280 / 'Ingredient stats'!$C$5, REGEXMATCH(B280, ""Charge""), (U280^0.75), true, 0) + (IF(VLOOKUP(B2"&amp;"80, AmmoTypeFactors, 10, false), 2,0) + IF('Ammo Input'!P280, 2,0) + IF('Ammo Input'!Q280,MIN(ROUNDUP(0.2*('Ammo Input'!H280/1000)*'Ammo Input'!O280,0),20),0))))"),0)</f>
        <v>0</v>
      </c>
      <c r="W284">
        <v>0</v>
      </c>
      <c r="X284">
        <v>0</v>
      </c>
      <c r="Y284">
        <v>0</v>
      </c>
      <c r="Z284">
        <v>0</v>
      </c>
      <c r="AA284">
        <v>0</v>
      </c>
      <c r="AB284" s="30">
        <f>IF(B284="Sling Bullet (Stone)",ROUNDUP(D284*0.02*E284/'Ingredient stats'!$C$8,0),0)</f>
        <v>0</v>
      </c>
      <c r="AC284" t="str">
        <f t="shared" si="16"/>
        <v>None</v>
      </c>
      <c r="AD284" t="str">
        <f>IF(OR(B284="Buck",B284="Bird",B284="Charge (Scatter)"),'Ammo Input'!J284,"None")</f>
        <v>None</v>
      </c>
      <c r="AE284" t="str">
        <f>_xlfn.IFS(ISTEXT(Calcs!N284),Calcs!N284,Calcs!N284&lt;=40,Calcs!N284,Calcs!N284&gt;41,"40")</f>
        <v>None</v>
      </c>
      <c r="AF284" t="str">
        <f>_xlfn.IFS(ISTEXT(Calcs!O284),Calcs!O284,Calcs!O284&lt;=80,Calcs!O284,Calcs!O284&gt;=81,"80")</f>
        <v>None</v>
      </c>
      <c r="AG284" s="25">
        <f t="shared" si="17"/>
        <v>1</v>
      </c>
      <c r="AH284" s="25">
        <f t="shared" si="18"/>
        <v>1.32</v>
      </c>
      <c r="AI284" s="25">
        <f t="shared" si="19"/>
        <v>1</v>
      </c>
    </row>
    <row r="285" ht="14.4" spans="1:35">
      <c r="A285" s="24" t="str">
        <f>'Ammo Input'!A285</f>
        <v>.40 SW</v>
      </c>
      <c r="B285" t="str">
        <f>'Ammo Input'!B285</f>
        <v>AP</v>
      </c>
      <c r="C285">
        <f>ROUNDUP(('Ammo Input'!C285*(MAX('Ammo Input'!D285,'Ammo Input'!F285)*0.5)^2*PI())*3/1000000,2)</f>
        <v>0.01</v>
      </c>
      <c r="D285">
        <f>ROUNDUP(('Ammo Input'!E285+'Ammo Input'!H285*IF('Ammo Input'!J285&lt;&gt;"",MAX('Ammo Input'!J285,1),1))/1000,3)</f>
        <v>0.016</v>
      </c>
      <c r="E285">
        <f>MIN(5000,MAX(25,CEILING(Calcs!L285,_xlfn.IFS(Calcs!L285&lt;100,25,Calcs!L285&lt;250,50,Calcs!L285&lt;1000,250,Calcs!L285&gt;=1000,1000))))</f>
        <v>5000</v>
      </c>
      <c r="F285">
        <f>ROUNDUP('Ammo Input'!G285^(3/4),0)</f>
        <v>80</v>
      </c>
      <c r="G285">
        <f>ROUND((0.5*((IF(OR(B285="HEAT",B285="HEDP"),'Ammo Input'!N285,'Ammo Input'!H285)/1000)*(IF(B285="HEAT",9000,IF(B285="HEDP",1500,'Ammo Input'!G285))^2))),0)</f>
        <v>618</v>
      </c>
      <c r="H285" s="25" t="str">
        <f>CONCATENATE(IF((B285="Foam")+(B285="Smoke"),"-",ROUND(Calcs!D285,0))," ",VLOOKUP(B285,AmmoTypeFactors,5,FALSE))</f>
        <v>8 Bullet</v>
      </c>
      <c r="I285" s="25" t="str">
        <f>IF(Calcs!E285=0,"None",CONCATENATE(ROUND(Calcs!E285,0)," ",VLOOKUP(B285,AmmoTypeFactors,6,FALSE)))</f>
        <v>None</v>
      </c>
      <c r="J285">
        <f>MROUND(2.42*'Ammo Input'!M285^(1/3)*VLOOKUP(B285,AmmoTypeFactors,3,FALSE),0.5)</f>
        <v>0</v>
      </c>
      <c r="K285" s="25" t="str">
        <f>IF(VLOOKUP(B285,AmmoTypeFactors,12,FALSE),MROUND(J285/3,0.5),"None")</f>
        <v>None</v>
      </c>
      <c r="L285" s="25">
        <f>IF(VLOOKUP(B285,AmmoTypeFactors,8,FALSE),"None",ROUNDUP(IF(Calcs!I285&gt;0,Calcs!I285,Calcs!H285),3))</f>
        <v>12.36</v>
      </c>
      <c r="M285" s="25">
        <f>IF(VLOOKUP(B285,AmmoTypeFactors,8,FALSE),"None",'Ammo Input'!L285)</f>
        <v>8</v>
      </c>
      <c r="N285">
        <f>'Ammo Input'!O285</f>
        <v>500</v>
      </c>
      <c r="O285" t="e">
        <f>ROUND((P285*0.0036+SUMPRODUCT(Q285:AB285,VLOOKUP($Q$1:$AB$1,IngredientStats,2,FALSE)))/N285*IF('Ammo Input'!R285,0.5,1),2)</f>
        <v>#VALUE!</v>
      </c>
      <c r="P285" t="e">
        <f>(SUMPRODUCT(Q285:AB285,VLOOKUP($Q$1:$AB$1,IngredientStats,4,FALSE))*VLOOKUP(B285,AmmoTypeFactors,14,FALSE)*IF('Ammo Input'!R285,1.1,1))</f>
        <v>#VALUE!</v>
      </c>
      <c r="Q285">
        <f>IFERROR(__xludf.DUMMYFUNCTION("((IF(NOT(OR(REGEXMATCH(B281, ""Arrow""), B281 = ""Javelin"", B281 = ""Stick bomb"")), ROUNDUP(('Ammo Input'!E281 / 1000) * N281)) + IF(VLOOKUP(B281, AmmoTypeFactors, 9, FALSE) = ""Steel"", ROUNDUP(('Ammo Input'!H281 -'Ammo Input'!M281) * MAX(IF('Ammo Inpu"&amp;"t'!J281 &gt; 0, 'Ammo Input'!J281, 1), 1) * N281 / 1000))) / 'Ingredient stats'!$C$2) * IF(ISBLANK(VLOOKUP(B281,AmmoTypeFactors,15,False)),1,VLOOKUP(B281,AmmoTypeFactors,15,False))"),18)</f>
        <v>18</v>
      </c>
      <c r="R285">
        <f>IFERROR(__xludf.DUMMYFUNCTION("ROUNDUP((IF(REGEXMATCH(B281, ""Arrow"") + (B281 = ""Javelin""), 'Ammo Input'!E281) + IF(VLOOKUP(B281, AmmoTypeFactors, 9, FALSE) = ""Wood"", 'Ammo Input'!H281) + IF(B281 = ""Stick bomb"", 'Ammo Input'!E281)) * N281 / 'Ingredient stats'!$C$12 / 1000)"),0)</f>
        <v>0</v>
      </c>
      <c r="S285">
        <v>0</v>
      </c>
      <c r="T285">
        <v>0</v>
      </c>
      <c r="U285">
        <f>IF(VLOOKUP(B285,AmmoTypeFactors,9,FALSE)="Plasteel",ROUNDUP(('Ammo Input'!H285*MAX(IF('Ammo Input'!J285&gt;0,'Ammo Input'!J285,1)*N285/1000/'Ingredient stats'!$C$4)),0),0)</f>
        <v>0</v>
      </c>
      <c r="V285">
        <f>IFERROR(__xludf.DUMMYFUNCTION("ROUNDUP(IF(ISBLANK(VLOOKUP(B281,AmmoTypeFactors,16,False)),1,VLOOKUP(B281,AmmoTypeFactors,16,False)) * (IFS(REGEXMATCH(B281, ""EMP""), 'Ammo Input'!M281 * N281 / 'Ingredient stats'!$C$5, REGEXMATCH(B281, ""Charge""), (U281^0.75), true, 0) + (IF(VLOOKUP(B2"&amp;"81, AmmoTypeFactors, 10, false), 2,0) + IF('Ammo Input'!P281, 2,0) + IF('Ammo Input'!Q281,MIN(ROUNDUP(0.2*('Ammo Input'!H281/1000)*'Ammo Input'!O281,0),20),0))))"),0)</f>
        <v>0</v>
      </c>
      <c r="W285">
        <v>0</v>
      </c>
      <c r="X285">
        <v>0</v>
      </c>
      <c r="Y285">
        <v>0</v>
      </c>
      <c r="Z285">
        <v>0</v>
      </c>
      <c r="AA285">
        <v>0</v>
      </c>
      <c r="AB285" s="30">
        <f>IF(B285="Sling Bullet (Stone)",ROUNDUP(D285*0.02*E285/'Ingredient stats'!$C$8,0),0)</f>
        <v>0</v>
      </c>
      <c r="AC285" t="str">
        <f t="shared" si="16"/>
        <v>None</v>
      </c>
      <c r="AD285" t="str">
        <f>IF(OR(B285="Buck",B285="Bird",B285="Charge (Scatter)"),'Ammo Input'!J285,"None")</f>
        <v>None</v>
      </c>
      <c r="AE285" t="str">
        <f>_xlfn.IFS(ISTEXT(Calcs!N285),Calcs!N285,Calcs!N285&lt;=40,Calcs!N285,Calcs!N285&gt;41,"40")</f>
        <v>None</v>
      </c>
      <c r="AF285" t="str">
        <f>_xlfn.IFS(ISTEXT(Calcs!O285),Calcs!O285,Calcs!O285&lt;=80,Calcs!O285,Calcs!O285&gt;=81,"80")</f>
        <v>None</v>
      </c>
      <c r="AG285" s="25">
        <f t="shared" si="17"/>
        <v>1</v>
      </c>
      <c r="AH285" s="25">
        <f t="shared" si="18"/>
        <v>1.32</v>
      </c>
      <c r="AI285" s="25">
        <f t="shared" si="19"/>
        <v>1</v>
      </c>
    </row>
    <row r="286" ht="14.4" spans="1:35">
      <c r="A286" s="24" t="str">
        <f>'Ammo Input'!A286</f>
        <v>.40 SW</v>
      </c>
      <c r="B286" t="str">
        <f>'Ammo Input'!B286</f>
        <v>HP</v>
      </c>
      <c r="C286">
        <f>ROUNDUP(('Ammo Input'!C286*(MAX('Ammo Input'!D286,'Ammo Input'!F286)*0.5)^2*PI())*3/1000000,2)</f>
        <v>0.01</v>
      </c>
      <c r="D286">
        <f>ROUNDUP(('Ammo Input'!E286+'Ammo Input'!H286*IF('Ammo Input'!J286&lt;&gt;"",MAX('Ammo Input'!J286,1),1))/1000,3)</f>
        <v>0.016</v>
      </c>
      <c r="E286">
        <f>MIN(5000,MAX(25,CEILING(Calcs!L286,_xlfn.IFS(Calcs!L286&lt;100,25,Calcs!L286&lt;250,50,Calcs!L286&lt;1000,250,Calcs!L286&gt;=1000,1000))))</f>
        <v>5000</v>
      </c>
      <c r="F286">
        <f>ROUNDUP('Ammo Input'!G286^(3/4),0)</f>
        <v>80</v>
      </c>
      <c r="G286">
        <f>ROUND((0.5*((IF(OR(B286="HEAT",B286="HEDP"),'Ammo Input'!N286,'Ammo Input'!H286)/1000)*(IF(B286="HEAT",9000,IF(B286="HEDP",1500,'Ammo Input'!G286))^2))),0)</f>
        <v>618</v>
      </c>
      <c r="H286" s="25" t="str">
        <f>CONCATENATE(IF((B286="Foam")+(B286="Smoke"),"-",ROUND(Calcs!D286,0))," ",VLOOKUP(B286,AmmoTypeFactors,5,FALSE))</f>
        <v>15 Bullet</v>
      </c>
      <c r="I286" s="25" t="str">
        <f>IF(Calcs!E286=0,"None",CONCATENATE(ROUND(Calcs!E286,0)," ",VLOOKUP(B286,AmmoTypeFactors,6,FALSE)))</f>
        <v>None</v>
      </c>
      <c r="J286">
        <f>MROUND(2.42*'Ammo Input'!M286^(1/3)*VLOOKUP(B286,AmmoTypeFactors,3,FALSE),0.5)</f>
        <v>0</v>
      </c>
      <c r="K286" s="25" t="str">
        <f>IF(VLOOKUP(B286,AmmoTypeFactors,12,FALSE),MROUND(J286/3,0.5),"None")</f>
        <v>None</v>
      </c>
      <c r="L286" s="25">
        <f>IF(VLOOKUP(B286,AmmoTypeFactors,8,FALSE),"None",ROUNDUP(IF(Calcs!I286&gt;0,Calcs!I286,Calcs!H286),3))</f>
        <v>12.36</v>
      </c>
      <c r="M286" s="25">
        <f>IF(VLOOKUP(B286,AmmoTypeFactors,8,FALSE),"None",'Ammo Input'!L286)</f>
        <v>2</v>
      </c>
      <c r="N286">
        <f>'Ammo Input'!O286</f>
        <v>500</v>
      </c>
      <c r="O286" t="e">
        <f>ROUND((P286*0.0036+SUMPRODUCT(Q286:AB286,VLOOKUP($Q$1:$AB$1,IngredientStats,2,FALSE)))/N286*IF('Ammo Input'!R286,0.5,1),2)</f>
        <v>#VALUE!</v>
      </c>
      <c r="P286" t="e">
        <f>(SUMPRODUCT(Q286:AB286,VLOOKUP($Q$1:$AB$1,IngredientStats,4,FALSE))*VLOOKUP(B286,AmmoTypeFactors,14,FALSE)*IF('Ammo Input'!R286,1.1,1))</f>
        <v>#VALUE!</v>
      </c>
      <c r="Q286">
        <f>IFERROR(__xludf.DUMMYFUNCTION("((IF(NOT(OR(REGEXMATCH(B282, ""Arrow""), B282 = ""Javelin"", B282 = ""Stick bomb"")), ROUNDUP(('Ammo Input'!E282 / 1000) * N282)) + IF(VLOOKUP(B282, AmmoTypeFactors, 9, FALSE) = ""Steel"", ROUNDUP(('Ammo Input'!H282 -'Ammo Input'!M282) * MAX(IF('Ammo Inpu"&amp;"t'!J282 &gt; 0, 'Ammo Input'!J282, 1), 1) * N282 / 1000))) / 'Ingredient stats'!$C$2) * IF(ISBLANK(VLOOKUP(B282,AmmoTypeFactors,15,False)),1,VLOOKUP(B282,AmmoTypeFactors,15,False))"),18)</f>
        <v>18</v>
      </c>
      <c r="R286">
        <f>IFERROR(__xludf.DUMMYFUNCTION("ROUNDUP((IF(REGEXMATCH(B282, ""Arrow"") + (B282 = ""Javelin""), 'Ammo Input'!E282) + IF(VLOOKUP(B282, AmmoTypeFactors, 9, FALSE) = ""Wood"", 'Ammo Input'!H282) + IF(B282 = ""Stick bomb"", 'Ammo Input'!E282)) * N282 / 'Ingredient stats'!$C$12 / 1000)"),0)</f>
        <v>0</v>
      </c>
      <c r="S286">
        <v>0</v>
      </c>
      <c r="T286">
        <v>0</v>
      </c>
      <c r="U286">
        <f>IF(VLOOKUP(B286,AmmoTypeFactors,9,FALSE)="Plasteel",ROUNDUP(('Ammo Input'!H286*MAX(IF('Ammo Input'!J286&gt;0,'Ammo Input'!J286,1)*N286/1000/'Ingredient stats'!$C$4)),0),0)</f>
        <v>0</v>
      </c>
      <c r="V286">
        <f>IFERROR(__xludf.DUMMYFUNCTION("ROUNDUP(IF(ISBLANK(VLOOKUP(B282,AmmoTypeFactors,16,False)),1,VLOOKUP(B282,AmmoTypeFactors,16,False)) * (IFS(REGEXMATCH(B282, ""EMP""), 'Ammo Input'!M282 * N282 / 'Ingredient stats'!$C$5, REGEXMATCH(B282, ""Charge""), (U282^0.75), true, 0) + (IF(VLOOKUP(B2"&amp;"82, AmmoTypeFactors, 10, false), 2,0) + IF('Ammo Input'!P282, 2,0) + IF('Ammo Input'!Q282,MIN(ROUNDUP(0.2*('Ammo Input'!H282/1000)*'Ammo Input'!O282,0),20),0))))"),0)</f>
        <v>0</v>
      </c>
      <c r="W286">
        <v>0</v>
      </c>
      <c r="X286">
        <v>0</v>
      </c>
      <c r="Y286">
        <v>0</v>
      </c>
      <c r="Z286">
        <v>0</v>
      </c>
      <c r="AA286">
        <v>0</v>
      </c>
      <c r="AB286" s="30">
        <f>IF(B286="Sling Bullet (Stone)",ROUNDUP(D286*0.02*E286/'Ingredient stats'!$C$8,0),0)</f>
        <v>0</v>
      </c>
      <c r="AC286" t="str">
        <f t="shared" si="16"/>
        <v>None</v>
      </c>
      <c r="AD286" t="str">
        <f>IF(OR(B286="Buck",B286="Bird",B286="Charge (Scatter)"),'Ammo Input'!J286,"None")</f>
        <v>None</v>
      </c>
      <c r="AE286" t="str">
        <f>_xlfn.IFS(ISTEXT(Calcs!N286),Calcs!N286,Calcs!N286&lt;=40,Calcs!N286,Calcs!N286&gt;41,"40")</f>
        <v>None</v>
      </c>
      <c r="AF286" t="str">
        <f>_xlfn.IFS(ISTEXT(Calcs!O286),Calcs!O286,Calcs!O286&lt;=80,Calcs!O286,Calcs!O286&gt;=81,"80")</f>
        <v>None</v>
      </c>
      <c r="AG286" s="25">
        <f t="shared" si="17"/>
        <v>1</v>
      </c>
      <c r="AH286" s="25">
        <f t="shared" si="18"/>
        <v>1.32</v>
      </c>
      <c r="AI286" s="25">
        <f t="shared" si="19"/>
        <v>1</v>
      </c>
    </row>
    <row r="287" ht="14.4" spans="1:35">
      <c r="A287" s="24" t="str">
        <f>'Ammo Input'!A287</f>
        <v>9x21mm Gyurza</v>
      </c>
      <c r="B287" t="str">
        <f>'Ammo Input'!B287</f>
        <v>FMJ</v>
      </c>
      <c r="C287">
        <f>ROUNDUP(('Ammo Input'!C287*(MAX('Ammo Input'!D287,'Ammo Input'!F287)*0.5)^2*PI())*3/1000000,2)</f>
        <v>0.01</v>
      </c>
      <c r="D287">
        <f>ROUNDUP(('Ammo Input'!E287+'Ammo Input'!H287*IF('Ammo Input'!J287&lt;&gt;"",MAX('Ammo Input'!J287,1),1))/1000,3)</f>
        <v>0.023</v>
      </c>
      <c r="E287">
        <f>MIN(5000,MAX(25,CEILING(Calcs!L287,_xlfn.IFS(Calcs!L287&lt;100,25,Calcs!L287&lt;250,50,Calcs!L287&lt;1000,250,Calcs!L287&gt;=1000,1000))))</f>
        <v>5000</v>
      </c>
      <c r="F287">
        <f>ROUNDUP('Ammo Input'!G287^(3/4),0)</f>
        <v>92</v>
      </c>
      <c r="G287">
        <f>ROUND((0.5*((IF(OR(B287="HEAT",B287="HEDP"),'Ammo Input'!N287,'Ammo Input'!H287)/1000)*(IF(B287="HEAT",9000,IF(B287="HEDP",1500,'Ammo Input'!G287))^2))),0)</f>
        <v>563</v>
      </c>
      <c r="H287" s="25" t="str">
        <f>CONCATENATE(IF((B287="Foam")+(B287="Smoke"),"-",ROUND(Calcs!D287,0))," ",VLOOKUP(B287,AmmoTypeFactors,5,FALSE))</f>
        <v>11 Bullet</v>
      </c>
      <c r="I287" s="25" t="str">
        <f>IF(Calcs!E287=0,"None",CONCATENATE(ROUND(Calcs!E287,0)," ",VLOOKUP(B287,AmmoTypeFactors,6,FALSE)))</f>
        <v>None</v>
      </c>
      <c r="J287">
        <f>MROUND(2.42*'Ammo Input'!M287^(1/3)*VLOOKUP(B287,AmmoTypeFactors,3,FALSE),0.5)</f>
        <v>0</v>
      </c>
      <c r="K287" s="25" t="str">
        <f>IF(VLOOKUP(B287,AmmoTypeFactors,12,FALSE),MROUND(J287/3,0.5),"None")</f>
        <v>None</v>
      </c>
      <c r="L287" s="25">
        <f>IF(VLOOKUP(B287,AmmoTypeFactors,8,FALSE),"None",ROUNDUP(IF(Calcs!I287&gt;0,Calcs!I287,Calcs!H287),3))</f>
        <v>11.26</v>
      </c>
      <c r="M287" s="25">
        <f>IF(VLOOKUP(B287,AmmoTypeFactors,8,FALSE),"None",'Ammo Input'!L287)</f>
        <v>3</v>
      </c>
      <c r="N287">
        <f>'Ammo Input'!O287</f>
        <v>500</v>
      </c>
      <c r="O287" t="e">
        <f>ROUND((P287*0.0036+SUMPRODUCT(Q287:AB287,VLOOKUP($Q$1:$AB$1,IngredientStats,2,FALSE)))/N287*IF('Ammo Input'!R287,0.5,1),2)</f>
        <v>#VALUE!</v>
      </c>
      <c r="P287" t="e">
        <f>(SUMPRODUCT(Q287:AB287,VLOOKUP($Q$1:$AB$1,IngredientStats,4,FALSE))*VLOOKUP(B287,AmmoTypeFactors,14,FALSE)*IF('Ammo Input'!R287,1.1,1))</f>
        <v>#VALUE!</v>
      </c>
      <c r="Q287">
        <f>IFERROR(__xludf.DUMMYFUNCTION("((IF(NOT(OR(REGEXMATCH(B283, ""Arrow""), B283 = ""Javelin"", B283 = ""Stick bomb"")), ROUNDUP(('Ammo Input'!E283 / 1000) * N283)) + IF(VLOOKUP(B283, AmmoTypeFactors, 9, FALSE) = ""Steel"", ROUNDUP(('Ammo Input'!H283 -'Ammo Input'!M283) * MAX(IF('Ammo Inpu"&amp;"t'!J283 &gt; 0, 'Ammo Input'!J283, 1), 1) * N283 / 1000))) / 'Ingredient stats'!$C$2) * IF(ISBLANK(VLOOKUP(B283,AmmoTypeFactors,15,False)),1,VLOOKUP(B283,AmmoTypeFactors,15,False))"),24)</f>
        <v>24</v>
      </c>
      <c r="R287">
        <f>IFERROR(__xludf.DUMMYFUNCTION("ROUNDUP((IF(REGEXMATCH(B283, ""Arrow"") + (B283 = ""Javelin""), 'Ammo Input'!E283) + IF(VLOOKUP(B283, AmmoTypeFactors, 9, FALSE) = ""Wood"", 'Ammo Input'!H283) + IF(B283 = ""Stick bomb"", 'Ammo Input'!E283)) * N283 / 'Ingredient stats'!$C$12 / 1000)"),0)</f>
        <v>0</v>
      </c>
      <c r="S287">
        <v>0</v>
      </c>
      <c r="T287">
        <v>0</v>
      </c>
      <c r="U287">
        <f>IF(VLOOKUP(B287,AmmoTypeFactors,9,FALSE)="Plasteel",ROUNDUP(('Ammo Input'!H287*MAX(IF('Ammo Input'!J287&gt;0,'Ammo Input'!J287,1)*N287/1000/'Ingredient stats'!$C$4)),0),0)</f>
        <v>0</v>
      </c>
      <c r="V287">
        <f>IFERROR(__xludf.DUMMYFUNCTION("ROUNDUP(IF(ISBLANK(VLOOKUP(B283,AmmoTypeFactors,16,False)),1,VLOOKUP(B283,AmmoTypeFactors,16,False)) * (IFS(REGEXMATCH(B283, ""EMP""), 'Ammo Input'!M283 * N283 / 'Ingredient stats'!$C$5, REGEXMATCH(B283, ""Charge""), (U283^0.75), true, 0) + (IF(VLOOKUP(B2"&amp;"83, AmmoTypeFactors, 10, false), 2,0) + IF('Ammo Input'!P283, 2,0) + IF('Ammo Input'!Q283,MIN(ROUNDUP(0.2*('Ammo Input'!H283/1000)*'Ammo Input'!O283,0),20),0))))"),0)</f>
        <v>0</v>
      </c>
      <c r="W287">
        <v>0</v>
      </c>
      <c r="X287">
        <v>0</v>
      </c>
      <c r="Y287">
        <v>0</v>
      </c>
      <c r="Z287">
        <v>0</v>
      </c>
      <c r="AA287">
        <v>0</v>
      </c>
      <c r="AB287" s="30">
        <f>IF(B287="Sling Bullet (Stone)",ROUNDUP(D287*0.02*E287/'Ingredient stats'!$C$8,0),0)</f>
        <v>0</v>
      </c>
      <c r="AC287" t="str">
        <f t="shared" si="16"/>
        <v>None</v>
      </c>
      <c r="AD287" t="str">
        <f>IF(OR(B287="Buck",B287="Bird",B287="Charge (Scatter)"),'Ammo Input'!J287,"None")</f>
        <v>None</v>
      </c>
      <c r="AE287" t="str">
        <f>_xlfn.IFS(ISTEXT(Calcs!N287),Calcs!N287,Calcs!N287&lt;=40,Calcs!N287,Calcs!N287&gt;41,"40")</f>
        <v>None</v>
      </c>
      <c r="AF287" t="str">
        <f>_xlfn.IFS(ISTEXT(Calcs!O287),Calcs!O287,Calcs!O287&lt;=80,Calcs!O287,Calcs!O287&gt;=81,"80")</f>
        <v>None</v>
      </c>
      <c r="AG287" s="25">
        <f t="shared" si="17"/>
        <v>1</v>
      </c>
      <c r="AH287" s="25">
        <f t="shared" si="18"/>
        <v>1.52</v>
      </c>
      <c r="AI287" s="25">
        <f t="shared" si="19"/>
        <v>1</v>
      </c>
    </row>
    <row r="288" ht="14.4" spans="1:35">
      <c r="A288" s="24" t="str">
        <f>'Ammo Input'!A288</f>
        <v>9x21mm Gyurza</v>
      </c>
      <c r="B288" t="str">
        <f>'Ammo Input'!B288</f>
        <v>AP</v>
      </c>
      <c r="C288">
        <f>ROUNDUP(('Ammo Input'!C288*(MAX('Ammo Input'!D288,'Ammo Input'!F288)*0.5)^2*PI())*3/1000000,2)</f>
        <v>0.01</v>
      </c>
      <c r="D288">
        <f>ROUNDUP(('Ammo Input'!E288+'Ammo Input'!H288*IF('Ammo Input'!J288&lt;&gt;"",MAX('Ammo Input'!J288,1),1))/1000,3)</f>
        <v>0.023</v>
      </c>
      <c r="E288">
        <f>MIN(5000,MAX(25,CEILING(Calcs!L288,_xlfn.IFS(Calcs!L288&lt;100,25,Calcs!L288&lt;250,50,Calcs!L288&lt;1000,250,Calcs!L288&gt;=1000,1000))))</f>
        <v>5000</v>
      </c>
      <c r="F288">
        <f>ROUNDUP('Ammo Input'!G288^(3/4),0)</f>
        <v>92</v>
      </c>
      <c r="G288">
        <f>ROUND((0.5*((IF(OR(B288="HEAT",B288="HEDP"),'Ammo Input'!N288,'Ammo Input'!H288)/1000)*(IF(B288="HEAT",9000,IF(B288="HEDP",1500,'Ammo Input'!G288))^2))),0)</f>
        <v>563</v>
      </c>
      <c r="H288" s="25" t="str">
        <f>CONCATENATE(IF((B288="Foam")+(B288="Smoke"),"-",ROUND(Calcs!D288,0))," ",VLOOKUP(B288,AmmoTypeFactors,5,FALSE))</f>
        <v>7 Bullet</v>
      </c>
      <c r="I288" s="25" t="str">
        <f>IF(Calcs!E288=0,"None",CONCATENATE(ROUND(Calcs!E288,0)," ",VLOOKUP(B288,AmmoTypeFactors,6,FALSE)))</f>
        <v>None</v>
      </c>
      <c r="J288">
        <f>MROUND(2.42*'Ammo Input'!M288^(1/3)*VLOOKUP(B288,AmmoTypeFactors,3,FALSE),0.5)</f>
        <v>0</v>
      </c>
      <c r="K288" s="25" t="str">
        <f>IF(VLOOKUP(B288,AmmoTypeFactors,12,FALSE),MROUND(J288/3,0.5),"None")</f>
        <v>None</v>
      </c>
      <c r="L288" s="25">
        <f>IF(VLOOKUP(B288,AmmoTypeFactors,8,FALSE),"None",ROUNDUP(IF(Calcs!I288&gt;0,Calcs!I288,Calcs!H288),3))</f>
        <v>11.26</v>
      </c>
      <c r="M288" s="25">
        <f>IF(VLOOKUP(B288,AmmoTypeFactors,8,FALSE),"None",'Ammo Input'!L288)</f>
        <v>6</v>
      </c>
      <c r="N288">
        <f>'Ammo Input'!O288</f>
        <v>500</v>
      </c>
      <c r="O288" t="e">
        <f>ROUND((P288*0.0036+SUMPRODUCT(Q288:AB288,VLOOKUP($Q$1:$AB$1,IngredientStats,2,FALSE)))/N288*IF('Ammo Input'!R288,0.5,1),2)</f>
        <v>#VALUE!</v>
      </c>
      <c r="P288" t="e">
        <f>(SUMPRODUCT(Q288:AB288,VLOOKUP($Q$1:$AB$1,IngredientStats,4,FALSE))*VLOOKUP(B288,AmmoTypeFactors,14,FALSE)*IF('Ammo Input'!R288,1.1,1))</f>
        <v>#VALUE!</v>
      </c>
      <c r="Q288">
        <f>IFERROR(__xludf.DUMMYFUNCTION("((IF(NOT(OR(REGEXMATCH(B284, ""Arrow""), B284 = ""Javelin"", B284 = ""Stick bomb"")), ROUNDUP(('Ammo Input'!E284 / 1000) * N284)) + IF(VLOOKUP(B284, AmmoTypeFactors, 9, FALSE) = ""Steel"", ROUNDUP(('Ammo Input'!H284 -'Ammo Input'!M284) * MAX(IF('Ammo Inpu"&amp;"t'!J284 &gt; 0, 'Ammo Input'!J284, 1), 1) * N284 / 1000))) / 'Ingredient stats'!$C$2) * IF(ISBLANK(VLOOKUP(B284,AmmoTypeFactors,15,False)),1,VLOOKUP(B284,AmmoTypeFactors,15,False))"),24)</f>
        <v>24</v>
      </c>
      <c r="R288">
        <f>IFERROR(__xludf.DUMMYFUNCTION("ROUNDUP((IF(REGEXMATCH(B284, ""Arrow"") + (B284 = ""Javelin""), 'Ammo Input'!E284) + IF(VLOOKUP(B284, AmmoTypeFactors, 9, FALSE) = ""Wood"", 'Ammo Input'!H284) + IF(B284 = ""Stick bomb"", 'Ammo Input'!E284)) * N284 / 'Ingredient stats'!$C$12 / 1000)"),0)</f>
        <v>0</v>
      </c>
      <c r="S288">
        <v>0</v>
      </c>
      <c r="T288">
        <v>0</v>
      </c>
      <c r="U288">
        <f>IF(VLOOKUP(B288,AmmoTypeFactors,9,FALSE)="Plasteel",ROUNDUP(('Ammo Input'!H288*MAX(IF('Ammo Input'!J288&gt;0,'Ammo Input'!J288,1)*N288/1000/'Ingredient stats'!$C$4)),0),0)</f>
        <v>0</v>
      </c>
      <c r="V288">
        <f>IFERROR(__xludf.DUMMYFUNCTION("ROUNDUP(IF(ISBLANK(VLOOKUP(B284,AmmoTypeFactors,16,False)),1,VLOOKUP(B284,AmmoTypeFactors,16,False)) * (IFS(REGEXMATCH(B284, ""EMP""), 'Ammo Input'!M284 * N284 / 'Ingredient stats'!$C$5, REGEXMATCH(B284, ""Charge""), (U284^0.75), true, 0) + (IF(VLOOKUP(B2"&amp;"84, AmmoTypeFactors, 10, false), 2,0) + IF('Ammo Input'!P284, 2,0) + IF('Ammo Input'!Q284,MIN(ROUNDUP(0.2*('Ammo Input'!H284/1000)*'Ammo Input'!O284,0),20),0))))"),0)</f>
        <v>0</v>
      </c>
      <c r="W288">
        <v>0</v>
      </c>
      <c r="X288">
        <v>0</v>
      </c>
      <c r="Y288">
        <v>0</v>
      </c>
      <c r="Z288">
        <v>0</v>
      </c>
      <c r="AA288">
        <v>0</v>
      </c>
      <c r="AB288" s="30">
        <f>IF(B288="Sling Bullet (Stone)",ROUNDUP(D288*0.02*E288/'Ingredient stats'!$C$8,0),0)</f>
        <v>0</v>
      </c>
      <c r="AC288" t="str">
        <f t="shared" si="16"/>
        <v>None</v>
      </c>
      <c r="AD288" t="str">
        <f>IF(OR(B288="Buck",B288="Bird",B288="Charge (Scatter)"),'Ammo Input'!J288,"None")</f>
        <v>None</v>
      </c>
      <c r="AE288" t="str">
        <f>_xlfn.IFS(ISTEXT(Calcs!N288),Calcs!N288,Calcs!N288&lt;=40,Calcs!N288,Calcs!N288&gt;41,"40")</f>
        <v>None</v>
      </c>
      <c r="AF288" t="str">
        <f>_xlfn.IFS(ISTEXT(Calcs!O288),Calcs!O288,Calcs!O288&lt;=80,Calcs!O288,Calcs!O288&gt;=81,"80")</f>
        <v>None</v>
      </c>
      <c r="AG288" s="25">
        <f t="shared" si="17"/>
        <v>1</v>
      </c>
      <c r="AH288" s="25">
        <f t="shared" si="18"/>
        <v>1.52</v>
      </c>
      <c r="AI288" s="25">
        <f t="shared" si="19"/>
        <v>1</v>
      </c>
    </row>
    <row r="289" ht="14.4" spans="1:35">
      <c r="A289" s="24" t="str">
        <f>'Ammo Input'!A289</f>
        <v>9x21mm Gyurza</v>
      </c>
      <c r="B289" t="str">
        <f>'Ammo Input'!B289</f>
        <v>HP</v>
      </c>
      <c r="C289">
        <f>ROUNDUP(('Ammo Input'!C289*(MAX('Ammo Input'!D289,'Ammo Input'!F289)*0.5)^2*PI())*3/1000000,2)</f>
        <v>0.01</v>
      </c>
      <c r="D289">
        <f>ROUNDUP(('Ammo Input'!E289+'Ammo Input'!H289*IF('Ammo Input'!J289&lt;&gt;"",MAX('Ammo Input'!J289,1),1))/1000,3)</f>
        <v>0.023</v>
      </c>
      <c r="E289">
        <f>MIN(5000,MAX(25,CEILING(Calcs!L289,_xlfn.IFS(Calcs!L289&lt;100,25,Calcs!L289&lt;250,50,Calcs!L289&lt;1000,250,Calcs!L289&gt;=1000,1000))))</f>
        <v>5000</v>
      </c>
      <c r="F289">
        <f>ROUNDUP('Ammo Input'!G289^(3/4),0)</f>
        <v>92</v>
      </c>
      <c r="G289">
        <f>ROUND((0.5*((IF(OR(B289="HEAT",B289="HEDP"),'Ammo Input'!N289,'Ammo Input'!H289)/1000)*(IF(B289="HEAT",9000,IF(B289="HEDP",1500,'Ammo Input'!G289))^2))),0)</f>
        <v>563</v>
      </c>
      <c r="H289" s="25" t="str">
        <f>CONCATENATE(IF((B289="Foam")+(B289="Smoke"),"-",ROUND(Calcs!D289,0))," ",VLOOKUP(B289,AmmoTypeFactors,5,FALSE))</f>
        <v>14 Bullet</v>
      </c>
      <c r="I289" s="25" t="str">
        <f>IF(Calcs!E289=0,"None",CONCATENATE(ROUND(Calcs!E289,0)," ",VLOOKUP(B289,AmmoTypeFactors,6,FALSE)))</f>
        <v>None</v>
      </c>
      <c r="J289">
        <f>MROUND(2.42*'Ammo Input'!M289^(1/3)*VLOOKUP(B289,AmmoTypeFactors,3,FALSE),0.5)</f>
        <v>0</v>
      </c>
      <c r="K289" s="25" t="str">
        <f>IF(VLOOKUP(B289,AmmoTypeFactors,12,FALSE),MROUND(J289/3,0.5),"None")</f>
        <v>None</v>
      </c>
      <c r="L289" s="25">
        <f>IF(VLOOKUP(B289,AmmoTypeFactors,8,FALSE),"None",ROUNDUP(IF(Calcs!I289&gt;0,Calcs!I289,Calcs!H289),3))</f>
        <v>11.26</v>
      </c>
      <c r="M289" s="25">
        <f>IF(VLOOKUP(B289,AmmoTypeFactors,8,FALSE),"None",'Ammo Input'!L289)</f>
        <v>2</v>
      </c>
      <c r="N289">
        <f>'Ammo Input'!O289</f>
        <v>500</v>
      </c>
      <c r="O289" t="e">
        <f>ROUND((P289*0.0036+SUMPRODUCT(Q289:AB289,VLOOKUP($Q$1:$AB$1,IngredientStats,2,FALSE)))/N289*IF('Ammo Input'!R289,0.5,1),2)</f>
        <v>#VALUE!</v>
      </c>
      <c r="P289" t="e">
        <f>(SUMPRODUCT(Q289:AB289,VLOOKUP($Q$1:$AB$1,IngredientStats,4,FALSE))*VLOOKUP(B289,AmmoTypeFactors,14,FALSE)*IF('Ammo Input'!R289,1.1,1))</f>
        <v>#VALUE!</v>
      </c>
      <c r="Q289">
        <f>IFERROR(__xludf.DUMMYFUNCTION("((IF(NOT(OR(REGEXMATCH(B285, ""Arrow""), B285 = ""Javelin"", B285 = ""Stick bomb"")), ROUNDUP(('Ammo Input'!E285 / 1000) * N285)) + IF(VLOOKUP(B285, AmmoTypeFactors, 9, FALSE) = ""Steel"", ROUNDUP(('Ammo Input'!H285 -'Ammo Input'!M285) * MAX(IF('Ammo Inpu"&amp;"t'!J285 &gt; 0, 'Ammo Input'!J285, 1), 1) * N285 / 1000))) / 'Ingredient stats'!$C$2) * IF(ISBLANK(VLOOKUP(B285,AmmoTypeFactors,15,False)),1,VLOOKUP(B285,AmmoTypeFactors,15,False))"),24)</f>
        <v>24</v>
      </c>
      <c r="R289">
        <f>IFERROR(__xludf.DUMMYFUNCTION("ROUNDUP((IF(REGEXMATCH(B285, ""Arrow"") + (B285 = ""Javelin""), 'Ammo Input'!E285) + IF(VLOOKUP(B285, AmmoTypeFactors, 9, FALSE) = ""Wood"", 'Ammo Input'!H285) + IF(B285 = ""Stick bomb"", 'Ammo Input'!E285)) * N285 / 'Ingredient stats'!$C$12 / 1000)"),0)</f>
        <v>0</v>
      </c>
      <c r="S289">
        <v>0</v>
      </c>
      <c r="T289">
        <v>0</v>
      </c>
      <c r="U289">
        <f>IF(VLOOKUP(B289,AmmoTypeFactors,9,FALSE)="Plasteel",ROUNDUP(('Ammo Input'!H289*MAX(IF('Ammo Input'!J289&gt;0,'Ammo Input'!J289,1)*N289/1000/'Ingredient stats'!$C$4)),0),0)</f>
        <v>0</v>
      </c>
      <c r="V289">
        <f>IFERROR(__xludf.DUMMYFUNCTION("ROUNDUP(IF(ISBLANK(VLOOKUP(B285,AmmoTypeFactors,16,False)),1,VLOOKUP(B285,AmmoTypeFactors,16,False)) * (IFS(REGEXMATCH(B285, ""EMP""), 'Ammo Input'!M285 * N285 / 'Ingredient stats'!$C$5, REGEXMATCH(B285, ""Charge""), (U285^0.75), true, 0) + (IF(VLOOKUP(B2"&amp;"85, AmmoTypeFactors, 10, false), 2,0) + IF('Ammo Input'!P285, 2,0) + IF('Ammo Input'!Q285,MIN(ROUNDUP(0.2*('Ammo Input'!H285/1000)*'Ammo Input'!O285,0),20),0))))"),0)</f>
        <v>0</v>
      </c>
      <c r="W289">
        <v>0</v>
      </c>
      <c r="X289">
        <v>0</v>
      </c>
      <c r="Y289">
        <v>0</v>
      </c>
      <c r="Z289">
        <v>0</v>
      </c>
      <c r="AA289">
        <v>0</v>
      </c>
      <c r="AB289" s="30">
        <f>IF(B289="Sling Bullet (Stone)",ROUNDUP(D289*0.02*E289/'Ingredient stats'!$C$8,0),0)</f>
        <v>0</v>
      </c>
      <c r="AC289" t="str">
        <f t="shared" si="16"/>
        <v>None</v>
      </c>
      <c r="AD289" t="str">
        <f>IF(OR(B289="Buck",B289="Bird",B289="Charge (Scatter)"),'Ammo Input'!J289,"None")</f>
        <v>None</v>
      </c>
      <c r="AE289" t="str">
        <f>_xlfn.IFS(ISTEXT(Calcs!N289),Calcs!N289,Calcs!N289&lt;=40,Calcs!N289,Calcs!N289&gt;41,"40")</f>
        <v>None</v>
      </c>
      <c r="AF289" t="str">
        <f>_xlfn.IFS(ISTEXT(Calcs!O289),Calcs!O289,Calcs!O289&lt;=80,Calcs!O289,Calcs!O289&gt;=81,"80")</f>
        <v>None</v>
      </c>
      <c r="AG289" s="25">
        <f t="shared" si="17"/>
        <v>1</v>
      </c>
      <c r="AH289" s="25">
        <f t="shared" si="18"/>
        <v>1.52</v>
      </c>
      <c r="AI289" s="25">
        <f t="shared" si="19"/>
        <v>1</v>
      </c>
    </row>
    <row r="290" ht="14.4" spans="1:35">
      <c r="A290" s="24" t="str">
        <f>'Ammo Input'!A290</f>
        <v>9mm Makarov</v>
      </c>
      <c r="B290" t="str">
        <f>'Ammo Input'!B290</f>
        <v>FMJ</v>
      </c>
      <c r="C290">
        <f>ROUNDUP(('Ammo Input'!C290*(MAX('Ammo Input'!D290,'Ammo Input'!F290)*0.5)^2*PI())*3/1000000,2)</f>
        <v>0.01</v>
      </c>
      <c r="D290">
        <f>ROUNDUP(('Ammo Input'!E290+'Ammo Input'!H290*IF('Ammo Input'!J290&lt;&gt;"",MAX('Ammo Input'!J290,1),1))/1000,3)</f>
        <v>0.011</v>
      </c>
      <c r="E290">
        <f>MIN(5000,MAX(25,CEILING(Calcs!L290,_xlfn.IFS(Calcs!L290&lt;100,25,Calcs!L290&lt;250,50,Calcs!L290&lt;1000,250,Calcs!L290&gt;=1000,1000))))</f>
        <v>5000</v>
      </c>
      <c r="F290">
        <f>ROUNDUP('Ammo Input'!G290^(3/4),0)</f>
        <v>76</v>
      </c>
      <c r="G290">
        <f>ROUND((0.5*((IF(OR(B290="HEAT",B290="HEDP"),'Ammo Input'!N290,'Ammo Input'!H290)/1000)*(IF(B290="HEAT",9000,IF(B290="HEDP",1500,'Ammo Input'!G290))^2))),0)</f>
        <v>305</v>
      </c>
      <c r="H290" s="25" t="str">
        <f>CONCATENATE(IF((B290="Foam")+(B290="Smoke"),"-",ROUND(Calcs!D290,0))," ",VLOOKUP(B290,AmmoTypeFactors,5,FALSE))</f>
        <v>9 Bullet</v>
      </c>
      <c r="I290" s="25" t="str">
        <f>IF(Calcs!E290=0,"None",CONCATENATE(ROUND(Calcs!E290,0)," ",VLOOKUP(B290,AmmoTypeFactors,6,FALSE)))</f>
        <v>None</v>
      </c>
      <c r="J290">
        <f>MROUND(2.42*'Ammo Input'!M290^(1/3)*VLOOKUP(B290,AmmoTypeFactors,3,FALSE),0.5)</f>
        <v>0</v>
      </c>
      <c r="K290" s="25" t="str">
        <f>IF(VLOOKUP(B290,AmmoTypeFactors,12,FALSE),MROUND(J290/3,0.5),"None")</f>
        <v>None</v>
      </c>
      <c r="L290" s="25">
        <f>IF(VLOOKUP(B290,AmmoTypeFactors,8,FALSE),"None",ROUNDUP(IF(Calcs!I290&gt;0,Calcs!I290,Calcs!H290),3))</f>
        <v>6.1</v>
      </c>
      <c r="M290" s="25">
        <f>IF(VLOOKUP(B290,AmmoTypeFactors,8,FALSE),"None",'Ammo Input'!L290)</f>
        <v>3</v>
      </c>
      <c r="N290">
        <f>'Ammo Input'!O290</f>
        <v>500</v>
      </c>
      <c r="O290" t="e">
        <f>ROUND((P290*0.0036+SUMPRODUCT(Q290:AB290,VLOOKUP($Q$1:$AB$1,IngredientStats,2,FALSE)))/N290*IF('Ammo Input'!R290,0.5,1),2)</f>
        <v>#VALUE!</v>
      </c>
      <c r="P290" t="e">
        <f>(SUMPRODUCT(Q290:AB290,VLOOKUP($Q$1:$AB$1,IngredientStats,4,FALSE))*VLOOKUP(B290,AmmoTypeFactors,14,FALSE)*IF('Ammo Input'!R290,1.1,1))</f>
        <v>#VALUE!</v>
      </c>
      <c r="Q290">
        <f>IFERROR(__xludf.DUMMYFUNCTION("((IF(NOT(OR(REGEXMATCH(B286, ""Arrow""), B286 = ""Javelin"", B286 = ""Stick bomb"")), ROUNDUP(('Ammo Input'!E286 / 1000) * N286)) + IF(VLOOKUP(B286, AmmoTypeFactors, 9, FALSE) = ""Steel"", ROUNDUP(('Ammo Input'!H286 -'Ammo Input'!M286) * MAX(IF('Ammo Inpu"&amp;"t'!J286 &gt; 0, 'Ammo Input'!J286, 1), 1) * N286 / 1000))) / 'Ingredient stats'!$C$2) * IF(ISBLANK(VLOOKUP(B286,AmmoTypeFactors,15,False)),1,VLOOKUP(B286,AmmoTypeFactors,15,False))"),12)</f>
        <v>12</v>
      </c>
      <c r="R290">
        <f>IFERROR(__xludf.DUMMYFUNCTION("ROUNDUP((IF(REGEXMATCH(B286, ""Arrow"") + (B286 = ""Javelin""), 'Ammo Input'!E286) + IF(VLOOKUP(B286, AmmoTypeFactors, 9, FALSE) = ""Wood"", 'Ammo Input'!H286) + IF(B286 = ""Stick bomb"", 'Ammo Input'!E286)) * N286 / 'Ingredient stats'!$C$12 / 1000)"),0)</f>
        <v>0</v>
      </c>
      <c r="S290">
        <v>0</v>
      </c>
      <c r="T290">
        <v>0</v>
      </c>
      <c r="U290">
        <f>IF(VLOOKUP(B290,AmmoTypeFactors,9,FALSE)="Plasteel",ROUNDUP(('Ammo Input'!H290*MAX(IF('Ammo Input'!J290&gt;0,'Ammo Input'!J290,1)*N290/1000/'Ingredient stats'!$C$4)),0),0)</f>
        <v>0</v>
      </c>
      <c r="V290">
        <f>IFERROR(__xludf.DUMMYFUNCTION("ROUNDUP(IF(ISBLANK(VLOOKUP(B286,AmmoTypeFactors,16,False)),1,VLOOKUP(B286,AmmoTypeFactors,16,False)) * (IFS(REGEXMATCH(B286, ""EMP""), 'Ammo Input'!M286 * N286 / 'Ingredient stats'!$C$5, REGEXMATCH(B286, ""Charge""), (U286^0.75), true, 0) + (IF(VLOOKUP(B2"&amp;"86, AmmoTypeFactors, 10, false), 2,0) + IF('Ammo Input'!P286, 2,0) + IF('Ammo Input'!Q286,MIN(ROUNDUP(0.2*('Ammo Input'!H286/1000)*'Ammo Input'!O286,0),20),0))))"),0)</f>
        <v>0</v>
      </c>
      <c r="W290">
        <v>0</v>
      </c>
      <c r="X290">
        <v>0</v>
      </c>
      <c r="Y290">
        <v>0</v>
      </c>
      <c r="Z290">
        <v>0</v>
      </c>
      <c r="AA290">
        <v>0</v>
      </c>
      <c r="AB290" s="30">
        <f>IF(B290="Sling Bullet (Stone)",ROUNDUP(D290*0.02*E290/'Ingredient stats'!$C$8,0),0)</f>
        <v>0</v>
      </c>
      <c r="AC290" t="str">
        <f t="shared" si="16"/>
        <v>None</v>
      </c>
      <c r="AD290" t="str">
        <f>IF(OR(B290="Buck",B290="Bird",B290="Charge (Scatter)"),'Ammo Input'!J290,"None")</f>
        <v>None</v>
      </c>
      <c r="AE290" t="str">
        <f>_xlfn.IFS(ISTEXT(Calcs!N290),Calcs!N290,Calcs!N290&lt;=40,Calcs!N290,Calcs!N290&gt;41,"40")</f>
        <v>None</v>
      </c>
      <c r="AF290" t="str">
        <f>_xlfn.IFS(ISTEXT(Calcs!O290),Calcs!O290,Calcs!O290&lt;=80,Calcs!O290,Calcs!O290&gt;=81,"80")</f>
        <v>None</v>
      </c>
      <c r="AG290" s="25">
        <f t="shared" si="17"/>
        <v>1</v>
      </c>
      <c r="AH290" s="25">
        <f t="shared" si="18"/>
        <v>1.26</v>
      </c>
      <c r="AI290" s="25">
        <f t="shared" si="19"/>
        <v>1</v>
      </c>
    </row>
    <row r="291" ht="14.4" spans="1:35">
      <c r="A291" s="24" t="str">
        <f>'Ammo Input'!A291</f>
        <v>9mm Makarov</v>
      </c>
      <c r="B291" t="str">
        <f>'Ammo Input'!B291</f>
        <v>AP</v>
      </c>
      <c r="C291">
        <f>ROUNDUP(('Ammo Input'!C291*(MAX('Ammo Input'!D291,'Ammo Input'!F291)*0.5)^2*PI())*3/1000000,2)</f>
        <v>0.01</v>
      </c>
      <c r="D291">
        <f>ROUNDUP(('Ammo Input'!E291+'Ammo Input'!H291*IF('Ammo Input'!J291&lt;&gt;"",MAX('Ammo Input'!J291,1),1))/1000,3)</f>
        <v>0.011</v>
      </c>
      <c r="E291">
        <f>MIN(5000,MAX(25,CEILING(Calcs!L291,_xlfn.IFS(Calcs!L291&lt;100,25,Calcs!L291&lt;250,50,Calcs!L291&lt;1000,250,Calcs!L291&gt;=1000,1000))))</f>
        <v>5000</v>
      </c>
      <c r="F291">
        <f>ROUNDUP('Ammo Input'!G291^(3/4),0)</f>
        <v>76</v>
      </c>
      <c r="G291">
        <f>ROUND((0.5*((IF(OR(B291="HEAT",B291="HEDP"),'Ammo Input'!N291,'Ammo Input'!H291)/1000)*(IF(B291="HEAT",9000,IF(B291="HEDP",1500,'Ammo Input'!G291))^2))),0)</f>
        <v>305</v>
      </c>
      <c r="H291" s="25" t="str">
        <f>CONCATENATE(IF((B291="Foam")+(B291="Smoke"),"-",ROUND(Calcs!D291,0))," ",VLOOKUP(B291,AmmoTypeFactors,5,FALSE))</f>
        <v>6 Bullet</v>
      </c>
      <c r="I291" s="25" t="str">
        <f>IF(Calcs!E291=0,"None",CONCATENATE(ROUND(Calcs!E291,0)," ",VLOOKUP(B291,AmmoTypeFactors,6,FALSE)))</f>
        <v>None</v>
      </c>
      <c r="J291">
        <f>MROUND(2.42*'Ammo Input'!M291^(1/3)*VLOOKUP(B291,AmmoTypeFactors,3,FALSE),0.5)</f>
        <v>0</v>
      </c>
      <c r="K291" s="25" t="str">
        <f>IF(VLOOKUP(B291,AmmoTypeFactors,12,FALSE),MROUND(J291/3,0.5),"None")</f>
        <v>None</v>
      </c>
      <c r="L291" s="25">
        <f>IF(VLOOKUP(B291,AmmoTypeFactors,8,FALSE),"None",ROUNDUP(IF(Calcs!I291&gt;0,Calcs!I291,Calcs!H291),3))</f>
        <v>6.1</v>
      </c>
      <c r="M291" s="25">
        <f>IF(VLOOKUP(B291,AmmoTypeFactors,8,FALSE),"None",'Ammo Input'!L291)</f>
        <v>6</v>
      </c>
      <c r="N291">
        <f>'Ammo Input'!O291</f>
        <v>500</v>
      </c>
      <c r="O291" t="e">
        <f>ROUND((P291*0.0036+SUMPRODUCT(Q291:AB291,VLOOKUP($Q$1:$AB$1,IngredientStats,2,FALSE)))/N291*IF('Ammo Input'!R291,0.5,1),2)</f>
        <v>#VALUE!</v>
      </c>
      <c r="P291" t="e">
        <f>(SUMPRODUCT(Q291:AB291,VLOOKUP($Q$1:$AB$1,IngredientStats,4,FALSE))*VLOOKUP(B291,AmmoTypeFactors,14,FALSE)*IF('Ammo Input'!R291,1.1,1))</f>
        <v>#VALUE!</v>
      </c>
      <c r="Q291">
        <f>IFERROR(__xludf.DUMMYFUNCTION("((IF(NOT(OR(REGEXMATCH(B287, ""Arrow""), B287 = ""Javelin"", B287 = ""Stick bomb"")), ROUNDUP(('Ammo Input'!E287 / 1000) * N287)) + IF(VLOOKUP(B287, AmmoTypeFactors, 9, FALSE) = ""Steel"", ROUNDUP(('Ammo Input'!H287 -'Ammo Input'!M287) * MAX(IF('Ammo Inpu"&amp;"t'!J287 &gt; 0, 'Ammo Input'!J287, 1), 1) * N287 / 1000))) / 'Ingredient stats'!$C$2) * IF(ISBLANK(VLOOKUP(B287,AmmoTypeFactors,15,False)),1,VLOOKUP(B287,AmmoTypeFactors,15,False))"),12)</f>
        <v>12</v>
      </c>
      <c r="R291">
        <f>IFERROR(__xludf.DUMMYFUNCTION("ROUNDUP((IF(REGEXMATCH(B287, ""Arrow"") + (B287 = ""Javelin""), 'Ammo Input'!E287) + IF(VLOOKUP(B287, AmmoTypeFactors, 9, FALSE) = ""Wood"", 'Ammo Input'!H287) + IF(B287 = ""Stick bomb"", 'Ammo Input'!E287)) * N287 / 'Ingredient stats'!$C$12 / 1000)"),0)</f>
        <v>0</v>
      </c>
      <c r="S291">
        <v>0</v>
      </c>
      <c r="T291">
        <v>0</v>
      </c>
      <c r="U291">
        <f>IF(VLOOKUP(B291,AmmoTypeFactors,9,FALSE)="Plasteel",ROUNDUP(('Ammo Input'!H291*MAX(IF('Ammo Input'!J291&gt;0,'Ammo Input'!J291,1)*N291/1000/'Ingredient stats'!$C$4)),0),0)</f>
        <v>0</v>
      </c>
      <c r="V291">
        <f>IFERROR(__xludf.DUMMYFUNCTION("ROUNDUP(IF(ISBLANK(VLOOKUP(B287,AmmoTypeFactors,16,False)),1,VLOOKUP(B287,AmmoTypeFactors,16,False)) * (IFS(REGEXMATCH(B287, ""EMP""), 'Ammo Input'!M287 * N287 / 'Ingredient stats'!$C$5, REGEXMATCH(B287, ""Charge""), (U287^0.75), true, 0) + (IF(VLOOKUP(B2"&amp;"87, AmmoTypeFactors, 10, false), 2,0) + IF('Ammo Input'!P287, 2,0) + IF('Ammo Input'!Q287,MIN(ROUNDUP(0.2*('Ammo Input'!H287/1000)*'Ammo Input'!O287,0),20),0))))"),0)</f>
        <v>0</v>
      </c>
      <c r="W291">
        <v>0</v>
      </c>
      <c r="X291">
        <v>0</v>
      </c>
      <c r="Y291">
        <v>0</v>
      </c>
      <c r="Z291">
        <v>0</v>
      </c>
      <c r="AA291">
        <v>0</v>
      </c>
      <c r="AB291" s="30">
        <f>IF(B291="Sling Bullet (Stone)",ROUNDUP(D291*0.02*E291/'Ingredient stats'!$C$8,0),0)</f>
        <v>0</v>
      </c>
      <c r="AC291" t="str">
        <f t="shared" si="16"/>
        <v>None</v>
      </c>
      <c r="AD291" t="str">
        <f>IF(OR(B291="Buck",B291="Bird",B291="Charge (Scatter)"),'Ammo Input'!J291,"None")</f>
        <v>None</v>
      </c>
      <c r="AE291" t="str">
        <f>_xlfn.IFS(ISTEXT(Calcs!N291),Calcs!N291,Calcs!N291&lt;=40,Calcs!N291,Calcs!N291&gt;41,"40")</f>
        <v>None</v>
      </c>
      <c r="AF291" t="str">
        <f>_xlfn.IFS(ISTEXT(Calcs!O291),Calcs!O291,Calcs!O291&lt;=80,Calcs!O291,Calcs!O291&gt;=81,"80")</f>
        <v>None</v>
      </c>
      <c r="AG291" s="25">
        <f t="shared" si="17"/>
        <v>1</v>
      </c>
      <c r="AH291" s="25">
        <f t="shared" si="18"/>
        <v>1.26</v>
      </c>
      <c r="AI291" s="25">
        <f t="shared" si="19"/>
        <v>1</v>
      </c>
    </row>
    <row r="292" ht="14.4" spans="1:35">
      <c r="A292" s="24" t="str">
        <f>'Ammo Input'!A292</f>
        <v>9mm Makarov</v>
      </c>
      <c r="B292" t="str">
        <f>'Ammo Input'!B292</f>
        <v>HP</v>
      </c>
      <c r="C292">
        <f>ROUNDUP(('Ammo Input'!C292*(MAX('Ammo Input'!D292,'Ammo Input'!F292)*0.5)^2*PI())*3/1000000,2)</f>
        <v>0.01</v>
      </c>
      <c r="D292">
        <f>ROUNDUP(('Ammo Input'!E292+'Ammo Input'!H292*IF('Ammo Input'!J292&lt;&gt;"",MAX('Ammo Input'!J292,1),1))/1000,3)</f>
        <v>0.011</v>
      </c>
      <c r="E292">
        <f>MIN(5000,MAX(25,CEILING(Calcs!L292,_xlfn.IFS(Calcs!L292&lt;100,25,Calcs!L292&lt;250,50,Calcs!L292&lt;1000,250,Calcs!L292&gt;=1000,1000))))</f>
        <v>5000</v>
      </c>
      <c r="F292">
        <f>ROUNDUP('Ammo Input'!G292^(3/4),0)</f>
        <v>76</v>
      </c>
      <c r="G292">
        <f>ROUND((0.5*((IF(OR(B292="HEAT",B292="HEDP"),'Ammo Input'!N292,'Ammo Input'!H292)/1000)*(IF(B292="HEAT",9000,IF(B292="HEDP",1500,'Ammo Input'!G292))^2))),0)</f>
        <v>305</v>
      </c>
      <c r="H292" s="25" t="str">
        <f>CONCATENATE(IF((B292="Foam")+(B292="Smoke"),"-",ROUND(Calcs!D292,0))," ",VLOOKUP(B292,AmmoTypeFactors,5,FALSE))</f>
        <v>12 Bullet</v>
      </c>
      <c r="I292" s="25" t="str">
        <f>IF(Calcs!E292=0,"None",CONCATENATE(ROUND(Calcs!E292,0)," ",VLOOKUP(B292,AmmoTypeFactors,6,FALSE)))</f>
        <v>None</v>
      </c>
      <c r="J292">
        <f>MROUND(2.42*'Ammo Input'!M292^(1/3)*VLOOKUP(B292,AmmoTypeFactors,3,FALSE),0.5)</f>
        <v>0</v>
      </c>
      <c r="K292" s="25" t="str">
        <f>IF(VLOOKUP(B292,AmmoTypeFactors,12,FALSE),MROUND(J292/3,0.5),"None")</f>
        <v>None</v>
      </c>
      <c r="L292" s="25">
        <f>IF(VLOOKUP(B292,AmmoTypeFactors,8,FALSE),"None",ROUNDUP(IF(Calcs!I292&gt;0,Calcs!I292,Calcs!H292),3))</f>
        <v>6.1</v>
      </c>
      <c r="M292" s="25">
        <f>IF(VLOOKUP(B292,AmmoTypeFactors,8,FALSE),"None",'Ammo Input'!L292)</f>
        <v>2</v>
      </c>
      <c r="N292">
        <f>'Ammo Input'!O292</f>
        <v>500</v>
      </c>
      <c r="O292" t="e">
        <f>ROUND((P292*0.0036+SUMPRODUCT(Q292:AB292,VLOOKUP($Q$1:$AB$1,IngredientStats,2,FALSE)))/N292*IF('Ammo Input'!R292,0.5,1),2)</f>
        <v>#VALUE!</v>
      </c>
      <c r="P292" t="e">
        <f>(SUMPRODUCT(Q292:AB292,VLOOKUP($Q$1:$AB$1,IngredientStats,4,FALSE))*VLOOKUP(B292,AmmoTypeFactors,14,FALSE)*IF('Ammo Input'!R292,1.1,1))</f>
        <v>#VALUE!</v>
      </c>
      <c r="Q292">
        <f>IFERROR(__xludf.DUMMYFUNCTION("((IF(NOT(OR(REGEXMATCH(B288, ""Arrow""), B288 = ""Javelin"", B288 = ""Stick bomb"")), ROUNDUP(('Ammo Input'!E288 / 1000) * N288)) + IF(VLOOKUP(B288, AmmoTypeFactors, 9, FALSE) = ""Steel"", ROUNDUP(('Ammo Input'!H288 -'Ammo Input'!M288) * MAX(IF('Ammo Inpu"&amp;"t'!J288 &gt; 0, 'Ammo Input'!J288, 1), 1) * N288 / 1000))) / 'Ingredient stats'!$C$2) * IF(ISBLANK(VLOOKUP(B288,AmmoTypeFactors,15,False)),1,VLOOKUP(B288,AmmoTypeFactors,15,False))"),12)</f>
        <v>12</v>
      </c>
      <c r="R292">
        <f>IFERROR(__xludf.DUMMYFUNCTION("ROUNDUP((IF(REGEXMATCH(B288, ""Arrow"") + (B288 = ""Javelin""), 'Ammo Input'!E288) + IF(VLOOKUP(B288, AmmoTypeFactors, 9, FALSE) = ""Wood"", 'Ammo Input'!H288) + IF(B288 = ""Stick bomb"", 'Ammo Input'!E288)) * N288 / 'Ingredient stats'!$C$12 / 1000)"),0)</f>
        <v>0</v>
      </c>
      <c r="S292">
        <v>0</v>
      </c>
      <c r="T292">
        <v>0</v>
      </c>
      <c r="U292">
        <f>IF(VLOOKUP(B292,AmmoTypeFactors,9,FALSE)="Plasteel",ROUNDUP(('Ammo Input'!H292*MAX(IF('Ammo Input'!J292&gt;0,'Ammo Input'!J292,1)*N292/1000/'Ingredient stats'!$C$4)),0),0)</f>
        <v>0</v>
      </c>
      <c r="V292">
        <f>IFERROR(__xludf.DUMMYFUNCTION("ROUNDUP(IF(ISBLANK(VLOOKUP(B288,AmmoTypeFactors,16,False)),1,VLOOKUP(B288,AmmoTypeFactors,16,False)) * (IFS(REGEXMATCH(B288, ""EMP""), 'Ammo Input'!M288 * N288 / 'Ingredient stats'!$C$5, REGEXMATCH(B288, ""Charge""), (U288^0.75), true, 0) + (IF(VLOOKUP(B2"&amp;"88, AmmoTypeFactors, 10, false), 2,0) + IF('Ammo Input'!P288, 2,0) + IF('Ammo Input'!Q288,MIN(ROUNDUP(0.2*('Ammo Input'!H288/1000)*'Ammo Input'!O288,0),20),0))))"),0)</f>
        <v>0</v>
      </c>
      <c r="W292">
        <v>0</v>
      </c>
      <c r="X292">
        <v>0</v>
      </c>
      <c r="Y292">
        <v>0</v>
      </c>
      <c r="Z292">
        <v>0</v>
      </c>
      <c r="AA292">
        <v>0</v>
      </c>
      <c r="AB292" s="30">
        <f>IF(B292="Sling Bullet (Stone)",ROUNDUP(D292*0.02*E292/'Ingredient stats'!$C$8,0),0)</f>
        <v>0</v>
      </c>
      <c r="AC292" t="str">
        <f t="shared" si="16"/>
        <v>None</v>
      </c>
      <c r="AD292" t="str">
        <f>IF(OR(B292="Buck",B292="Bird",B292="Charge (Scatter)"),'Ammo Input'!J292,"None")</f>
        <v>None</v>
      </c>
      <c r="AE292" t="str">
        <f>_xlfn.IFS(ISTEXT(Calcs!N292),Calcs!N292,Calcs!N292&lt;=40,Calcs!N292,Calcs!N292&gt;41,"40")</f>
        <v>None</v>
      </c>
      <c r="AF292" t="str">
        <f>_xlfn.IFS(ISTEXT(Calcs!O292),Calcs!O292,Calcs!O292&lt;=80,Calcs!O292,Calcs!O292&gt;=81,"80")</f>
        <v>None</v>
      </c>
      <c r="AG292" s="25">
        <f t="shared" si="17"/>
        <v>1</v>
      </c>
      <c r="AH292" s="25">
        <f t="shared" si="18"/>
        <v>1.26</v>
      </c>
      <c r="AI292" s="25">
        <f t="shared" si="19"/>
        <v>1</v>
      </c>
    </row>
    <row r="293" ht="14.4" spans="1:35">
      <c r="A293" s="24" t="str">
        <f>'Ammo Input'!A293</f>
        <v>.25 ACP</v>
      </c>
      <c r="B293" t="str">
        <f>'Ammo Input'!B293</f>
        <v>FMJ</v>
      </c>
      <c r="C293">
        <f>ROUNDUP(('Ammo Input'!C293*(MAX('Ammo Input'!D293,'Ammo Input'!F293)*0.5)^2*PI())*3/1000000,2)</f>
        <v>0.01</v>
      </c>
      <c r="D293">
        <f>ROUNDUP(('Ammo Input'!E293+'Ammo Input'!H293*IF('Ammo Input'!J293&lt;&gt;"",MAX('Ammo Input'!J293,1),1))/1000,3)</f>
        <v>0.006</v>
      </c>
      <c r="E293">
        <f>MIN(5000,MAX(25,CEILING(Calcs!L293,_xlfn.IFS(Calcs!L293&lt;100,25,Calcs!L293&lt;250,50,Calcs!L293&lt;1000,250,Calcs!L293&gt;=1000,1000))))</f>
        <v>5000</v>
      </c>
      <c r="F293">
        <f>ROUNDUP('Ammo Input'!G293^(3/4),0)</f>
        <v>60</v>
      </c>
      <c r="G293">
        <f>ROUND((0.5*((IF(OR(B293="HEAT",B293="HEDP"),'Ammo Input'!N293,'Ammo Input'!H293)/1000)*(IF(B293="HEAT",9000,IF(B293="HEDP",1500,'Ammo Input'!G293))^2))),0)</f>
        <v>85</v>
      </c>
      <c r="H293" s="25" t="str">
        <f>CONCATENATE(IF((B293="Foam")+(B293="Smoke"),"-",ROUND(Calcs!D293,0))," ",VLOOKUP(B293,AmmoTypeFactors,5,FALSE))</f>
        <v>5 Bullet</v>
      </c>
      <c r="I293" s="25" t="str">
        <f>IF(Calcs!E293=0,"None",CONCATENATE(ROUND(Calcs!E293,0)," ",VLOOKUP(B293,AmmoTypeFactors,6,FALSE)))</f>
        <v>None</v>
      </c>
      <c r="J293">
        <f>MROUND(2.42*'Ammo Input'!M293^(1/3)*VLOOKUP(B293,AmmoTypeFactors,3,FALSE),0.5)</f>
        <v>0</v>
      </c>
      <c r="K293" s="25" t="str">
        <f>IF(VLOOKUP(B293,AmmoTypeFactors,12,FALSE),MROUND(J293/3,0.5),"None")</f>
        <v>None</v>
      </c>
      <c r="L293" s="25">
        <f>IF(VLOOKUP(B293,AmmoTypeFactors,8,FALSE),"None",ROUNDUP(IF(Calcs!I293&gt;0,Calcs!I293,Calcs!H293),3))</f>
        <v>1.7</v>
      </c>
      <c r="M293" s="25">
        <f>IF(VLOOKUP(B293,AmmoTypeFactors,8,FALSE),"None",'Ammo Input'!L293)</f>
        <v>2.5</v>
      </c>
      <c r="N293">
        <f>'Ammo Input'!O293</f>
        <v>500</v>
      </c>
      <c r="O293" t="e">
        <f>ROUND((P293*0.0036+SUMPRODUCT(Q293:AB293,VLOOKUP($Q$1:$AB$1,IngredientStats,2,FALSE)))/N293*IF('Ammo Input'!R293,0.5,1),2)</f>
        <v>#VALUE!</v>
      </c>
      <c r="P293" t="e">
        <f>(SUMPRODUCT(Q293:AB293,VLOOKUP($Q$1:$AB$1,IngredientStats,4,FALSE))*VLOOKUP(B293,AmmoTypeFactors,14,FALSE)*IF('Ammo Input'!R293,1.1,1))</f>
        <v>#VALUE!</v>
      </c>
      <c r="Q293">
        <f>IFERROR(__xludf.DUMMYFUNCTION("((IF(NOT(OR(REGEXMATCH(B289, ""Arrow""), B289 = ""Javelin"", B289 = ""Stick bomb"")), ROUNDUP(('Ammo Input'!E289 / 1000) * N289)) + IF(VLOOKUP(B289, AmmoTypeFactors, 9, FALSE) = ""Steel"", ROUNDUP(('Ammo Input'!H289 -'Ammo Input'!M289) * MAX(IF('Ammo Inpu"&amp;"t'!J289 &gt; 0, 'Ammo Input'!J289, 1), 1) * N289 / 1000))) / 'Ingredient stats'!$C$2) * IF(ISBLANK(VLOOKUP(B289,AmmoTypeFactors,15,False)),1,VLOOKUP(B289,AmmoTypeFactors,15,False))"),8)</f>
        <v>8</v>
      </c>
      <c r="R293">
        <f>IFERROR(__xludf.DUMMYFUNCTION("ROUNDUP((IF(REGEXMATCH(B289, ""Arrow"") + (B289 = ""Javelin""), 'Ammo Input'!E289) + IF(VLOOKUP(B289, AmmoTypeFactors, 9, FALSE) = ""Wood"", 'Ammo Input'!H289) + IF(B289 = ""Stick bomb"", 'Ammo Input'!E289)) * N289 / 'Ingredient stats'!$C$12 / 1000)"),0)</f>
        <v>0</v>
      </c>
      <c r="S293">
        <v>0</v>
      </c>
      <c r="T293">
        <v>0</v>
      </c>
      <c r="U293">
        <f>IF(VLOOKUP(B293,AmmoTypeFactors,9,FALSE)="Plasteel",ROUNDUP(('Ammo Input'!H293*MAX(IF('Ammo Input'!J293&gt;0,'Ammo Input'!J293,1)*N293/1000/'Ingredient stats'!$C$4)),0),0)</f>
        <v>0</v>
      </c>
      <c r="V293">
        <f>IFERROR(__xludf.DUMMYFUNCTION("ROUNDUP(IF(ISBLANK(VLOOKUP(B289,AmmoTypeFactors,16,False)),1,VLOOKUP(B289,AmmoTypeFactors,16,False)) * (IFS(REGEXMATCH(B289, ""EMP""), 'Ammo Input'!M289 * N289 / 'Ingredient stats'!$C$5, REGEXMATCH(B289, ""Charge""), (U289^0.75), true, 0) + (IF(VLOOKUP(B2"&amp;"89, AmmoTypeFactors, 10, false), 2,0) + IF('Ammo Input'!P289, 2,0) + IF('Ammo Input'!Q289,MIN(ROUNDUP(0.2*('Ammo Input'!H289/1000)*'Ammo Input'!O289,0),20),0))))"),0)</f>
        <v>0</v>
      </c>
      <c r="W293">
        <v>0</v>
      </c>
      <c r="X293">
        <v>0</v>
      </c>
      <c r="Y293">
        <v>0</v>
      </c>
      <c r="Z293">
        <v>0</v>
      </c>
      <c r="AA293">
        <v>0</v>
      </c>
      <c r="AB293" s="30">
        <f>IF(B293="Sling Bullet (Stone)",ROUNDUP(D293*0.02*E293/'Ingredient stats'!$C$8,0),0)</f>
        <v>0</v>
      </c>
      <c r="AC293" t="str">
        <f t="shared" si="16"/>
        <v>None</v>
      </c>
      <c r="AD293" t="str">
        <f>IF(OR(B293="Buck",B293="Bird",B293="Charge (Scatter)"),'Ammo Input'!J293,"None")</f>
        <v>None</v>
      </c>
      <c r="AE293" t="str">
        <f>_xlfn.IFS(ISTEXT(Calcs!N293),Calcs!N293,Calcs!N293&lt;=40,Calcs!N293,Calcs!N293&gt;41,"40")</f>
        <v>None</v>
      </c>
      <c r="AF293" t="str">
        <f>_xlfn.IFS(ISTEXT(Calcs!O293),Calcs!O293,Calcs!O293&lt;=80,Calcs!O293,Calcs!O293&gt;=81,"80")</f>
        <v>None</v>
      </c>
      <c r="AG293" s="25">
        <f t="shared" si="17"/>
        <v>1</v>
      </c>
      <c r="AH293" s="25">
        <f t="shared" si="18"/>
        <v>1</v>
      </c>
      <c r="AI293" s="25">
        <f t="shared" si="19"/>
        <v>1</v>
      </c>
    </row>
    <row r="294" ht="14.4" spans="1:35">
      <c r="A294" s="24" t="str">
        <f>'Ammo Input'!A294</f>
        <v>.25 ACP</v>
      </c>
      <c r="B294" t="str">
        <f>'Ammo Input'!B294</f>
        <v>AP</v>
      </c>
      <c r="C294">
        <f>ROUNDUP(('Ammo Input'!C294*(MAX('Ammo Input'!D294,'Ammo Input'!F294)*0.5)^2*PI())*3/1000000,2)</f>
        <v>0.01</v>
      </c>
      <c r="D294">
        <f>ROUNDUP(('Ammo Input'!E294+'Ammo Input'!H294*IF('Ammo Input'!J294&lt;&gt;"",MAX('Ammo Input'!J294,1),1))/1000,3)</f>
        <v>0.006</v>
      </c>
      <c r="E294">
        <f>MIN(5000,MAX(25,CEILING(Calcs!L294,_xlfn.IFS(Calcs!L294&lt;100,25,Calcs!L294&lt;250,50,Calcs!L294&lt;1000,250,Calcs!L294&gt;=1000,1000))))</f>
        <v>5000</v>
      </c>
      <c r="F294">
        <f>ROUNDUP('Ammo Input'!G294^(3/4),0)</f>
        <v>60</v>
      </c>
      <c r="G294">
        <f>ROUND((0.5*((IF(OR(B294="HEAT",B294="HEDP"),'Ammo Input'!N294,'Ammo Input'!H294)/1000)*(IF(B294="HEAT",9000,IF(B294="HEDP",1500,'Ammo Input'!G294))^2))),0)</f>
        <v>85</v>
      </c>
      <c r="H294" s="25" t="str">
        <f>CONCATENATE(IF((B294="Foam")+(B294="Smoke"),"-",ROUND(Calcs!D294,0))," ",VLOOKUP(B294,AmmoTypeFactors,5,FALSE))</f>
        <v>3 Bullet</v>
      </c>
      <c r="I294" s="25" t="str">
        <f>IF(Calcs!E294=0,"None",CONCATENATE(ROUND(Calcs!E294,0)," ",VLOOKUP(B294,AmmoTypeFactors,6,FALSE)))</f>
        <v>None</v>
      </c>
      <c r="J294">
        <f>MROUND(2.42*'Ammo Input'!M294^(1/3)*VLOOKUP(B294,AmmoTypeFactors,3,FALSE),0.5)</f>
        <v>0</v>
      </c>
      <c r="K294" s="25" t="str">
        <f>IF(VLOOKUP(B294,AmmoTypeFactors,12,FALSE),MROUND(J294/3,0.5),"None")</f>
        <v>None</v>
      </c>
      <c r="L294" s="25">
        <f>IF(VLOOKUP(B294,AmmoTypeFactors,8,FALSE),"None",ROUNDUP(IF(Calcs!I294&gt;0,Calcs!I294,Calcs!H294),3))</f>
        <v>1.7</v>
      </c>
      <c r="M294" s="25">
        <f>IF(VLOOKUP(B294,AmmoTypeFactors,8,FALSE),"None",'Ammo Input'!L294)</f>
        <v>5</v>
      </c>
      <c r="N294">
        <f>'Ammo Input'!O294</f>
        <v>500</v>
      </c>
      <c r="O294" t="e">
        <f>ROUND((P294*0.0036+SUMPRODUCT(Q294:AB294,VLOOKUP($Q$1:$AB$1,IngredientStats,2,FALSE)))/N294*IF('Ammo Input'!R294,0.5,1),2)</f>
        <v>#VALUE!</v>
      </c>
      <c r="P294" t="e">
        <f>(SUMPRODUCT(Q294:AB294,VLOOKUP($Q$1:$AB$1,IngredientStats,4,FALSE))*VLOOKUP(B294,AmmoTypeFactors,14,FALSE)*IF('Ammo Input'!R294,1.1,1))</f>
        <v>#VALUE!</v>
      </c>
      <c r="Q294">
        <f>IFERROR(__xludf.DUMMYFUNCTION("((IF(NOT(OR(REGEXMATCH(B290, ""Arrow""), B290 = ""Javelin"", B290 = ""Stick bomb"")), ROUNDUP(('Ammo Input'!E290 / 1000) * N290)) + IF(VLOOKUP(B290, AmmoTypeFactors, 9, FALSE) = ""Steel"", ROUNDUP(('Ammo Input'!H290 -'Ammo Input'!M290) * MAX(IF('Ammo Inpu"&amp;"t'!J290 &gt; 0, 'Ammo Input'!J290, 1), 1) * N290 / 1000))) / 'Ingredient stats'!$C$2) * IF(ISBLANK(VLOOKUP(B290,AmmoTypeFactors,15,False)),1,VLOOKUP(B290,AmmoTypeFactors,15,False))"),8)</f>
        <v>8</v>
      </c>
      <c r="R294">
        <f>IFERROR(__xludf.DUMMYFUNCTION("ROUNDUP((IF(REGEXMATCH(B290, ""Arrow"") + (B290 = ""Javelin""), 'Ammo Input'!E290) + IF(VLOOKUP(B290, AmmoTypeFactors, 9, FALSE) = ""Wood"", 'Ammo Input'!H290) + IF(B290 = ""Stick bomb"", 'Ammo Input'!E290)) * N290 / 'Ingredient stats'!$C$12 / 1000)"),0)</f>
        <v>0</v>
      </c>
      <c r="S294">
        <v>0</v>
      </c>
      <c r="T294">
        <v>0</v>
      </c>
      <c r="U294">
        <f>IF(VLOOKUP(B294,AmmoTypeFactors,9,FALSE)="Plasteel",ROUNDUP(('Ammo Input'!H294*MAX(IF('Ammo Input'!J294&gt;0,'Ammo Input'!J294,1)*N294/1000/'Ingredient stats'!$C$4)),0),0)</f>
        <v>0</v>
      </c>
      <c r="V294">
        <f>IFERROR(__xludf.DUMMYFUNCTION("ROUNDUP(IF(ISBLANK(VLOOKUP(B290,AmmoTypeFactors,16,False)),1,VLOOKUP(B290,AmmoTypeFactors,16,False)) * (IFS(REGEXMATCH(B290, ""EMP""), 'Ammo Input'!M290 * N290 / 'Ingredient stats'!$C$5, REGEXMATCH(B290, ""Charge""), (U290^0.75), true, 0) + (IF(VLOOKUP(B2"&amp;"90, AmmoTypeFactors, 10, false), 2,0) + IF('Ammo Input'!P290, 2,0) + IF('Ammo Input'!Q290,MIN(ROUNDUP(0.2*('Ammo Input'!H290/1000)*'Ammo Input'!O290,0),20),0))))"),0)</f>
        <v>0</v>
      </c>
      <c r="W294">
        <v>0</v>
      </c>
      <c r="X294">
        <v>0</v>
      </c>
      <c r="Y294">
        <v>0</v>
      </c>
      <c r="Z294">
        <v>0</v>
      </c>
      <c r="AA294">
        <v>0</v>
      </c>
      <c r="AB294" s="30">
        <f>IF(B294="Sling Bullet (Stone)",ROUNDUP(D294*0.02*E294/'Ingredient stats'!$C$8,0),0)</f>
        <v>0</v>
      </c>
      <c r="AC294" t="str">
        <f t="shared" si="16"/>
        <v>None</v>
      </c>
      <c r="AD294" t="str">
        <f>IF(OR(B294="Buck",B294="Bird",B294="Charge (Scatter)"),'Ammo Input'!J294,"None")</f>
        <v>None</v>
      </c>
      <c r="AE294" t="str">
        <f>_xlfn.IFS(ISTEXT(Calcs!N294),Calcs!N294,Calcs!N294&lt;=40,Calcs!N294,Calcs!N294&gt;41,"40")</f>
        <v>None</v>
      </c>
      <c r="AF294" t="str">
        <f>_xlfn.IFS(ISTEXT(Calcs!O294),Calcs!O294,Calcs!O294&lt;=80,Calcs!O294,Calcs!O294&gt;=81,"80")</f>
        <v>None</v>
      </c>
      <c r="AG294" s="25">
        <f t="shared" si="17"/>
        <v>1</v>
      </c>
      <c r="AH294" s="25">
        <f t="shared" si="18"/>
        <v>1</v>
      </c>
      <c r="AI294" s="25">
        <f t="shared" si="19"/>
        <v>1</v>
      </c>
    </row>
    <row r="295" ht="14.4" spans="1:35">
      <c r="A295" s="24" t="str">
        <f>'Ammo Input'!A295</f>
        <v>.25 ACP</v>
      </c>
      <c r="B295" t="str">
        <f>'Ammo Input'!B295</f>
        <v>HP</v>
      </c>
      <c r="C295">
        <f>ROUNDUP(('Ammo Input'!C295*(MAX('Ammo Input'!D295,'Ammo Input'!F295)*0.5)^2*PI())*3/1000000,2)</f>
        <v>0.01</v>
      </c>
      <c r="D295">
        <f>ROUNDUP(('Ammo Input'!E295+'Ammo Input'!H295*IF('Ammo Input'!J295&lt;&gt;"",MAX('Ammo Input'!J295,1),1))/1000,3)</f>
        <v>0.006</v>
      </c>
      <c r="E295">
        <f>MIN(5000,MAX(25,CEILING(Calcs!L295,_xlfn.IFS(Calcs!L295&lt;100,25,Calcs!L295&lt;250,50,Calcs!L295&lt;1000,250,Calcs!L295&gt;=1000,1000))))</f>
        <v>5000</v>
      </c>
      <c r="F295">
        <f>ROUNDUP('Ammo Input'!G295^(3/4),0)</f>
        <v>60</v>
      </c>
      <c r="G295">
        <f>ROUND((0.5*((IF(OR(B295="HEAT",B295="HEDP"),'Ammo Input'!N295,'Ammo Input'!H295)/1000)*(IF(B295="HEAT",9000,IF(B295="HEDP",1500,'Ammo Input'!G295))^2))),0)</f>
        <v>85</v>
      </c>
      <c r="H295" s="25" t="str">
        <f>CONCATENATE(IF((B295="Foam")+(B295="Smoke"),"-",ROUND(Calcs!D295,0))," ",VLOOKUP(B295,AmmoTypeFactors,5,FALSE))</f>
        <v>7 Bullet</v>
      </c>
      <c r="I295" s="25" t="str">
        <f>IF(Calcs!E295=0,"None",CONCATENATE(ROUND(Calcs!E295,0)," ",VLOOKUP(B295,AmmoTypeFactors,6,FALSE)))</f>
        <v>None</v>
      </c>
      <c r="J295">
        <f>MROUND(2.42*'Ammo Input'!M295^(1/3)*VLOOKUP(B295,AmmoTypeFactors,3,FALSE),0.5)</f>
        <v>0</v>
      </c>
      <c r="K295" s="25" t="str">
        <f>IF(VLOOKUP(B295,AmmoTypeFactors,12,FALSE),MROUND(J295/3,0.5),"None")</f>
        <v>None</v>
      </c>
      <c r="L295" s="25">
        <f>IF(VLOOKUP(B295,AmmoTypeFactors,8,FALSE),"None",ROUNDUP(IF(Calcs!I295&gt;0,Calcs!I295,Calcs!H295),3))</f>
        <v>1.7</v>
      </c>
      <c r="M295" s="25">
        <f>IF(VLOOKUP(B295,AmmoTypeFactors,8,FALSE),"None",'Ammo Input'!L295)</f>
        <v>1.5</v>
      </c>
      <c r="N295">
        <f>'Ammo Input'!O295</f>
        <v>500</v>
      </c>
      <c r="O295" t="e">
        <f>ROUND((P295*0.0036+SUMPRODUCT(Q295:AB295,VLOOKUP($Q$1:$AB$1,IngredientStats,2,FALSE)))/N295*IF('Ammo Input'!R295,0.5,1),2)</f>
        <v>#VALUE!</v>
      </c>
      <c r="P295" t="e">
        <f>(SUMPRODUCT(Q295:AB295,VLOOKUP($Q$1:$AB$1,IngredientStats,4,FALSE))*VLOOKUP(B295,AmmoTypeFactors,14,FALSE)*IF('Ammo Input'!R295,1.1,1))</f>
        <v>#VALUE!</v>
      </c>
      <c r="Q295">
        <f>IFERROR(__xludf.DUMMYFUNCTION("((IF(NOT(OR(REGEXMATCH(B291, ""Arrow""), B291 = ""Javelin"", B291 = ""Stick bomb"")), ROUNDUP(('Ammo Input'!E291 / 1000) * N291)) + IF(VLOOKUP(B291, AmmoTypeFactors, 9, FALSE) = ""Steel"", ROUNDUP(('Ammo Input'!H291 -'Ammo Input'!M291) * MAX(IF('Ammo Inpu"&amp;"t'!J291 &gt; 0, 'Ammo Input'!J291, 1), 1) * N291 / 1000))) / 'Ingredient stats'!$C$2) * IF(ISBLANK(VLOOKUP(B291,AmmoTypeFactors,15,False)),1,VLOOKUP(B291,AmmoTypeFactors,15,False))"),8)</f>
        <v>8</v>
      </c>
      <c r="R295">
        <f>IFERROR(__xludf.DUMMYFUNCTION("ROUNDUP((IF(REGEXMATCH(B291, ""Arrow"") + (B291 = ""Javelin""), 'Ammo Input'!E291) + IF(VLOOKUP(B291, AmmoTypeFactors, 9, FALSE) = ""Wood"", 'Ammo Input'!H291) + IF(B291 = ""Stick bomb"", 'Ammo Input'!E291)) * N291 / 'Ingredient stats'!$C$12 / 1000)"),0)</f>
        <v>0</v>
      </c>
      <c r="S295">
        <v>0</v>
      </c>
      <c r="T295">
        <v>0</v>
      </c>
      <c r="U295">
        <f>IF(VLOOKUP(B295,AmmoTypeFactors,9,FALSE)="Plasteel",ROUNDUP(('Ammo Input'!H295*MAX(IF('Ammo Input'!J295&gt;0,'Ammo Input'!J295,1)*N295/1000/'Ingredient stats'!$C$4)),0),0)</f>
        <v>0</v>
      </c>
      <c r="V295">
        <f>IFERROR(__xludf.DUMMYFUNCTION("ROUNDUP(IF(ISBLANK(VLOOKUP(B291,AmmoTypeFactors,16,False)),1,VLOOKUP(B291,AmmoTypeFactors,16,False)) * (IFS(REGEXMATCH(B291, ""EMP""), 'Ammo Input'!M291 * N291 / 'Ingredient stats'!$C$5, REGEXMATCH(B291, ""Charge""), (U291^0.75), true, 0) + (IF(VLOOKUP(B2"&amp;"91, AmmoTypeFactors, 10, false), 2,0) + IF('Ammo Input'!P291, 2,0) + IF('Ammo Input'!Q291,MIN(ROUNDUP(0.2*('Ammo Input'!H291/1000)*'Ammo Input'!O291,0),20),0))))"),0)</f>
        <v>0</v>
      </c>
      <c r="W295">
        <v>0</v>
      </c>
      <c r="X295">
        <v>0</v>
      </c>
      <c r="Y295">
        <v>0</v>
      </c>
      <c r="Z295">
        <v>0</v>
      </c>
      <c r="AA295">
        <v>0</v>
      </c>
      <c r="AB295" s="30">
        <f>IF(B295="Sling Bullet (Stone)",ROUNDUP(D295*0.02*E295/'Ingredient stats'!$C$8,0),0)</f>
        <v>0</v>
      </c>
      <c r="AC295" t="str">
        <f t="shared" si="16"/>
        <v>None</v>
      </c>
      <c r="AD295" t="str">
        <f>IF(OR(B295="Buck",B295="Bird",B295="Charge (Scatter)"),'Ammo Input'!J295,"None")</f>
        <v>None</v>
      </c>
      <c r="AE295" t="str">
        <f>_xlfn.IFS(ISTEXT(Calcs!N295),Calcs!N295,Calcs!N295&lt;=40,Calcs!N295,Calcs!N295&gt;41,"40")</f>
        <v>None</v>
      </c>
      <c r="AF295" t="str">
        <f>_xlfn.IFS(ISTEXT(Calcs!O295),Calcs!O295,Calcs!O295&lt;=80,Calcs!O295,Calcs!O295&gt;=81,"80")</f>
        <v>None</v>
      </c>
      <c r="AG295" s="25">
        <f t="shared" si="17"/>
        <v>1</v>
      </c>
      <c r="AH295" s="25">
        <f t="shared" si="18"/>
        <v>1</v>
      </c>
      <c r="AI295" s="25">
        <f t="shared" si="19"/>
        <v>1</v>
      </c>
    </row>
    <row r="296" ht="14.4" spans="1:35">
      <c r="A296" s="24" t="str">
        <f>'Ammo Input'!A296</f>
        <v>4.6x30mm</v>
      </c>
      <c r="B296" t="str">
        <f>'Ammo Input'!B296</f>
        <v>FMJ</v>
      </c>
      <c r="C296">
        <f>ROUNDUP(('Ammo Input'!C296*(MAX('Ammo Input'!D296,'Ammo Input'!F296)*0.5)^2*PI())*3/1000000,2)</f>
        <v>0.01</v>
      </c>
      <c r="D296">
        <f>ROUNDUP(('Ammo Input'!E296+'Ammo Input'!H296*IF('Ammo Input'!J296&lt;&gt;"",MAX('Ammo Input'!J296,1),1))/1000,3)</f>
        <v>0.007</v>
      </c>
      <c r="E296">
        <f>MIN(5000,MAX(25,CEILING(Calcs!L296,_xlfn.IFS(Calcs!L296&lt;100,25,Calcs!L296&lt;250,50,Calcs!L296&lt;1000,250,Calcs!L296&gt;=1000,1000))))</f>
        <v>5000</v>
      </c>
      <c r="F296">
        <f>ROUNDUP('Ammo Input'!G296^(3/4),0)</f>
        <v>122</v>
      </c>
      <c r="G296">
        <f>ROUND((0.5*((IF(OR(B296="HEAT",B296="HEDP"),'Ammo Input'!N296,'Ammo Input'!H296)/1000)*(IF(B296="HEAT",9000,IF(B296="HEDP",1500,'Ammo Input'!G296))^2))),0)</f>
        <v>486</v>
      </c>
      <c r="H296" s="25" t="str">
        <f>CONCATENATE(IF((B296="Foam")+(B296="Smoke"),"-",ROUND(Calcs!D296,0))," ",VLOOKUP(B296,AmmoTypeFactors,5,FALSE))</f>
        <v>8 Bullet</v>
      </c>
      <c r="I296" s="25" t="str">
        <f>IF(Calcs!E296=0,"None",CONCATENATE(ROUND(Calcs!E296,0)," ",VLOOKUP(B296,AmmoTypeFactors,6,FALSE)))</f>
        <v>None</v>
      </c>
      <c r="J296">
        <f>MROUND(2.42*'Ammo Input'!M296^(1/3)*VLOOKUP(B296,AmmoTypeFactors,3,FALSE),0.5)</f>
        <v>0</v>
      </c>
      <c r="K296" s="25" t="str">
        <f>IF(VLOOKUP(B296,AmmoTypeFactors,12,FALSE),MROUND(J296/3,0.5),"None")</f>
        <v>None</v>
      </c>
      <c r="L296" s="25">
        <f>IF(VLOOKUP(B296,AmmoTypeFactors,8,FALSE),"None",ROUNDUP(IF(Calcs!I296&gt;0,Calcs!I296,Calcs!H296),3))</f>
        <v>9.72</v>
      </c>
      <c r="M296" s="25">
        <f>IF(VLOOKUP(B296,AmmoTypeFactors,8,FALSE),"None",'Ammo Input'!L296)</f>
        <v>5</v>
      </c>
      <c r="N296">
        <f>'Ammo Input'!O296</f>
        <v>500</v>
      </c>
      <c r="O296" t="e">
        <f>ROUND((P296*0.0036+SUMPRODUCT(Q296:AB296,VLOOKUP($Q$1:$AB$1,IngredientStats,2,FALSE)))/N296*IF('Ammo Input'!R296,0.5,1),2)</f>
        <v>#VALUE!</v>
      </c>
      <c r="P296" t="e">
        <f>(SUMPRODUCT(Q296:AB296,VLOOKUP($Q$1:$AB$1,IngredientStats,4,FALSE))*VLOOKUP(B296,AmmoTypeFactors,14,FALSE)*IF('Ammo Input'!R296,1.1,1))</f>
        <v>#VALUE!</v>
      </c>
      <c r="Q296">
        <f>IFERROR(__xludf.DUMMYFUNCTION("((IF(NOT(OR(REGEXMATCH(B292, ""Arrow""), B292 = ""Javelin"", B292 = ""Stick bomb"")), ROUNDUP(('Ammo Input'!E292 / 1000) * N292)) + IF(VLOOKUP(B292, AmmoTypeFactors, 9, FALSE) = ""Steel"", ROUNDUP(('Ammo Input'!H292 -'Ammo Input'!M292) * MAX(IF('Ammo Inpu"&amp;"t'!J292 &gt; 0, 'Ammo Input'!J292, 1), 1) * N292 / 1000))) / 'Ingredient stats'!$C$2) * IF(ISBLANK(VLOOKUP(B292,AmmoTypeFactors,15,False)),1,VLOOKUP(B292,AmmoTypeFactors,15,False))"),8)</f>
        <v>8</v>
      </c>
      <c r="R296">
        <f>IFERROR(__xludf.DUMMYFUNCTION("ROUNDUP((IF(REGEXMATCH(B292, ""Arrow"") + (B292 = ""Javelin""), 'Ammo Input'!E292) + IF(VLOOKUP(B292, AmmoTypeFactors, 9, FALSE) = ""Wood"", 'Ammo Input'!H292) + IF(B292 = ""Stick bomb"", 'Ammo Input'!E292)) * N292 / 'Ingredient stats'!$C$12 / 1000)"),0)</f>
        <v>0</v>
      </c>
      <c r="S296">
        <v>0</v>
      </c>
      <c r="T296">
        <v>0</v>
      </c>
      <c r="U296">
        <f>IF(VLOOKUP(B296,AmmoTypeFactors,9,FALSE)="Plasteel",ROUNDUP(('Ammo Input'!H296*MAX(IF('Ammo Input'!J296&gt;0,'Ammo Input'!J296,1)*N296/1000/'Ingredient stats'!$C$4)),0),0)</f>
        <v>0</v>
      </c>
      <c r="V296">
        <f>IFERROR(__xludf.DUMMYFUNCTION("ROUNDUP(IF(ISBLANK(VLOOKUP(B292,AmmoTypeFactors,16,False)),1,VLOOKUP(B292,AmmoTypeFactors,16,False)) * (IFS(REGEXMATCH(B292, ""EMP""), 'Ammo Input'!M292 * N292 / 'Ingredient stats'!$C$5, REGEXMATCH(B292, ""Charge""), (U292^0.75), true, 0) + (IF(VLOOKUP(B2"&amp;"92, AmmoTypeFactors, 10, false), 2,0) + IF('Ammo Input'!P292, 2,0) + IF('Ammo Input'!Q292,MIN(ROUNDUP(0.2*('Ammo Input'!H292/1000)*'Ammo Input'!O292,0),20),0))))"),0)</f>
        <v>0</v>
      </c>
      <c r="W296">
        <v>0</v>
      </c>
      <c r="X296">
        <v>0</v>
      </c>
      <c r="Y296">
        <v>0</v>
      </c>
      <c r="Z296">
        <v>0</v>
      </c>
      <c r="AA296">
        <v>0</v>
      </c>
      <c r="AB296" s="30">
        <f>IF(B296="Sling Bullet (Stone)",ROUNDUP(D296*0.02*E296/'Ingredient stats'!$C$8,0),0)</f>
        <v>0</v>
      </c>
      <c r="AC296" t="str">
        <f t="shared" si="16"/>
        <v>None</v>
      </c>
      <c r="AD296" t="str">
        <f>IF(OR(B296="Buck",B296="Bird",B296="Charge (Scatter)"),'Ammo Input'!J296,"None")</f>
        <v>None</v>
      </c>
      <c r="AE296" t="str">
        <f>_xlfn.IFS(ISTEXT(Calcs!N296),Calcs!N296,Calcs!N296&lt;=40,Calcs!N296,Calcs!N296&gt;41,"40")</f>
        <v>None</v>
      </c>
      <c r="AF296" t="str">
        <f>_xlfn.IFS(ISTEXT(Calcs!O296),Calcs!O296,Calcs!O296&lt;=80,Calcs!O296,Calcs!O296&gt;=81,"80")</f>
        <v>None</v>
      </c>
      <c r="AG296" s="25">
        <f t="shared" si="17"/>
        <v>1</v>
      </c>
      <c r="AH296" s="25">
        <f t="shared" si="18"/>
        <v>2</v>
      </c>
      <c r="AI296" s="25">
        <f t="shared" si="19"/>
        <v>1</v>
      </c>
    </row>
    <row r="297" ht="14.4" spans="1:35">
      <c r="A297" s="24" t="str">
        <f>'Ammo Input'!A297</f>
        <v>4.6x30mm</v>
      </c>
      <c r="B297" t="str">
        <f>'Ammo Input'!B297</f>
        <v>AP</v>
      </c>
      <c r="C297">
        <f>ROUNDUP(('Ammo Input'!C297*(MAX('Ammo Input'!D297,'Ammo Input'!F297)*0.5)^2*PI())*3/1000000,2)</f>
        <v>0.01</v>
      </c>
      <c r="D297">
        <f>ROUNDUP(('Ammo Input'!E297+'Ammo Input'!H297*IF('Ammo Input'!J297&lt;&gt;"",MAX('Ammo Input'!J297,1),1))/1000,3)</f>
        <v>0.007</v>
      </c>
      <c r="E297">
        <f>MIN(5000,MAX(25,CEILING(Calcs!L297,_xlfn.IFS(Calcs!L297&lt;100,25,Calcs!L297&lt;250,50,Calcs!L297&lt;1000,250,Calcs!L297&gt;=1000,1000))))</f>
        <v>5000</v>
      </c>
      <c r="F297">
        <f>ROUNDUP('Ammo Input'!G297^(3/4),0)</f>
        <v>122</v>
      </c>
      <c r="G297">
        <f>ROUND((0.5*((IF(OR(B297="HEAT",B297="HEDP"),'Ammo Input'!N297,'Ammo Input'!H297)/1000)*(IF(B297="HEAT",9000,IF(B297="HEDP",1500,'Ammo Input'!G297))^2))),0)</f>
        <v>486</v>
      </c>
      <c r="H297" s="25" t="str">
        <f>CONCATENATE(IF((B297="Foam")+(B297="Smoke"),"-",ROUND(Calcs!D297,0))," ",VLOOKUP(B297,AmmoTypeFactors,5,FALSE))</f>
        <v>5 Bullet</v>
      </c>
      <c r="I297" s="25" t="str">
        <f>IF(Calcs!E297=0,"None",CONCATENATE(ROUND(Calcs!E297,0)," ",VLOOKUP(B297,AmmoTypeFactors,6,FALSE)))</f>
        <v>None</v>
      </c>
      <c r="J297">
        <f>MROUND(2.42*'Ammo Input'!M297^(1/3)*VLOOKUP(B297,AmmoTypeFactors,3,FALSE),0.5)</f>
        <v>0</v>
      </c>
      <c r="K297" s="25" t="str">
        <f>IF(VLOOKUP(B297,AmmoTypeFactors,12,FALSE),MROUND(J297/3,0.5),"None")</f>
        <v>None</v>
      </c>
      <c r="L297" s="25">
        <f>IF(VLOOKUP(B297,AmmoTypeFactors,8,FALSE),"None",ROUNDUP(IF(Calcs!I297&gt;0,Calcs!I297,Calcs!H297),3))</f>
        <v>9.72</v>
      </c>
      <c r="M297" s="25">
        <f>IF(VLOOKUP(B297,AmmoTypeFactors,8,FALSE),"None",'Ammo Input'!L297)</f>
        <v>10</v>
      </c>
      <c r="N297">
        <f>'Ammo Input'!O297</f>
        <v>500</v>
      </c>
      <c r="O297" t="e">
        <f>ROUND((P297*0.0036+SUMPRODUCT(Q297:AB297,VLOOKUP($Q$1:$AB$1,IngredientStats,2,FALSE)))/N297*IF('Ammo Input'!R297,0.5,1),2)</f>
        <v>#VALUE!</v>
      </c>
      <c r="P297" t="e">
        <f>(SUMPRODUCT(Q297:AB297,VLOOKUP($Q$1:$AB$1,IngredientStats,4,FALSE))*VLOOKUP(B297,AmmoTypeFactors,14,FALSE)*IF('Ammo Input'!R297,1.1,1))</f>
        <v>#VALUE!</v>
      </c>
      <c r="Q297">
        <f>IFERROR(__xludf.DUMMYFUNCTION("((IF(NOT(OR(REGEXMATCH(B293, ""Arrow""), B293 = ""Javelin"", B293 = ""Stick bomb"")), ROUNDUP(('Ammo Input'!E293 / 1000) * N293)) + IF(VLOOKUP(B293, AmmoTypeFactors, 9, FALSE) = ""Steel"", ROUNDUP(('Ammo Input'!H293 -'Ammo Input'!M293) * MAX(IF('Ammo Inpu"&amp;"t'!J293 &gt; 0, 'Ammo Input'!J293, 1), 1) * N293 / 1000))) / 'Ingredient stats'!$C$2) * IF(ISBLANK(VLOOKUP(B293,AmmoTypeFactors,15,False)),1,VLOOKUP(B293,AmmoTypeFactors,15,False))"),8)</f>
        <v>8</v>
      </c>
      <c r="R297">
        <f>IFERROR(__xludf.DUMMYFUNCTION("ROUNDUP((IF(REGEXMATCH(B293, ""Arrow"") + (B293 = ""Javelin""), 'Ammo Input'!E293) + IF(VLOOKUP(B293, AmmoTypeFactors, 9, FALSE) = ""Wood"", 'Ammo Input'!H293) + IF(B293 = ""Stick bomb"", 'Ammo Input'!E293)) * N293 / 'Ingredient stats'!$C$12 / 1000)"),0)</f>
        <v>0</v>
      </c>
      <c r="S297">
        <v>0</v>
      </c>
      <c r="T297">
        <v>0</v>
      </c>
      <c r="U297">
        <f>IF(VLOOKUP(B297,AmmoTypeFactors,9,FALSE)="Plasteel",ROUNDUP(('Ammo Input'!H297*MAX(IF('Ammo Input'!J297&gt;0,'Ammo Input'!J297,1)*N297/1000/'Ingredient stats'!$C$4)),0),0)</f>
        <v>0</v>
      </c>
      <c r="V297">
        <f>IFERROR(__xludf.DUMMYFUNCTION("ROUNDUP(IF(ISBLANK(VLOOKUP(B293,AmmoTypeFactors,16,False)),1,VLOOKUP(B293,AmmoTypeFactors,16,False)) * (IFS(REGEXMATCH(B293, ""EMP""), 'Ammo Input'!M293 * N293 / 'Ingredient stats'!$C$5, REGEXMATCH(B293, ""Charge""), (U293^0.75), true, 0) + (IF(VLOOKUP(B2"&amp;"93, AmmoTypeFactors, 10, false), 2,0) + IF('Ammo Input'!P293, 2,0) + IF('Ammo Input'!Q293,MIN(ROUNDUP(0.2*('Ammo Input'!H293/1000)*'Ammo Input'!O293,0),20),0))))"),0)</f>
        <v>0</v>
      </c>
      <c r="W297">
        <v>0</v>
      </c>
      <c r="X297">
        <v>0</v>
      </c>
      <c r="Y297">
        <v>0</v>
      </c>
      <c r="Z297">
        <v>0</v>
      </c>
      <c r="AA297">
        <v>0</v>
      </c>
      <c r="AB297" s="30">
        <f>IF(B297="Sling Bullet (Stone)",ROUNDUP(D297*0.02*E297/'Ingredient stats'!$C$8,0),0)</f>
        <v>0</v>
      </c>
      <c r="AC297" t="str">
        <f t="shared" si="16"/>
        <v>None</v>
      </c>
      <c r="AD297" t="str">
        <f>IF(OR(B297="Buck",B297="Bird",B297="Charge (Scatter)"),'Ammo Input'!J297,"None")</f>
        <v>None</v>
      </c>
      <c r="AE297" t="str">
        <f>_xlfn.IFS(ISTEXT(Calcs!N297),Calcs!N297,Calcs!N297&lt;=40,Calcs!N297,Calcs!N297&gt;41,"40")</f>
        <v>None</v>
      </c>
      <c r="AF297" t="str">
        <f>_xlfn.IFS(ISTEXT(Calcs!O297),Calcs!O297,Calcs!O297&lt;=80,Calcs!O297,Calcs!O297&gt;=81,"80")</f>
        <v>None</v>
      </c>
      <c r="AG297" s="25">
        <f t="shared" si="17"/>
        <v>1</v>
      </c>
      <c r="AH297" s="25">
        <f t="shared" si="18"/>
        <v>2</v>
      </c>
      <c r="AI297" s="25">
        <f t="shared" si="19"/>
        <v>1</v>
      </c>
    </row>
    <row r="298" ht="14.4" spans="1:35">
      <c r="A298" s="24" t="str">
        <f>'Ammo Input'!A298</f>
        <v>4.6x30mm</v>
      </c>
      <c r="B298" t="str">
        <f>'Ammo Input'!B298</f>
        <v>HP</v>
      </c>
      <c r="C298">
        <f>ROUNDUP(('Ammo Input'!C298*(MAX('Ammo Input'!D298,'Ammo Input'!F298)*0.5)^2*PI())*3/1000000,2)</f>
        <v>0.01</v>
      </c>
      <c r="D298">
        <f>ROUNDUP(('Ammo Input'!E298+'Ammo Input'!H298*IF('Ammo Input'!J298&lt;&gt;"",MAX('Ammo Input'!J298,1),1))/1000,3)</f>
        <v>0.007</v>
      </c>
      <c r="E298">
        <f>MIN(5000,MAX(25,CEILING(Calcs!L298,_xlfn.IFS(Calcs!L298&lt;100,25,Calcs!L298&lt;250,50,Calcs!L298&lt;1000,250,Calcs!L298&gt;=1000,1000))))</f>
        <v>5000</v>
      </c>
      <c r="F298">
        <f>ROUNDUP('Ammo Input'!G298^(3/4),0)</f>
        <v>122</v>
      </c>
      <c r="G298">
        <f>ROUND((0.5*((IF(OR(B298="HEAT",B298="HEDP"),'Ammo Input'!N298,'Ammo Input'!H298)/1000)*(IF(B298="HEAT",9000,IF(B298="HEDP",1500,'Ammo Input'!G298))^2))),0)</f>
        <v>486</v>
      </c>
      <c r="H298" s="25" t="str">
        <f>CONCATENATE(IF((B298="Foam")+(B298="Smoke"),"-",ROUND(Calcs!D298,0))," ",VLOOKUP(B298,AmmoTypeFactors,5,FALSE))</f>
        <v>11 Bullet</v>
      </c>
      <c r="I298" s="25" t="str">
        <f>IF(Calcs!E298=0,"None",CONCATENATE(ROUND(Calcs!E298,0)," ",VLOOKUP(B298,AmmoTypeFactors,6,FALSE)))</f>
        <v>None</v>
      </c>
      <c r="J298">
        <f>MROUND(2.42*'Ammo Input'!M298^(1/3)*VLOOKUP(B298,AmmoTypeFactors,3,FALSE),0.5)</f>
        <v>0</v>
      </c>
      <c r="K298" s="25" t="str">
        <f>IF(VLOOKUP(B298,AmmoTypeFactors,12,FALSE),MROUND(J298/3,0.5),"None")</f>
        <v>None</v>
      </c>
      <c r="L298" s="25">
        <f>IF(VLOOKUP(B298,AmmoTypeFactors,8,FALSE),"None",ROUNDUP(IF(Calcs!I298&gt;0,Calcs!I298,Calcs!H298),3))</f>
        <v>9.72</v>
      </c>
      <c r="M298" s="25">
        <f>IF(VLOOKUP(B298,AmmoTypeFactors,8,FALSE),"None",'Ammo Input'!L298)</f>
        <v>3</v>
      </c>
      <c r="N298">
        <f>'Ammo Input'!O298</f>
        <v>500</v>
      </c>
      <c r="O298" t="e">
        <f>ROUND((P298*0.0036+SUMPRODUCT(Q298:AB298,VLOOKUP($Q$1:$AB$1,IngredientStats,2,FALSE)))/N298*IF('Ammo Input'!R298,0.5,1),2)</f>
        <v>#VALUE!</v>
      </c>
      <c r="P298" t="e">
        <f>(SUMPRODUCT(Q298:AB298,VLOOKUP($Q$1:$AB$1,IngredientStats,4,FALSE))*VLOOKUP(B298,AmmoTypeFactors,14,FALSE)*IF('Ammo Input'!R298,1.1,1))</f>
        <v>#VALUE!</v>
      </c>
      <c r="Q298">
        <f>IFERROR(__xludf.DUMMYFUNCTION("((IF(NOT(OR(REGEXMATCH(B294, ""Arrow""), B294 = ""Javelin"", B294 = ""Stick bomb"")), ROUNDUP(('Ammo Input'!E294 / 1000) * N294)) + IF(VLOOKUP(B294, AmmoTypeFactors, 9, FALSE) = ""Steel"", ROUNDUP(('Ammo Input'!H294 -'Ammo Input'!M294) * MAX(IF('Ammo Inpu"&amp;"t'!J294 &gt; 0, 'Ammo Input'!J294, 1), 1) * N294 / 1000))) / 'Ingredient stats'!$C$2) * IF(ISBLANK(VLOOKUP(B294,AmmoTypeFactors,15,False)),1,VLOOKUP(B294,AmmoTypeFactors,15,False))"),8)</f>
        <v>8</v>
      </c>
      <c r="R298">
        <f>IFERROR(__xludf.DUMMYFUNCTION("ROUNDUP((IF(REGEXMATCH(B294, ""Arrow"") + (B294 = ""Javelin""), 'Ammo Input'!E294) + IF(VLOOKUP(B294, AmmoTypeFactors, 9, FALSE) = ""Wood"", 'Ammo Input'!H294) + IF(B294 = ""Stick bomb"", 'Ammo Input'!E294)) * N294 / 'Ingredient stats'!$C$12 / 1000)"),0)</f>
        <v>0</v>
      </c>
      <c r="S298">
        <v>0</v>
      </c>
      <c r="T298">
        <v>0</v>
      </c>
      <c r="U298">
        <f>IF(VLOOKUP(B298,AmmoTypeFactors,9,FALSE)="Plasteel",ROUNDUP(('Ammo Input'!H298*MAX(IF('Ammo Input'!J298&gt;0,'Ammo Input'!J298,1)*N298/1000/'Ingredient stats'!$C$4)),0),0)</f>
        <v>0</v>
      </c>
      <c r="V298">
        <f>IFERROR(__xludf.DUMMYFUNCTION("ROUNDUP(IF(ISBLANK(VLOOKUP(B294,AmmoTypeFactors,16,False)),1,VLOOKUP(B294,AmmoTypeFactors,16,False)) * (IFS(REGEXMATCH(B294, ""EMP""), 'Ammo Input'!M294 * N294 / 'Ingredient stats'!$C$5, REGEXMATCH(B294, ""Charge""), (U294^0.75), true, 0) + (IF(VLOOKUP(B2"&amp;"94, AmmoTypeFactors, 10, false), 2,0) + IF('Ammo Input'!P294, 2,0) + IF('Ammo Input'!Q294,MIN(ROUNDUP(0.2*('Ammo Input'!H294/1000)*'Ammo Input'!O294,0),20),0))))"),0)</f>
        <v>0</v>
      </c>
      <c r="W298">
        <v>0</v>
      </c>
      <c r="X298">
        <v>0</v>
      </c>
      <c r="Y298">
        <v>0</v>
      </c>
      <c r="Z298">
        <v>0</v>
      </c>
      <c r="AA298">
        <v>0</v>
      </c>
      <c r="AB298" s="30">
        <f>IF(B298="Sling Bullet (Stone)",ROUNDUP(D298*0.02*E298/'Ingredient stats'!$C$8,0),0)</f>
        <v>0</v>
      </c>
      <c r="AC298" t="str">
        <f t="shared" si="16"/>
        <v>None</v>
      </c>
      <c r="AD298" t="str">
        <f>IF(OR(B298="Buck",B298="Bird",B298="Charge (Scatter)"),'Ammo Input'!J298,"None")</f>
        <v>None</v>
      </c>
      <c r="AE298" t="str">
        <f>_xlfn.IFS(ISTEXT(Calcs!N298),Calcs!N298,Calcs!N298&lt;=40,Calcs!N298,Calcs!N298&gt;41,"40")</f>
        <v>None</v>
      </c>
      <c r="AF298" t="str">
        <f>_xlfn.IFS(ISTEXT(Calcs!O298),Calcs!O298,Calcs!O298&lt;=80,Calcs!O298,Calcs!O298&gt;=81,"80")</f>
        <v>None</v>
      </c>
      <c r="AG298" s="25">
        <f t="shared" si="17"/>
        <v>1</v>
      </c>
      <c r="AH298" s="25">
        <f t="shared" si="18"/>
        <v>2</v>
      </c>
      <c r="AI298" s="25">
        <f t="shared" si="19"/>
        <v>1</v>
      </c>
    </row>
    <row r="299" ht="14.4" spans="1:35">
      <c r="A299" s="24" t="str">
        <f>'Ammo Input'!A299</f>
        <v>7.62x25mm Tokarev</v>
      </c>
      <c r="B299" t="str">
        <f>'Ammo Input'!B299</f>
        <v>FMJ</v>
      </c>
      <c r="C299">
        <f>ROUNDUP(('Ammo Input'!C299*(MAX('Ammo Input'!D299,'Ammo Input'!F299)*0.5)^2*PI())*3/1000000,2)</f>
        <v>0.01</v>
      </c>
      <c r="D299">
        <f>ROUNDUP(('Ammo Input'!E299+'Ammo Input'!H299*IF('Ammo Input'!J299&lt;&gt;"",MAX('Ammo Input'!J299,1),1))/1000,3)</f>
        <v>0.011</v>
      </c>
      <c r="E299">
        <f>MIN(5000,MAX(25,CEILING(Calcs!L299,_xlfn.IFS(Calcs!L299&lt;100,25,Calcs!L299&lt;250,50,Calcs!L299&lt;1000,250,Calcs!L299&gt;=1000,1000))))</f>
        <v>5000</v>
      </c>
      <c r="F299">
        <f>ROUNDUP('Ammo Input'!G299^(3/4),0)</f>
        <v>106</v>
      </c>
      <c r="G299">
        <f>ROUND((0.5*((IF(OR(B299="HEAT",B299="HEDP"),'Ammo Input'!N299,'Ammo Input'!H299)/1000)*(IF(B299="HEAT",9000,IF(B299="HEDP",1500,'Ammo Input'!G299))^2))),0)</f>
        <v>679</v>
      </c>
      <c r="H299" s="25" t="str">
        <f>CONCATENATE(IF((B299="Foam")+(B299="Smoke"),"-",ROUND(Calcs!D299,0))," ",VLOOKUP(B299,AmmoTypeFactors,5,FALSE))</f>
        <v>11 Bullet</v>
      </c>
      <c r="I299" s="25" t="str">
        <f>IF(Calcs!E299=0,"None",CONCATENATE(ROUND(Calcs!E299,0)," ",VLOOKUP(B299,AmmoTypeFactors,6,FALSE)))</f>
        <v>None</v>
      </c>
      <c r="J299">
        <f>MROUND(2.42*'Ammo Input'!M299^(1/3)*VLOOKUP(B299,AmmoTypeFactors,3,FALSE),0.5)</f>
        <v>0</v>
      </c>
      <c r="K299" s="25" t="str">
        <f>IF(VLOOKUP(B299,AmmoTypeFactors,12,FALSE),MROUND(J299/3,0.5),"None")</f>
        <v>None</v>
      </c>
      <c r="L299" s="25">
        <f>IF(VLOOKUP(B299,AmmoTypeFactors,8,FALSE),"None",ROUNDUP(IF(Calcs!I299&gt;0,Calcs!I299,Calcs!H299),3))</f>
        <v>13.58</v>
      </c>
      <c r="M299" s="25">
        <f>IF(VLOOKUP(B299,AmmoTypeFactors,8,FALSE),"None",'Ammo Input'!L299)</f>
        <v>4.25</v>
      </c>
      <c r="N299">
        <f>'Ammo Input'!O299</f>
        <v>500</v>
      </c>
      <c r="O299" t="e">
        <f>ROUND((P299*0.0036+SUMPRODUCT(Q299:AB299,VLOOKUP($Q$1:$AB$1,IngredientStats,2,FALSE)))/N299*IF('Ammo Input'!R299,0.5,1),2)</f>
        <v>#VALUE!</v>
      </c>
      <c r="P299" t="e">
        <f>(SUMPRODUCT(Q299:AB299,VLOOKUP($Q$1:$AB$1,IngredientStats,4,FALSE))*VLOOKUP(B299,AmmoTypeFactors,14,FALSE)*IF('Ammo Input'!R299,1.1,1))</f>
        <v>#VALUE!</v>
      </c>
      <c r="Q299">
        <f>IFERROR(__xludf.DUMMYFUNCTION("((IF(NOT(OR(REGEXMATCH(B295, ""Arrow""), B295 = ""Javelin"", B295 = ""Stick bomb"")), ROUNDUP(('Ammo Input'!E295 / 1000) * N295)) + IF(VLOOKUP(B295, AmmoTypeFactors, 9, FALSE) = ""Steel"", ROUNDUP(('Ammo Input'!H295 -'Ammo Input'!M295) * MAX(IF('Ammo Inpu"&amp;"t'!J295 &gt; 0, 'Ammo Input'!J295, 1), 1) * N295 / 1000))) / 'Ingredient stats'!$C$2) * IF(ISBLANK(VLOOKUP(B295,AmmoTypeFactors,15,False)),1,VLOOKUP(B295,AmmoTypeFactors,15,False))"),12)</f>
        <v>12</v>
      </c>
      <c r="R299">
        <f>IFERROR(__xludf.DUMMYFUNCTION("ROUNDUP((IF(REGEXMATCH(B295, ""Arrow"") + (B295 = ""Javelin""), 'Ammo Input'!E295) + IF(VLOOKUP(B295, AmmoTypeFactors, 9, FALSE) = ""Wood"", 'Ammo Input'!H295) + IF(B295 = ""Stick bomb"", 'Ammo Input'!E295)) * N295 / 'Ingredient stats'!$C$12 / 1000)"),0)</f>
        <v>0</v>
      </c>
      <c r="S299">
        <v>0</v>
      </c>
      <c r="T299">
        <v>0</v>
      </c>
      <c r="U299">
        <f>IF(VLOOKUP(B299,AmmoTypeFactors,9,FALSE)="Plasteel",ROUNDUP(('Ammo Input'!H299*MAX(IF('Ammo Input'!J299&gt;0,'Ammo Input'!J299,1)*N299/1000/'Ingredient stats'!$C$4)),0),0)</f>
        <v>0</v>
      </c>
      <c r="V299">
        <f>IFERROR(__xludf.DUMMYFUNCTION("ROUNDUP(IF(ISBLANK(VLOOKUP(B295,AmmoTypeFactors,16,False)),1,VLOOKUP(B295,AmmoTypeFactors,16,False)) * (IFS(REGEXMATCH(B295, ""EMP""), 'Ammo Input'!M295 * N295 / 'Ingredient stats'!$C$5, REGEXMATCH(B295, ""Charge""), (U295^0.75), true, 0) + (IF(VLOOKUP(B2"&amp;"95, AmmoTypeFactors, 10, false), 2,0) + IF('Ammo Input'!P295, 2,0) + IF('Ammo Input'!Q295,MIN(ROUNDUP(0.2*('Ammo Input'!H295/1000)*'Ammo Input'!O295,0),20),0))))"),0)</f>
        <v>0</v>
      </c>
      <c r="W299">
        <v>0</v>
      </c>
      <c r="X299">
        <v>0</v>
      </c>
      <c r="Y299">
        <v>0</v>
      </c>
      <c r="Z299">
        <v>0</v>
      </c>
      <c r="AA299">
        <v>0</v>
      </c>
      <c r="AB299" s="30">
        <f>IF(B299="Sling Bullet (Stone)",ROUNDUP(D299*0.02*E299/'Ingredient stats'!$C$8,0),0)</f>
        <v>0</v>
      </c>
      <c r="AC299" t="str">
        <f t="shared" si="16"/>
        <v>None</v>
      </c>
      <c r="AD299" t="str">
        <f>IF(OR(B299="Buck",B299="Bird",B299="Charge (Scatter)"),'Ammo Input'!J299,"None")</f>
        <v>None</v>
      </c>
      <c r="AE299" t="str">
        <f>_xlfn.IFS(ISTEXT(Calcs!N299),Calcs!N299,Calcs!N299&lt;=40,Calcs!N299,Calcs!N299&gt;41,"40")</f>
        <v>None</v>
      </c>
      <c r="AF299" t="str">
        <f>_xlfn.IFS(ISTEXT(Calcs!O299),Calcs!O299,Calcs!O299&lt;=80,Calcs!O299,Calcs!O299&gt;=81,"80")</f>
        <v>None</v>
      </c>
      <c r="AG299" s="25">
        <f t="shared" si="17"/>
        <v>1</v>
      </c>
      <c r="AH299" s="25">
        <f t="shared" si="18"/>
        <v>1.74</v>
      </c>
      <c r="AI299" s="25">
        <f t="shared" si="19"/>
        <v>1</v>
      </c>
    </row>
    <row r="300" ht="14.4" spans="1:35">
      <c r="A300" s="24" t="str">
        <f>'Ammo Input'!A300</f>
        <v>7.62x25mm Tokarev</v>
      </c>
      <c r="B300" t="str">
        <f>'Ammo Input'!B300</f>
        <v>AP</v>
      </c>
      <c r="C300">
        <f>ROUNDUP(('Ammo Input'!C300*(MAX('Ammo Input'!D300,'Ammo Input'!F300)*0.5)^2*PI())*3/1000000,2)</f>
        <v>0.01</v>
      </c>
      <c r="D300">
        <f>ROUNDUP(('Ammo Input'!E300+'Ammo Input'!H300*IF('Ammo Input'!J300&lt;&gt;"",MAX('Ammo Input'!J300,1),1))/1000,3)</f>
        <v>0.011</v>
      </c>
      <c r="E300">
        <f>MIN(5000,MAX(25,CEILING(Calcs!L300,_xlfn.IFS(Calcs!L300&lt;100,25,Calcs!L300&lt;250,50,Calcs!L300&lt;1000,250,Calcs!L300&gt;=1000,1000))))</f>
        <v>5000</v>
      </c>
      <c r="F300">
        <f>ROUNDUP('Ammo Input'!G300^(3/4),0)</f>
        <v>106</v>
      </c>
      <c r="G300">
        <f>ROUND((0.5*((IF(OR(B300="HEAT",B300="HEDP"),'Ammo Input'!N300,'Ammo Input'!H300)/1000)*(IF(B300="HEAT",9000,IF(B300="HEDP",1500,'Ammo Input'!G300))^2))),0)</f>
        <v>679</v>
      </c>
      <c r="H300" s="25" t="str">
        <f>CONCATENATE(IF((B300="Foam")+(B300="Smoke"),"-",ROUND(Calcs!D300,0))," ",VLOOKUP(B300,AmmoTypeFactors,5,FALSE))</f>
        <v>7 Bullet</v>
      </c>
      <c r="I300" s="25" t="str">
        <f>IF(Calcs!E300=0,"None",CONCATENATE(ROUND(Calcs!E300,0)," ",VLOOKUP(B300,AmmoTypeFactors,6,FALSE)))</f>
        <v>None</v>
      </c>
      <c r="J300">
        <f>MROUND(2.42*'Ammo Input'!M300^(1/3)*VLOOKUP(B300,AmmoTypeFactors,3,FALSE),0.5)</f>
        <v>0</v>
      </c>
      <c r="K300" s="25" t="str">
        <f>IF(VLOOKUP(B300,AmmoTypeFactors,12,FALSE),MROUND(J300/3,0.5),"None")</f>
        <v>None</v>
      </c>
      <c r="L300" s="25">
        <f>IF(VLOOKUP(B300,AmmoTypeFactors,8,FALSE),"None",ROUNDUP(IF(Calcs!I300&gt;0,Calcs!I300,Calcs!H300),3))</f>
        <v>13.58</v>
      </c>
      <c r="M300" s="25">
        <f>IF(VLOOKUP(B300,AmmoTypeFactors,8,FALSE),"None",'Ammo Input'!L300)</f>
        <v>8.5</v>
      </c>
      <c r="N300">
        <f>'Ammo Input'!O300</f>
        <v>500</v>
      </c>
      <c r="O300" t="e">
        <f>ROUND((P300*0.0036+SUMPRODUCT(Q300:AB300,VLOOKUP($Q$1:$AB$1,IngredientStats,2,FALSE)))/N300*IF('Ammo Input'!R300,0.5,1),2)</f>
        <v>#VALUE!</v>
      </c>
      <c r="P300" t="e">
        <f>(SUMPRODUCT(Q300:AB300,VLOOKUP($Q$1:$AB$1,IngredientStats,4,FALSE))*VLOOKUP(B300,AmmoTypeFactors,14,FALSE)*IF('Ammo Input'!R300,1.1,1))</f>
        <v>#VALUE!</v>
      </c>
      <c r="Q300">
        <f>IFERROR(__xludf.DUMMYFUNCTION("((IF(NOT(OR(REGEXMATCH(B296, ""Arrow""), B296 = ""Javelin"", B296 = ""Stick bomb"")), ROUNDUP(('Ammo Input'!E296 / 1000) * N296)) + IF(VLOOKUP(B296, AmmoTypeFactors, 9, FALSE) = ""Steel"", ROUNDUP(('Ammo Input'!H296 -'Ammo Input'!M296) * MAX(IF('Ammo Inpu"&amp;"t'!J296 &gt; 0, 'Ammo Input'!J296, 1), 1) * N296 / 1000))) / 'Ingredient stats'!$C$2) * IF(ISBLANK(VLOOKUP(B296,AmmoTypeFactors,15,False)),1,VLOOKUP(B296,AmmoTypeFactors,15,False))"),12)</f>
        <v>12</v>
      </c>
      <c r="R300">
        <f>IFERROR(__xludf.DUMMYFUNCTION("ROUNDUP((IF(REGEXMATCH(B296, ""Arrow"") + (B296 = ""Javelin""), 'Ammo Input'!E296) + IF(VLOOKUP(B296, AmmoTypeFactors, 9, FALSE) = ""Wood"", 'Ammo Input'!H296) + IF(B296 = ""Stick bomb"", 'Ammo Input'!E296)) * N296 / 'Ingredient stats'!$C$12 / 1000)"),0)</f>
        <v>0</v>
      </c>
      <c r="S300">
        <v>0</v>
      </c>
      <c r="T300">
        <v>0</v>
      </c>
      <c r="U300">
        <f>IF(VLOOKUP(B300,AmmoTypeFactors,9,FALSE)="Plasteel",ROUNDUP(('Ammo Input'!H300*MAX(IF('Ammo Input'!J300&gt;0,'Ammo Input'!J300,1)*N300/1000/'Ingredient stats'!$C$4)),0),0)</f>
        <v>0</v>
      </c>
      <c r="V300">
        <f>IFERROR(__xludf.DUMMYFUNCTION("ROUNDUP(IF(ISBLANK(VLOOKUP(B296,AmmoTypeFactors,16,False)),1,VLOOKUP(B296,AmmoTypeFactors,16,False)) * (IFS(REGEXMATCH(B296, ""EMP""), 'Ammo Input'!M296 * N296 / 'Ingredient stats'!$C$5, REGEXMATCH(B296, ""Charge""), (U296^0.75), true, 0) + (IF(VLOOKUP(B2"&amp;"96, AmmoTypeFactors, 10, false), 2,0) + IF('Ammo Input'!P296, 2,0) + IF('Ammo Input'!Q296,MIN(ROUNDUP(0.2*('Ammo Input'!H296/1000)*'Ammo Input'!O296,0),20),0))))"),0)</f>
        <v>0</v>
      </c>
      <c r="W300">
        <v>0</v>
      </c>
      <c r="X300">
        <v>0</v>
      </c>
      <c r="Y300">
        <v>0</v>
      </c>
      <c r="Z300">
        <v>0</v>
      </c>
      <c r="AA300">
        <v>0</v>
      </c>
      <c r="AB300" s="30">
        <f>IF(B300="Sling Bullet (Stone)",ROUNDUP(D300*0.02*E300/'Ingredient stats'!$C$8,0),0)</f>
        <v>0</v>
      </c>
      <c r="AC300" t="str">
        <f t="shared" si="16"/>
        <v>None</v>
      </c>
      <c r="AD300" t="str">
        <f>IF(OR(B300="Buck",B300="Bird",B300="Charge (Scatter)"),'Ammo Input'!J300,"None")</f>
        <v>None</v>
      </c>
      <c r="AE300" t="str">
        <f>_xlfn.IFS(ISTEXT(Calcs!N300),Calcs!N300,Calcs!N300&lt;=40,Calcs!N300,Calcs!N300&gt;41,"40")</f>
        <v>None</v>
      </c>
      <c r="AF300" t="str">
        <f>_xlfn.IFS(ISTEXT(Calcs!O300),Calcs!O300,Calcs!O300&lt;=80,Calcs!O300,Calcs!O300&gt;=81,"80")</f>
        <v>None</v>
      </c>
      <c r="AG300" s="25">
        <f t="shared" si="17"/>
        <v>1</v>
      </c>
      <c r="AH300" s="25">
        <f t="shared" si="18"/>
        <v>1.74</v>
      </c>
      <c r="AI300" s="25">
        <f t="shared" si="19"/>
        <v>1</v>
      </c>
    </row>
    <row r="301" ht="14.4" spans="1:35">
      <c r="A301" s="24" t="str">
        <f>'Ammo Input'!A301</f>
        <v>7.62x25mm Tokarev</v>
      </c>
      <c r="B301" t="str">
        <f>'Ammo Input'!B301</f>
        <v>HP</v>
      </c>
      <c r="C301">
        <f>ROUNDUP(('Ammo Input'!C301*(MAX('Ammo Input'!D301,'Ammo Input'!F301)*0.5)^2*PI())*3/1000000,2)</f>
        <v>0.01</v>
      </c>
      <c r="D301">
        <f>ROUNDUP(('Ammo Input'!E301+'Ammo Input'!H301*IF('Ammo Input'!J301&lt;&gt;"",MAX('Ammo Input'!J301,1),1))/1000,3)</f>
        <v>0.011</v>
      </c>
      <c r="E301">
        <f>MIN(5000,MAX(25,CEILING(Calcs!L301,_xlfn.IFS(Calcs!L301&lt;100,25,Calcs!L301&lt;250,50,Calcs!L301&lt;1000,250,Calcs!L301&gt;=1000,1000))))</f>
        <v>5000</v>
      </c>
      <c r="F301">
        <f>ROUNDUP('Ammo Input'!G301^(3/4),0)</f>
        <v>106</v>
      </c>
      <c r="G301">
        <f>ROUND((0.5*((IF(OR(B301="HEAT",B301="HEDP"),'Ammo Input'!N301,'Ammo Input'!H301)/1000)*(IF(B301="HEAT",9000,IF(B301="HEDP",1500,'Ammo Input'!G301))^2))),0)</f>
        <v>679</v>
      </c>
      <c r="H301" s="25" t="str">
        <f>CONCATENATE(IF((B301="Foam")+(B301="Smoke"),"-",ROUND(Calcs!D301,0))," ",VLOOKUP(B301,AmmoTypeFactors,5,FALSE))</f>
        <v>14 Bullet</v>
      </c>
      <c r="I301" s="25" t="str">
        <f>IF(Calcs!E301=0,"None",CONCATENATE(ROUND(Calcs!E301,0)," ",VLOOKUP(B301,AmmoTypeFactors,6,FALSE)))</f>
        <v>None</v>
      </c>
      <c r="J301">
        <f>MROUND(2.42*'Ammo Input'!M301^(1/3)*VLOOKUP(B301,AmmoTypeFactors,3,FALSE),0.5)</f>
        <v>0</v>
      </c>
      <c r="K301" s="25" t="str">
        <f>IF(VLOOKUP(B301,AmmoTypeFactors,12,FALSE),MROUND(J301/3,0.5),"None")</f>
        <v>None</v>
      </c>
      <c r="L301" s="25">
        <f>IF(VLOOKUP(B301,AmmoTypeFactors,8,FALSE),"None",ROUNDUP(IF(Calcs!I301&gt;0,Calcs!I301,Calcs!H301),3))</f>
        <v>13.58</v>
      </c>
      <c r="M301" s="25">
        <f>IF(VLOOKUP(B301,AmmoTypeFactors,8,FALSE),"None",'Ammo Input'!L301)</f>
        <v>3</v>
      </c>
      <c r="N301">
        <f>'Ammo Input'!O301</f>
        <v>500</v>
      </c>
      <c r="O301" t="e">
        <f>ROUND((P301*0.0036+SUMPRODUCT(Q301:AB301,VLOOKUP($Q$1:$AB$1,IngredientStats,2,FALSE)))/N301*IF('Ammo Input'!R301,0.5,1),2)</f>
        <v>#VALUE!</v>
      </c>
      <c r="P301" t="e">
        <f>(SUMPRODUCT(Q301:AB301,VLOOKUP($Q$1:$AB$1,IngredientStats,4,FALSE))*VLOOKUP(B301,AmmoTypeFactors,14,FALSE)*IF('Ammo Input'!R301,1.1,1))</f>
        <v>#VALUE!</v>
      </c>
      <c r="Q301">
        <f>IFERROR(__xludf.DUMMYFUNCTION("((IF(NOT(OR(REGEXMATCH(B297, ""Arrow""), B297 = ""Javelin"", B297 = ""Stick bomb"")), ROUNDUP(('Ammo Input'!E297 / 1000) * N297)) + IF(VLOOKUP(B297, AmmoTypeFactors, 9, FALSE) = ""Steel"", ROUNDUP(('Ammo Input'!H297 -'Ammo Input'!M297) * MAX(IF('Ammo Inpu"&amp;"t'!J297 &gt; 0, 'Ammo Input'!J297, 1), 1) * N297 / 1000))) / 'Ingredient stats'!$C$2) * IF(ISBLANK(VLOOKUP(B297,AmmoTypeFactors,15,False)),1,VLOOKUP(B297,AmmoTypeFactors,15,False))"),12)</f>
        <v>12</v>
      </c>
      <c r="R301">
        <f>IFERROR(__xludf.DUMMYFUNCTION("ROUNDUP((IF(REGEXMATCH(B297, ""Arrow"") + (B297 = ""Javelin""), 'Ammo Input'!E297) + IF(VLOOKUP(B297, AmmoTypeFactors, 9, FALSE) = ""Wood"", 'Ammo Input'!H297) + IF(B297 = ""Stick bomb"", 'Ammo Input'!E297)) * N297 / 'Ingredient stats'!$C$12 / 1000)"),0)</f>
        <v>0</v>
      </c>
      <c r="S301">
        <v>0</v>
      </c>
      <c r="T301">
        <v>0</v>
      </c>
      <c r="U301">
        <f>IF(VLOOKUP(B301,AmmoTypeFactors,9,FALSE)="Plasteel",ROUNDUP(('Ammo Input'!H301*MAX(IF('Ammo Input'!J301&gt;0,'Ammo Input'!J301,1)*N301/1000/'Ingredient stats'!$C$4)),0),0)</f>
        <v>0</v>
      </c>
      <c r="V301">
        <f>IFERROR(__xludf.DUMMYFUNCTION("ROUNDUP(IF(ISBLANK(VLOOKUP(B297,AmmoTypeFactors,16,False)),1,VLOOKUP(B297,AmmoTypeFactors,16,False)) * (IFS(REGEXMATCH(B297, ""EMP""), 'Ammo Input'!M297 * N297 / 'Ingredient stats'!$C$5, REGEXMATCH(B297, ""Charge""), (U297^0.75), true, 0) + (IF(VLOOKUP(B2"&amp;"97, AmmoTypeFactors, 10, false), 2,0) + IF('Ammo Input'!P297, 2,0) + IF('Ammo Input'!Q297,MIN(ROUNDUP(0.2*('Ammo Input'!H297/1000)*'Ammo Input'!O297,0),20),0))))"),0)</f>
        <v>0</v>
      </c>
      <c r="W301">
        <v>0</v>
      </c>
      <c r="X301">
        <v>0</v>
      </c>
      <c r="Y301">
        <v>0</v>
      </c>
      <c r="Z301">
        <v>0</v>
      </c>
      <c r="AA301">
        <v>0</v>
      </c>
      <c r="AB301" s="30">
        <f>IF(B301="Sling Bullet (Stone)",ROUNDUP(D301*0.02*E301/'Ingredient stats'!$C$8,0),0)</f>
        <v>0</v>
      </c>
      <c r="AC301" t="str">
        <f t="shared" si="16"/>
        <v>None</v>
      </c>
      <c r="AD301" t="str">
        <f>IF(OR(B301="Buck",B301="Bird",B301="Charge (Scatter)"),'Ammo Input'!J301,"None")</f>
        <v>None</v>
      </c>
      <c r="AE301" t="str">
        <f>_xlfn.IFS(ISTEXT(Calcs!N301),Calcs!N301,Calcs!N301&lt;=40,Calcs!N301,Calcs!N301&gt;41,"40")</f>
        <v>None</v>
      </c>
      <c r="AF301" t="str">
        <f>_xlfn.IFS(ISTEXT(Calcs!O301),Calcs!O301,Calcs!O301&lt;=80,Calcs!O301,Calcs!O301&gt;=81,"80")</f>
        <v>None</v>
      </c>
      <c r="AG301" s="25">
        <f t="shared" si="17"/>
        <v>1</v>
      </c>
      <c r="AH301" s="25">
        <f t="shared" si="18"/>
        <v>1.74</v>
      </c>
      <c r="AI301" s="25">
        <f t="shared" si="19"/>
        <v>1</v>
      </c>
    </row>
    <row r="302" ht="14.4" spans="1:35">
      <c r="A302" s="24" t="str">
        <f>'Ammo Input'!A302</f>
        <v>7.62x38mmR</v>
      </c>
      <c r="B302" t="str">
        <f>'Ammo Input'!B302</f>
        <v>FMJ</v>
      </c>
      <c r="C302">
        <f>ROUNDUP(('Ammo Input'!C302*(MAX('Ammo Input'!D302,'Ammo Input'!F302)*0.5)^2*PI())*3/1000000,2)</f>
        <v>0.01</v>
      </c>
      <c r="D302">
        <f>ROUNDUP(('Ammo Input'!E302+'Ammo Input'!H302*IF('Ammo Input'!J302&lt;&gt;"",MAX('Ammo Input'!J302,1),1))/1000,3)</f>
        <v>0.013</v>
      </c>
      <c r="E302">
        <f>MIN(5000,MAX(25,CEILING(Calcs!L302,_xlfn.IFS(Calcs!L302&lt;100,25,Calcs!L302&lt;250,50,Calcs!L302&lt;1000,250,Calcs!L302&gt;=1000,1000))))</f>
        <v>5000</v>
      </c>
      <c r="F302">
        <f>ROUNDUP('Ammo Input'!G302^(3/4),0)</f>
        <v>77</v>
      </c>
      <c r="G302">
        <f>ROUND((0.5*((IF(OR(B302="HEAT",B302="HEDP"),'Ammo Input'!N302,'Ammo Input'!H302)/1000)*(IF(B302="HEAT",9000,IF(B302="HEDP",1500,'Ammo Input'!G302))^2))),0)</f>
        <v>337</v>
      </c>
      <c r="H302" s="25" t="str">
        <f>CONCATENATE(IF((B302="Foam")+(B302="Smoke"),"-",ROUND(Calcs!D302,0))," ",VLOOKUP(B302,AmmoTypeFactors,5,FALSE))</f>
        <v>9 Bullet</v>
      </c>
      <c r="I302" s="25" t="str">
        <f>IF(Calcs!E302=0,"None",CONCATENATE(ROUND(Calcs!E302,0)," ",VLOOKUP(B302,AmmoTypeFactors,6,FALSE)))</f>
        <v>None</v>
      </c>
      <c r="J302">
        <f>MROUND(2.42*'Ammo Input'!M302^(1/3)*VLOOKUP(B302,AmmoTypeFactors,3,FALSE),0.5)</f>
        <v>0</v>
      </c>
      <c r="K302" s="25" t="str">
        <f>IF(VLOOKUP(B302,AmmoTypeFactors,12,FALSE),MROUND(J302/3,0.5),"None")</f>
        <v>None</v>
      </c>
      <c r="L302" s="25">
        <f>IF(VLOOKUP(B302,AmmoTypeFactors,8,FALSE),"None",ROUNDUP(IF(Calcs!I302&gt;0,Calcs!I302,Calcs!H302),3))</f>
        <v>6.74</v>
      </c>
      <c r="M302" s="25">
        <f>IF(VLOOKUP(B302,AmmoTypeFactors,8,FALSE),"None",'Ammo Input'!L302)</f>
        <v>5</v>
      </c>
      <c r="N302">
        <f>'Ammo Input'!O302</f>
        <v>500</v>
      </c>
      <c r="O302" t="e">
        <f>ROUND((P302*0.0036+SUMPRODUCT(Q302:AB302,VLOOKUP($Q$1:$AB$1,IngredientStats,2,FALSE)))/N302*IF('Ammo Input'!R302,0.5,1),2)</f>
        <v>#VALUE!</v>
      </c>
      <c r="P302" t="e">
        <f>(SUMPRODUCT(Q302:AB302,VLOOKUP($Q$1:$AB$1,IngredientStats,4,FALSE))*VLOOKUP(B302,AmmoTypeFactors,14,FALSE)*IF('Ammo Input'!R302,1.1,1))</f>
        <v>#VALUE!</v>
      </c>
      <c r="Q302">
        <f>IFERROR(__xludf.DUMMYFUNCTION("((IF(NOT(OR(REGEXMATCH(B298, ""Arrow""), B298 = ""Javelin"", B298 = ""Stick bomb"")), ROUNDUP(('Ammo Input'!E298 / 1000) * N298)) + IF(VLOOKUP(B298, AmmoTypeFactors, 9, FALSE) = ""Steel"", ROUNDUP(('Ammo Input'!H298 -'Ammo Input'!M298) * MAX(IF('Ammo Inpu"&amp;"t'!J298 &gt; 0, 'Ammo Input'!J298, 1), 1) * N298 / 1000))) / 'Ingredient stats'!$C$2) * IF(ISBLANK(VLOOKUP(B298,AmmoTypeFactors,15,False)),1,VLOOKUP(B298,AmmoTypeFactors,15,False))"),16)</f>
        <v>16</v>
      </c>
      <c r="R302">
        <f>IFERROR(__xludf.DUMMYFUNCTION("ROUNDUP((IF(REGEXMATCH(B298, ""Arrow"") + (B298 = ""Javelin""), 'Ammo Input'!E298) + IF(VLOOKUP(B298, AmmoTypeFactors, 9, FALSE) = ""Wood"", 'Ammo Input'!H298) + IF(B298 = ""Stick bomb"", 'Ammo Input'!E298)) * N298 / 'Ingredient stats'!$C$12 / 1000)"),0)</f>
        <v>0</v>
      </c>
      <c r="S302">
        <v>0</v>
      </c>
      <c r="T302">
        <v>0</v>
      </c>
      <c r="U302">
        <f>IF(VLOOKUP(B302,AmmoTypeFactors,9,FALSE)="Plasteel",ROUNDUP(('Ammo Input'!H302*MAX(IF('Ammo Input'!J302&gt;0,'Ammo Input'!J302,1)*N302/1000/'Ingredient stats'!$C$4)),0),0)</f>
        <v>0</v>
      </c>
      <c r="V302">
        <f>IFERROR(__xludf.DUMMYFUNCTION("ROUNDUP(IF(ISBLANK(VLOOKUP(B298,AmmoTypeFactors,16,False)),1,VLOOKUP(B298,AmmoTypeFactors,16,False)) * (IFS(REGEXMATCH(B298, ""EMP""), 'Ammo Input'!M298 * N298 / 'Ingredient stats'!$C$5, REGEXMATCH(B298, ""Charge""), (U298^0.75), true, 0) + (IF(VLOOKUP(B2"&amp;"98, AmmoTypeFactors, 10, false), 2,0) + IF('Ammo Input'!P298, 2,0) + IF('Ammo Input'!Q298,MIN(ROUNDUP(0.2*('Ammo Input'!H298/1000)*'Ammo Input'!O298,0),20),0))))"),0)</f>
        <v>0</v>
      </c>
      <c r="W302">
        <v>0</v>
      </c>
      <c r="X302">
        <v>0</v>
      </c>
      <c r="Y302">
        <v>0</v>
      </c>
      <c r="Z302">
        <v>0</v>
      </c>
      <c r="AA302">
        <v>0</v>
      </c>
      <c r="AB302" s="30">
        <f>IF(B302="Sling Bullet (Stone)",ROUNDUP(D302*0.02*E302/'Ingredient stats'!$C$8,0),0)</f>
        <v>0</v>
      </c>
      <c r="AC302" t="str">
        <f t="shared" si="16"/>
        <v>None</v>
      </c>
      <c r="AD302" t="str">
        <f>IF(OR(B302="Buck",B302="Bird",B302="Charge (Scatter)"),'Ammo Input'!J302,"None")</f>
        <v>None</v>
      </c>
      <c r="AE302" t="str">
        <f>_xlfn.IFS(ISTEXT(Calcs!N302),Calcs!N302,Calcs!N302&lt;=40,Calcs!N302,Calcs!N302&gt;41,"40")</f>
        <v>None</v>
      </c>
      <c r="AF302" t="str">
        <f>_xlfn.IFS(ISTEXT(Calcs!O302),Calcs!O302,Calcs!O302&lt;=80,Calcs!O302,Calcs!O302&gt;=81,"80")</f>
        <v>None</v>
      </c>
      <c r="AG302" s="25">
        <f t="shared" si="17"/>
        <v>1</v>
      </c>
      <c r="AH302" s="25">
        <f t="shared" si="18"/>
        <v>1.27</v>
      </c>
      <c r="AI302" s="25">
        <f t="shared" si="19"/>
        <v>1</v>
      </c>
    </row>
    <row r="303" ht="14.4" spans="1:35">
      <c r="A303" s="24" t="str">
        <f>'Ammo Input'!A303</f>
        <v>7.62x38mmR</v>
      </c>
      <c r="B303" t="str">
        <f>'Ammo Input'!B303</f>
        <v>AP</v>
      </c>
      <c r="C303">
        <f>ROUNDUP(('Ammo Input'!C303*(MAX('Ammo Input'!D303,'Ammo Input'!F303)*0.5)^2*PI())*3/1000000,2)</f>
        <v>0.01</v>
      </c>
      <c r="D303">
        <f>ROUNDUP(('Ammo Input'!E303+'Ammo Input'!H303*IF('Ammo Input'!J303&lt;&gt;"",MAX('Ammo Input'!J303,1),1))/1000,3)</f>
        <v>0.013</v>
      </c>
      <c r="E303">
        <f>MIN(5000,MAX(25,CEILING(Calcs!L303,_xlfn.IFS(Calcs!L303&lt;100,25,Calcs!L303&lt;250,50,Calcs!L303&lt;1000,250,Calcs!L303&gt;=1000,1000))))</f>
        <v>5000</v>
      </c>
      <c r="F303">
        <f>ROUNDUP('Ammo Input'!G303^(3/4),0)</f>
        <v>77</v>
      </c>
      <c r="G303">
        <f>ROUND((0.5*((IF(OR(B303="HEAT",B303="HEDP"),'Ammo Input'!N303,'Ammo Input'!H303)/1000)*(IF(B303="HEAT",9000,IF(B303="HEDP",1500,'Ammo Input'!G303))^2))),0)</f>
        <v>337</v>
      </c>
      <c r="H303" s="25" t="str">
        <f>CONCATENATE(IF((B303="Foam")+(B303="Smoke"),"-",ROUND(Calcs!D303,0))," ",VLOOKUP(B303,AmmoTypeFactors,5,FALSE))</f>
        <v>6 Bullet</v>
      </c>
      <c r="I303" s="25" t="str">
        <f>IF(Calcs!E303=0,"None",CONCATENATE(ROUND(Calcs!E303,0)," ",VLOOKUP(B303,AmmoTypeFactors,6,FALSE)))</f>
        <v>None</v>
      </c>
      <c r="J303">
        <f>MROUND(2.42*'Ammo Input'!M303^(1/3)*VLOOKUP(B303,AmmoTypeFactors,3,FALSE),0.5)</f>
        <v>0</v>
      </c>
      <c r="K303" s="25" t="str">
        <f>IF(VLOOKUP(B303,AmmoTypeFactors,12,FALSE),MROUND(J303/3,0.5),"None")</f>
        <v>None</v>
      </c>
      <c r="L303" s="25">
        <f>IF(VLOOKUP(B303,AmmoTypeFactors,8,FALSE),"None",ROUNDUP(IF(Calcs!I303&gt;0,Calcs!I303,Calcs!H303),3))</f>
        <v>6.74</v>
      </c>
      <c r="M303" s="25">
        <f>IF(VLOOKUP(B303,AmmoTypeFactors,8,FALSE),"None",'Ammo Input'!L303)</f>
        <v>10</v>
      </c>
      <c r="N303">
        <f>'Ammo Input'!O303</f>
        <v>500</v>
      </c>
      <c r="O303" t="e">
        <f>ROUND((P303*0.0036+SUMPRODUCT(Q303:AB303,VLOOKUP($Q$1:$AB$1,IngredientStats,2,FALSE)))/N303*IF('Ammo Input'!R303,0.5,1),2)</f>
        <v>#VALUE!</v>
      </c>
      <c r="P303" t="e">
        <f>(SUMPRODUCT(Q303:AB303,VLOOKUP($Q$1:$AB$1,IngredientStats,4,FALSE))*VLOOKUP(B303,AmmoTypeFactors,14,FALSE)*IF('Ammo Input'!R303,1.1,1))</f>
        <v>#VALUE!</v>
      </c>
      <c r="Q303">
        <f>IFERROR(__xludf.DUMMYFUNCTION("((IF(NOT(OR(REGEXMATCH(B299, ""Arrow""), B299 = ""Javelin"", B299 = ""Stick bomb"")), ROUNDUP(('Ammo Input'!E299 / 1000) * N299)) + IF(VLOOKUP(B299, AmmoTypeFactors, 9, FALSE) = ""Steel"", ROUNDUP(('Ammo Input'!H299 -'Ammo Input'!M299) * MAX(IF('Ammo Inpu"&amp;"t'!J299 &gt; 0, 'Ammo Input'!J299, 1), 1) * N299 / 1000))) / 'Ingredient stats'!$C$2) * IF(ISBLANK(VLOOKUP(B299,AmmoTypeFactors,15,False)),1,VLOOKUP(B299,AmmoTypeFactors,15,False))"),16)</f>
        <v>16</v>
      </c>
      <c r="R303">
        <f>IFERROR(__xludf.DUMMYFUNCTION("ROUNDUP((IF(REGEXMATCH(B299, ""Arrow"") + (B299 = ""Javelin""), 'Ammo Input'!E299) + IF(VLOOKUP(B299, AmmoTypeFactors, 9, FALSE) = ""Wood"", 'Ammo Input'!H299) + IF(B299 = ""Stick bomb"", 'Ammo Input'!E299)) * N299 / 'Ingredient stats'!$C$12 / 1000)"),0)</f>
        <v>0</v>
      </c>
      <c r="S303">
        <v>0</v>
      </c>
      <c r="T303">
        <v>0</v>
      </c>
      <c r="U303">
        <f>IF(VLOOKUP(B303,AmmoTypeFactors,9,FALSE)="Plasteel",ROUNDUP(('Ammo Input'!H303*MAX(IF('Ammo Input'!J303&gt;0,'Ammo Input'!J303,1)*N303/1000/'Ingredient stats'!$C$4)),0),0)</f>
        <v>0</v>
      </c>
      <c r="V303">
        <f>IFERROR(__xludf.DUMMYFUNCTION("ROUNDUP(IF(ISBLANK(VLOOKUP(B299,AmmoTypeFactors,16,False)),1,VLOOKUP(B299,AmmoTypeFactors,16,False)) * (IFS(REGEXMATCH(B299, ""EMP""), 'Ammo Input'!M299 * N299 / 'Ingredient stats'!$C$5, REGEXMATCH(B299, ""Charge""), (U299^0.75), true, 0) + (IF(VLOOKUP(B2"&amp;"99, AmmoTypeFactors, 10, false), 2,0) + IF('Ammo Input'!P299, 2,0) + IF('Ammo Input'!Q299,MIN(ROUNDUP(0.2*('Ammo Input'!H299/1000)*'Ammo Input'!O299,0),20),0))))"),0)</f>
        <v>0</v>
      </c>
      <c r="W303">
        <v>0</v>
      </c>
      <c r="X303">
        <v>0</v>
      </c>
      <c r="Y303">
        <v>0</v>
      </c>
      <c r="Z303">
        <v>0</v>
      </c>
      <c r="AA303">
        <v>0</v>
      </c>
      <c r="AB303" s="30">
        <f>IF(B303="Sling Bullet (Stone)",ROUNDUP(D303*0.02*E303/'Ingredient stats'!$C$8,0),0)</f>
        <v>0</v>
      </c>
      <c r="AC303" t="str">
        <f t="shared" si="16"/>
        <v>None</v>
      </c>
      <c r="AD303" t="str">
        <f>IF(OR(B303="Buck",B303="Bird",B303="Charge (Scatter)"),'Ammo Input'!J303,"None")</f>
        <v>None</v>
      </c>
      <c r="AE303" t="str">
        <f>_xlfn.IFS(ISTEXT(Calcs!N303),Calcs!N303,Calcs!N303&lt;=40,Calcs!N303,Calcs!N303&gt;41,"40")</f>
        <v>None</v>
      </c>
      <c r="AF303" t="str">
        <f>_xlfn.IFS(ISTEXT(Calcs!O303),Calcs!O303,Calcs!O303&lt;=80,Calcs!O303,Calcs!O303&gt;=81,"80")</f>
        <v>None</v>
      </c>
      <c r="AG303" s="25">
        <f t="shared" si="17"/>
        <v>1</v>
      </c>
      <c r="AH303" s="25">
        <f t="shared" si="18"/>
        <v>1.27</v>
      </c>
      <c r="AI303" s="25">
        <f t="shared" si="19"/>
        <v>1</v>
      </c>
    </row>
    <row r="304" ht="14.4" spans="1:35">
      <c r="A304" s="24" t="str">
        <f>'Ammo Input'!A304</f>
        <v>7.62x38mmR</v>
      </c>
      <c r="B304" t="str">
        <f>'Ammo Input'!B304</f>
        <v>HP</v>
      </c>
      <c r="C304">
        <f>ROUNDUP(('Ammo Input'!C304*(MAX('Ammo Input'!D304,'Ammo Input'!F304)*0.5)^2*PI())*3/1000000,2)</f>
        <v>0.01</v>
      </c>
      <c r="D304">
        <f>ROUNDUP(('Ammo Input'!E304+'Ammo Input'!H304*IF('Ammo Input'!J304&lt;&gt;"",MAX('Ammo Input'!J304,1),1))/1000,3)</f>
        <v>0.013</v>
      </c>
      <c r="E304">
        <f>MIN(5000,MAX(25,CEILING(Calcs!L304,_xlfn.IFS(Calcs!L304&lt;100,25,Calcs!L304&lt;250,50,Calcs!L304&lt;1000,250,Calcs!L304&gt;=1000,1000))))</f>
        <v>5000</v>
      </c>
      <c r="F304">
        <f>ROUNDUP('Ammo Input'!G304^(3/4),0)</f>
        <v>77</v>
      </c>
      <c r="G304">
        <f>ROUND((0.5*((IF(OR(B304="HEAT",B304="HEDP"),'Ammo Input'!N304,'Ammo Input'!H304)/1000)*(IF(B304="HEAT",9000,IF(B304="HEDP",1500,'Ammo Input'!G304))^2))),0)</f>
        <v>337</v>
      </c>
      <c r="H304" s="25" t="str">
        <f>CONCATENATE(IF((B304="Foam")+(B304="Smoke"),"-",ROUND(Calcs!D304,0))," ",VLOOKUP(B304,AmmoTypeFactors,5,FALSE))</f>
        <v>11 Bullet</v>
      </c>
      <c r="I304" s="25" t="str">
        <f>IF(Calcs!E304=0,"None",CONCATENATE(ROUND(Calcs!E304,0)," ",VLOOKUP(B304,AmmoTypeFactors,6,FALSE)))</f>
        <v>None</v>
      </c>
      <c r="J304">
        <f>MROUND(2.42*'Ammo Input'!M304^(1/3)*VLOOKUP(B304,AmmoTypeFactors,3,FALSE),0.5)</f>
        <v>0</v>
      </c>
      <c r="K304" s="25" t="str">
        <f>IF(VLOOKUP(B304,AmmoTypeFactors,12,FALSE),MROUND(J304/3,0.5),"None")</f>
        <v>None</v>
      </c>
      <c r="L304" s="25">
        <f>IF(VLOOKUP(B304,AmmoTypeFactors,8,FALSE),"None",ROUNDUP(IF(Calcs!I304&gt;0,Calcs!I304,Calcs!H304),3))</f>
        <v>6.74</v>
      </c>
      <c r="M304" s="25">
        <f>IF(VLOOKUP(B304,AmmoTypeFactors,8,FALSE),"None",'Ammo Input'!L304)</f>
        <v>3</v>
      </c>
      <c r="N304">
        <f>'Ammo Input'!O304</f>
        <v>500</v>
      </c>
      <c r="O304" t="e">
        <f>ROUND((P304*0.0036+SUMPRODUCT(Q304:AB304,VLOOKUP($Q$1:$AB$1,IngredientStats,2,FALSE)))/N304*IF('Ammo Input'!R304,0.5,1),2)</f>
        <v>#VALUE!</v>
      </c>
      <c r="P304" t="e">
        <f>(SUMPRODUCT(Q304:AB304,VLOOKUP($Q$1:$AB$1,IngredientStats,4,FALSE))*VLOOKUP(B304,AmmoTypeFactors,14,FALSE)*IF('Ammo Input'!R304,1.1,1))</f>
        <v>#VALUE!</v>
      </c>
      <c r="Q304">
        <f>IFERROR(__xludf.DUMMYFUNCTION("((IF(NOT(OR(REGEXMATCH(B300, ""Arrow""), B300 = ""Javelin"", B300 = ""Stick bomb"")), ROUNDUP(('Ammo Input'!E300 / 1000) * N300)) + IF(VLOOKUP(B300, AmmoTypeFactors, 9, FALSE) = ""Steel"", ROUNDUP(('Ammo Input'!H300 -'Ammo Input'!M300) * MAX(IF('Ammo Inpu"&amp;"t'!J300 &gt; 0, 'Ammo Input'!J300, 1), 1) * N300 / 1000))) / 'Ingredient stats'!$C$2) * IF(ISBLANK(VLOOKUP(B300,AmmoTypeFactors,15,False)),1,VLOOKUP(B300,AmmoTypeFactors,15,False))"),16)</f>
        <v>16</v>
      </c>
      <c r="R304">
        <f>IFERROR(__xludf.DUMMYFUNCTION("ROUNDUP((IF(REGEXMATCH(B300, ""Arrow"") + (B300 = ""Javelin""), 'Ammo Input'!E300) + IF(VLOOKUP(B300, AmmoTypeFactors, 9, FALSE) = ""Wood"", 'Ammo Input'!H300) + IF(B300 = ""Stick bomb"", 'Ammo Input'!E300)) * N300 / 'Ingredient stats'!$C$12 / 1000)"),0)</f>
        <v>0</v>
      </c>
      <c r="S304">
        <v>0</v>
      </c>
      <c r="T304">
        <v>0</v>
      </c>
      <c r="U304">
        <f>IF(VLOOKUP(B304,AmmoTypeFactors,9,FALSE)="Plasteel",ROUNDUP(('Ammo Input'!H304*MAX(IF('Ammo Input'!J304&gt;0,'Ammo Input'!J304,1)*N304/1000/'Ingredient stats'!$C$4)),0),0)</f>
        <v>0</v>
      </c>
      <c r="V304">
        <f>IFERROR(__xludf.DUMMYFUNCTION("ROUNDUP(IF(ISBLANK(VLOOKUP(B300,AmmoTypeFactors,16,False)),1,VLOOKUP(B300,AmmoTypeFactors,16,False)) * (IFS(REGEXMATCH(B300, ""EMP""), 'Ammo Input'!M300 * N300 / 'Ingredient stats'!$C$5, REGEXMATCH(B300, ""Charge""), (U300^0.75), true, 0) + (IF(VLOOKUP(B3"&amp;"00, AmmoTypeFactors, 10, false), 2,0) + IF('Ammo Input'!P300, 2,0) + IF('Ammo Input'!Q300,MIN(ROUNDUP(0.2*('Ammo Input'!H300/1000)*'Ammo Input'!O300,0),20),0))))"),0)</f>
        <v>0</v>
      </c>
      <c r="W304">
        <v>0</v>
      </c>
      <c r="X304">
        <v>0</v>
      </c>
      <c r="Y304">
        <v>0</v>
      </c>
      <c r="Z304">
        <v>0</v>
      </c>
      <c r="AA304">
        <v>0</v>
      </c>
      <c r="AB304" s="30">
        <f>IF(B304="Sling Bullet (Stone)",ROUNDUP(D304*0.02*E304/'Ingredient stats'!$C$8,0),0)</f>
        <v>0</v>
      </c>
      <c r="AC304" t="str">
        <f t="shared" si="16"/>
        <v>None</v>
      </c>
      <c r="AD304" t="str">
        <f>IF(OR(B304="Buck",B304="Bird",B304="Charge (Scatter)"),'Ammo Input'!J304,"None")</f>
        <v>None</v>
      </c>
      <c r="AE304" t="str">
        <f>_xlfn.IFS(ISTEXT(Calcs!N304),Calcs!N304,Calcs!N304&lt;=40,Calcs!N304,Calcs!N304&gt;41,"40")</f>
        <v>None</v>
      </c>
      <c r="AF304" t="str">
        <f>_xlfn.IFS(ISTEXT(Calcs!O304),Calcs!O304,Calcs!O304&lt;=80,Calcs!O304,Calcs!O304&gt;=81,"80")</f>
        <v>None</v>
      </c>
      <c r="AG304" s="25">
        <f t="shared" si="17"/>
        <v>1</v>
      </c>
      <c r="AH304" s="25">
        <f t="shared" si="18"/>
        <v>1.27</v>
      </c>
      <c r="AI304" s="25">
        <f t="shared" si="19"/>
        <v>1</v>
      </c>
    </row>
    <row r="305" ht="14.4" spans="1:35">
      <c r="A305" s="24" t="str">
        <f>'Ammo Input'!A305</f>
        <v>7.63x25mm Mauser</v>
      </c>
      <c r="B305" t="str">
        <f>'Ammo Input'!B305</f>
        <v>FMJ</v>
      </c>
      <c r="C305">
        <f>ROUNDUP(('Ammo Input'!C305*(MAX('Ammo Input'!D305,'Ammo Input'!F305)*0.5)^2*PI())*3/1000000,2)</f>
        <v>0.01</v>
      </c>
      <c r="D305">
        <f>ROUNDUP(('Ammo Input'!E305+'Ammo Input'!H305*IF('Ammo Input'!J305&lt;&gt;"",MAX('Ammo Input'!J305,1),1))/1000,3)</f>
        <v>0.012</v>
      </c>
      <c r="E305">
        <f>MIN(5000,MAX(25,CEILING(Calcs!L305,_xlfn.IFS(Calcs!L305&lt;100,25,Calcs!L305&lt;250,50,Calcs!L305&lt;1000,250,Calcs!L305&gt;=1000,1000))))</f>
        <v>5000</v>
      </c>
      <c r="F305">
        <f>ROUNDUP('Ammo Input'!G305^(3/4),0)</f>
        <v>97</v>
      </c>
      <c r="G305">
        <f>ROUND((0.5*((IF(OR(B305="HEAT",B305="HEDP"),'Ammo Input'!N305,'Ammo Input'!H305)/1000)*(IF(B305="HEAT",9000,IF(B305="HEDP",1500,'Ammo Input'!G305))^2))),0)</f>
        <v>545</v>
      </c>
      <c r="H305" s="25" t="str">
        <f>CONCATENATE(IF((B305="Foam")+(B305="Smoke"),"-",ROUND(Calcs!D305,0))," ",VLOOKUP(B305,AmmoTypeFactors,5,FALSE))</f>
        <v>10 Bullet</v>
      </c>
      <c r="I305" s="25" t="str">
        <f>IF(Calcs!E305=0,"None",CONCATENATE(ROUND(Calcs!E305,0)," ",VLOOKUP(B305,AmmoTypeFactors,6,FALSE)))</f>
        <v>None</v>
      </c>
      <c r="J305">
        <f>MROUND(2.42*'Ammo Input'!M305^(1/3)*VLOOKUP(B305,AmmoTypeFactors,3,FALSE),0.5)</f>
        <v>0</v>
      </c>
      <c r="K305" s="25" t="str">
        <f>IF(VLOOKUP(B305,AmmoTypeFactors,12,FALSE),MROUND(J305/3,0.5),"None")</f>
        <v>None</v>
      </c>
      <c r="L305" s="25">
        <f>IF(VLOOKUP(B305,AmmoTypeFactors,8,FALSE),"None",ROUNDUP(IF(Calcs!I305&gt;0,Calcs!I305,Calcs!H305),3))</f>
        <v>10.9</v>
      </c>
      <c r="M305" s="25">
        <f>IF(VLOOKUP(B305,AmmoTypeFactors,8,FALSE),"None",'Ammo Input'!L305)</f>
        <v>4</v>
      </c>
      <c r="N305">
        <f>'Ammo Input'!O305</f>
        <v>500</v>
      </c>
      <c r="O305" t="e">
        <f>ROUND((P305*0.0036+SUMPRODUCT(Q305:AB305,VLOOKUP($Q$1:$AB$1,IngredientStats,2,FALSE)))/N305*IF('Ammo Input'!R305,0.5,1),2)</f>
        <v>#VALUE!</v>
      </c>
      <c r="P305" t="e">
        <f>(SUMPRODUCT(Q305:AB305,VLOOKUP($Q$1:$AB$1,IngredientStats,4,FALSE))*VLOOKUP(B305,AmmoTypeFactors,14,FALSE)*IF('Ammo Input'!R305,1.1,1))</f>
        <v>#VALUE!</v>
      </c>
      <c r="Q305">
        <f>IFERROR(__xludf.DUMMYFUNCTION("((IF(NOT(OR(REGEXMATCH(B301, ""Arrow""), B301 = ""Javelin"", B301 = ""Stick bomb"")), ROUNDUP(('Ammo Input'!E301 / 1000) * N301)) + IF(VLOOKUP(B301, AmmoTypeFactors, 9, FALSE) = ""Steel"", ROUNDUP(('Ammo Input'!H301 -'Ammo Input'!M301) * MAX(IF('Ammo Inpu"&amp;"t'!J301 &gt; 0, 'Ammo Input'!J301, 1), 1) * N301 / 1000))) / 'Ingredient stats'!$C$2) * IF(ISBLANK(VLOOKUP(B301,AmmoTypeFactors,15,False)),1,VLOOKUP(B301,AmmoTypeFactors,15,False))"),12)</f>
        <v>12</v>
      </c>
      <c r="R305">
        <f>IFERROR(__xludf.DUMMYFUNCTION("ROUNDUP((IF(REGEXMATCH(B301, ""Arrow"") + (B301 = ""Javelin""), 'Ammo Input'!E301) + IF(VLOOKUP(B301, AmmoTypeFactors, 9, FALSE) = ""Wood"", 'Ammo Input'!H301) + IF(B301 = ""Stick bomb"", 'Ammo Input'!E301)) * N301 / 'Ingredient stats'!$C$12 / 1000)"),0)</f>
        <v>0</v>
      </c>
      <c r="S305">
        <v>0</v>
      </c>
      <c r="T305">
        <v>0</v>
      </c>
      <c r="U305">
        <f>IF(VLOOKUP(B305,AmmoTypeFactors,9,FALSE)="Plasteel",ROUNDUP(('Ammo Input'!H305*MAX(IF('Ammo Input'!J305&gt;0,'Ammo Input'!J305,1)*N305/1000/'Ingredient stats'!$C$4)),0),0)</f>
        <v>0</v>
      </c>
      <c r="V305">
        <f>IFERROR(__xludf.DUMMYFUNCTION("ROUNDUP(IF(ISBLANK(VLOOKUP(B301,AmmoTypeFactors,16,False)),1,VLOOKUP(B301,AmmoTypeFactors,16,False)) * (IFS(REGEXMATCH(B301, ""EMP""), 'Ammo Input'!M301 * N301 / 'Ingredient stats'!$C$5, REGEXMATCH(B301, ""Charge""), (U301^0.75), true, 0) + (IF(VLOOKUP(B3"&amp;"01, AmmoTypeFactors, 10, false), 2,0) + IF('Ammo Input'!P301, 2,0) + IF('Ammo Input'!Q301,MIN(ROUNDUP(0.2*('Ammo Input'!H301/1000)*'Ammo Input'!O301,0),20),0))))"),0)</f>
        <v>0</v>
      </c>
      <c r="W305">
        <v>0</v>
      </c>
      <c r="X305">
        <v>0</v>
      </c>
      <c r="Y305">
        <v>0</v>
      </c>
      <c r="Z305">
        <v>0</v>
      </c>
      <c r="AA305">
        <v>0</v>
      </c>
      <c r="AB305" s="30">
        <f>IF(B305="Sling Bullet (Stone)",ROUNDUP(D305*0.02*E305/'Ingredient stats'!$C$8,0),0)</f>
        <v>0</v>
      </c>
      <c r="AC305" t="str">
        <f t="shared" si="16"/>
        <v>None</v>
      </c>
      <c r="AD305" t="str">
        <f>IF(OR(B305="Buck",B305="Bird",B305="Charge (Scatter)"),'Ammo Input'!J305,"None")</f>
        <v>None</v>
      </c>
      <c r="AE305" t="str">
        <f>_xlfn.IFS(ISTEXT(Calcs!N305),Calcs!N305,Calcs!N305&lt;=40,Calcs!N305,Calcs!N305&gt;41,"40")</f>
        <v>None</v>
      </c>
      <c r="AF305" t="str">
        <f>_xlfn.IFS(ISTEXT(Calcs!O305),Calcs!O305,Calcs!O305&lt;=80,Calcs!O305,Calcs!O305&gt;=81,"80")</f>
        <v>None</v>
      </c>
      <c r="AG305" s="25">
        <f t="shared" si="17"/>
        <v>1</v>
      </c>
      <c r="AH305" s="25">
        <f t="shared" si="18"/>
        <v>1.6</v>
      </c>
      <c r="AI305" s="25">
        <f t="shared" si="19"/>
        <v>1</v>
      </c>
    </row>
    <row r="306" ht="14.4" spans="1:35">
      <c r="A306" s="24" t="str">
        <f>'Ammo Input'!A306</f>
        <v>7.63x25mm Mauser</v>
      </c>
      <c r="B306" t="str">
        <f>'Ammo Input'!B306</f>
        <v>AP</v>
      </c>
      <c r="C306">
        <f>ROUNDUP(('Ammo Input'!C306*(MAX('Ammo Input'!D306,'Ammo Input'!F306)*0.5)^2*PI())*3/1000000,2)</f>
        <v>0.01</v>
      </c>
      <c r="D306">
        <f>ROUNDUP(('Ammo Input'!E306+'Ammo Input'!H306*IF('Ammo Input'!J306&lt;&gt;"",MAX('Ammo Input'!J306,1),1))/1000,3)</f>
        <v>0.012</v>
      </c>
      <c r="E306">
        <f>MIN(5000,MAX(25,CEILING(Calcs!L306,_xlfn.IFS(Calcs!L306&lt;100,25,Calcs!L306&lt;250,50,Calcs!L306&lt;1000,250,Calcs!L306&gt;=1000,1000))))</f>
        <v>5000</v>
      </c>
      <c r="F306">
        <f>ROUNDUP('Ammo Input'!G306^(3/4),0)</f>
        <v>97</v>
      </c>
      <c r="G306">
        <f>ROUND((0.5*((IF(OR(B306="HEAT",B306="HEDP"),'Ammo Input'!N306,'Ammo Input'!H306)/1000)*(IF(B306="HEAT",9000,IF(B306="HEDP",1500,'Ammo Input'!G306))^2))),0)</f>
        <v>545</v>
      </c>
      <c r="H306" s="25" t="str">
        <f>CONCATENATE(IF((B306="Foam")+(B306="Smoke"),"-",ROUND(Calcs!D306,0))," ",VLOOKUP(B306,AmmoTypeFactors,5,FALSE))</f>
        <v>7 Bullet</v>
      </c>
      <c r="I306" s="25" t="str">
        <f>IF(Calcs!E306=0,"None",CONCATENATE(ROUND(Calcs!E306,0)," ",VLOOKUP(B306,AmmoTypeFactors,6,FALSE)))</f>
        <v>None</v>
      </c>
      <c r="J306">
        <f>MROUND(2.42*'Ammo Input'!M306^(1/3)*VLOOKUP(B306,AmmoTypeFactors,3,FALSE),0.5)</f>
        <v>0</v>
      </c>
      <c r="K306" s="25" t="str">
        <f>IF(VLOOKUP(B306,AmmoTypeFactors,12,FALSE),MROUND(J306/3,0.5),"None")</f>
        <v>None</v>
      </c>
      <c r="L306" s="25">
        <f>IF(VLOOKUP(B306,AmmoTypeFactors,8,FALSE),"None",ROUNDUP(IF(Calcs!I306&gt;0,Calcs!I306,Calcs!H306),3))</f>
        <v>10.9</v>
      </c>
      <c r="M306" s="25">
        <f>IF(VLOOKUP(B306,AmmoTypeFactors,8,FALSE),"None",'Ammo Input'!L306)</f>
        <v>10</v>
      </c>
      <c r="N306">
        <f>'Ammo Input'!O306</f>
        <v>500</v>
      </c>
      <c r="O306" t="e">
        <f>ROUND((P306*0.0036+SUMPRODUCT(Q306:AB306,VLOOKUP($Q$1:$AB$1,IngredientStats,2,FALSE)))/N306*IF('Ammo Input'!R306,0.5,1),2)</f>
        <v>#VALUE!</v>
      </c>
      <c r="P306" t="e">
        <f>(SUMPRODUCT(Q306:AB306,VLOOKUP($Q$1:$AB$1,IngredientStats,4,FALSE))*VLOOKUP(B306,AmmoTypeFactors,14,FALSE)*IF('Ammo Input'!R306,1.1,1))</f>
        <v>#VALUE!</v>
      </c>
      <c r="Q306">
        <f>IFERROR(__xludf.DUMMYFUNCTION("((IF(NOT(OR(REGEXMATCH(B302, ""Arrow""), B302 = ""Javelin"", B302 = ""Stick bomb"")), ROUNDUP(('Ammo Input'!E302 / 1000) * N302)) + IF(VLOOKUP(B302, AmmoTypeFactors, 9, FALSE) = ""Steel"", ROUNDUP(('Ammo Input'!H302 -'Ammo Input'!M302) * MAX(IF('Ammo Inpu"&amp;"t'!J302 &gt; 0, 'Ammo Input'!J302, 1), 1) * N302 / 1000))) / 'Ingredient stats'!$C$2) * IF(ISBLANK(VLOOKUP(B302,AmmoTypeFactors,15,False)),1,VLOOKUP(B302,AmmoTypeFactors,15,False))"),12)</f>
        <v>12</v>
      </c>
      <c r="R306">
        <f>IFERROR(__xludf.DUMMYFUNCTION("ROUNDUP((IF(REGEXMATCH(B302, ""Arrow"") + (B302 = ""Javelin""), 'Ammo Input'!E302) + IF(VLOOKUP(B302, AmmoTypeFactors, 9, FALSE) = ""Wood"", 'Ammo Input'!H302) + IF(B302 = ""Stick bomb"", 'Ammo Input'!E302)) * N302 / 'Ingredient stats'!$C$12 / 1000)"),0)</f>
        <v>0</v>
      </c>
      <c r="S306">
        <v>0</v>
      </c>
      <c r="T306">
        <v>0</v>
      </c>
      <c r="U306">
        <f>IF(VLOOKUP(B306,AmmoTypeFactors,9,FALSE)="Plasteel",ROUNDUP(('Ammo Input'!H306*MAX(IF('Ammo Input'!J306&gt;0,'Ammo Input'!J306,1)*N306/1000/'Ingredient stats'!$C$4)),0),0)</f>
        <v>0</v>
      </c>
      <c r="V306">
        <f>IFERROR(__xludf.DUMMYFUNCTION("ROUNDUP(IF(ISBLANK(VLOOKUP(B302,AmmoTypeFactors,16,False)),1,VLOOKUP(B302,AmmoTypeFactors,16,False)) * (IFS(REGEXMATCH(B302, ""EMP""), 'Ammo Input'!M302 * N302 / 'Ingredient stats'!$C$5, REGEXMATCH(B302, ""Charge""), (U302^0.75), true, 0) + (IF(VLOOKUP(B3"&amp;"02, AmmoTypeFactors, 10, false), 2,0) + IF('Ammo Input'!P302, 2,0) + IF('Ammo Input'!Q302,MIN(ROUNDUP(0.2*('Ammo Input'!H302/1000)*'Ammo Input'!O302,0),20),0))))"),0)</f>
        <v>0</v>
      </c>
      <c r="W306">
        <v>0</v>
      </c>
      <c r="X306">
        <v>0</v>
      </c>
      <c r="Y306">
        <v>0</v>
      </c>
      <c r="Z306">
        <v>0</v>
      </c>
      <c r="AA306">
        <v>0</v>
      </c>
      <c r="AB306" s="30">
        <f>IF(B306="Sling Bullet (Stone)",ROUNDUP(D306*0.02*E306/'Ingredient stats'!$C$8,0),0)</f>
        <v>0</v>
      </c>
      <c r="AC306" t="str">
        <f t="shared" si="16"/>
        <v>None</v>
      </c>
      <c r="AD306" t="str">
        <f>IF(OR(B306="Buck",B306="Bird",B306="Charge (Scatter)"),'Ammo Input'!J306,"None")</f>
        <v>None</v>
      </c>
      <c r="AE306" t="str">
        <f>_xlfn.IFS(ISTEXT(Calcs!N306),Calcs!N306,Calcs!N306&lt;=40,Calcs!N306,Calcs!N306&gt;41,"40")</f>
        <v>None</v>
      </c>
      <c r="AF306" t="str">
        <f>_xlfn.IFS(ISTEXT(Calcs!O306),Calcs!O306,Calcs!O306&lt;=80,Calcs!O306,Calcs!O306&gt;=81,"80")</f>
        <v>None</v>
      </c>
      <c r="AG306" s="25">
        <f t="shared" si="17"/>
        <v>1</v>
      </c>
      <c r="AH306" s="25">
        <f t="shared" si="18"/>
        <v>1.6</v>
      </c>
      <c r="AI306" s="25">
        <f t="shared" si="19"/>
        <v>1</v>
      </c>
    </row>
    <row r="307" ht="14.4" spans="1:35">
      <c r="A307" s="24" t="str">
        <f>'Ammo Input'!A307</f>
        <v>7.63x25mm Mauser</v>
      </c>
      <c r="B307" t="str">
        <f>'Ammo Input'!B307</f>
        <v>HP</v>
      </c>
      <c r="C307">
        <f>ROUNDUP(('Ammo Input'!C307*(MAX('Ammo Input'!D307,'Ammo Input'!F307)*0.5)^2*PI())*3/1000000,2)</f>
        <v>0.01</v>
      </c>
      <c r="D307">
        <f>ROUNDUP(('Ammo Input'!E307+'Ammo Input'!H307*IF('Ammo Input'!J307&lt;&gt;"",MAX('Ammo Input'!J307,1),1))/1000,3)</f>
        <v>0.012</v>
      </c>
      <c r="E307">
        <f>MIN(5000,MAX(25,CEILING(Calcs!L307,_xlfn.IFS(Calcs!L307&lt;100,25,Calcs!L307&lt;250,50,Calcs!L307&lt;1000,250,Calcs!L307&gt;=1000,1000))))</f>
        <v>5000</v>
      </c>
      <c r="F307">
        <f>ROUNDUP('Ammo Input'!G307^(3/4),0)</f>
        <v>97</v>
      </c>
      <c r="G307">
        <f>ROUND((0.5*((IF(OR(B307="HEAT",B307="HEDP"),'Ammo Input'!N307,'Ammo Input'!H307)/1000)*(IF(B307="HEAT",9000,IF(B307="HEDP",1500,'Ammo Input'!G307))^2))),0)</f>
        <v>545</v>
      </c>
      <c r="H307" s="25" t="str">
        <f>CONCATENATE(IF((B307="Foam")+(B307="Smoke"),"-",ROUND(Calcs!D307,0))," ",VLOOKUP(B307,AmmoTypeFactors,5,FALSE))</f>
        <v>13 Bullet</v>
      </c>
      <c r="I307" s="25" t="str">
        <f>IF(Calcs!E307=0,"None",CONCATENATE(ROUND(Calcs!E307,0)," ",VLOOKUP(B307,AmmoTypeFactors,6,FALSE)))</f>
        <v>None</v>
      </c>
      <c r="J307">
        <f>MROUND(2.42*'Ammo Input'!M307^(1/3)*VLOOKUP(B307,AmmoTypeFactors,3,FALSE),0.5)</f>
        <v>0</v>
      </c>
      <c r="K307" s="25" t="str">
        <f>IF(VLOOKUP(B307,AmmoTypeFactors,12,FALSE),MROUND(J307/3,0.5),"None")</f>
        <v>None</v>
      </c>
      <c r="L307" s="25">
        <f>IF(VLOOKUP(B307,AmmoTypeFactors,8,FALSE),"None",ROUNDUP(IF(Calcs!I307&gt;0,Calcs!I307,Calcs!H307),3))</f>
        <v>10.9</v>
      </c>
      <c r="M307" s="25">
        <f>IF(VLOOKUP(B307,AmmoTypeFactors,8,FALSE),"None",'Ammo Input'!L307)</f>
        <v>3</v>
      </c>
      <c r="N307">
        <f>'Ammo Input'!O307</f>
        <v>500</v>
      </c>
      <c r="O307" t="e">
        <f>ROUND((P307*0.0036+SUMPRODUCT(Q307:AB307,VLOOKUP($Q$1:$AB$1,IngredientStats,2,FALSE)))/N307*IF('Ammo Input'!R307,0.5,1),2)</f>
        <v>#VALUE!</v>
      </c>
      <c r="P307" t="e">
        <f>(SUMPRODUCT(Q307:AB307,VLOOKUP($Q$1:$AB$1,IngredientStats,4,FALSE))*VLOOKUP(B307,AmmoTypeFactors,14,FALSE)*IF('Ammo Input'!R307,1.1,1))</f>
        <v>#VALUE!</v>
      </c>
      <c r="Q307">
        <f>IFERROR(__xludf.DUMMYFUNCTION("((IF(NOT(OR(REGEXMATCH(B303, ""Arrow""), B303 = ""Javelin"", B303 = ""Stick bomb"")), ROUNDUP(('Ammo Input'!E303 / 1000) * N303)) + IF(VLOOKUP(B303, AmmoTypeFactors, 9, FALSE) = ""Steel"", ROUNDUP(('Ammo Input'!H303 -'Ammo Input'!M303) * MAX(IF('Ammo Inpu"&amp;"t'!J303 &gt; 0, 'Ammo Input'!J303, 1), 1) * N303 / 1000))) / 'Ingredient stats'!$C$2) * IF(ISBLANK(VLOOKUP(B303,AmmoTypeFactors,15,False)),1,VLOOKUP(B303,AmmoTypeFactors,15,False))"),12)</f>
        <v>12</v>
      </c>
      <c r="R307">
        <f>IFERROR(__xludf.DUMMYFUNCTION("ROUNDUP((IF(REGEXMATCH(B303, ""Arrow"") + (B303 = ""Javelin""), 'Ammo Input'!E303) + IF(VLOOKUP(B303, AmmoTypeFactors, 9, FALSE) = ""Wood"", 'Ammo Input'!H303) + IF(B303 = ""Stick bomb"", 'Ammo Input'!E303)) * N303 / 'Ingredient stats'!$C$12 / 1000)"),0)</f>
        <v>0</v>
      </c>
      <c r="S307">
        <v>0</v>
      </c>
      <c r="T307">
        <v>0</v>
      </c>
      <c r="U307">
        <f>IF(VLOOKUP(B307,AmmoTypeFactors,9,FALSE)="Plasteel",ROUNDUP(('Ammo Input'!H307*MAX(IF('Ammo Input'!J307&gt;0,'Ammo Input'!J307,1)*N307/1000/'Ingredient stats'!$C$4)),0),0)</f>
        <v>0</v>
      </c>
      <c r="V307">
        <f>IFERROR(__xludf.DUMMYFUNCTION("ROUNDUP(IF(ISBLANK(VLOOKUP(B303,AmmoTypeFactors,16,False)),1,VLOOKUP(B303,AmmoTypeFactors,16,False)) * (IFS(REGEXMATCH(B303, ""EMP""), 'Ammo Input'!M303 * N303 / 'Ingredient stats'!$C$5, REGEXMATCH(B303, ""Charge""), (U303^0.75), true, 0) + (IF(VLOOKUP(B3"&amp;"03, AmmoTypeFactors, 10, false), 2,0) + IF('Ammo Input'!P303, 2,0) + IF('Ammo Input'!Q303,MIN(ROUNDUP(0.2*('Ammo Input'!H303/1000)*'Ammo Input'!O303,0),20),0))))"),0)</f>
        <v>0</v>
      </c>
      <c r="W307">
        <v>0</v>
      </c>
      <c r="X307">
        <v>0</v>
      </c>
      <c r="Y307">
        <v>0</v>
      </c>
      <c r="Z307">
        <v>0</v>
      </c>
      <c r="AA307">
        <v>0</v>
      </c>
      <c r="AB307" s="30">
        <f>IF(B307="Sling Bullet (Stone)",ROUNDUP(D307*0.02*E307/'Ingredient stats'!$C$8,0),0)</f>
        <v>0</v>
      </c>
      <c r="AC307" t="str">
        <f t="shared" si="16"/>
        <v>None</v>
      </c>
      <c r="AD307" t="str">
        <f>IF(OR(B307="Buck",B307="Bird",B307="Charge (Scatter)"),'Ammo Input'!J307,"None")</f>
        <v>None</v>
      </c>
      <c r="AE307" t="str">
        <f>_xlfn.IFS(ISTEXT(Calcs!N307),Calcs!N307,Calcs!N307&lt;=40,Calcs!N307,Calcs!N307&gt;41,"40")</f>
        <v>None</v>
      </c>
      <c r="AF307" t="str">
        <f>_xlfn.IFS(ISTEXT(Calcs!O307),Calcs!O307,Calcs!O307&lt;=80,Calcs!O307,Calcs!O307&gt;=81,"80")</f>
        <v>None</v>
      </c>
      <c r="AG307" s="25">
        <f t="shared" si="17"/>
        <v>1</v>
      </c>
      <c r="AH307" s="25">
        <f t="shared" si="18"/>
        <v>1.6</v>
      </c>
      <c r="AI307" s="25">
        <f t="shared" si="19"/>
        <v>1</v>
      </c>
    </row>
    <row r="308" ht="14.4" spans="1:35">
      <c r="A308" s="24" t="str">
        <f>'Ammo Input'!A308</f>
        <v>7.65x20mm Longue</v>
      </c>
      <c r="B308" t="str">
        <f>'Ammo Input'!B308</f>
        <v>FMJ</v>
      </c>
      <c r="C308">
        <f>ROUNDUP(('Ammo Input'!C308*(MAX('Ammo Input'!D308,'Ammo Input'!F308)*0.5)^2*PI())*3/1000000,2)</f>
        <v>0.01</v>
      </c>
      <c r="D308">
        <f>ROUNDUP(('Ammo Input'!E308+'Ammo Input'!H308*IF('Ammo Input'!J308&lt;&gt;"",MAX('Ammo Input'!J308,1),1))/1000,3)</f>
        <v>0.009</v>
      </c>
      <c r="E308">
        <f>MIN(5000,MAX(25,CEILING(Calcs!L308,_xlfn.IFS(Calcs!L308&lt;100,25,Calcs!L308&lt;250,50,Calcs!L308&lt;1000,250,Calcs!L308&gt;=1000,1000))))</f>
        <v>5000</v>
      </c>
      <c r="F308">
        <f>ROUNDUP('Ammo Input'!G308^(3/4),0)</f>
        <v>81</v>
      </c>
      <c r="G308">
        <f>ROUND((0.5*((IF(OR(B308="HEAT",B308="HEDP"),'Ammo Input'!N308,'Ammo Input'!H308)/1000)*(IF(B308="HEAT",9000,IF(B308="HEDP",1500,'Ammo Input'!G308))^2))),0)</f>
        <v>298</v>
      </c>
      <c r="H308" s="25" t="str">
        <f>CONCATENATE(IF((B308="Foam")+(B308="Smoke"),"-",ROUND(Calcs!D308,0))," ",VLOOKUP(B308,AmmoTypeFactors,5,FALSE))</f>
        <v>8 Bullet</v>
      </c>
      <c r="I308" s="25" t="str">
        <f>IF(Calcs!E308=0,"None",CONCATENATE(ROUND(Calcs!E308,0)," ",VLOOKUP(B308,AmmoTypeFactors,6,FALSE)))</f>
        <v>None</v>
      </c>
      <c r="J308">
        <f>MROUND(2.42*'Ammo Input'!M308^(1/3)*VLOOKUP(B308,AmmoTypeFactors,3,FALSE),0.5)</f>
        <v>0</v>
      </c>
      <c r="K308" s="25" t="str">
        <f>IF(VLOOKUP(B308,AmmoTypeFactors,12,FALSE),MROUND(J308/3,0.5),"None")</f>
        <v>None</v>
      </c>
      <c r="L308" s="25">
        <f>IF(VLOOKUP(B308,AmmoTypeFactors,8,FALSE),"None",ROUNDUP(IF(Calcs!I308&gt;0,Calcs!I308,Calcs!H308),3))</f>
        <v>5.96</v>
      </c>
      <c r="M308" s="25">
        <f>IF(VLOOKUP(B308,AmmoTypeFactors,8,FALSE),"None",'Ammo Input'!L308)</f>
        <v>4</v>
      </c>
      <c r="N308">
        <f>'Ammo Input'!O308</f>
        <v>500</v>
      </c>
      <c r="O308" t="e">
        <f>ROUND((P308*0.0036+SUMPRODUCT(Q308:AB308,VLOOKUP($Q$1:$AB$1,IngredientStats,2,FALSE)))/N308*IF('Ammo Input'!R308,0.5,1),2)</f>
        <v>#VALUE!</v>
      </c>
      <c r="P308" t="e">
        <f>(SUMPRODUCT(Q308:AB308,VLOOKUP($Q$1:$AB$1,IngredientStats,4,FALSE))*VLOOKUP(B308,AmmoTypeFactors,14,FALSE)*IF('Ammo Input'!R308,1.1,1))</f>
        <v>#VALUE!</v>
      </c>
      <c r="Q308">
        <f>IFERROR(__xludf.DUMMYFUNCTION("((IF(NOT(OR(REGEXMATCH(B304, ""Arrow""), B304 = ""Javelin"", B304 = ""Stick bomb"")), ROUNDUP(('Ammo Input'!E304 / 1000) * N304)) + IF(VLOOKUP(B304, AmmoTypeFactors, 9, FALSE) = ""Steel"", ROUNDUP(('Ammo Input'!H304 -'Ammo Input'!M304) * MAX(IF('Ammo Inpu"&amp;"t'!J304 &gt; 0, 'Ammo Input'!J304, 1), 1) * N304 / 1000))) / 'Ingredient stats'!$C$2) * IF(ISBLANK(VLOOKUP(B304,AmmoTypeFactors,15,False)),1,VLOOKUP(B304,AmmoTypeFactors,15,False))"),10)</f>
        <v>10</v>
      </c>
      <c r="R308">
        <f>IFERROR(__xludf.DUMMYFUNCTION("ROUNDUP((IF(REGEXMATCH(B304, ""Arrow"") + (B304 = ""Javelin""), 'Ammo Input'!E304) + IF(VLOOKUP(B304, AmmoTypeFactors, 9, FALSE) = ""Wood"", 'Ammo Input'!H304) + IF(B304 = ""Stick bomb"", 'Ammo Input'!E304)) * N304 / 'Ingredient stats'!$C$12 / 1000)"),0)</f>
        <v>0</v>
      </c>
      <c r="S308">
        <v>0</v>
      </c>
      <c r="T308">
        <v>0</v>
      </c>
      <c r="U308">
        <f>IF(VLOOKUP(B308,AmmoTypeFactors,9,FALSE)="Plasteel",ROUNDUP(('Ammo Input'!H308*MAX(IF('Ammo Input'!J308&gt;0,'Ammo Input'!J308,1)*N308/1000/'Ingredient stats'!$C$4)),0),0)</f>
        <v>0</v>
      </c>
      <c r="V308">
        <f>IFERROR(__xludf.DUMMYFUNCTION("ROUNDUP(IF(ISBLANK(VLOOKUP(B304,AmmoTypeFactors,16,False)),1,VLOOKUP(B304,AmmoTypeFactors,16,False)) * (IFS(REGEXMATCH(B304, ""EMP""), 'Ammo Input'!M304 * N304 / 'Ingredient stats'!$C$5, REGEXMATCH(B304, ""Charge""), (U304^0.75), true, 0) + (IF(VLOOKUP(B3"&amp;"04, AmmoTypeFactors, 10, false), 2,0) + IF('Ammo Input'!P304, 2,0) + IF('Ammo Input'!Q304,MIN(ROUNDUP(0.2*('Ammo Input'!H304/1000)*'Ammo Input'!O304,0),20),0))))"),0)</f>
        <v>0</v>
      </c>
      <c r="W308">
        <v>0</v>
      </c>
      <c r="X308">
        <v>0</v>
      </c>
      <c r="Y308">
        <v>0</v>
      </c>
      <c r="Z308">
        <v>0</v>
      </c>
      <c r="AA308">
        <v>0</v>
      </c>
      <c r="AB308" s="30">
        <f>IF(B308="Sling Bullet (Stone)",ROUNDUP(D308*0.02*E308/'Ingredient stats'!$C$8,0),0)</f>
        <v>0</v>
      </c>
      <c r="AC308" t="str">
        <f t="shared" si="16"/>
        <v>None</v>
      </c>
      <c r="AD308" t="str">
        <f>IF(OR(B308="Buck",B308="Bird",B308="Charge (Scatter)"),'Ammo Input'!J308,"None")</f>
        <v>None</v>
      </c>
      <c r="AE308" t="str">
        <f>_xlfn.IFS(ISTEXT(Calcs!N308),Calcs!N308,Calcs!N308&lt;=40,Calcs!N308,Calcs!N308&gt;41,"40")</f>
        <v>None</v>
      </c>
      <c r="AF308" t="str">
        <f>_xlfn.IFS(ISTEXT(Calcs!O308),Calcs!O308,Calcs!O308&lt;=80,Calcs!O308,Calcs!O308&gt;=81,"80")</f>
        <v>None</v>
      </c>
      <c r="AG308" s="25">
        <f t="shared" si="17"/>
        <v>1</v>
      </c>
      <c r="AH308" s="25">
        <f t="shared" si="18"/>
        <v>1.33</v>
      </c>
      <c r="AI308" s="25">
        <f t="shared" si="19"/>
        <v>1</v>
      </c>
    </row>
    <row r="309" ht="14.4" spans="1:35">
      <c r="A309" s="24" t="str">
        <f>'Ammo Input'!A309</f>
        <v>7.65x20mm Longue</v>
      </c>
      <c r="B309" t="str">
        <f>'Ammo Input'!B309</f>
        <v>AP</v>
      </c>
      <c r="C309">
        <f>ROUNDUP(('Ammo Input'!C309*(MAX('Ammo Input'!D309,'Ammo Input'!F309)*0.5)^2*PI())*3/1000000,2)</f>
        <v>0.01</v>
      </c>
      <c r="D309">
        <f>ROUNDUP(('Ammo Input'!E309+'Ammo Input'!H309*IF('Ammo Input'!J309&lt;&gt;"",MAX('Ammo Input'!J309,1),1))/1000,3)</f>
        <v>0.009</v>
      </c>
      <c r="E309">
        <f>MIN(5000,MAX(25,CEILING(Calcs!L309,_xlfn.IFS(Calcs!L309&lt;100,25,Calcs!L309&lt;250,50,Calcs!L309&lt;1000,250,Calcs!L309&gt;=1000,1000))))</f>
        <v>5000</v>
      </c>
      <c r="F309">
        <f>ROUNDUP('Ammo Input'!G309^(3/4),0)</f>
        <v>81</v>
      </c>
      <c r="G309">
        <f>ROUND((0.5*((IF(OR(B309="HEAT",B309="HEDP"),'Ammo Input'!N309,'Ammo Input'!H309)/1000)*(IF(B309="HEAT",9000,IF(B309="HEDP",1500,'Ammo Input'!G309))^2))),0)</f>
        <v>298</v>
      </c>
      <c r="H309" s="25" t="str">
        <f>CONCATENATE(IF((B309="Foam")+(B309="Smoke"),"-",ROUND(Calcs!D309,0))," ",VLOOKUP(B309,AmmoTypeFactors,5,FALSE))</f>
        <v>5 Bullet</v>
      </c>
      <c r="I309" s="25" t="str">
        <f>IF(Calcs!E309=0,"None",CONCATENATE(ROUND(Calcs!E309,0)," ",VLOOKUP(B309,AmmoTypeFactors,6,FALSE)))</f>
        <v>None</v>
      </c>
      <c r="J309">
        <f>MROUND(2.42*'Ammo Input'!M309^(1/3)*VLOOKUP(B309,AmmoTypeFactors,3,FALSE),0.5)</f>
        <v>0</v>
      </c>
      <c r="K309" s="25" t="str">
        <f>IF(VLOOKUP(B309,AmmoTypeFactors,12,FALSE),MROUND(J309/3,0.5),"None")</f>
        <v>None</v>
      </c>
      <c r="L309" s="25">
        <f>IF(VLOOKUP(B309,AmmoTypeFactors,8,FALSE),"None",ROUNDUP(IF(Calcs!I309&gt;0,Calcs!I309,Calcs!H309),3))</f>
        <v>5.96</v>
      </c>
      <c r="M309" s="25">
        <f>IF(VLOOKUP(B309,AmmoTypeFactors,8,FALSE),"None",'Ammo Input'!L309)</f>
        <v>8</v>
      </c>
      <c r="N309">
        <f>'Ammo Input'!O309</f>
        <v>500</v>
      </c>
      <c r="O309" t="e">
        <f>ROUND((P309*0.0036+SUMPRODUCT(Q309:AB309,VLOOKUP($Q$1:$AB$1,IngredientStats,2,FALSE)))/N309*IF('Ammo Input'!R309,0.5,1),2)</f>
        <v>#VALUE!</v>
      </c>
      <c r="P309" t="e">
        <f>(SUMPRODUCT(Q309:AB309,VLOOKUP($Q$1:$AB$1,IngredientStats,4,FALSE))*VLOOKUP(B309,AmmoTypeFactors,14,FALSE)*IF('Ammo Input'!R309,1.1,1))</f>
        <v>#VALUE!</v>
      </c>
      <c r="Q309">
        <f>IFERROR(__xludf.DUMMYFUNCTION("((IF(NOT(OR(REGEXMATCH(B305, ""Arrow""), B305 = ""Javelin"", B305 = ""Stick bomb"")), ROUNDUP(('Ammo Input'!E305 / 1000) * N305)) + IF(VLOOKUP(B305, AmmoTypeFactors, 9, FALSE) = ""Steel"", ROUNDUP(('Ammo Input'!H305 -'Ammo Input'!M305) * MAX(IF('Ammo Inpu"&amp;"t'!J305 &gt; 0, 'Ammo Input'!J305, 1), 1) * N305 / 1000))) / 'Ingredient stats'!$C$2) * IF(ISBLANK(VLOOKUP(B305,AmmoTypeFactors,15,False)),1,VLOOKUP(B305,AmmoTypeFactors,15,False))"),10)</f>
        <v>10</v>
      </c>
      <c r="R309">
        <f>IFERROR(__xludf.DUMMYFUNCTION("ROUNDUP((IF(REGEXMATCH(B305, ""Arrow"") + (B305 = ""Javelin""), 'Ammo Input'!E305) + IF(VLOOKUP(B305, AmmoTypeFactors, 9, FALSE) = ""Wood"", 'Ammo Input'!H305) + IF(B305 = ""Stick bomb"", 'Ammo Input'!E305)) * N305 / 'Ingredient stats'!$C$12 / 1000)"),0)</f>
        <v>0</v>
      </c>
      <c r="S309">
        <v>0</v>
      </c>
      <c r="T309">
        <v>0</v>
      </c>
      <c r="U309">
        <f>IF(VLOOKUP(B309,AmmoTypeFactors,9,FALSE)="Plasteel",ROUNDUP(('Ammo Input'!H309*MAX(IF('Ammo Input'!J309&gt;0,'Ammo Input'!J309,1)*N309/1000/'Ingredient stats'!$C$4)),0),0)</f>
        <v>0</v>
      </c>
      <c r="V309">
        <f>IFERROR(__xludf.DUMMYFUNCTION("ROUNDUP(IF(ISBLANK(VLOOKUP(B305,AmmoTypeFactors,16,False)),1,VLOOKUP(B305,AmmoTypeFactors,16,False)) * (IFS(REGEXMATCH(B305, ""EMP""), 'Ammo Input'!M305 * N305 / 'Ingredient stats'!$C$5, REGEXMATCH(B305, ""Charge""), (U305^0.75), true, 0) + (IF(VLOOKUP(B3"&amp;"05, AmmoTypeFactors, 10, false), 2,0) + IF('Ammo Input'!P305, 2,0) + IF('Ammo Input'!Q305,MIN(ROUNDUP(0.2*('Ammo Input'!H305/1000)*'Ammo Input'!O305,0),20),0))))"),0)</f>
        <v>0</v>
      </c>
      <c r="W309">
        <v>0</v>
      </c>
      <c r="X309">
        <v>0</v>
      </c>
      <c r="Y309">
        <v>0</v>
      </c>
      <c r="Z309">
        <v>0</v>
      </c>
      <c r="AA309">
        <v>0</v>
      </c>
      <c r="AB309" s="30">
        <f>IF(B309="Sling Bullet (Stone)",ROUNDUP(D309*0.02*E309/'Ingredient stats'!$C$8,0),0)</f>
        <v>0</v>
      </c>
      <c r="AC309" t="str">
        <f t="shared" si="16"/>
        <v>None</v>
      </c>
      <c r="AD309" t="str">
        <f>IF(OR(B309="Buck",B309="Bird",B309="Charge (Scatter)"),'Ammo Input'!J309,"None")</f>
        <v>None</v>
      </c>
      <c r="AE309" t="str">
        <f>_xlfn.IFS(ISTEXT(Calcs!N309),Calcs!N309,Calcs!N309&lt;=40,Calcs!N309,Calcs!N309&gt;41,"40")</f>
        <v>None</v>
      </c>
      <c r="AF309" t="str">
        <f>_xlfn.IFS(ISTEXT(Calcs!O309),Calcs!O309,Calcs!O309&lt;=80,Calcs!O309,Calcs!O309&gt;=81,"80")</f>
        <v>None</v>
      </c>
      <c r="AG309" s="25">
        <f t="shared" si="17"/>
        <v>1</v>
      </c>
      <c r="AH309" s="25">
        <f t="shared" si="18"/>
        <v>1.33</v>
      </c>
      <c r="AI309" s="25">
        <f t="shared" si="19"/>
        <v>1</v>
      </c>
    </row>
    <row r="310" ht="14.4" spans="1:35">
      <c r="A310" s="24" t="str">
        <f>'Ammo Input'!A310</f>
        <v>7.65x20mm Longue</v>
      </c>
      <c r="B310" t="str">
        <f>'Ammo Input'!B310</f>
        <v>HP</v>
      </c>
      <c r="C310">
        <f>ROUNDUP(('Ammo Input'!C310*(MAX('Ammo Input'!D310,'Ammo Input'!F310)*0.5)^2*PI())*3/1000000,2)</f>
        <v>0.01</v>
      </c>
      <c r="D310">
        <f>ROUNDUP(('Ammo Input'!E310+'Ammo Input'!H310*IF('Ammo Input'!J310&lt;&gt;"",MAX('Ammo Input'!J310,1),1))/1000,3)</f>
        <v>0.009</v>
      </c>
      <c r="E310">
        <f>MIN(5000,MAX(25,CEILING(Calcs!L310,_xlfn.IFS(Calcs!L310&lt;100,25,Calcs!L310&lt;250,50,Calcs!L310&lt;1000,250,Calcs!L310&gt;=1000,1000))))</f>
        <v>5000</v>
      </c>
      <c r="F310">
        <f>ROUNDUP('Ammo Input'!G310^(3/4),0)</f>
        <v>81</v>
      </c>
      <c r="G310">
        <f>ROUND((0.5*((IF(OR(B310="HEAT",B310="HEDP"),'Ammo Input'!N310,'Ammo Input'!H310)/1000)*(IF(B310="HEAT",9000,IF(B310="HEDP",1500,'Ammo Input'!G310))^2))),0)</f>
        <v>298</v>
      </c>
      <c r="H310" s="25" t="str">
        <f>CONCATENATE(IF((B310="Foam")+(B310="Smoke"),"-",ROUND(Calcs!D310,0))," ",VLOOKUP(B310,AmmoTypeFactors,5,FALSE))</f>
        <v>11 Bullet</v>
      </c>
      <c r="I310" s="25" t="str">
        <f>IF(Calcs!E310=0,"None",CONCATENATE(ROUND(Calcs!E310,0)," ",VLOOKUP(B310,AmmoTypeFactors,6,FALSE)))</f>
        <v>None</v>
      </c>
      <c r="J310">
        <f>MROUND(2.42*'Ammo Input'!M310^(1/3)*VLOOKUP(B310,AmmoTypeFactors,3,FALSE),0.5)</f>
        <v>0</v>
      </c>
      <c r="K310" s="25" t="str">
        <f>IF(VLOOKUP(B310,AmmoTypeFactors,12,FALSE),MROUND(J310/3,0.5),"None")</f>
        <v>None</v>
      </c>
      <c r="L310" s="25">
        <f>IF(VLOOKUP(B310,AmmoTypeFactors,8,FALSE),"None",ROUNDUP(IF(Calcs!I310&gt;0,Calcs!I310,Calcs!H310),3))</f>
        <v>5.96</v>
      </c>
      <c r="M310" s="25">
        <f>IF(VLOOKUP(B310,AmmoTypeFactors,8,FALSE),"None",'Ammo Input'!L310)</f>
        <v>2</v>
      </c>
      <c r="N310">
        <f>'Ammo Input'!O310</f>
        <v>500</v>
      </c>
      <c r="O310" t="e">
        <f>ROUND((P310*0.0036+SUMPRODUCT(Q310:AB310,VLOOKUP($Q$1:$AB$1,IngredientStats,2,FALSE)))/N310*IF('Ammo Input'!R310,0.5,1),2)</f>
        <v>#VALUE!</v>
      </c>
      <c r="P310" t="e">
        <f>(SUMPRODUCT(Q310:AB310,VLOOKUP($Q$1:$AB$1,IngredientStats,4,FALSE))*VLOOKUP(B310,AmmoTypeFactors,14,FALSE)*IF('Ammo Input'!R310,1.1,1))</f>
        <v>#VALUE!</v>
      </c>
      <c r="Q310">
        <f>IFERROR(__xludf.DUMMYFUNCTION("((IF(NOT(OR(REGEXMATCH(B306, ""Arrow""), B306 = ""Javelin"", B306 = ""Stick bomb"")), ROUNDUP(('Ammo Input'!E306 / 1000) * N306)) + IF(VLOOKUP(B306, AmmoTypeFactors, 9, FALSE) = ""Steel"", ROUNDUP(('Ammo Input'!H306 -'Ammo Input'!M306) * MAX(IF('Ammo Inpu"&amp;"t'!J306 &gt; 0, 'Ammo Input'!J306, 1), 1) * N306 / 1000))) / 'Ingredient stats'!$C$2) * IF(ISBLANK(VLOOKUP(B306,AmmoTypeFactors,15,False)),1,VLOOKUP(B306,AmmoTypeFactors,15,False))"),10)</f>
        <v>10</v>
      </c>
      <c r="R310">
        <f>IFERROR(__xludf.DUMMYFUNCTION("ROUNDUP((IF(REGEXMATCH(B306, ""Arrow"") + (B306 = ""Javelin""), 'Ammo Input'!E306) + IF(VLOOKUP(B306, AmmoTypeFactors, 9, FALSE) = ""Wood"", 'Ammo Input'!H306) + IF(B306 = ""Stick bomb"", 'Ammo Input'!E306)) * N306 / 'Ingredient stats'!$C$12 / 1000)"),0)</f>
        <v>0</v>
      </c>
      <c r="S310">
        <v>0</v>
      </c>
      <c r="T310">
        <v>0</v>
      </c>
      <c r="U310">
        <f>IF(VLOOKUP(B310,AmmoTypeFactors,9,FALSE)="Plasteel",ROUNDUP(('Ammo Input'!H310*MAX(IF('Ammo Input'!J310&gt;0,'Ammo Input'!J310,1)*N310/1000/'Ingredient stats'!$C$4)),0),0)</f>
        <v>0</v>
      </c>
      <c r="V310">
        <f>IFERROR(__xludf.DUMMYFUNCTION("ROUNDUP(IF(ISBLANK(VLOOKUP(B306,AmmoTypeFactors,16,False)),1,VLOOKUP(B306,AmmoTypeFactors,16,False)) * (IFS(REGEXMATCH(B306, ""EMP""), 'Ammo Input'!M306 * N306 / 'Ingredient stats'!$C$5, REGEXMATCH(B306, ""Charge""), (U306^0.75), true, 0) + (IF(VLOOKUP(B3"&amp;"06, AmmoTypeFactors, 10, false), 2,0) + IF('Ammo Input'!P306, 2,0) + IF('Ammo Input'!Q306,MIN(ROUNDUP(0.2*('Ammo Input'!H306/1000)*'Ammo Input'!O306,0),20),0))))"),0)</f>
        <v>0</v>
      </c>
      <c r="W310">
        <v>0</v>
      </c>
      <c r="X310">
        <v>0</v>
      </c>
      <c r="Y310">
        <v>0</v>
      </c>
      <c r="Z310">
        <v>0</v>
      </c>
      <c r="AA310">
        <v>0</v>
      </c>
      <c r="AB310" s="30">
        <f>IF(B310="Sling Bullet (Stone)",ROUNDUP(D310*0.02*E310/'Ingredient stats'!$C$8,0),0)</f>
        <v>0</v>
      </c>
      <c r="AC310" t="str">
        <f t="shared" si="16"/>
        <v>None</v>
      </c>
      <c r="AD310" t="str">
        <f>IF(OR(B310="Buck",B310="Bird",B310="Charge (Scatter)"),'Ammo Input'!J310,"None")</f>
        <v>None</v>
      </c>
      <c r="AE310" t="str">
        <f>_xlfn.IFS(ISTEXT(Calcs!N310),Calcs!N310,Calcs!N310&lt;=40,Calcs!N310,Calcs!N310&gt;41,"40")</f>
        <v>None</v>
      </c>
      <c r="AF310" t="str">
        <f>_xlfn.IFS(ISTEXT(Calcs!O310),Calcs!O310,Calcs!O310&lt;=80,Calcs!O310,Calcs!O310&gt;=81,"80")</f>
        <v>None</v>
      </c>
      <c r="AG310" s="25">
        <f t="shared" si="17"/>
        <v>1</v>
      </c>
      <c r="AH310" s="25">
        <f t="shared" si="18"/>
        <v>1.33</v>
      </c>
      <c r="AI310" s="25">
        <f t="shared" si="19"/>
        <v>1</v>
      </c>
    </row>
    <row r="311" ht="14.4" spans="1:35">
      <c r="A311" s="24" t="str">
        <f>'Ammo Input'!A311</f>
        <v>.357 SIG</v>
      </c>
      <c r="B311" t="str">
        <f>'Ammo Input'!B311</f>
        <v>FMJ</v>
      </c>
      <c r="C311">
        <f>ROUNDUP(('Ammo Input'!C311*(MAX('Ammo Input'!D311,'Ammo Input'!F311)*0.5)^2*PI())*3/1000000,2)</f>
        <v>0.01</v>
      </c>
      <c r="D311">
        <f>ROUNDUP(('Ammo Input'!E311+'Ammo Input'!H311*IF('Ammo Input'!J311&lt;&gt;"",MAX('Ammo Input'!J311,1),1))/1000,3)</f>
        <v>0.016</v>
      </c>
      <c r="E311">
        <f>MIN(5000,MAX(25,CEILING(Calcs!L311,_xlfn.IFS(Calcs!L311&lt;100,25,Calcs!L311&lt;250,50,Calcs!L311&lt;1000,250,Calcs!L311&gt;=1000,1000))))</f>
        <v>5000</v>
      </c>
      <c r="F311">
        <f>ROUNDUP('Ammo Input'!G311^(3/4),0)</f>
        <v>92</v>
      </c>
      <c r="G311">
        <f>ROUND((0.5*((IF(OR(B311="HEAT",B311="HEDP"),'Ammo Input'!N311,'Ammo Input'!H311)/1000)*(IF(B311="HEAT",9000,IF(B311="HEDP",1500,'Ammo Input'!G311))^2))),0)</f>
        <v>681</v>
      </c>
      <c r="H311" s="25" t="str">
        <f>CONCATENATE(IF((B311="Foam")+(B311="Smoke"),"-",ROUND(Calcs!D311,0))," ",VLOOKUP(B311,AmmoTypeFactors,5,FALSE))</f>
        <v>12 Bullet</v>
      </c>
      <c r="I311" s="25" t="str">
        <f>IF(Calcs!E311=0,"None",CONCATENATE(ROUND(Calcs!E311,0)," ",VLOOKUP(B311,AmmoTypeFactors,6,FALSE)))</f>
        <v>None</v>
      </c>
      <c r="J311">
        <f>MROUND(2.42*'Ammo Input'!M311^(1/3)*VLOOKUP(B311,AmmoTypeFactors,3,FALSE),0.5)</f>
        <v>0</v>
      </c>
      <c r="K311" s="25" t="str">
        <f>IF(VLOOKUP(B311,AmmoTypeFactors,12,FALSE),MROUND(J311/3,0.5),"None")</f>
        <v>None</v>
      </c>
      <c r="L311" s="25">
        <f>IF(VLOOKUP(B311,AmmoTypeFactors,8,FALSE),"None",ROUNDUP(IF(Calcs!I311&gt;0,Calcs!I311,Calcs!H311),3))</f>
        <v>13.62</v>
      </c>
      <c r="M311" s="25">
        <f>IF(VLOOKUP(B311,AmmoTypeFactors,8,FALSE),"None",'Ammo Input'!L311)</f>
        <v>5</v>
      </c>
      <c r="N311">
        <f>'Ammo Input'!O311</f>
        <v>500</v>
      </c>
      <c r="O311" t="e">
        <f>ROUND((P311*0.0036+SUMPRODUCT(Q311:AB311,VLOOKUP($Q$1:$AB$1,IngredientStats,2,FALSE)))/N311*IF('Ammo Input'!R311,0.5,1),2)</f>
        <v>#VALUE!</v>
      </c>
      <c r="P311" t="e">
        <f>(SUMPRODUCT(Q311:AB311,VLOOKUP($Q$1:$AB$1,IngredientStats,4,FALSE))*VLOOKUP(B311,AmmoTypeFactors,14,FALSE)*IF('Ammo Input'!R311,1.1,1))</f>
        <v>#VALUE!</v>
      </c>
      <c r="Q311">
        <f>IFERROR(__xludf.DUMMYFUNCTION("((IF(NOT(OR(REGEXMATCH(B307, ""Arrow""), B307 = ""Javelin"", B307 = ""Stick bomb"")), ROUNDUP(('Ammo Input'!E307 / 1000) * N307)) + IF(VLOOKUP(B307, AmmoTypeFactors, 9, FALSE) = ""Steel"", ROUNDUP(('Ammo Input'!H307 -'Ammo Input'!M307) * MAX(IF('Ammo Inpu"&amp;"t'!J307 &gt; 0, 'Ammo Input'!J307, 1), 1) * N307 / 1000))) / 'Ingredient stats'!$C$2) * IF(ISBLANK(VLOOKUP(B307,AmmoTypeFactors,15,False)),1,VLOOKUP(B307,AmmoTypeFactors,15,False))"),18)</f>
        <v>18</v>
      </c>
      <c r="R311">
        <f>IFERROR(__xludf.DUMMYFUNCTION("ROUNDUP((IF(REGEXMATCH(B307, ""Arrow"") + (B307 = ""Javelin""), 'Ammo Input'!E307) + IF(VLOOKUP(B307, AmmoTypeFactors, 9, FALSE) = ""Wood"", 'Ammo Input'!H307) + IF(B307 = ""Stick bomb"", 'Ammo Input'!E307)) * N307 / 'Ingredient stats'!$C$12 / 1000)"),0)</f>
        <v>0</v>
      </c>
      <c r="S311">
        <v>0</v>
      </c>
      <c r="T311">
        <v>0</v>
      </c>
      <c r="U311">
        <f>IF(VLOOKUP(B311,AmmoTypeFactors,9,FALSE)="Plasteel",ROUNDUP(('Ammo Input'!H311*MAX(IF('Ammo Input'!J311&gt;0,'Ammo Input'!J311,1)*N311/1000/'Ingredient stats'!$C$4)),0),0)</f>
        <v>0</v>
      </c>
      <c r="V311">
        <f>IFERROR(__xludf.DUMMYFUNCTION("ROUNDUP(IF(ISBLANK(VLOOKUP(B307,AmmoTypeFactors,16,False)),1,VLOOKUP(B307,AmmoTypeFactors,16,False)) * (IFS(REGEXMATCH(B307, ""EMP""), 'Ammo Input'!M307 * N307 / 'Ingredient stats'!$C$5, REGEXMATCH(B307, ""Charge""), (U307^0.75), true, 0) + (IF(VLOOKUP(B3"&amp;"07, AmmoTypeFactors, 10, false), 2,0) + IF('Ammo Input'!P307, 2,0) + IF('Ammo Input'!Q307,MIN(ROUNDUP(0.2*('Ammo Input'!H307/1000)*'Ammo Input'!O307,0),20),0))))"),0)</f>
        <v>0</v>
      </c>
      <c r="W311">
        <v>0</v>
      </c>
      <c r="X311">
        <v>0</v>
      </c>
      <c r="Y311">
        <v>0</v>
      </c>
      <c r="Z311">
        <v>0</v>
      </c>
      <c r="AA311">
        <v>0</v>
      </c>
      <c r="AB311" s="30">
        <f>IF(B311="Sling Bullet (Stone)",ROUNDUP(D311*0.02*E311/'Ingredient stats'!$C$8,0),0)</f>
        <v>0</v>
      </c>
      <c r="AC311" t="str">
        <f t="shared" si="16"/>
        <v>None</v>
      </c>
      <c r="AD311" t="str">
        <f>IF(OR(B311="Buck",B311="Bird",B311="Charge (Scatter)"),'Ammo Input'!J311,"None")</f>
        <v>None</v>
      </c>
      <c r="AE311" t="str">
        <f>_xlfn.IFS(ISTEXT(Calcs!N311),Calcs!N311,Calcs!N311&lt;=40,Calcs!N311,Calcs!N311&gt;41,"40")</f>
        <v>None</v>
      </c>
      <c r="AF311" t="str">
        <f>_xlfn.IFS(ISTEXT(Calcs!O311),Calcs!O311,Calcs!O311&lt;=80,Calcs!O311,Calcs!O311&gt;=81,"80")</f>
        <v>None</v>
      </c>
      <c r="AG311" s="25">
        <f t="shared" si="17"/>
        <v>1</v>
      </c>
      <c r="AH311" s="25">
        <f t="shared" si="18"/>
        <v>1.52</v>
      </c>
      <c r="AI311" s="25">
        <f t="shared" si="19"/>
        <v>1</v>
      </c>
    </row>
    <row r="312" ht="14.4" spans="1:35">
      <c r="A312" s="24" t="str">
        <f>'Ammo Input'!A312</f>
        <v>.357 SIG</v>
      </c>
      <c r="B312" t="str">
        <f>'Ammo Input'!B312</f>
        <v>AP</v>
      </c>
      <c r="C312">
        <f>ROUNDUP(('Ammo Input'!C312*(MAX('Ammo Input'!D312,'Ammo Input'!F312)*0.5)^2*PI())*3/1000000,2)</f>
        <v>0.01</v>
      </c>
      <c r="D312">
        <f>ROUNDUP(('Ammo Input'!E312+'Ammo Input'!H312*IF('Ammo Input'!J312&lt;&gt;"",MAX('Ammo Input'!J312,1),1))/1000,3)</f>
        <v>0.016</v>
      </c>
      <c r="E312">
        <f>MIN(5000,MAX(25,CEILING(Calcs!L312,_xlfn.IFS(Calcs!L312&lt;100,25,Calcs!L312&lt;250,50,Calcs!L312&lt;1000,250,Calcs!L312&gt;=1000,1000))))</f>
        <v>5000</v>
      </c>
      <c r="F312">
        <f>ROUNDUP('Ammo Input'!G312^(3/4),0)</f>
        <v>92</v>
      </c>
      <c r="G312">
        <f>ROUND((0.5*((IF(OR(B312="HEAT",B312="HEDP"),'Ammo Input'!N312,'Ammo Input'!H312)/1000)*(IF(B312="HEAT",9000,IF(B312="HEDP",1500,'Ammo Input'!G312))^2))),0)</f>
        <v>681</v>
      </c>
      <c r="H312" s="25" t="str">
        <f>CONCATENATE(IF((B312="Foam")+(B312="Smoke"),"-",ROUND(Calcs!D312,0))," ",VLOOKUP(B312,AmmoTypeFactors,5,FALSE))</f>
        <v>7 Bullet</v>
      </c>
      <c r="I312" s="25" t="str">
        <f>IF(Calcs!E312=0,"None",CONCATENATE(ROUND(Calcs!E312,0)," ",VLOOKUP(B312,AmmoTypeFactors,6,FALSE)))</f>
        <v>None</v>
      </c>
      <c r="J312">
        <f>MROUND(2.42*'Ammo Input'!M312^(1/3)*VLOOKUP(B312,AmmoTypeFactors,3,FALSE),0.5)</f>
        <v>0</v>
      </c>
      <c r="K312" s="25" t="str">
        <f>IF(VLOOKUP(B312,AmmoTypeFactors,12,FALSE),MROUND(J312/3,0.5),"None")</f>
        <v>None</v>
      </c>
      <c r="L312" s="25">
        <f>IF(VLOOKUP(B312,AmmoTypeFactors,8,FALSE),"None",ROUNDUP(IF(Calcs!I312&gt;0,Calcs!I312,Calcs!H312),3))</f>
        <v>13.62</v>
      </c>
      <c r="M312" s="25">
        <f>IF(VLOOKUP(B312,AmmoTypeFactors,8,FALSE),"None",'Ammo Input'!L312)</f>
        <v>10</v>
      </c>
      <c r="N312">
        <f>'Ammo Input'!O312</f>
        <v>500</v>
      </c>
      <c r="O312" t="e">
        <f>ROUND((P312*0.0036+SUMPRODUCT(Q312:AB312,VLOOKUP($Q$1:$AB$1,IngredientStats,2,FALSE)))/N312*IF('Ammo Input'!R312,0.5,1),2)</f>
        <v>#VALUE!</v>
      </c>
      <c r="P312" t="e">
        <f>(SUMPRODUCT(Q312:AB312,VLOOKUP($Q$1:$AB$1,IngredientStats,4,FALSE))*VLOOKUP(B312,AmmoTypeFactors,14,FALSE)*IF('Ammo Input'!R312,1.1,1))</f>
        <v>#VALUE!</v>
      </c>
      <c r="Q312">
        <f>IFERROR(__xludf.DUMMYFUNCTION("((IF(NOT(OR(REGEXMATCH(B308, ""Arrow""), B308 = ""Javelin"", B308 = ""Stick bomb"")), ROUNDUP(('Ammo Input'!E308 / 1000) * N308)) + IF(VLOOKUP(B308, AmmoTypeFactors, 9, FALSE) = ""Steel"", ROUNDUP(('Ammo Input'!H308 -'Ammo Input'!M308) * MAX(IF('Ammo Inpu"&amp;"t'!J308 &gt; 0, 'Ammo Input'!J308, 1), 1) * N308 / 1000))) / 'Ingredient stats'!$C$2) * IF(ISBLANK(VLOOKUP(B308,AmmoTypeFactors,15,False)),1,VLOOKUP(B308,AmmoTypeFactors,15,False))"),18)</f>
        <v>18</v>
      </c>
      <c r="R312">
        <f>IFERROR(__xludf.DUMMYFUNCTION("ROUNDUP((IF(REGEXMATCH(B308, ""Arrow"") + (B308 = ""Javelin""), 'Ammo Input'!E308) + IF(VLOOKUP(B308, AmmoTypeFactors, 9, FALSE) = ""Wood"", 'Ammo Input'!H308) + IF(B308 = ""Stick bomb"", 'Ammo Input'!E308)) * N308 / 'Ingredient stats'!$C$12 / 1000)"),0)</f>
        <v>0</v>
      </c>
      <c r="S312">
        <v>0</v>
      </c>
      <c r="T312">
        <v>0</v>
      </c>
      <c r="U312">
        <f>IF(VLOOKUP(B312,AmmoTypeFactors,9,FALSE)="Plasteel",ROUNDUP(('Ammo Input'!H312*MAX(IF('Ammo Input'!J312&gt;0,'Ammo Input'!J312,1)*N312/1000/'Ingredient stats'!$C$4)),0),0)</f>
        <v>0</v>
      </c>
      <c r="V312">
        <f>IFERROR(__xludf.DUMMYFUNCTION("ROUNDUP(IF(ISBLANK(VLOOKUP(B308,AmmoTypeFactors,16,False)),1,VLOOKUP(B308,AmmoTypeFactors,16,False)) * (IFS(REGEXMATCH(B308, ""EMP""), 'Ammo Input'!M308 * N308 / 'Ingredient stats'!$C$5, REGEXMATCH(B308, ""Charge""), (U308^0.75), true, 0) + (IF(VLOOKUP(B3"&amp;"08, AmmoTypeFactors, 10, false), 2,0) + IF('Ammo Input'!P308, 2,0) + IF('Ammo Input'!Q308,MIN(ROUNDUP(0.2*('Ammo Input'!H308/1000)*'Ammo Input'!O308,0),20),0))))"),0)</f>
        <v>0</v>
      </c>
      <c r="W312">
        <v>0</v>
      </c>
      <c r="X312">
        <v>0</v>
      </c>
      <c r="Y312">
        <v>0</v>
      </c>
      <c r="Z312">
        <v>0</v>
      </c>
      <c r="AA312">
        <v>0</v>
      </c>
      <c r="AB312" s="30">
        <f>IF(B312="Sling Bullet (Stone)",ROUNDUP(D312*0.02*E312/'Ingredient stats'!$C$8,0),0)</f>
        <v>0</v>
      </c>
      <c r="AC312" t="str">
        <f t="shared" si="16"/>
        <v>None</v>
      </c>
      <c r="AD312" t="str">
        <f>IF(OR(B312="Buck",B312="Bird",B312="Charge (Scatter)"),'Ammo Input'!J312,"None")</f>
        <v>None</v>
      </c>
      <c r="AE312" t="str">
        <f>_xlfn.IFS(ISTEXT(Calcs!N312),Calcs!N312,Calcs!N312&lt;=40,Calcs!N312,Calcs!N312&gt;41,"40")</f>
        <v>None</v>
      </c>
      <c r="AF312" t="str">
        <f>_xlfn.IFS(ISTEXT(Calcs!O312),Calcs!O312,Calcs!O312&lt;=80,Calcs!O312,Calcs!O312&gt;=81,"80")</f>
        <v>None</v>
      </c>
      <c r="AG312" s="25">
        <f t="shared" si="17"/>
        <v>1</v>
      </c>
      <c r="AH312" s="25">
        <f t="shared" si="18"/>
        <v>1.52</v>
      </c>
      <c r="AI312" s="25">
        <f t="shared" si="19"/>
        <v>1</v>
      </c>
    </row>
    <row r="313" ht="14.4" spans="1:35">
      <c r="A313" s="24" t="str">
        <f>'Ammo Input'!A313</f>
        <v>.357 SIG</v>
      </c>
      <c r="B313" t="str">
        <f>'Ammo Input'!B313</f>
        <v>HP</v>
      </c>
      <c r="C313">
        <f>ROUNDUP(('Ammo Input'!C313*(MAX('Ammo Input'!D313,'Ammo Input'!F313)*0.5)^2*PI())*3/1000000,2)</f>
        <v>0.01</v>
      </c>
      <c r="D313">
        <f>ROUNDUP(('Ammo Input'!E313+'Ammo Input'!H313*IF('Ammo Input'!J313&lt;&gt;"",MAX('Ammo Input'!J313,1),1))/1000,3)</f>
        <v>0.016</v>
      </c>
      <c r="E313">
        <f>MIN(5000,MAX(25,CEILING(Calcs!L313,_xlfn.IFS(Calcs!L313&lt;100,25,Calcs!L313&lt;250,50,Calcs!L313&lt;1000,250,Calcs!L313&gt;=1000,1000))))</f>
        <v>5000</v>
      </c>
      <c r="F313">
        <f>ROUNDUP('Ammo Input'!G313^(3/4),0)</f>
        <v>92</v>
      </c>
      <c r="G313">
        <f>ROUND((0.5*((IF(OR(B313="HEAT",B313="HEDP"),'Ammo Input'!N313,'Ammo Input'!H313)/1000)*(IF(B313="HEAT",9000,IF(B313="HEDP",1500,'Ammo Input'!G313))^2))),0)</f>
        <v>681</v>
      </c>
      <c r="H313" s="25" t="str">
        <f>CONCATENATE(IF((B313="Foam")+(B313="Smoke"),"-",ROUND(Calcs!D313,0))," ",VLOOKUP(B313,AmmoTypeFactors,5,FALSE))</f>
        <v>15 Bullet</v>
      </c>
      <c r="I313" s="25" t="str">
        <f>IF(Calcs!E313=0,"None",CONCATENATE(ROUND(Calcs!E313,0)," ",VLOOKUP(B313,AmmoTypeFactors,6,FALSE)))</f>
        <v>None</v>
      </c>
      <c r="J313">
        <f>MROUND(2.42*'Ammo Input'!M313^(1/3)*VLOOKUP(B313,AmmoTypeFactors,3,FALSE),0.5)</f>
        <v>0</v>
      </c>
      <c r="K313" s="25" t="str">
        <f>IF(VLOOKUP(B313,AmmoTypeFactors,12,FALSE),MROUND(J313/3,0.5),"None")</f>
        <v>None</v>
      </c>
      <c r="L313" s="25">
        <f>IF(VLOOKUP(B313,AmmoTypeFactors,8,FALSE),"None",ROUNDUP(IF(Calcs!I313&gt;0,Calcs!I313,Calcs!H313),3))</f>
        <v>13.62</v>
      </c>
      <c r="M313" s="25">
        <f>IF(VLOOKUP(B313,AmmoTypeFactors,8,FALSE),"None",'Ammo Input'!L313)</f>
        <v>3</v>
      </c>
      <c r="N313">
        <f>'Ammo Input'!O313</f>
        <v>500</v>
      </c>
      <c r="O313" t="e">
        <f>ROUND((P313*0.0036+SUMPRODUCT(Q313:AB313,VLOOKUP($Q$1:$AB$1,IngredientStats,2,FALSE)))/N313*IF('Ammo Input'!R313,0.5,1),2)</f>
        <v>#VALUE!</v>
      </c>
      <c r="P313" t="e">
        <f>(SUMPRODUCT(Q313:AB313,VLOOKUP($Q$1:$AB$1,IngredientStats,4,FALSE))*VLOOKUP(B313,AmmoTypeFactors,14,FALSE)*IF('Ammo Input'!R313,1.1,1))</f>
        <v>#VALUE!</v>
      </c>
      <c r="Q313">
        <f>IFERROR(__xludf.DUMMYFUNCTION("((IF(NOT(OR(REGEXMATCH(B309, ""Arrow""), B309 = ""Javelin"", B309 = ""Stick bomb"")), ROUNDUP(('Ammo Input'!E309 / 1000) * N309)) + IF(VLOOKUP(B309, AmmoTypeFactors, 9, FALSE) = ""Steel"", ROUNDUP(('Ammo Input'!H309 -'Ammo Input'!M309) * MAX(IF('Ammo Inpu"&amp;"t'!J309 &gt; 0, 'Ammo Input'!J309, 1), 1) * N309 / 1000))) / 'Ingredient stats'!$C$2) * IF(ISBLANK(VLOOKUP(B309,AmmoTypeFactors,15,False)),1,VLOOKUP(B309,AmmoTypeFactors,15,False))"),18)</f>
        <v>18</v>
      </c>
      <c r="R313">
        <f>IFERROR(__xludf.DUMMYFUNCTION("ROUNDUP((IF(REGEXMATCH(B309, ""Arrow"") + (B309 = ""Javelin""), 'Ammo Input'!E309) + IF(VLOOKUP(B309, AmmoTypeFactors, 9, FALSE) = ""Wood"", 'Ammo Input'!H309) + IF(B309 = ""Stick bomb"", 'Ammo Input'!E309)) * N309 / 'Ingredient stats'!$C$12 / 1000)"),0)</f>
        <v>0</v>
      </c>
      <c r="S313">
        <v>0</v>
      </c>
      <c r="T313">
        <v>0</v>
      </c>
      <c r="U313">
        <f>IF(VLOOKUP(B313,AmmoTypeFactors,9,FALSE)="Plasteel",ROUNDUP(('Ammo Input'!H313*MAX(IF('Ammo Input'!J313&gt;0,'Ammo Input'!J313,1)*N313/1000/'Ingredient stats'!$C$4)),0),0)</f>
        <v>0</v>
      </c>
      <c r="V313">
        <f>IFERROR(__xludf.DUMMYFUNCTION("ROUNDUP(IF(ISBLANK(VLOOKUP(B309,AmmoTypeFactors,16,False)),1,VLOOKUP(B309,AmmoTypeFactors,16,False)) * (IFS(REGEXMATCH(B309, ""EMP""), 'Ammo Input'!M309 * N309 / 'Ingredient stats'!$C$5, REGEXMATCH(B309, ""Charge""), (U309^0.75), true, 0) + (IF(VLOOKUP(B3"&amp;"09, AmmoTypeFactors, 10, false), 2,0) + IF('Ammo Input'!P309, 2,0) + IF('Ammo Input'!Q309,MIN(ROUNDUP(0.2*('Ammo Input'!H309/1000)*'Ammo Input'!O309,0),20),0))))"),0)</f>
        <v>0</v>
      </c>
      <c r="W313">
        <v>0</v>
      </c>
      <c r="X313">
        <v>0</v>
      </c>
      <c r="Y313">
        <v>0</v>
      </c>
      <c r="Z313">
        <v>0</v>
      </c>
      <c r="AA313">
        <v>0</v>
      </c>
      <c r="AB313" s="30">
        <f>IF(B313="Sling Bullet (Stone)",ROUNDUP(D313*0.02*E313/'Ingredient stats'!$C$8,0),0)</f>
        <v>0</v>
      </c>
      <c r="AC313" t="str">
        <f t="shared" si="16"/>
        <v>None</v>
      </c>
      <c r="AD313" t="str">
        <f>IF(OR(B313="Buck",B313="Bird",B313="Charge (Scatter)"),'Ammo Input'!J313,"None")</f>
        <v>None</v>
      </c>
      <c r="AE313" t="str">
        <f>_xlfn.IFS(ISTEXT(Calcs!N313),Calcs!N313,Calcs!N313&lt;=40,Calcs!N313,Calcs!N313&gt;41,"40")</f>
        <v>None</v>
      </c>
      <c r="AF313" t="str">
        <f>_xlfn.IFS(ISTEXT(Calcs!O313),Calcs!O313,Calcs!O313&lt;=80,Calcs!O313,Calcs!O313&gt;=81,"80")</f>
        <v>None</v>
      </c>
      <c r="AG313" s="25">
        <f t="shared" si="17"/>
        <v>1</v>
      </c>
      <c r="AH313" s="25">
        <f t="shared" si="18"/>
        <v>1.52</v>
      </c>
      <c r="AI313" s="25">
        <f t="shared" si="19"/>
        <v>1</v>
      </c>
    </row>
    <row r="314" ht="14.4" spans="1:35">
      <c r="A314" s="24" t="str">
        <f>'Ammo Input'!A314</f>
        <v>.38 S&amp;W</v>
      </c>
      <c r="B314" t="str">
        <f>'Ammo Input'!B314</f>
        <v>FMJ</v>
      </c>
      <c r="C314">
        <f>ROUNDUP(('Ammo Input'!C314*(MAX('Ammo Input'!D314,'Ammo Input'!F314)*0.5)^2*PI())*3/1000000,2)</f>
        <v>0.01</v>
      </c>
      <c r="D314">
        <f>ROUNDUP(('Ammo Input'!E314+'Ammo Input'!H314*IF('Ammo Input'!J314&lt;&gt;"",MAX('Ammo Input'!J314,1),1))/1000,3)</f>
        <v>0.015</v>
      </c>
      <c r="E314">
        <f>MIN(5000,MAX(25,CEILING(Calcs!L314,_xlfn.IFS(Calcs!L314&lt;100,25,Calcs!L314&lt;250,50,Calcs!L314&lt;1000,250,Calcs!L314&gt;=1000,1000))))</f>
        <v>5000</v>
      </c>
      <c r="F314">
        <f>ROUNDUP('Ammo Input'!G314^(3/4),0)</f>
        <v>60</v>
      </c>
      <c r="G314">
        <f>ROUND((0.5*((IF(OR(B314="HEAT",B314="HEDP"),'Ammo Input'!N314,'Ammo Input'!H314)/1000)*(IF(B314="HEAT",9000,IF(B314="HEDP",1500,'Ammo Input'!G314))^2))),0)</f>
        <v>279</v>
      </c>
      <c r="H314" s="25" t="str">
        <f>CONCATENATE(IF((B314="Foam")+(B314="Smoke"),"-",ROUND(Calcs!D314,0))," ",VLOOKUP(B314,AmmoTypeFactors,5,FALSE))</f>
        <v>9 Bullet</v>
      </c>
      <c r="I314" s="25" t="str">
        <f>IF(Calcs!E314=0,"None",CONCATENATE(ROUND(Calcs!E314,0)," ",VLOOKUP(B314,AmmoTypeFactors,6,FALSE)))</f>
        <v>None</v>
      </c>
      <c r="J314">
        <f>MROUND(2.42*'Ammo Input'!M314^(1/3)*VLOOKUP(B314,AmmoTypeFactors,3,FALSE),0.5)</f>
        <v>0</v>
      </c>
      <c r="K314" s="25" t="str">
        <f>IF(VLOOKUP(B314,AmmoTypeFactors,12,FALSE),MROUND(J314/3,0.5),"None")</f>
        <v>None</v>
      </c>
      <c r="L314" s="25">
        <f>IF(VLOOKUP(B314,AmmoTypeFactors,8,FALSE),"None",ROUNDUP(IF(Calcs!I314&gt;0,Calcs!I314,Calcs!H314),3))</f>
        <v>5.58</v>
      </c>
      <c r="M314" s="25">
        <f>IF(VLOOKUP(B314,AmmoTypeFactors,8,FALSE),"None",'Ammo Input'!L314)</f>
        <v>3</v>
      </c>
      <c r="N314">
        <f>'Ammo Input'!O314</f>
        <v>500</v>
      </c>
      <c r="O314" t="e">
        <f>ROUND((P314*0.0036+SUMPRODUCT(Q314:AB314,VLOOKUP($Q$1:$AB$1,IngredientStats,2,FALSE)))/N314*IF('Ammo Input'!R314,0.5,1),2)</f>
        <v>#VALUE!</v>
      </c>
      <c r="P314" t="e">
        <f>(SUMPRODUCT(Q314:AB314,VLOOKUP($Q$1:$AB$1,IngredientStats,4,FALSE))*VLOOKUP(B314,AmmoTypeFactors,14,FALSE)*IF('Ammo Input'!R314,1.1,1))</f>
        <v>#VALUE!</v>
      </c>
      <c r="Q314">
        <f>IFERROR(__xludf.DUMMYFUNCTION("((IF(NOT(OR(REGEXMATCH(B310, ""Arrow""), B310 = ""Javelin"", B310 = ""Stick bomb"")), ROUNDUP(('Ammo Input'!E310 / 1000) * N310)) + IF(VLOOKUP(B310, AmmoTypeFactors, 9, FALSE) = ""Steel"", ROUNDUP(('Ammo Input'!H310 -'Ammo Input'!M310) * MAX(IF('Ammo Inpu"&amp;"t'!J310 &gt; 0, 'Ammo Input'!J310, 1), 1) * N310 / 1000))) / 'Ingredient stats'!$C$2) * IF(ISBLANK(VLOOKUP(B310,AmmoTypeFactors,15,False)),1,VLOOKUP(B310,AmmoTypeFactors,15,False))"),18)</f>
        <v>18</v>
      </c>
      <c r="R314">
        <f>IFERROR(__xludf.DUMMYFUNCTION("ROUNDUP((IF(REGEXMATCH(B310, ""Arrow"") + (B310 = ""Javelin""), 'Ammo Input'!E310) + IF(VLOOKUP(B310, AmmoTypeFactors, 9, FALSE) = ""Wood"", 'Ammo Input'!H310) + IF(B310 = ""Stick bomb"", 'Ammo Input'!E310)) * N310 / 'Ingredient stats'!$C$12 / 1000)"),0)</f>
        <v>0</v>
      </c>
      <c r="S314">
        <v>0</v>
      </c>
      <c r="T314">
        <v>0</v>
      </c>
      <c r="U314">
        <f>IF(VLOOKUP(B314,AmmoTypeFactors,9,FALSE)="Plasteel",ROUNDUP(('Ammo Input'!H314*MAX(IF('Ammo Input'!J314&gt;0,'Ammo Input'!J314,1)*N314/1000/'Ingredient stats'!$C$4)),0),0)</f>
        <v>0</v>
      </c>
      <c r="V314">
        <f>IFERROR(__xludf.DUMMYFUNCTION("ROUNDUP(IF(ISBLANK(VLOOKUP(B310,AmmoTypeFactors,16,False)),1,VLOOKUP(B310,AmmoTypeFactors,16,False)) * (IFS(REGEXMATCH(B310, ""EMP""), 'Ammo Input'!M310 * N310 / 'Ingredient stats'!$C$5, REGEXMATCH(B310, ""Charge""), (U310^0.75), true, 0) + (IF(VLOOKUP(B3"&amp;"10, AmmoTypeFactors, 10, false), 2,0) + IF('Ammo Input'!P310, 2,0) + IF('Ammo Input'!Q310,MIN(ROUNDUP(0.2*('Ammo Input'!H310/1000)*'Ammo Input'!O310,0),20),0))))"),0)</f>
        <v>0</v>
      </c>
      <c r="W314">
        <v>0</v>
      </c>
      <c r="X314">
        <v>0</v>
      </c>
      <c r="Y314">
        <v>0</v>
      </c>
      <c r="Z314">
        <v>0</v>
      </c>
      <c r="AA314">
        <v>0</v>
      </c>
      <c r="AB314" s="30">
        <f>IF(B314="Sling Bullet (Stone)",ROUNDUP(D314*0.02*E314/'Ingredient stats'!$C$8,0),0)</f>
        <v>0</v>
      </c>
      <c r="AC314" t="str">
        <f t="shared" si="16"/>
        <v>None</v>
      </c>
      <c r="AD314" t="str">
        <f>IF(OR(B314="Buck",B314="Bird",B314="Charge (Scatter)"),'Ammo Input'!J314,"None")</f>
        <v>None</v>
      </c>
      <c r="AE314" t="str">
        <f>_xlfn.IFS(ISTEXT(Calcs!N314),Calcs!N314,Calcs!N314&lt;=40,Calcs!N314,Calcs!N314&gt;41,"40")</f>
        <v>None</v>
      </c>
      <c r="AF314" t="str">
        <f>_xlfn.IFS(ISTEXT(Calcs!O314),Calcs!O314,Calcs!O314&lt;=80,Calcs!O314,Calcs!O314&gt;=81,"80")</f>
        <v>None</v>
      </c>
      <c r="AG314" s="25">
        <f t="shared" si="17"/>
        <v>1</v>
      </c>
      <c r="AH314" s="25">
        <f t="shared" si="18"/>
        <v>1</v>
      </c>
      <c r="AI314" s="25">
        <f t="shared" si="19"/>
        <v>1</v>
      </c>
    </row>
    <row r="315" ht="14.4" spans="1:35">
      <c r="A315" s="24" t="str">
        <f>'Ammo Input'!A315</f>
        <v>.38 S&amp;W</v>
      </c>
      <c r="B315" t="str">
        <f>'Ammo Input'!B315</f>
        <v>AP</v>
      </c>
      <c r="C315">
        <f>ROUNDUP(('Ammo Input'!C315*(MAX('Ammo Input'!D315,'Ammo Input'!F315)*0.5)^2*PI())*3/1000000,2)</f>
        <v>0.01</v>
      </c>
      <c r="D315">
        <f>ROUNDUP(('Ammo Input'!E315+'Ammo Input'!H315*IF('Ammo Input'!J315&lt;&gt;"",MAX('Ammo Input'!J315,1),1))/1000,3)</f>
        <v>0.015</v>
      </c>
      <c r="E315">
        <f>MIN(5000,MAX(25,CEILING(Calcs!L315,_xlfn.IFS(Calcs!L315&lt;100,25,Calcs!L315&lt;250,50,Calcs!L315&lt;1000,250,Calcs!L315&gt;=1000,1000))))</f>
        <v>5000</v>
      </c>
      <c r="F315">
        <f>ROUNDUP('Ammo Input'!G315^(3/4),0)</f>
        <v>60</v>
      </c>
      <c r="G315">
        <f>ROUND((0.5*((IF(OR(B315="HEAT",B315="HEDP"),'Ammo Input'!N315,'Ammo Input'!H315)/1000)*(IF(B315="HEAT",9000,IF(B315="HEDP",1500,'Ammo Input'!G315))^2))),0)</f>
        <v>279</v>
      </c>
      <c r="H315" s="25" t="str">
        <f>CONCATENATE(IF((B315="Foam")+(B315="Smoke"),"-",ROUND(Calcs!D315,0))," ",VLOOKUP(B315,AmmoTypeFactors,5,FALSE))</f>
        <v>6 Bullet</v>
      </c>
      <c r="I315" s="25" t="str">
        <f>IF(Calcs!E315=0,"None",CONCATENATE(ROUND(Calcs!E315,0)," ",VLOOKUP(B315,AmmoTypeFactors,6,FALSE)))</f>
        <v>None</v>
      </c>
      <c r="J315">
        <f>MROUND(2.42*'Ammo Input'!M315^(1/3)*VLOOKUP(B315,AmmoTypeFactors,3,FALSE),0.5)</f>
        <v>0</v>
      </c>
      <c r="K315" s="25" t="str">
        <f>IF(VLOOKUP(B315,AmmoTypeFactors,12,FALSE),MROUND(J315/3,0.5),"None")</f>
        <v>None</v>
      </c>
      <c r="L315" s="25">
        <f>IF(VLOOKUP(B315,AmmoTypeFactors,8,FALSE),"None",ROUNDUP(IF(Calcs!I315&gt;0,Calcs!I315,Calcs!H315),3))</f>
        <v>5.58</v>
      </c>
      <c r="M315" s="25">
        <f>IF(VLOOKUP(B315,AmmoTypeFactors,8,FALSE),"None",'Ammo Input'!L315)</f>
        <v>6</v>
      </c>
      <c r="N315">
        <f>'Ammo Input'!O315</f>
        <v>500</v>
      </c>
      <c r="O315" t="e">
        <f>ROUND((P315*0.0036+SUMPRODUCT(Q315:AB315,VLOOKUP($Q$1:$AB$1,IngredientStats,2,FALSE)))/N315*IF('Ammo Input'!R315,0.5,1),2)</f>
        <v>#VALUE!</v>
      </c>
      <c r="P315" t="e">
        <f>(SUMPRODUCT(Q315:AB315,VLOOKUP($Q$1:$AB$1,IngredientStats,4,FALSE))*VLOOKUP(B315,AmmoTypeFactors,14,FALSE)*IF('Ammo Input'!R315,1.1,1))</f>
        <v>#VALUE!</v>
      </c>
      <c r="Q315">
        <f>IFERROR(__xludf.DUMMYFUNCTION("((IF(NOT(OR(REGEXMATCH(B311, ""Arrow""), B311 = ""Javelin"", B311 = ""Stick bomb"")), ROUNDUP(('Ammo Input'!E311 / 1000) * N311)) + IF(VLOOKUP(B311, AmmoTypeFactors, 9, FALSE) = ""Steel"", ROUNDUP(('Ammo Input'!H311 -'Ammo Input'!M311) * MAX(IF('Ammo Inpu"&amp;"t'!J311 &gt; 0, 'Ammo Input'!J311, 1), 1) * N311 / 1000))) / 'Ingredient stats'!$C$2) * IF(ISBLANK(VLOOKUP(B311,AmmoTypeFactors,15,False)),1,VLOOKUP(B311,AmmoTypeFactors,15,False))"),18)</f>
        <v>18</v>
      </c>
      <c r="R315">
        <f>IFERROR(__xludf.DUMMYFUNCTION("ROUNDUP((IF(REGEXMATCH(B311, ""Arrow"") + (B311 = ""Javelin""), 'Ammo Input'!E311) + IF(VLOOKUP(B311, AmmoTypeFactors, 9, FALSE) = ""Wood"", 'Ammo Input'!H311) + IF(B311 = ""Stick bomb"", 'Ammo Input'!E311)) * N311 / 'Ingredient stats'!$C$12 / 1000)"),0)</f>
        <v>0</v>
      </c>
      <c r="S315">
        <v>0</v>
      </c>
      <c r="T315">
        <v>0</v>
      </c>
      <c r="U315">
        <f>IF(VLOOKUP(B315,AmmoTypeFactors,9,FALSE)="Plasteel",ROUNDUP(('Ammo Input'!H315*MAX(IF('Ammo Input'!J315&gt;0,'Ammo Input'!J315,1)*N315/1000/'Ingredient stats'!$C$4)),0),0)</f>
        <v>0</v>
      </c>
      <c r="V315">
        <f>IFERROR(__xludf.DUMMYFUNCTION("ROUNDUP(IF(ISBLANK(VLOOKUP(B311,AmmoTypeFactors,16,False)),1,VLOOKUP(B311,AmmoTypeFactors,16,False)) * (IFS(REGEXMATCH(B311, ""EMP""), 'Ammo Input'!M311 * N311 / 'Ingredient stats'!$C$5, REGEXMATCH(B311, ""Charge""), (U311^0.75), true, 0) + (IF(VLOOKUP(B3"&amp;"11, AmmoTypeFactors, 10, false), 2,0) + IF('Ammo Input'!P311, 2,0) + IF('Ammo Input'!Q311,MIN(ROUNDUP(0.2*('Ammo Input'!H311/1000)*'Ammo Input'!O311,0),20),0))))"),0)</f>
        <v>0</v>
      </c>
      <c r="W315">
        <v>0</v>
      </c>
      <c r="X315">
        <v>0</v>
      </c>
      <c r="Y315">
        <v>0</v>
      </c>
      <c r="Z315">
        <v>0</v>
      </c>
      <c r="AA315">
        <v>0</v>
      </c>
      <c r="AB315" s="30">
        <f>IF(B315="Sling Bullet (Stone)",ROUNDUP(D315*0.02*E315/'Ingredient stats'!$C$8,0),0)</f>
        <v>0</v>
      </c>
      <c r="AC315" t="str">
        <f t="shared" si="16"/>
        <v>None</v>
      </c>
      <c r="AD315" t="str">
        <f>IF(OR(B315="Buck",B315="Bird",B315="Charge (Scatter)"),'Ammo Input'!J315,"None")</f>
        <v>None</v>
      </c>
      <c r="AE315" t="str">
        <f>_xlfn.IFS(ISTEXT(Calcs!N315),Calcs!N315,Calcs!N315&lt;=40,Calcs!N315,Calcs!N315&gt;41,"40")</f>
        <v>None</v>
      </c>
      <c r="AF315" t="str">
        <f>_xlfn.IFS(ISTEXT(Calcs!O315),Calcs!O315,Calcs!O315&lt;=80,Calcs!O315,Calcs!O315&gt;=81,"80")</f>
        <v>None</v>
      </c>
      <c r="AG315" s="25">
        <f t="shared" si="17"/>
        <v>1</v>
      </c>
      <c r="AH315" s="25">
        <f t="shared" si="18"/>
        <v>1</v>
      </c>
      <c r="AI315" s="25">
        <f t="shared" si="19"/>
        <v>1</v>
      </c>
    </row>
    <row r="316" ht="14.4" spans="1:35">
      <c r="A316" s="24" t="str">
        <f>'Ammo Input'!A316</f>
        <v>.38 S&amp;W</v>
      </c>
      <c r="B316" t="str">
        <f>'Ammo Input'!B316</f>
        <v>HP</v>
      </c>
      <c r="C316">
        <f>ROUNDUP(('Ammo Input'!C316*(MAX('Ammo Input'!D316,'Ammo Input'!F316)*0.5)^2*PI())*3/1000000,2)</f>
        <v>0.01</v>
      </c>
      <c r="D316">
        <f>ROUNDUP(('Ammo Input'!E316+'Ammo Input'!H316*IF('Ammo Input'!J316&lt;&gt;"",MAX('Ammo Input'!J316,1),1))/1000,3)</f>
        <v>0.015</v>
      </c>
      <c r="E316">
        <f>MIN(5000,MAX(25,CEILING(Calcs!L316,_xlfn.IFS(Calcs!L316&lt;100,25,Calcs!L316&lt;250,50,Calcs!L316&lt;1000,250,Calcs!L316&gt;=1000,1000))))</f>
        <v>5000</v>
      </c>
      <c r="F316">
        <f>ROUNDUP('Ammo Input'!G316^(3/4),0)</f>
        <v>60</v>
      </c>
      <c r="G316">
        <f>ROUND((0.5*((IF(OR(B316="HEAT",B316="HEDP"),'Ammo Input'!N316,'Ammo Input'!H316)/1000)*(IF(B316="HEAT",9000,IF(B316="HEDP",1500,'Ammo Input'!G316))^2))),0)</f>
        <v>279</v>
      </c>
      <c r="H316" s="25" t="str">
        <f>CONCATENATE(IF((B316="Foam")+(B316="Smoke"),"-",ROUND(Calcs!D316,0))," ",VLOOKUP(B316,AmmoTypeFactors,5,FALSE))</f>
        <v>11 Bullet</v>
      </c>
      <c r="I316" s="25" t="str">
        <f>IF(Calcs!E316=0,"None",CONCATENATE(ROUND(Calcs!E316,0)," ",VLOOKUP(B316,AmmoTypeFactors,6,FALSE)))</f>
        <v>None</v>
      </c>
      <c r="J316">
        <f>MROUND(2.42*'Ammo Input'!M316^(1/3)*VLOOKUP(B316,AmmoTypeFactors,3,FALSE),0.5)</f>
        <v>0</v>
      </c>
      <c r="K316" s="25" t="str">
        <f>IF(VLOOKUP(B316,AmmoTypeFactors,12,FALSE),MROUND(J316/3,0.5),"None")</f>
        <v>None</v>
      </c>
      <c r="L316" s="25">
        <f>IF(VLOOKUP(B316,AmmoTypeFactors,8,FALSE),"None",ROUNDUP(IF(Calcs!I316&gt;0,Calcs!I316,Calcs!H316),3))</f>
        <v>5.58</v>
      </c>
      <c r="M316" s="25">
        <f>IF(VLOOKUP(B316,AmmoTypeFactors,8,FALSE),"None",'Ammo Input'!L316)</f>
        <v>1.5</v>
      </c>
      <c r="N316">
        <f>'Ammo Input'!O316</f>
        <v>500</v>
      </c>
      <c r="O316" t="e">
        <f>ROUND((P316*0.0036+SUMPRODUCT(Q316:AB316,VLOOKUP($Q$1:$AB$1,IngredientStats,2,FALSE)))/N316*IF('Ammo Input'!R316,0.5,1),2)</f>
        <v>#VALUE!</v>
      </c>
      <c r="P316" t="e">
        <f>(SUMPRODUCT(Q316:AB316,VLOOKUP($Q$1:$AB$1,IngredientStats,4,FALSE))*VLOOKUP(B316,AmmoTypeFactors,14,FALSE)*IF('Ammo Input'!R316,1.1,1))</f>
        <v>#VALUE!</v>
      </c>
      <c r="Q316">
        <f>IFERROR(__xludf.DUMMYFUNCTION("((IF(NOT(OR(REGEXMATCH(B312, ""Arrow""), B312 = ""Javelin"", B312 = ""Stick bomb"")), ROUNDUP(('Ammo Input'!E312 / 1000) * N312)) + IF(VLOOKUP(B312, AmmoTypeFactors, 9, FALSE) = ""Steel"", ROUNDUP(('Ammo Input'!H312 -'Ammo Input'!M312) * MAX(IF('Ammo Inpu"&amp;"t'!J312 &gt; 0, 'Ammo Input'!J312, 1), 1) * N312 / 1000))) / 'Ingredient stats'!$C$2) * IF(ISBLANK(VLOOKUP(B312,AmmoTypeFactors,15,False)),1,VLOOKUP(B312,AmmoTypeFactors,15,False))"),18)</f>
        <v>18</v>
      </c>
      <c r="R316">
        <f>IFERROR(__xludf.DUMMYFUNCTION("ROUNDUP((IF(REGEXMATCH(B312, ""Arrow"") + (B312 = ""Javelin""), 'Ammo Input'!E312) + IF(VLOOKUP(B312, AmmoTypeFactors, 9, FALSE) = ""Wood"", 'Ammo Input'!H312) + IF(B312 = ""Stick bomb"", 'Ammo Input'!E312)) * N312 / 'Ingredient stats'!$C$12 / 1000)"),0)</f>
        <v>0</v>
      </c>
      <c r="S316">
        <v>0</v>
      </c>
      <c r="T316">
        <v>0</v>
      </c>
      <c r="U316">
        <f>IF(VLOOKUP(B316,AmmoTypeFactors,9,FALSE)="Plasteel",ROUNDUP(('Ammo Input'!H316*MAX(IF('Ammo Input'!J316&gt;0,'Ammo Input'!J316,1)*N316/1000/'Ingredient stats'!$C$4)),0),0)</f>
        <v>0</v>
      </c>
      <c r="V316">
        <f>IFERROR(__xludf.DUMMYFUNCTION("ROUNDUP(IF(ISBLANK(VLOOKUP(B312,AmmoTypeFactors,16,False)),1,VLOOKUP(B312,AmmoTypeFactors,16,False)) * (IFS(REGEXMATCH(B312, ""EMP""), 'Ammo Input'!M312 * N312 / 'Ingredient stats'!$C$5, REGEXMATCH(B312, ""Charge""), (U312^0.75), true, 0) + (IF(VLOOKUP(B3"&amp;"12, AmmoTypeFactors, 10, false), 2,0) + IF('Ammo Input'!P312, 2,0) + IF('Ammo Input'!Q312,MIN(ROUNDUP(0.2*('Ammo Input'!H312/1000)*'Ammo Input'!O312,0),20),0))))"),0)</f>
        <v>0</v>
      </c>
      <c r="W316">
        <v>0</v>
      </c>
      <c r="X316">
        <v>0</v>
      </c>
      <c r="Y316">
        <v>0</v>
      </c>
      <c r="Z316">
        <v>0</v>
      </c>
      <c r="AA316">
        <v>0</v>
      </c>
      <c r="AB316" s="30">
        <f>IF(B316="Sling Bullet (Stone)",ROUNDUP(D316*0.02*E316/'Ingredient stats'!$C$8,0),0)</f>
        <v>0</v>
      </c>
      <c r="AC316" t="str">
        <f t="shared" si="16"/>
        <v>None</v>
      </c>
      <c r="AD316" t="str">
        <f>IF(OR(B316="Buck",B316="Bird",B316="Charge (Scatter)"),'Ammo Input'!J316,"None")</f>
        <v>None</v>
      </c>
      <c r="AE316" t="str">
        <f>_xlfn.IFS(ISTEXT(Calcs!N316),Calcs!N316,Calcs!N316&lt;=40,Calcs!N316,Calcs!N316&gt;41,"40")</f>
        <v>None</v>
      </c>
      <c r="AF316" t="str">
        <f>_xlfn.IFS(ISTEXT(Calcs!O316),Calcs!O316,Calcs!O316&lt;=80,Calcs!O316,Calcs!O316&gt;=81,"80")</f>
        <v>None</v>
      </c>
      <c r="AG316" s="25">
        <f t="shared" si="17"/>
        <v>1</v>
      </c>
      <c r="AH316" s="25">
        <f t="shared" si="18"/>
        <v>1</v>
      </c>
      <c r="AI316" s="25">
        <f t="shared" si="19"/>
        <v>1</v>
      </c>
    </row>
    <row r="317" ht="14.4" spans="1:35">
      <c r="A317" s="24" t="str">
        <f>'Ammo Input'!A317</f>
        <v>.38 ACP</v>
      </c>
      <c r="B317" t="str">
        <f>'Ammo Input'!B317</f>
        <v>FMJ</v>
      </c>
      <c r="C317">
        <f>ROUNDUP(('Ammo Input'!C317*(MAX('Ammo Input'!D317,'Ammo Input'!F317)*0.5)^2*PI())*3/1000000,2)</f>
        <v>0.01</v>
      </c>
      <c r="D317">
        <f>ROUNDUP(('Ammo Input'!E317+'Ammo Input'!H317*IF('Ammo Input'!J317&lt;&gt;"",MAX('Ammo Input'!J317,1),1))/1000,3)</f>
        <v>0.014</v>
      </c>
      <c r="E317">
        <f>MIN(5000,MAX(25,CEILING(Calcs!L317,_xlfn.IFS(Calcs!L317&lt;100,25,Calcs!L317&lt;250,50,Calcs!L317&lt;1000,250,Calcs!L317&gt;=1000,1000))))</f>
        <v>5000</v>
      </c>
      <c r="F317">
        <f>ROUNDUP('Ammo Input'!G317^(3/4),0)</f>
        <v>81</v>
      </c>
      <c r="G317">
        <f>ROUND((0.5*((IF(OR(B317="HEAT",B317="HEDP"),'Ammo Input'!N317,'Ammo Input'!H317)/1000)*(IF(B317="HEAT",9000,IF(B317="HEDP",1500,'Ammo Input'!G317))^2))),0)</f>
        <v>429</v>
      </c>
      <c r="H317" s="25" t="str">
        <f>CONCATENATE(IF((B317="Foam")+(B317="Smoke"),"-",ROUND(Calcs!D317,0))," ",VLOOKUP(B317,AmmoTypeFactors,5,FALSE))</f>
        <v>10 Bullet</v>
      </c>
      <c r="I317" s="25" t="str">
        <f>IF(Calcs!E317=0,"None",CONCATENATE(ROUND(Calcs!E317,0)," ",VLOOKUP(B317,AmmoTypeFactors,6,FALSE)))</f>
        <v>None</v>
      </c>
      <c r="J317">
        <f>MROUND(2.42*'Ammo Input'!M317^(1/3)*VLOOKUP(B317,AmmoTypeFactors,3,FALSE),0.5)</f>
        <v>0</v>
      </c>
      <c r="K317" s="25" t="str">
        <f>IF(VLOOKUP(B317,AmmoTypeFactors,12,FALSE),MROUND(J317/3,0.5),"None")</f>
        <v>None</v>
      </c>
      <c r="L317" s="25">
        <f>IF(VLOOKUP(B317,AmmoTypeFactors,8,FALSE),"None",ROUNDUP(IF(Calcs!I317&gt;0,Calcs!I317,Calcs!H317),3))</f>
        <v>8.58</v>
      </c>
      <c r="M317" s="25">
        <f>IF(VLOOKUP(B317,AmmoTypeFactors,8,FALSE),"None",'Ammo Input'!L317)</f>
        <v>3.5</v>
      </c>
      <c r="N317">
        <f>'Ammo Input'!O317</f>
        <v>500</v>
      </c>
      <c r="O317" t="e">
        <f>ROUND((P317*0.0036+SUMPRODUCT(Q317:AB317,VLOOKUP($Q$1:$AB$1,IngredientStats,2,FALSE)))/N317*IF('Ammo Input'!R317,0.5,1),2)</f>
        <v>#VALUE!</v>
      </c>
      <c r="P317" t="e">
        <f>(SUMPRODUCT(Q317:AB317,VLOOKUP($Q$1:$AB$1,IngredientStats,4,FALSE))*VLOOKUP(B317,AmmoTypeFactors,14,FALSE)*IF('Ammo Input'!R317,1.1,1))</f>
        <v>#VALUE!</v>
      </c>
      <c r="Q317">
        <f>IFERROR(__xludf.DUMMYFUNCTION("((IF(NOT(OR(REGEXMATCH(B313, ""Arrow""), B313 = ""Javelin"", B313 = ""Stick bomb"")), ROUNDUP(('Ammo Input'!E313 / 1000) * N313)) + IF(VLOOKUP(B313, AmmoTypeFactors, 9, FALSE) = ""Steel"", ROUNDUP(('Ammo Input'!H313 -'Ammo Input'!M313) * MAX(IF('Ammo Inpu"&amp;"t'!J313 &gt; 0, 'Ammo Input'!J313, 1), 1) * N313 / 1000))) / 'Ingredient stats'!$C$2) * IF(ISBLANK(VLOOKUP(B313,AmmoTypeFactors,15,False)),1,VLOOKUP(B313,AmmoTypeFactors,15,False))"),16)</f>
        <v>16</v>
      </c>
      <c r="R317">
        <f>IFERROR(__xludf.DUMMYFUNCTION("ROUNDUP((IF(REGEXMATCH(B313, ""Arrow"") + (B313 = ""Javelin""), 'Ammo Input'!E313) + IF(VLOOKUP(B313, AmmoTypeFactors, 9, FALSE) = ""Wood"", 'Ammo Input'!H313) + IF(B313 = ""Stick bomb"", 'Ammo Input'!E313)) * N313 / 'Ingredient stats'!$C$12 / 1000)"),0)</f>
        <v>0</v>
      </c>
      <c r="S317">
        <v>0</v>
      </c>
      <c r="T317">
        <v>0</v>
      </c>
      <c r="U317">
        <f>IF(VLOOKUP(B317,AmmoTypeFactors,9,FALSE)="Plasteel",ROUNDUP(('Ammo Input'!H317*MAX(IF('Ammo Input'!J317&gt;0,'Ammo Input'!J317,1)*N317/1000/'Ingredient stats'!$C$4)),0),0)</f>
        <v>0</v>
      </c>
      <c r="V317">
        <f>IFERROR(__xludf.DUMMYFUNCTION("ROUNDUP(IF(ISBLANK(VLOOKUP(B313,AmmoTypeFactors,16,False)),1,VLOOKUP(B313,AmmoTypeFactors,16,False)) * (IFS(REGEXMATCH(B313, ""EMP""), 'Ammo Input'!M313 * N313 / 'Ingredient stats'!$C$5, REGEXMATCH(B313, ""Charge""), (U313^0.75), true, 0) + (IF(VLOOKUP(B3"&amp;"13, AmmoTypeFactors, 10, false), 2,0) + IF('Ammo Input'!P313, 2,0) + IF('Ammo Input'!Q313,MIN(ROUNDUP(0.2*('Ammo Input'!H313/1000)*'Ammo Input'!O313,0),20),0))))"),0)</f>
        <v>0</v>
      </c>
      <c r="W317">
        <v>0</v>
      </c>
      <c r="X317">
        <v>0</v>
      </c>
      <c r="Y317">
        <v>0</v>
      </c>
      <c r="Z317">
        <v>0</v>
      </c>
      <c r="AA317">
        <v>0</v>
      </c>
      <c r="AB317" s="30">
        <f>IF(B317="Sling Bullet (Stone)",ROUNDUP(D317*0.02*E317/'Ingredient stats'!$C$8,0),0)</f>
        <v>0</v>
      </c>
      <c r="AC317" t="str">
        <f t="shared" si="16"/>
        <v>None</v>
      </c>
      <c r="AD317" t="str">
        <f>IF(OR(B317="Buck",B317="Bird",B317="Charge (Scatter)"),'Ammo Input'!J317,"None")</f>
        <v>None</v>
      </c>
      <c r="AE317" t="str">
        <f>_xlfn.IFS(ISTEXT(Calcs!N317),Calcs!N317,Calcs!N317&lt;=40,Calcs!N317,Calcs!N317&gt;41,"40")</f>
        <v>None</v>
      </c>
      <c r="AF317" t="str">
        <f>_xlfn.IFS(ISTEXT(Calcs!O317),Calcs!O317,Calcs!O317&lt;=80,Calcs!O317,Calcs!O317&gt;=81,"80")</f>
        <v>None</v>
      </c>
      <c r="AG317" s="25">
        <f t="shared" si="17"/>
        <v>1</v>
      </c>
      <c r="AH317" s="25">
        <f t="shared" si="18"/>
        <v>1.33</v>
      </c>
      <c r="AI317" s="25">
        <f t="shared" si="19"/>
        <v>1</v>
      </c>
    </row>
    <row r="318" ht="14.4" spans="1:35">
      <c r="A318" s="24" t="str">
        <f>'Ammo Input'!A318</f>
        <v>.38 ACP</v>
      </c>
      <c r="B318" t="str">
        <f>'Ammo Input'!B318</f>
        <v>AP</v>
      </c>
      <c r="C318">
        <f>ROUNDUP(('Ammo Input'!C318*(MAX('Ammo Input'!D318,'Ammo Input'!F318)*0.5)^2*PI())*3/1000000,2)</f>
        <v>0.01</v>
      </c>
      <c r="D318">
        <f>ROUNDUP(('Ammo Input'!E318+'Ammo Input'!H318*IF('Ammo Input'!J318&lt;&gt;"",MAX('Ammo Input'!J318,1),1))/1000,3)</f>
        <v>0.014</v>
      </c>
      <c r="E318">
        <f>MIN(5000,MAX(25,CEILING(Calcs!L318,_xlfn.IFS(Calcs!L318&lt;100,25,Calcs!L318&lt;250,50,Calcs!L318&lt;1000,250,Calcs!L318&gt;=1000,1000))))</f>
        <v>5000</v>
      </c>
      <c r="F318">
        <f>ROUNDUP('Ammo Input'!G318^(3/4),0)</f>
        <v>81</v>
      </c>
      <c r="G318">
        <f>ROUND((0.5*((IF(OR(B318="HEAT",B318="HEDP"),'Ammo Input'!N318,'Ammo Input'!H318)/1000)*(IF(B318="HEAT",9000,IF(B318="HEDP",1500,'Ammo Input'!G318))^2))),0)</f>
        <v>429</v>
      </c>
      <c r="H318" s="25" t="str">
        <f>CONCATENATE(IF((B318="Foam")+(B318="Smoke"),"-",ROUND(Calcs!D318,0))," ",VLOOKUP(B318,AmmoTypeFactors,5,FALSE))</f>
        <v>6 Bullet</v>
      </c>
      <c r="I318" s="25" t="str">
        <f>IF(Calcs!E318=0,"None",CONCATENATE(ROUND(Calcs!E318,0)," ",VLOOKUP(B318,AmmoTypeFactors,6,FALSE)))</f>
        <v>None</v>
      </c>
      <c r="J318">
        <f>MROUND(2.42*'Ammo Input'!M318^(1/3)*VLOOKUP(B318,AmmoTypeFactors,3,FALSE),0.5)</f>
        <v>0</v>
      </c>
      <c r="K318" s="25" t="str">
        <f>IF(VLOOKUP(B318,AmmoTypeFactors,12,FALSE),MROUND(J318/3,0.5),"None")</f>
        <v>None</v>
      </c>
      <c r="L318" s="25">
        <f>IF(VLOOKUP(B318,AmmoTypeFactors,8,FALSE),"None",ROUNDUP(IF(Calcs!I318&gt;0,Calcs!I318,Calcs!H318),3))</f>
        <v>8.58</v>
      </c>
      <c r="M318" s="25">
        <f>IF(VLOOKUP(B318,AmmoTypeFactors,8,FALSE),"None",'Ammo Input'!L318)</f>
        <v>7</v>
      </c>
      <c r="N318">
        <f>'Ammo Input'!O318</f>
        <v>500</v>
      </c>
      <c r="O318" t="e">
        <f>ROUND((P318*0.0036+SUMPRODUCT(Q318:AB318,VLOOKUP($Q$1:$AB$1,IngredientStats,2,FALSE)))/N318*IF('Ammo Input'!R318,0.5,1),2)</f>
        <v>#VALUE!</v>
      </c>
      <c r="P318" t="e">
        <f>(SUMPRODUCT(Q318:AB318,VLOOKUP($Q$1:$AB$1,IngredientStats,4,FALSE))*VLOOKUP(B318,AmmoTypeFactors,14,FALSE)*IF('Ammo Input'!R318,1.1,1))</f>
        <v>#VALUE!</v>
      </c>
      <c r="Q318">
        <f>IFERROR(__xludf.DUMMYFUNCTION("((IF(NOT(OR(REGEXMATCH(B314, ""Arrow""), B314 = ""Javelin"", B314 = ""Stick bomb"")), ROUNDUP(('Ammo Input'!E314 / 1000) * N314)) + IF(VLOOKUP(B314, AmmoTypeFactors, 9, FALSE) = ""Steel"", ROUNDUP(('Ammo Input'!H314 -'Ammo Input'!M314) * MAX(IF('Ammo Inpu"&amp;"t'!J314 &gt; 0, 'Ammo Input'!J314, 1), 1) * N314 / 1000))) / 'Ingredient stats'!$C$2) * IF(ISBLANK(VLOOKUP(B314,AmmoTypeFactors,15,False)),1,VLOOKUP(B314,AmmoTypeFactors,15,False))"),16)</f>
        <v>16</v>
      </c>
      <c r="R318">
        <f>IFERROR(__xludf.DUMMYFUNCTION("ROUNDUP((IF(REGEXMATCH(B314, ""Arrow"") + (B314 = ""Javelin""), 'Ammo Input'!E314) + IF(VLOOKUP(B314, AmmoTypeFactors, 9, FALSE) = ""Wood"", 'Ammo Input'!H314) + IF(B314 = ""Stick bomb"", 'Ammo Input'!E314)) * N314 / 'Ingredient stats'!$C$12 / 1000)"),0)</f>
        <v>0</v>
      </c>
      <c r="S318">
        <v>0</v>
      </c>
      <c r="T318">
        <v>0</v>
      </c>
      <c r="U318">
        <f>IF(VLOOKUP(B318,AmmoTypeFactors,9,FALSE)="Plasteel",ROUNDUP(('Ammo Input'!H318*MAX(IF('Ammo Input'!J318&gt;0,'Ammo Input'!J318,1)*N318/1000/'Ingredient stats'!$C$4)),0),0)</f>
        <v>0</v>
      </c>
      <c r="V318">
        <f>IFERROR(__xludf.DUMMYFUNCTION("ROUNDUP(IF(ISBLANK(VLOOKUP(B314,AmmoTypeFactors,16,False)),1,VLOOKUP(B314,AmmoTypeFactors,16,False)) * (IFS(REGEXMATCH(B314, ""EMP""), 'Ammo Input'!M314 * N314 / 'Ingredient stats'!$C$5, REGEXMATCH(B314, ""Charge""), (U314^0.75), true, 0) + (IF(VLOOKUP(B3"&amp;"14, AmmoTypeFactors, 10, false), 2,0) + IF('Ammo Input'!P314, 2,0) + IF('Ammo Input'!Q314,MIN(ROUNDUP(0.2*('Ammo Input'!H314/1000)*'Ammo Input'!O314,0),20),0))))"),0)</f>
        <v>0</v>
      </c>
      <c r="W318">
        <v>0</v>
      </c>
      <c r="X318">
        <v>0</v>
      </c>
      <c r="Y318">
        <v>0</v>
      </c>
      <c r="Z318">
        <v>0</v>
      </c>
      <c r="AA318">
        <v>0</v>
      </c>
      <c r="AB318" s="30">
        <f>IF(B318="Sling Bullet (Stone)",ROUNDUP(D318*0.02*E318/'Ingredient stats'!$C$8,0),0)</f>
        <v>0</v>
      </c>
      <c r="AC318" t="str">
        <f t="shared" si="16"/>
        <v>None</v>
      </c>
      <c r="AD318" t="str">
        <f>IF(OR(B318="Buck",B318="Bird",B318="Charge (Scatter)"),'Ammo Input'!J318,"None")</f>
        <v>None</v>
      </c>
      <c r="AE318" t="str">
        <f>_xlfn.IFS(ISTEXT(Calcs!N318),Calcs!N318,Calcs!N318&lt;=40,Calcs!N318,Calcs!N318&gt;41,"40")</f>
        <v>None</v>
      </c>
      <c r="AF318" t="str">
        <f>_xlfn.IFS(ISTEXT(Calcs!O318),Calcs!O318,Calcs!O318&lt;=80,Calcs!O318,Calcs!O318&gt;=81,"80")</f>
        <v>None</v>
      </c>
      <c r="AG318" s="25">
        <f t="shared" si="17"/>
        <v>1</v>
      </c>
      <c r="AH318" s="25">
        <f t="shared" si="18"/>
        <v>1.33</v>
      </c>
      <c r="AI318" s="25">
        <f t="shared" si="19"/>
        <v>1</v>
      </c>
    </row>
    <row r="319" ht="14.4" spans="1:35">
      <c r="A319" s="24" t="str">
        <f>'Ammo Input'!A319</f>
        <v>.38 ACP</v>
      </c>
      <c r="B319" t="str">
        <f>'Ammo Input'!B319</f>
        <v>HP</v>
      </c>
      <c r="C319">
        <f>ROUNDUP(('Ammo Input'!C319*(MAX('Ammo Input'!D319,'Ammo Input'!F319)*0.5)^2*PI())*3/1000000,2)</f>
        <v>0.01</v>
      </c>
      <c r="D319">
        <f>ROUNDUP(('Ammo Input'!E319+'Ammo Input'!H319*IF('Ammo Input'!J319&lt;&gt;"",MAX('Ammo Input'!J319,1),1))/1000,3)</f>
        <v>0.014</v>
      </c>
      <c r="E319">
        <f>MIN(5000,MAX(25,CEILING(Calcs!L319,_xlfn.IFS(Calcs!L319&lt;100,25,Calcs!L319&lt;250,50,Calcs!L319&lt;1000,250,Calcs!L319&gt;=1000,1000))))</f>
        <v>5000</v>
      </c>
      <c r="F319">
        <f>ROUNDUP('Ammo Input'!G319^(3/4),0)</f>
        <v>81</v>
      </c>
      <c r="G319">
        <f>ROUND((0.5*((IF(OR(B319="HEAT",B319="HEDP"),'Ammo Input'!N319,'Ammo Input'!H319)/1000)*(IF(B319="HEAT",9000,IF(B319="HEDP",1500,'Ammo Input'!G319))^2))),0)</f>
        <v>429</v>
      </c>
      <c r="H319" s="25" t="str">
        <f>CONCATENATE(IF((B319="Foam")+(B319="Smoke"),"-",ROUND(Calcs!D319,0))," ",VLOOKUP(B319,AmmoTypeFactors,5,FALSE))</f>
        <v>13 Bullet</v>
      </c>
      <c r="I319" s="25" t="str">
        <f>IF(Calcs!E319=0,"None",CONCATENATE(ROUND(Calcs!E319,0)," ",VLOOKUP(B319,AmmoTypeFactors,6,FALSE)))</f>
        <v>None</v>
      </c>
      <c r="J319">
        <f>MROUND(2.42*'Ammo Input'!M319^(1/3)*VLOOKUP(B319,AmmoTypeFactors,3,FALSE),0.5)</f>
        <v>0</v>
      </c>
      <c r="K319" s="25" t="str">
        <f>IF(VLOOKUP(B319,AmmoTypeFactors,12,FALSE),MROUND(J319/3,0.5),"None")</f>
        <v>None</v>
      </c>
      <c r="L319" s="25">
        <f>IF(VLOOKUP(B319,AmmoTypeFactors,8,FALSE),"None",ROUNDUP(IF(Calcs!I319&gt;0,Calcs!I319,Calcs!H319),3))</f>
        <v>8.58</v>
      </c>
      <c r="M319" s="25">
        <f>IF(VLOOKUP(B319,AmmoTypeFactors,8,FALSE),"None",'Ammo Input'!L319)</f>
        <v>2</v>
      </c>
      <c r="N319">
        <f>'Ammo Input'!O319</f>
        <v>500</v>
      </c>
      <c r="O319" t="e">
        <f>ROUND((P319*0.0036+SUMPRODUCT(Q319:AB319,VLOOKUP($Q$1:$AB$1,IngredientStats,2,FALSE)))/N319*IF('Ammo Input'!R319,0.5,1),2)</f>
        <v>#VALUE!</v>
      </c>
      <c r="P319" t="e">
        <f>(SUMPRODUCT(Q319:AB319,VLOOKUP($Q$1:$AB$1,IngredientStats,4,FALSE))*VLOOKUP(B319,AmmoTypeFactors,14,FALSE)*IF('Ammo Input'!R319,1.1,1))</f>
        <v>#VALUE!</v>
      </c>
      <c r="Q319">
        <f>IFERROR(__xludf.DUMMYFUNCTION("((IF(NOT(OR(REGEXMATCH(B315, ""Arrow""), B315 = ""Javelin"", B315 = ""Stick bomb"")), ROUNDUP(('Ammo Input'!E315 / 1000) * N315)) + IF(VLOOKUP(B315, AmmoTypeFactors, 9, FALSE) = ""Steel"", ROUNDUP(('Ammo Input'!H315 -'Ammo Input'!M315) * MAX(IF('Ammo Inpu"&amp;"t'!J315 &gt; 0, 'Ammo Input'!J315, 1), 1) * N315 / 1000))) / 'Ingredient stats'!$C$2) * IF(ISBLANK(VLOOKUP(B315,AmmoTypeFactors,15,False)),1,VLOOKUP(B315,AmmoTypeFactors,15,False))"),16)</f>
        <v>16</v>
      </c>
      <c r="R319">
        <f>IFERROR(__xludf.DUMMYFUNCTION("ROUNDUP((IF(REGEXMATCH(B315, ""Arrow"") + (B315 = ""Javelin""), 'Ammo Input'!E315) + IF(VLOOKUP(B315, AmmoTypeFactors, 9, FALSE) = ""Wood"", 'Ammo Input'!H315) + IF(B315 = ""Stick bomb"", 'Ammo Input'!E315)) * N315 / 'Ingredient stats'!$C$12 / 1000)"),0)</f>
        <v>0</v>
      </c>
      <c r="S319">
        <v>0</v>
      </c>
      <c r="T319">
        <v>0</v>
      </c>
      <c r="U319">
        <f>IF(VLOOKUP(B319,AmmoTypeFactors,9,FALSE)="Plasteel",ROUNDUP(('Ammo Input'!H319*MAX(IF('Ammo Input'!J319&gt;0,'Ammo Input'!J319,1)*N319/1000/'Ingredient stats'!$C$4)),0),0)</f>
        <v>0</v>
      </c>
      <c r="V319">
        <f>IFERROR(__xludf.DUMMYFUNCTION("ROUNDUP(IF(ISBLANK(VLOOKUP(B315,AmmoTypeFactors,16,False)),1,VLOOKUP(B315,AmmoTypeFactors,16,False)) * (IFS(REGEXMATCH(B315, ""EMP""), 'Ammo Input'!M315 * N315 / 'Ingredient stats'!$C$5, REGEXMATCH(B315, ""Charge""), (U315^0.75), true, 0) + (IF(VLOOKUP(B3"&amp;"15, AmmoTypeFactors, 10, false), 2,0) + IF('Ammo Input'!P315, 2,0) + IF('Ammo Input'!Q315,MIN(ROUNDUP(0.2*('Ammo Input'!H315/1000)*'Ammo Input'!O315,0),20),0))))"),0)</f>
        <v>0</v>
      </c>
      <c r="W319">
        <v>0</v>
      </c>
      <c r="X319">
        <v>0</v>
      </c>
      <c r="Y319">
        <v>0</v>
      </c>
      <c r="Z319">
        <v>0</v>
      </c>
      <c r="AA319">
        <v>0</v>
      </c>
      <c r="AB319" s="30">
        <f>IF(B319="Sling Bullet (Stone)",ROUNDUP(D319*0.02*E319/'Ingredient stats'!$C$8,0),0)</f>
        <v>0</v>
      </c>
      <c r="AC319" t="str">
        <f t="shared" si="16"/>
        <v>None</v>
      </c>
      <c r="AD319" t="str">
        <f>IF(OR(B319="Buck",B319="Bird",B319="Charge (Scatter)"),'Ammo Input'!J319,"None")</f>
        <v>None</v>
      </c>
      <c r="AE319" t="str">
        <f>_xlfn.IFS(ISTEXT(Calcs!N319),Calcs!N319,Calcs!N319&lt;=40,Calcs!N319,Calcs!N319&gt;41,"40")</f>
        <v>None</v>
      </c>
      <c r="AF319" t="str">
        <f>_xlfn.IFS(ISTEXT(Calcs!O319),Calcs!O319,Calcs!O319&lt;=80,Calcs!O319,Calcs!O319&gt;=81,"80")</f>
        <v>None</v>
      </c>
      <c r="AG319" s="25">
        <f t="shared" si="17"/>
        <v>1</v>
      </c>
      <c r="AH319" s="25">
        <f t="shared" si="18"/>
        <v>1.33</v>
      </c>
      <c r="AI319" s="25">
        <f t="shared" si="19"/>
        <v>1</v>
      </c>
    </row>
    <row r="320" ht="14.4" spans="1:35">
      <c r="A320" s="24" t="str">
        <f>'Ammo Input'!A320</f>
        <v>.38 Special</v>
      </c>
      <c r="B320" t="str">
        <f>'Ammo Input'!B320</f>
        <v>FMJ</v>
      </c>
      <c r="C320">
        <f>ROUNDUP(('Ammo Input'!C320*(MAX('Ammo Input'!D320,'Ammo Input'!F320)*0.5)^2*PI())*3/1000000,2)</f>
        <v>0.01</v>
      </c>
      <c r="D320">
        <f>ROUNDUP(('Ammo Input'!E320+'Ammo Input'!H320*IF('Ammo Input'!J320&lt;&gt;"",MAX('Ammo Input'!J320,1),1))/1000,3)</f>
        <v>0.014</v>
      </c>
      <c r="E320">
        <f>MIN(5000,MAX(25,CEILING(Calcs!L320,_xlfn.IFS(Calcs!L320&lt;100,25,Calcs!L320&lt;250,50,Calcs!L320&lt;1000,250,Calcs!L320&gt;=1000,1000))))</f>
        <v>5000</v>
      </c>
      <c r="F320">
        <f>ROUNDUP('Ammo Input'!G320^(3/4),0)</f>
        <v>67</v>
      </c>
      <c r="G320">
        <f>ROUND((0.5*((IF(OR(B320="HEAT",B320="HEDP"),'Ammo Input'!N320,'Ammo Input'!H320)/1000)*(IF(B320="HEAT",9000,IF(B320="HEDP",1500,'Ammo Input'!G320))^2))),0)</f>
        <v>347</v>
      </c>
      <c r="H320" s="25" t="str">
        <f>CONCATENATE(IF((B320="Foam")+(B320="Smoke"),"-",ROUND(Calcs!D320,0))," ",VLOOKUP(B320,AmmoTypeFactors,5,FALSE))</f>
        <v>9 Bullet</v>
      </c>
      <c r="I320" s="25" t="str">
        <f>IF(Calcs!E320=0,"None",CONCATENATE(ROUND(Calcs!E320,0)," ",VLOOKUP(B320,AmmoTypeFactors,6,FALSE)))</f>
        <v>None</v>
      </c>
      <c r="J320">
        <f>MROUND(2.42*'Ammo Input'!M320^(1/3)*VLOOKUP(B320,AmmoTypeFactors,3,FALSE),0.5)</f>
        <v>0</v>
      </c>
      <c r="K320" s="25" t="str">
        <f>IF(VLOOKUP(B320,AmmoTypeFactors,12,FALSE),MROUND(J320/3,0.5),"None")</f>
        <v>None</v>
      </c>
      <c r="L320" s="25">
        <f>IF(VLOOKUP(B320,AmmoTypeFactors,8,FALSE),"None",ROUNDUP(IF(Calcs!I320&gt;0,Calcs!I320,Calcs!H320),3))</f>
        <v>6.94</v>
      </c>
      <c r="M320" s="25">
        <f>IF(VLOOKUP(B320,AmmoTypeFactors,8,FALSE),"None",'Ammo Input'!L320)</f>
        <v>4</v>
      </c>
      <c r="N320">
        <f>'Ammo Input'!O320</f>
        <v>500</v>
      </c>
      <c r="O320" t="e">
        <f>ROUND((P320*0.0036+SUMPRODUCT(Q320:AB320,VLOOKUP($Q$1:$AB$1,IngredientStats,2,FALSE)))/N320*IF('Ammo Input'!R320,0.5,1),2)</f>
        <v>#VALUE!</v>
      </c>
      <c r="P320" t="e">
        <f>(SUMPRODUCT(Q320:AB320,VLOOKUP($Q$1:$AB$1,IngredientStats,4,FALSE))*VLOOKUP(B320,AmmoTypeFactors,14,FALSE)*IF('Ammo Input'!R320,1.1,1))</f>
        <v>#VALUE!</v>
      </c>
      <c r="Q320">
        <f>IFERROR(__xludf.DUMMYFUNCTION("((IF(NOT(OR(REGEXMATCH(B316, ""Arrow""), B316 = ""Javelin"", B316 = ""Stick bomb"")), ROUNDUP(('Ammo Input'!E316 / 1000) * N316)) + IF(VLOOKUP(B316, AmmoTypeFactors, 9, FALSE) = ""Steel"", ROUNDUP(('Ammo Input'!H316 -'Ammo Input'!M316) * MAX(IF('Ammo Inpu"&amp;"t'!J316 &gt; 0, 'Ammo Input'!J316, 1), 1) * N316 / 1000))) / 'Ingredient stats'!$C$2) * IF(ISBLANK(VLOOKUP(B316,AmmoTypeFactors,15,False)),1,VLOOKUP(B316,AmmoTypeFactors,15,False))"),14)</f>
        <v>14</v>
      </c>
      <c r="R320">
        <f>IFERROR(__xludf.DUMMYFUNCTION("ROUNDUP((IF(REGEXMATCH(B316, ""Arrow"") + (B316 = ""Javelin""), 'Ammo Input'!E316) + IF(VLOOKUP(B316, AmmoTypeFactors, 9, FALSE) = ""Wood"", 'Ammo Input'!H316) + IF(B316 = ""Stick bomb"", 'Ammo Input'!E316)) * N316 / 'Ingredient stats'!$C$12 / 1000)"),0)</f>
        <v>0</v>
      </c>
      <c r="S320">
        <v>0</v>
      </c>
      <c r="T320">
        <v>0</v>
      </c>
      <c r="U320">
        <f>IF(VLOOKUP(B320,AmmoTypeFactors,9,FALSE)="Plasteel",ROUNDUP(('Ammo Input'!H320*MAX(IF('Ammo Input'!J320&gt;0,'Ammo Input'!J320,1)*N320/1000/'Ingredient stats'!$C$4)),0),0)</f>
        <v>0</v>
      </c>
      <c r="V320">
        <f>IFERROR(__xludf.DUMMYFUNCTION("ROUNDUP(IF(ISBLANK(VLOOKUP(B316,AmmoTypeFactors,16,False)),1,VLOOKUP(B316,AmmoTypeFactors,16,False)) * (IFS(REGEXMATCH(B316, ""EMP""), 'Ammo Input'!M316 * N316 / 'Ingredient stats'!$C$5, REGEXMATCH(B316, ""Charge""), (U316^0.75), true, 0) + (IF(VLOOKUP(B3"&amp;"16, AmmoTypeFactors, 10, false), 2,0) + IF('Ammo Input'!P316, 2,0) + IF('Ammo Input'!Q316,MIN(ROUNDUP(0.2*('Ammo Input'!H316/1000)*'Ammo Input'!O316,0),20),0))))"),0)</f>
        <v>0</v>
      </c>
      <c r="W320">
        <v>0</v>
      </c>
      <c r="X320">
        <v>0</v>
      </c>
      <c r="Y320">
        <v>0</v>
      </c>
      <c r="Z320">
        <v>0</v>
      </c>
      <c r="AA320">
        <v>0</v>
      </c>
      <c r="AB320" s="30">
        <f>IF(B320="Sling Bullet (Stone)",ROUNDUP(D320*0.02*E320/'Ingredient stats'!$C$8,0),0)</f>
        <v>0</v>
      </c>
      <c r="AC320" t="str">
        <f t="shared" si="16"/>
        <v>None</v>
      </c>
      <c r="AD320" t="str">
        <f>IF(OR(B320="Buck",B320="Bird",B320="Charge (Scatter)"),'Ammo Input'!J320,"None")</f>
        <v>None</v>
      </c>
      <c r="AE320" t="str">
        <f>_xlfn.IFS(ISTEXT(Calcs!N320),Calcs!N320,Calcs!N320&lt;=40,Calcs!N320,Calcs!N320&gt;41,"40")</f>
        <v>None</v>
      </c>
      <c r="AF320" t="str">
        <f>_xlfn.IFS(ISTEXT(Calcs!O320),Calcs!O320,Calcs!O320&lt;=80,Calcs!O320,Calcs!O320&gt;=81,"80")</f>
        <v>None</v>
      </c>
      <c r="AG320" s="25">
        <f t="shared" si="17"/>
        <v>1</v>
      </c>
      <c r="AH320" s="25">
        <f t="shared" si="18"/>
        <v>1.1</v>
      </c>
      <c r="AI320" s="25">
        <f t="shared" si="19"/>
        <v>1</v>
      </c>
    </row>
    <row r="321" ht="14.4" spans="1:35">
      <c r="A321" s="24" t="str">
        <f>'Ammo Input'!A321</f>
        <v>.38 Special</v>
      </c>
      <c r="B321" t="str">
        <f>'Ammo Input'!B321</f>
        <v>AP</v>
      </c>
      <c r="C321">
        <f>ROUNDUP(('Ammo Input'!C321*(MAX('Ammo Input'!D321,'Ammo Input'!F321)*0.5)^2*PI())*3/1000000,2)</f>
        <v>0.01</v>
      </c>
      <c r="D321">
        <f>ROUNDUP(('Ammo Input'!E321+'Ammo Input'!H321*IF('Ammo Input'!J321&lt;&gt;"",MAX('Ammo Input'!J321,1),1))/1000,3)</f>
        <v>0.014</v>
      </c>
      <c r="E321">
        <f>MIN(5000,MAX(25,CEILING(Calcs!L321,_xlfn.IFS(Calcs!L321&lt;100,25,Calcs!L321&lt;250,50,Calcs!L321&lt;1000,250,Calcs!L321&gt;=1000,1000))))</f>
        <v>5000</v>
      </c>
      <c r="F321">
        <f>ROUNDUP('Ammo Input'!G321^(3/4),0)</f>
        <v>67</v>
      </c>
      <c r="G321">
        <f>ROUND((0.5*((IF(OR(B321="HEAT",B321="HEDP"),'Ammo Input'!N321,'Ammo Input'!H321)/1000)*(IF(B321="HEAT",9000,IF(B321="HEDP",1500,'Ammo Input'!G321))^2))),0)</f>
        <v>347</v>
      </c>
      <c r="H321" s="25" t="str">
        <f>CONCATENATE(IF((B321="Foam")+(B321="Smoke"),"-",ROUND(Calcs!D321,0))," ",VLOOKUP(B321,AmmoTypeFactors,5,FALSE))</f>
        <v>6 Bullet</v>
      </c>
      <c r="I321" s="25" t="str">
        <f>IF(Calcs!E321=0,"None",CONCATENATE(ROUND(Calcs!E321,0)," ",VLOOKUP(B321,AmmoTypeFactors,6,FALSE)))</f>
        <v>None</v>
      </c>
      <c r="J321">
        <f>MROUND(2.42*'Ammo Input'!M321^(1/3)*VLOOKUP(B321,AmmoTypeFactors,3,FALSE),0.5)</f>
        <v>0</v>
      </c>
      <c r="K321" s="25" t="str">
        <f>IF(VLOOKUP(B321,AmmoTypeFactors,12,FALSE),MROUND(J321/3,0.5),"None")</f>
        <v>None</v>
      </c>
      <c r="L321" s="25">
        <f>IF(VLOOKUP(B321,AmmoTypeFactors,8,FALSE),"None",ROUNDUP(IF(Calcs!I321&gt;0,Calcs!I321,Calcs!H321),3))</f>
        <v>6.94</v>
      </c>
      <c r="M321" s="25">
        <f>IF(VLOOKUP(B321,AmmoTypeFactors,8,FALSE),"None",'Ammo Input'!L321)</f>
        <v>8</v>
      </c>
      <c r="N321">
        <f>'Ammo Input'!O321</f>
        <v>500</v>
      </c>
      <c r="O321" t="e">
        <f>ROUND((P321*0.0036+SUMPRODUCT(Q321:AB321,VLOOKUP($Q$1:$AB$1,IngredientStats,2,FALSE)))/N321*IF('Ammo Input'!R321,0.5,1),2)</f>
        <v>#VALUE!</v>
      </c>
      <c r="P321" t="e">
        <f>(SUMPRODUCT(Q321:AB321,VLOOKUP($Q$1:$AB$1,IngredientStats,4,FALSE))*VLOOKUP(B321,AmmoTypeFactors,14,FALSE)*IF('Ammo Input'!R321,1.1,1))</f>
        <v>#VALUE!</v>
      </c>
      <c r="Q321">
        <f>IFERROR(__xludf.DUMMYFUNCTION("((IF(NOT(OR(REGEXMATCH(B317, ""Arrow""), B317 = ""Javelin"", B317 = ""Stick bomb"")), ROUNDUP(('Ammo Input'!E317 / 1000) * N317)) + IF(VLOOKUP(B317, AmmoTypeFactors, 9, FALSE) = ""Steel"", ROUNDUP(('Ammo Input'!H317 -'Ammo Input'!M317) * MAX(IF('Ammo Inpu"&amp;"t'!J317 &gt; 0, 'Ammo Input'!J317, 1), 1) * N317 / 1000))) / 'Ingredient stats'!$C$2) * IF(ISBLANK(VLOOKUP(B317,AmmoTypeFactors,15,False)),1,VLOOKUP(B317,AmmoTypeFactors,15,False))"),14)</f>
        <v>14</v>
      </c>
      <c r="R321">
        <f>IFERROR(__xludf.DUMMYFUNCTION("ROUNDUP((IF(REGEXMATCH(B317, ""Arrow"") + (B317 = ""Javelin""), 'Ammo Input'!E317) + IF(VLOOKUP(B317, AmmoTypeFactors, 9, FALSE) = ""Wood"", 'Ammo Input'!H317) + IF(B317 = ""Stick bomb"", 'Ammo Input'!E317)) * N317 / 'Ingredient stats'!$C$12 / 1000)"),0)</f>
        <v>0</v>
      </c>
      <c r="S321">
        <v>0</v>
      </c>
      <c r="T321">
        <v>0</v>
      </c>
      <c r="U321">
        <f>IF(VLOOKUP(B321,AmmoTypeFactors,9,FALSE)="Plasteel",ROUNDUP(('Ammo Input'!H321*MAX(IF('Ammo Input'!J321&gt;0,'Ammo Input'!J321,1)*N321/1000/'Ingredient stats'!$C$4)),0),0)</f>
        <v>0</v>
      </c>
      <c r="V321">
        <f>IFERROR(__xludf.DUMMYFUNCTION("ROUNDUP(IF(ISBLANK(VLOOKUP(B317,AmmoTypeFactors,16,False)),1,VLOOKUP(B317,AmmoTypeFactors,16,False)) * (IFS(REGEXMATCH(B317, ""EMP""), 'Ammo Input'!M317 * N317 / 'Ingredient stats'!$C$5, REGEXMATCH(B317, ""Charge""), (U317^0.75), true, 0) + (IF(VLOOKUP(B3"&amp;"17, AmmoTypeFactors, 10, false), 2,0) + IF('Ammo Input'!P317, 2,0) + IF('Ammo Input'!Q317,MIN(ROUNDUP(0.2*('Ammo Input'!H317/1000)*'Ammo Input'!O317,0),20),0))))"),0)</f>
        <v>0</v>
      </c>
      <c r="W321">
        <v>0</v>
      </c>
      <c r="X321">
        <v>0</v>
      </c>
      <c r="Y321">
        <v>0</v>
      </c>
      <c r="Z321">
        <v>0</v>
      </c>
      <c r="AA321">
        <v>0</v>
      </c>
      <c r="AB321" s="30">
        <f>IF(B321="Sling Bullet (Stone)",ROUNDUP(D321*0.02*E321/'Ingredient stats'!$C$8,0),0)</f>
        <v>0</v>
      </c>
      <c r="AC321" t="str">
        <f t="shared" si="16"/>
        <v>None</v>
      </c>
      <c r="AD321" t="str">
        <f>IF(OR(B321="Buck",B321="Bird",B321="Charge (Scatter)"),'Ammo Input'!J321,"None")</f>
        <v>None</v>
      </c>
      <c r="AE321" t="str">
        <f>_xlfn.IFS(ISTEXT(Calcs!N321),Calcs!N321,Calcs!N321&lt;=40,Calcs!N321,Calcs!N321&gt;41,"40")</f>
        <v>None</v>
      </c>
      <c r="AF321" t="str">
        <f>_xlfn.IFS(ISTEXT(Calcs!O321),Calcs!O321,Calcs!O321&lt;=80,Calcs!O321,Calcs!O321&gt;=81,"80")</f>
        <v>None</v>
      </c>
      <c r="AG321" s="25">
        <f t="shared" si="17"/>
        <v>1</v>
      </c>
      <c r="AH321" s="25">
        <f t="shared" si="18"/>
        <v>1.1</v>
      </c>
      <c r="AI321" s="25">
        <f t="shared" si="19"/>
        <v>1</v>
      </c>
    </row>
    <row r="322" ht="14.4" spans="1:35">
      <c r="A322" s="24" t="str">
        <f>'Ammo Input'!A322</f>
        <v>.38 Special</v>
      </c>
      <c r="B322" t="str">
        <f>'Ammo Input'!B322</f>
        <v>HP</v>
      </c>
      <c r="C322">
        <f>ROUNDUP(('Ammo Input'!C322*(MAX('Ammo Input'!D322,'Ammo Input'!F322)*0.5)^2*PI())*3/1000000,2)</f>
        <v>0.01</v>
      </c>
      <c r="D322">
        <f>ROUNDUP(('Ammo Input'!E322+'Ammo Input'!H322*IF('Ammo Input'!J322&lt;&gt;"",MAX('Ammo Input'!J322,1),1))/1000,3)</f>
        <v>0.014</v>
      </c>
      <c r="E322">
        <f>MIN(5000,MAX(25,CEILING(Calcs!L322,_xlfn.IFS(Calcs!L322&lt;100,25,Calcs!L322&lt;250,50,Calcs!L322&lt;1000,250,Calcs!L322&gt;=1000,1000))))</f>
        <v>5000</v>
      </c>
      <c r="F322">
        <f>ROUNDUP('Ammo Input'!G322^(3/4),0)</f>
        <v>67</v>
      </c>
      <c r="G322">
        <f>ROUND((0.5*((IF(OR(B322="HEAT",B322="HEDP"),'Ammo Input'!N322,'Ammo Input'!H322)/1000)*(IF(B322="HEAT",9000,IF(B322="HEDP",1500,'Ammo Input'!G322))^2))),0)</f>
        <v>347</v>
      </c>
      <c r="H322" s="25" t="str">
        <f>CONCATENATE(IF((B322="Foam")+(B322="Smoke"),"-",ROUND(Calcs!D322,0))," ",VLOOKUP(B322,AmmoTypeFactors,5,FALSE))</f>
        <v>12 Bullet</v>
      </c>
      <c r="I322" s="25" t="str">
        <f>IF(Calcs!E322=0,"None",CONCATENATE(ROUND(Calcs!E322,0)," ",VLOOKUP(B322,AmmoTypeFactors,6,FALSE)))</f>
        <v>None</v>
      </c>
      <c r="J322">
        <f>MROUND(2.42*'Ammo Input'!M322^(1/3)*VLOOKUP(B322,AmmoTypeFactors,3,FALSE),0.5)</f>
        <v>0</v>
      </c>
      <c r="K322" s="25" t="str">
        <f>IF(VLOOKUP(B322,AmmoTypeFactors,12,FALSE),MROUND(J322/3,0.5),"None")</f>
        <v>None</v>
      </c>
      <c r="L322" s="25">
        <f>IF(VLOOKUP(B322,AmmoTypeFactors,8,FALSE),"None",ROUNDUP(IF(Calcs!I322&gt;0,Calcs!I322,Calcs!H322),3))</f>
        <v>6.94</v>
      </c>
      <c r="M322" s="25">
        <f>IF(VLOOKUP(B322,AmmoTypeFactors,8,FALSE),"None",'Ammo Input'!L322)</f>
        <v>2</v>
      </c>
      <c r="N322">
        <f>'Ammo Input'!O322</f>
        <v>500</v>
      </c>
      <c r="O322" t="e">
        <f>ROUND((P322*0.0036+SUMPRODUCT(Q322:AB322,VLOOKUP($Q$1:$AB$1,IngredientStats,2,FALSE)))/N322*IF('Ammo Input'!R322,0.5,1),2)</f>
        <v>#VALUE!</v>
      </c>
      <c r="P322" t="e">
        <f>(SUMPRODUCT(Q322:AB322,VLOOKUP($Q$1:$AB$1,IngredientStats,4,FALSE))*VLOOKUP(B322,AmmoTypeFactors,14,FALSE)*IF('Ammo Input'!R322,1.1,1))</f>
        <v>#VALUE!</v>
      </c>
      <c r="Q322">
        <f>IFERROR(__xludf.DUMMYFUNCTION("((IF(NOT(OR(REGEXMATCH(B318, ""Arrow""), B318 = ""Javelin"", B318 = ""Stick bomb"")), ROUNDUP(('Ammo Input'!E318 / 1000) * N318)) + IF(VLOOKUP(B318, AmmoTypeFactors, 9, FALSE) = ""Steel"", ROUNDUP(('Ammo Input'!H318 -'Ammo Input'!M318) * MAX(IF('Ammo Inpu"&amp;"t'!J318 &gt; 0, 'Ammo Input'!J318, 1), 1) * N318 / 1000))) / 'Ingredient stats'!$C$2) * IF(ISBLANK(VLOOKUP(B318,AmmoTypeFactors,15,False)),1,VLOOKUP(B318,AmmoTypeFactors,15,False))"),14)</f>
        <v>14</v>
      </c>
      <c r="R322">
        <f>IFERROR(__xludf.DUMMYFUNCTION("ROUNDUP((IF(REGEXMATCH(B318, ""Arrow"") + (B318 = ""Javelin""), 'Ammo Input'!E318) + IF(VLOOKUP(B318, AmmoTypeFactors, 9, FALSE) = ""Wood"", 'Ammo Input'!H318) + IF(B318 = ""Stick bomb"", 'Ammo Input'!E318)) * N318 / 'Ingredient stats'!$C$12 / 1000)"),0)</f>
        <v>0</v>
      </c>
      <c r="S322">
        <v>0</v>
      </c>
      <c r="T322">
        <v>0</v>
      </c>
      <c r="U322">
        <f>IF(VLOOKUP(B322,AmmoTypeFactors,9,FALSE)="Plasteel",ROUNDUP(('Ammo Input'!H322*MAX(IF('Ammo Input'!J322&gt;0,'Ammo Input'!J322,1)*N322/1000/'Ingredient stats'!$C$4)),0),0)</f>
        <v>0</v>
      </c>
      <c r="V322">
        <f>IFERROR(__xludf.DUMMYFUNCTION("ROUNDUP(IF(ISBLANK(VLOOKUP(B318,AmmoTypeFactors,16,False)),1,VLOOKUP(B318,AmmoTypeFactors,16,False)) * (IFS(REGEXMATCH(B318, ""EMP""), 'Ammo Input'!M318 * N318 / 'Ingredient stats'!$C$5, REGEXMATCH(B318, ""Charge""), (U318^0.75), true, 0) + (IF(VLOOKUP(B3"&amp;"18, AmmoTypeFactors, 10, false), 2,0) + IF('Ammo Input'!P318, 2,0) + IF('Ammo Input'!Q318,MIN(ROUNDUP(0.2*('Ammo Input'!H318/1000)*'Ammo Input'!O318,0),20),0))))"),0)</f>
        <v>0</v>
      </c>
      <c r="W322">
        <v>0</v>
      </c>
      <c r="X322">
        <v>0</v>
      </c>
      <c r="Y322">
        <v>0</v>
      </c>
      <c r="Z322">
        <v>0</v>
      </c>
      <c r="AA322">
        <v>0</v>
      </c>
      <c r="AB322" s="30">
        <f>IF(B322="Sling Bullet (Stone)",ROUNDUP(D322*0.02*E322/'Ingredient stats'!$C$8,0),0)</f>
        <v>0</v>
      </c>
      <c r="AC322" t="str">
        <f t="shared" si="16"/>
        <v>None</v>
      </c>
      <c r="AD322" t="str">
        <f>IF(OR(B322="Buck",B322="Bird",B322="Charge (Scatter)"),'Ammo Input'!J322,"None")</f>
        <v>None</v>
      </c>
      <c r="AE322" t="str">
        <f>_xlfn.IFS(ISTEXT(Calcs!N322),Calcs!N322,Calcs!N322&lt;=40,Calcs!N322,Calcs!N322&gt;41,"40")</f>
        <v>None</v>
      </c>
      <c r="AF322" t="str">
        <f>_xlfn.IFS(ISTEXT(Calcs!O322),Calcs!O322,Calcs!O322&lt;=80,Calcs!O322,Calcs!O322&gt;=81,"80")</f>
        <v>None</v>
      </c>
      <c r="AG322" s="25">
        <f t="shared" si="17"/>
        <v>1</v>
      </c>
      <c r="AH322" s="25">
        <f t="shared" si="18"/>
        <v>1.1</v>
      </c>
      <c r="AI322" s="25">
        <f t="shared" si="19"/>
        <v>1</v>
      </c>
    </row>
    <row r="323" ht="14.4" spans="1:35">
      <c r="A323" s="24" t="str">
        <f>'Ammo Input'!A323</f>
        <v>.380 ACP</v>
      </c>
      <c r="B323" t="str">
        <f>'Ammo Input'!B323</f>
        <v>FMJ</v>
      </c>
      <c r="C323">
        <f>ROUNDUP(('Ammo Input'!C323*(MAX('Ammo Input'!D323,'Ammo Input'!F323)*0.5)^2*PI())*3/1000000,2)</f>
        <v>0.01</v>
      </c>
      <c r="D323">
        <f>ROUNDUP(('Ammo Input'!E323+'Ammo Input'!H323*IF('Ammo Input'!J323&lt;&gt;"",MAX('Ammo Input'!J323,1),1))/1000,3)</f>
        <v>0.01</v>
      </c>
      <c r="E323">
        <f>MIN(5000,MAX(25,CEILING(Calcs!L323,_xlfn.IFS(Calcs!L323&lt;100,25,Calcs!L323&lt;250,50,Calcs!L323&lt;1000,250,Calcs!L323&gt;=1000,1000))))</f>
        <v>5000</v>
      </c>
      <c r="F323">
        <f>ROUNDUP('Ammo Input'!G323^(3/4),0)</f>
        <v>73</v>
      </c>
      <c r="G323">
        <f>ROUND((0.5*((IF(OR(B323="HEAT",B323="HEDP"),'Ammo Input'!N323,'Ammo Input'!H323)/1000)*(IF(B323="HEAT",9000,IF(B323="HEDP",1500,'Ammo Input'!G323))^2))),0)</f>
        <v>270</v>
      </c>
      <c r="H323" s="25" t="str">
        <f>CONCATENATE(IF((B323="Foam")+(B323="Smoke"),"-",ROUND(Calcs!D323,0))," ",VLOOKUP(B323,AmmoTypeFactors,5,FALSE))</f>
        <v>9 Bullet</v>
      </c>
      <c r="I323" s="25" t="str">
        <f>IF(Calcs!E323=0,"None",CONCATENATE(ROUND(Calcs!E323,0)," ",VLOOKUP(B323,AmmoTypeFactors,6,FALSE)))</f>
        <v>None</v>
      </c>
      <c r="J323">
        <f>MROUND(2.42*'Ammo Input'!M323^(1/3)*VLOOKUP(B323,AmmoTypeFactors,3,FALSE),0.5)</f>
        <v>0</v>
      </c>
      <c r="K323" s="25" t="str">
        <f>IF(VLOOKUP(B323,AmmoTypeFactors,12,FALSE),MROUND(J323/3,0.5),"None")</f>
        <v>None</v>
      </c>
      <c r="L323" s="25">
        <f>IF(VLOOKUP(B323,AmmoTypeFactors,8,FALSE),"None",ROUNDUP(IF(Calcs!I323&gt;0,Calcs!I323,Calcs!H323),3))</f>
        <v>5.4</v>
      </c>
      <c r="M323" s="25">
        <f>IF(VLOOKUP(B323,AmmoTypeFactors,8,FALSE),"None",'Ammo Input'!L323)</f>
        <v>3</v>
      </c>
      <c r="N323">
        <f>'Ammo Input'!O323</f>
        <v>500</v>
      </c>
      <c r="O323" t="e">
        <f>ROUND((P323*0.0036+SUMPRODUCT(Q323:AB323,VLOOKUP($Q$1:$AB$1,IngredientStats,2,FALSE)))/N323*IF('Ammo Input'!R323,0.5,1),2)</f>
        <v>#VALUE!</v>
      </c>
      <c r="P323" t="e">
        <f>(SUMPRODUCT(Q323:AB323,VLOOKUP($Q$1:$AB$1,IngredientStats,4,FALSE))*VLOOKUP(B323,AmmoTypeFactors,14,FALSE)*IF('Ammo Input'!R323,1.1,1))</f>
        <v>#VALUE!</v>
      </c>
      <c r="Q323">
        <f>IFERROR(__xludf.DUMMYFUNCTION("((IF(NOT(OR(REGEXMATCH(B319, ""Arrow""), B319 = ""Javelin"", B319 = ""Stick bomb"")), ROUNDUP(('Ammo Input'!E319 / 1000) * N319)) + IF(VLOOKUP(B319, AmmoTypeFactors, 9, FALSE) = ""Steel"", ROUNDUP(('Ammo Input'!H319 -'Ammo Input'!M319) * MAX(IF('Ammo Inpu"&amp;"t'!J319 &gt; 0, 'Ammo Input'!J319, 1), 1) * N319 / 1000))) / 'Ingredient stats'!$C$2) * IF(ISBLANK(VLOOKUP(B319,AmmoTypeFactors,15,False)),1,VLOOKUP(B319,AmmoTypeFactors,15,False))"),10)</f>
        <v>10</v>
      </c>
      <c r="R323">
        <f>IFERROR(__xludf.DUMMYFUNCTION("ROUNDUP((IF(REGEXMATCH(B319, ""Arrow"") + (B319 = ""Javelin""), 'Ammo Input'!E319) + IF(VLOOKUP(B319, AmmoTypeFactors, 9, FALSE) = ""Wood"", 'Ammo Input'!H319) + IF(B319 = ""Stick bomb"", 'Ammo Input'!E319)) * N319 / 'Ingredient stats'!$C$12 / 1000)"),0)</f>
        <v>0</v>
      </c>
      <c r="S323">
        <v>0</v>
      </c>
      <c r="T323">
        <v>0</v>
      </c>
      <c r="U323">
        <f>IF(VLOOKUP(B323,AmmoTypeFactors,9,FALSE)="Plasteel",ROUNDUP(('Ammo Input'!H323*MAX(IF('Ammo Input'!J323&gt;0,'Ammo Input'!J323,1)*N323/1000/'Ingredient stats'!$C$4)),0),0)</f>
        <v>0</v>
      </c>
      <c r="V323">
        <f>IFERROR(__xludf.DUMMYFUNCTION("ROUNDUP(IF(ISBLANK(VLOOKUP(B319,AmmoTypeFactors,16,False)),1,VLOOKUP(B319,AmmoTypeFactors,16,False)) * (IFS(REGEXMATCH(B319, ""EMP""), 'Ammo Input'!M319 * N319 / 'Ingredient stats'!$C$5, REGEXMATCH(B319, ""Charge""), (U319^0.75), true, 0) + (IF(VLOOKUP(B3"&amp;"19, AmmoTypeFactors, 10, false), 2,0) + IF('Ammo Input'!P319, 2,0) + IF('Ammo Input'!Q319,MIN(ROUNDUP(0.2*('Ammo Input'!H319/1000)*'Ammo Input'!O319,0),20),0))))"),0)</f>
        <v>0</v>
      </c>
      <c r="W323">
        <v>0</v>
      </c>
      <c r="X323">
        <v>0</v>
      </c>
      <c r="Y323">
        <v>0</v>
      </c>
      <c r="Z323">
        <v>0</v>
      </c>
      <c r="AA323">
        <v>0</v>
      </c>
      <c r="AB323" s="30">
        <f>IF(B323="Sling Bullet (Stone)",ROUNDUP(D323*0.02*E323/'Ingredient stats'!$C$8,0),0)</f>
        <v>0</v>
      </c>
      <c r="AC323" t="str">
        <f t="shared" si="16"/>
        <v>None</v>
      </c>
      <c r="AD323" t="str">
        <f>IF(OR(B323="Buck",B323="Bird",B323="Charge (Scatter)"),'Ammo Input'!J323,"None")</f>
        <v>None</v>
      </c>
      <c r="AE323" t="str">
        <f>_xlfn.IFS(ISTEXT(Calcs!N323),Calcs!N323,Calcs!N323&lt;=40,Calcs!N323,Calcs!N323&gt;41,"40")</f>
        <v>None</v>
      </c>
      <c r="AF323" t="str">
        <f>_xlfn.IFS(ISTEXT(Calcs!O323),Calcs!O323,Calcs!O323&lt;=80,Calcs!O323,Calcs!O323&gt;=81,"80")</f>
        <v>None</v>
      </c>
      <c r="AG323" s="25">
        <f t="shared" si="17"/>
        <v>1</v>
      </c>
      <c r="AH323" s="25">
        <f t="shared" si="18"/>
        <v>1.2</v>
      </c>
      <c r="AI323" s="25">
        <f t="shared" si="19"/>
        <v>1</v>
      </c>
    </row>
    <row r="324" ht="14.4" spans="1:35">
      <c r="A324" s="24" t="str">
        <f>'Ammo Input'!A324</f>
        <v>.380 ACP</v>
      </c>
      <c r="B324" t="str">
        <f>'Ammo Input'!B324</f>
        <v>AP</v>
      </c>
      <c r="C324">
        <f>ROUNDUP(('Ammo Input'!C324*(MAX('Ammo Input'!D324,'Ammo Input'!F324)*0.5)^2*PI())*3/1000000,2)</f>
        <v>0.01</v>
      </c>
      <c r="D324">
        <f>ROUNDUP(('Ammo Input'!E324+'Ammo Input'!H324*IF('Ammo Input'!J324&lt;&gt;"",MAX('Ammo Input'!J324,1),1))/1000,3)</f>
        <v>0.01</v>
      </c>
      <c r="E324">
        <f>MIN(5000,MAX(25,CEILING(Calcs!L324,_xlfn.IFS(Calcs!L324&lt;100,25,Calcs!L324&lt;250,50,Calcs!L324&lt;1000,250,Calcs!L324&gt;=1000,1000))))</f>
        <v>5000</v>
      </c>
      <c r="F324">
        <f>ROUNDUP('Ammo Input'!G324^(3/4),0)</f>
        <v>73</v>
      </c>
      <c r="G324">
        <f>ROUND((0.5*((IF(OR(B324="HEAT",B324="HEDP"),'Ammo Input'!N324,'Ammo Input'!H324)/1000)*(IF(B324="HEAT",9000,IF(B324="HEDP",1500,'Ammo Input'!G324))^2))),0)</f>
        <v>270</v>
      </c>
      <c r="H324" s="25" t="str">
        <f>CONCATENATE(IF((B324="Foam")+(B324="Smoke"),"-",ROUND(Calcs!D324,0))," ",VLOOKUP(B324,AmmoTypeFactors,5,FALSE))</f>
        <v>5 Bullet</v>
      </c>
      <c r="I324" s="25" t="str">
        <f>IF(Calcs!E324=0,"None",CONCATENATE(ROUND(Calcs!E324,0)," ",VLOOKUP(B324,AmmoTypeFactors,6,FALSE)))</f>
        <v>None</v>
      </c>
      <c r="J324">
        <f>MROUND(2.42*'Ammo Input'!M324^(1/3)*VLOOKUP(B324,AmmoTypeFactors,3,FALSE),0.5)</f>
        <v>0</v>
      </c>
      <c r="K324" s="25" t="str">
        <f>IF(VLOOKUP(B324,AmmoTypeFactors,12,FALSE),MROUND(J324/3,0.5),"None")</f>
        <v>None</v>
      </c>
      <c r="L324" s="25">
        <f>IF(VLOOKUP(B324,AmmoTypeFactors,8,FALSE),"None",ROUNDUP(IF(Calcs!I324&gt;0,Calcs!I324,Calcs!H324),3))</f>
        <v>5.4</v>
      </c>
      <c r="M324" s="25">
        <f>IF(VLOOKUP(B324,AmmoTypeFactors,8,FALSE),"None",'Ammo Input'!L324)</f>
        <v>6</v>
      </c>
      <c r="N324">
        <f>'Ammo Input'!O324</f>
        <v>500</v>
      </c>
      <c r="O324" t="e">
        <f>ROUND((P324*0.0036+SUMPRODUCT(Q324:AB324,VLOOKUP($Q$1:$AB$1,IngredientStats,2,FALSE)))/N324*IF('Ammo Input'!R324,0.5,1),2)</f>
        <v>#VALUE!</v>
      </c>
      <c r="P324" t="e">
        <f>(SUMPRODUCT(Q324:AB324,VLOOKUP($Q$1:$AB$1,IngredientStats,4,FALSE))*VLOOKUP(B324,AmmoTypeFactors,14,FALSE)*IF('Ammo Input'!R324,1.1,1))</f>
        <v>#VALUE!</v>
      </c>
      <c r="Q324">
        <f>IFERROR(__xludf.DUMMYFUNCTION("((IF(NOT(OR(REGEXMATCH(B320, ""Arrow""), B320 = ""Javelin"", B320 = ""Stick bomb"")), ROUNDUP(('Ammo Input'!E320 / 1000) * N320)) + IF(VLOOKUP(B320, AmmoTypeFactors, 9, FALSE) = ""Steel"", ROUNDUP(('Ammo Input'!H320 -'Ammo Input'!M320) * MAX(IF('Ammo Inpu"&amp;"t'!J320 &gt; 0, 'Ammo Input'!J320, 1), 1) * N320 / 1000))) / 'Ingredient stats'!$C$2) * IF(ISBLANK(VLOOKUP(B320,AmmoTypeFactors,15,False)),1,VLOOKUP(B320,AmmoTypeFactors,15,False))"),10)</f>
        <v>10</v>
      </c>
      <c r="R324">
        <f>IFERROR(__xludf.DUMMYFUNCTION("ROUNDUP((IF(REGEXMATCH(B320, ""Arrow"") + (B320 = ""Javelin""), 'Ammo Input'!E320) + IF(VLOOKUP(B320, AmmoTypeFactors, 9, FALSE) = ""Wood"", 'Ammo Input'!H320) + IF(B320 = ""Stick bomb"", 'Ammo Input'!E320)) * N320 / 'Ingredient stats'!$C$12 / 1000)"),0)</f>
        <v>0</v>
      </c>
      <c r="S324">
        <v>0</v>
      </c>
      <c r="T324">
        <v>0</v>
      </c>
      <c r="U324">
        <f>IF(VLOOKUP(B324,AmmoTypeFactors,9,FALSE)="Plasteel",ROUNDUP(('Ammo Input'!H324*MAX(IF('Ammo Input'!J324&gt;0,'Ammo Input'!J324,1)*N324/1000/'Ingredient stats'!$C$4)),0),0)</f>
        <v>0</v>
      </c>
      <c r="V324">
        <f>IFERROR(__xludf.DUMMYFUNCTION("ROUNDUP(IF(ISBLANK(VLOOKUP(B320,AmmoTypeFactors,16,False)),1,VLOOKUP(B320,AmmoTypeFactors,16,False)) * (IFS(REGEXMATCH(B320, ""EMP""), 'Ammo Input'!M320 * N320 / 'Ingredient stats'!$C$5, REGEXMATCH(B320, ""Charge""), (U320^0.75), true, 0) + (IF(VLOOKUP(B3"&amp;"20, AmmoTypeFactors, 10, false), 2,0) + IF('Ammo Input'!P320, 2,0) + IF('Ammo Input'!Q320,MIN(ROUNDUP(0.2*('Ammo Input'!H320/1000)*'Ammo Input'!O320,0),20),0))))"),0)</f>
        <v>0</v>
      </c>
      <c r="W324">
        <v>0</v>
      </c>
      <c r="X324">
        <v>0</v>
      </c>
      <c r="Y324">
        <v>0</v>
      </c>
      <c r="Z324">
        <v>0</v>
      </c>
      <c r="AA324">
        <v>0</v>
      </c>
      <c r="AB324" s="30">
        <f>IF(B324="Sling Bullet (Stone)",ROUNDUP(D324*0.02*E324/'Ingredient stats'!$C$8,0),0)</f>
        <v>0</v>
      </c>
      <c r="AC324" t="str">
        <f t="shared" si="16"/>
        <v>None</v>
      </c>
      <c r="AD324" t="str">
        <f>IF(OR(B324="Buck",B324="Bird",B324="Charge (Scatter)"),'Ammo Input'!J324,"None")</f>
        <v>None</v>
      </c>
      <c r="AE324" t="str">
        <f>_xlfn.IFS(ISTEXT(Calcs!N324),Calcs!N324,Calcs!N324&lt;=40,Calcs!N324,Calcs!N324&gt;41,"40")</f>
        <v>None</v>
      </c>
      <c r="AF324" t="str">
        <f>_xlfn.IFS(ISTEXT(Calcs!O324),Calcs!O324,Calcs!O324&lt;=80,Calcs!O324,Calcs!O324&gt;=81,"80")</f>
        <v>None</v>
      </c>
      <c r="AG324" s="25">
        <f t="shared" si="17"/>
        <v>1</v>
      </c>
      <c r="AH324" s="25">
        <f t="shared" si="18"/>
        <v>1.2</v>
      </c>
      <c r="AI324" s="25">
        <f t="shared" si="19"/>
        <v>1</v>
      </c>
    </row>
    <row r="325" ht="14.4" spans="1:35">
      <c r="A325" s="24" t="str">
        <f>'Ammo Input'!A325</f>
        <v>.380 ACP</v>
      </c>
      <c r="B325" t="str">
        <f>'Ammo Input'!B325</f>
        <v>HP</v>
      </c>
      <c r="C325">
        <f>ROUNDUP(('Ammo Input'!C325*(MAX('Ammo Input'!D325,'Ammo Input'!F325)*0.5)^2*PI())*3/1000000,2)</f>
        <v>0.01</v>
      </c>
      <c r="D325">
        <f>ROUNDUP(('Ammo Input'!E325+'Ammo Input'!H325*IF('Ammo Input'!J325&lt;&gt;"",MAX('Ammo Input'!J325,1),1))/1000,3)</f>
        <v>0.01</v>
      </c>
      <c r="E325">
        <f>MIN(5000,MAX(25,CEILING(Calcs!L325,_xlfn.IFS(Calcs!L325&lt;100,25,Calcs!L325&lt;250,50,Calcs!L325&lt;1000,250,Calcs!L325&gt;=1000,1000))))</f>
        <v>5000</v>
      </c>
      <c r="F325">
        <f>ROUNDUP('Ammo Input'!G325^(3/4),0)</f>
        <v>73</v>
      </c>
      <c r="G325">
        <f>ROUND((0.5*((IF(OR(B325="HEAT",B325="HEDP"),'Ammo Input'!N325,'Ammo Input'!H325)/1000)*(IF(B325="HEAT",9000,IF(B325="HEDP",1500,'Ammo Input'!G325))^2))),0)</f>
        <v>270</v>
      </c>
      <c r="H325" s="25" t="str">
        <f>CONCATENATE(IF((B325="Foam")+(B325="Smoke"),"-",ROUND(Calcs!D325,0))," ",VLOOKUP(B325,AmmoTypeFactors,5,FALSE))</f>
        <v>11 Bullet</v>
      </c>
      <c r="I325" s="25" t="str">
        <f>IF(Calcs!E325=0,"None",CONCATENATE(ROUND(Calcs!E325,0)," ",VLOOKUP(B325,AmmoTypeFactors,6,FALSE)))</f>
        <v>None</v>
      </c>
      <c r="J325">
        <f>MROUND(2.42*'Ammo Input'!M325^(1/3)*VLOOKUP(B325,AmmoTypeFactors,3,FALSE),0.5)</f>
        <v>0</v>
      </c>
      <c r="K325" s="25" t="str">
        <f>IF(VLOOKUP(B325,AmmoTypeFactors,12,FALSE),MROUND(J325/3,0.5),"None")</f>
        <v>None</v>
      </c>
      <c r="L325" s="25">
        <f>IF(VLOOKUP(B325,AmmoTypeFactors,8,FALSE),"None",ROUNDUP(IF(Calcs!I325&gt;0,Calcs!I325,Calcs!H325),3))</f>
        <v>5.4</v>
      </c>
      <c r="M325" s="25">
        <f>IF(VLOOKUP(B325,AmmoTypeFactors,8,FALSE),"None",'Ammo Input'!L325)</f>
        <v>2</v>
      </c>
      <c r="N325">
        <f>'Ammo Input'!O325</f>
        <v>500</v>
      </c>
      <c r="O325" t="e">
        <f>ROUND((P325*0.0036+SUMPRODUCT(Q325:AB325,VLOOKUP($Q$1:$AB$1,IngredientStats,2,FALSE)))/N325*IF('Ammo Input'!R325,0.5,1),2)</f>
        <v>#VALUE!</v>
      </c>
      <c r="P325" t="e">
        <f>(SUMPRODUCT(Q325:AB325,VLOOKUP($Q$1:$AB$1,IngredientStats,4,FALSE))*VLOOKUP(B325,AmmoTypeFactors,14,FALSE)*IF('Ammo Input'!R325,1.1,1))</f>
        <v>#VALUE!</v>
      </c>
      <c r="Q325">
        <f>IFERROR(__xludf.DUMMYFUNCTION("((IF(NOT(OR(REGEXMATCH(B321, ""Arrow""), B321 = ""Javelin"", B321 = ""Stick bomb"")), ROUNDUP(('Ammo Input'!E321 / 1000) * N321)) + IF(VLOOKUP(B321, AmmoTypeFactors, 9, FALSE) = ""Steel"", ROUNDUP(('Ammo Input'!H321 -'Ammo Input'!M321) * MAX(IF('Ammo Inpu"&amp;"t'!J321 &gt; 0, 'Ammo Input'!J321, 1), 1) * N321 / 1000))) / 'Ingredient stats'!$C$2) * IF(ISBLANK(VLOOKUP(B321,AmmoTypeFactors,15,False)),1,VLOOKUP(B321,AmmoTypeFactors,15,False))"),10)</f>
        <v>10</v>
      </c>
      <c r="R325">
        <f>IFERROR(__xludf.DUMMYFUNCTION("ROUNDUP((IF(REGEXMATCH(B321, ""Arrow"") + (B321 = ""Javelin""), 'Ammo Input'!E321) + IF(VLOOKUP(B321, AmmoTypeFactors, 9, FALSE) = ""Wood"", 'Ammo Input'!H321) + IF(B321 = ""Stick bomb"", 'Ammo Input'!E321)) * N321 / 'Ingredient stats'!$C$12 / 1000)"),0)</f>
        <v>0</v>
      </c>
      <c r="S325">
        <v>0</v>
      </c>
      <c r="T325">
        <v>0</v>
      </c>
      <c r="U325">
        <f>IF(VLOOKUP(B325,AmmoTypeFactors,9,FALSE)="Plasteel",ROUNDUP(('Ammo Input'!H325*MAX(IF('Ammo Input'!J325&gt;0,'Ammo Input'!J325,1)*N325/1000/'Ingredient stats'!$C$4)),0),0)</f>
        <v>0</v>
      </c>
      <c r="V325">
        <f>IFERROR(__xludf.DUMMYFUNCTION("ROUNDUP(IF(ISBLANK(VLOOKUP(B321,AmmoTypeFactors,16,False)),1,VLOOKUP(B321,AmmoTypeFactors,16,False)) * (IFS(REGEXMATCH(B321, ""EMP""), 'Ammo Input'!M321 * N321 / 'Ingredient stats'!$C$5, REGEXMATCH(B321, ""Charge""), (U321^0.75), true, 0) + (IF(VLOOKUP(B3"&amp;"21, AmmoTypeFactors, 10, false), 2,0) + IF('Ammo Input'!P321, 2,0) + IF('Ammo Input'!Q321,MIN(ROUNDUP(0.2*('Ammo Input'!H321/1000)*'Ammo Input'!O321,0),20),0))))"),0)</f>
        <v>0</v>
      </c>
      <c r="W325">
        <v>0</v>
      </c>
      <c r="X325">
        <v>0</v>
      </c>
      <c r="Y325">
        <v>0</v>
      </c>
      <c r="Z325">
        <v>0</v>
      </c>
      <c r="AA325">
        <v>0</v>
      </c>
      <c r="AB325" s="30">
        <f>IF(B325="Sling Bullet (Stone)",ROUNDUP(D325*0.02*E325/'Ingredient stats'!$C$8,0),0)</f>
        <v>0</v>
      </c>
      <c r="AC325" t="str">
        <f t="shared" si="16"/>
        <v>None</v>
      </c>
      <c r="AD325" t="str">
        <f>IF(OR(B325="Buck",B325="Bird",B325="Charge (Scatter)"),'Ammo Input'!J325,"None")</f>
        <v>None</v>
      </c>
      <c r="AE325" t="str">
        <f>_xlfn.IFS(ISTEXT(Calcs!N325),Calcs!N325,Calcs!N325&lt;=40,Calcs!N325,Calcs!N325&gt;41,"40")</f>
        <v>None</v>
      </c>
      <c r="AF325" t="str">
        <f>_xlfn.IFS(ISTEXT(Calcs!O325),Calcs!O325,Calcs!O325&lt;=80,Calcs!O325,Calcs!O325&gt;=81,"80")</f>
        <v>None</v>
      </c>
      <c r="AG325" s="25">
        <f t="shared" si="17"/>
        <v>1</v>
      </c>
      <c r="AH325" s="25">
        <f t="shared" si="18"/>
        <v>1.2</v>
      </c>
      <c r="AI325" s="25">
        <f t="shared" si="19"/>
        <v>1</v>
      </c>
    </row>
    <row r="326" ht="14.4" spans="1:35">
      <c r="A326" s="24" t="str">
        <f>'Ammo Input'!A326</f>
        <v>.38 Super</v>
      </c>
      <c r="B326" t="str">
        <f>'Ammo Input'!B326</f>
        <v>FMJ</v>
      </c>
      <c r="C326">
        <f>ROUNDUP(('Ammo Input'!C326*(MAX('Ammo Input'!D326,'Ammo Input'!F326)*0.5)^2*PI())*3/1000000,2)</f>
        <v>0.01</v>
      </c>
      <c r="D326">
        <f>ROUNDUP(('Ammo Input'!E326+'Ammo Input'!H326*IF('Ammo Input'!J326&lt;&gt;"",MAX('Ammo Input'!J326,1),1))/1000,3)</f>
        <v>0.015</v>
      </c>
      <c r="E326">
        <f>MIN(5000,MAX(25,CEILING(Calcs!L326,_xlfn.IFS(Calcs!L326&lt;100,25,Calcs!L326&lt;250,50,Calcs!L326&lt;1000,250,Calcs!L326&gt;=1000,1000))))</f>
        <v>5000</v>
      </c>
      <c r="F326">
        <f>ROUNDUP('Ammo Input'!G326^(3/4),0)</f>
        <v>95</v>
      </c>
      <c r="G326">
        <f>ROUND((0.5*((IF(OR(B326="HEAT",B326="HEDP"),'Ammo Input'!N326,'Ammo Input'!H326)/1000)*(IF(B326="HEAT",9000,IF(B326="HEDP",1500,'Ammo Input'!G326))^2))),0)</f>
        <v>742</v>
      </c>
      <c r="H326" s="25" t="str">
        <f>CONCATENATE(IF((B326="Foam")+(B326="Smoke"),"-",ROUND(Calcs!D326,0))," ",VLOOKUP(B326,AmmoTypeFactors,5,FALSE))</f>
        <v>12 Bullet</v>
      </c>
      <c r="I326" s="25" t="str">
        <f>IF(Calcs!E326=0,"None",CONCATENATE(ROUND(Calcs!E326,0)," ",VLOOKUP(B326,AmmoTypeFactors,6,FALSE)))</f>
        <v>None</v>
      </c>
      <c r="J326">
        <f>MROUND(2.42*'Ammo Input'!M326^(1/3)*VLOOKUP(B326,AmmoTypeFactors,3,FALSE),0.5)</f>
        <v>0</v>
      </c>
      <c r="K326" s="25" t="str">
        <f>IF(VLOOKUP(B326,AmmoTypeFactors,12,FALSE),MROUND(J326/3,0.5),"None")</f>
        <v>None</v>
      </c>
      <c r="L326" s="25">
        <f>IF(VLOOKUP(B326,AmmoTypeFactors,8,FALSE),"None",ROUNDUP(IF(Calcs!I326&gt;0,Calcs!I326,Calcs!H326),3))</f>
        <v>14.84</v>
      </c>
      <c r="M326" s="25">
        <f>IF(VLOOKUP(B326,AmmoTypeFactors,8,FALSE),"None",'Ammo Input'!L326)</f>
        <v>4</v>
      </c>
      <c r="N326">
        <f>'Ammo Input'!O326</f>
        <v>500</v>
      </c>
      <c r="O326" t="e">
        <f>ROUND((P326*0.0036+SUMPRODUCT(Q326:AB326,VLOOKUP($Q$1:$AB$1,IngredientStats,2,FALSE)))/N326*IF('Ammo Input'!R326,0.5,1),2)</f>
        <v>#VALUE!</v>
      </c>
      <c r="P326" t="e">
        <f>(SUMPRODUCT(Q326:AB326,VLOOKUP($Q$1:$AB$1,IngredientStats,4,FALSE))*VLOOKUP(B326,AmmoTypeFactors,14,FALSE)*IF('Ammo Input'!R326,1.1,1))</f>
        <v>#VALUE!</v>
      </c>
      <c r="Q326">
        <f>IFERROR(__xludf.DUMMYFUNCTION("((IF(NOT(OR(REGEXMATCH(B322, ""Arrow""), B322 = ""Javelin"", B322 = ""Stick bomb"")), ROUNDUP(('Ammo Input'!E322 / 1000) * N322)) + IF(VLOOKUP(B322, AmmoTypeFactors, 9, FALSE) = ""Steel"", ROUNDUP(('Ammo Input'!H322 -'Ammo Input'!M322) * MAX(IF('Ammo Inpu"&amp;"t'!J322 &gt; 0, 'Ammo Input'!J322, 1), 1) * N322 / 1000))) / 'Ingredient stats'!$C$2) * IF(ISBLANK(VLOOKUP(B322,AmmoTypeFactors,15,False)),1,VLOOKUP(B322,AmmoTypeFactors,15,False))"),18)</f>
        <v>18</v>
      </c>
      <c r="R326">
        <f>IFERROR(__xludf.DUMMYFUNCTION("ROUNDUP((IF(REGEXMATCH(B322, ""Arrow"") + (B322 = ""Javelin""), 'Ammo Input'!E322) + IF(VLOOKUP(B322, AmmoTypeFactors, 9, FALSE) = ""Wood"", 'Ammo Input'!H322) + IF(B322 = ""Stick bomb"", 'Ammo Input'!E322)) * N322 / 'Ingredient stats'!$C$12 / 1000)"),0)</f>
        <v>0</v>
      </c>
      <c r="S326">
        <v>0</v>
      </c>
      <c r="T326">
        <v>0</v>
      </c>
      <c r="U326">
        <f>IF(VLOOKUP(B326,AmmoTypeFactors,9,FALSE)="Plasteel",ROUNDUP(('Ammo Input'!H326*MAX(IF('Ammo Input'!J326&gt;0,'Ammo Input'!J326,1)*N326/1000/'Ingredient stats'!$C$4)),0),0)</f>
        <v>0</v>
      </c>
      <c r="V326">
        <f>IFERROR(__xludf.DUMMYFUNCTION("ROUNDUP(IF(ISBLANK(VLOOKUP(B322,AmmoTypeFactors,16,False)),1,VLOOKUP(B322,AmmoTypeFactors,16,False)) * (IFS(REGEXMATCH(B322, ""EMP""), 'Ammo Input'!M322 * N322 / 'Ingredient stats'!$C$5, REGEXMATCH(B322, ""Charge""), (U322^0.75), true, 0) + (IF(VLOOKUP(B3"&amp;"22, AmmoTypeFactors, 10, false), 2,0) + IF('Ammo Input'!P322, 2,0) + IF('Ammo Input'!Q322,MIN(ROUNDUP(0.2*('Ammo Input'!H322/1000)*'Ammo Input'!O322,0),20),0))))"),0)</f>
        <v>0</v>
      </c>
      <c r="W326">
        <v>0</v>
      </c>
      <c r="X326">
        <v>0</v>
      </c>
      <c r="Y326">
        <v>0</v>
      </c>
      <c r="Z326">
        <v>0</v>
      </c>
      <c r="AA326">
        <v>0</v>
      </c>
      <c r="AB326" s="30">
        <f>IF(B326="Sling Bullet (Stone)",ROUNDUP(D326*0.02*E326/'Ingredient stats'!$C$8,0),0)</f>
        <v>0</v>
      </c>
      <c r="AC326" t="str">
        <f t="shared" si="16"/>
        <v>None</v>
      </c>
      <c r="AD326" t="str">
        <f>IF(OR(B326="Buck",B326="Bird",B326="Charge (Scatter)"),'Ammo Input'!J326,"None")</f>
        <v>None</v>
      </c>
      <c r="AE326" t="str">
        <f>_xlfn.IFS(ISTEXT(Calcs!N326),Calcs!N326,Calcs!N326&lt;=40,Calcs!N326,Calcs!N326&gt;41,"40")</f>
        <v>None</v>
      </c>
      <c r="AF326" t="str">
        <f>_xlfn.IFS(ISTEXT(Calcs!O326),Calcs!O326,Calcs!O326&lt;=80,Calcs!O326,Calcs!O326&gt;=81,"80")</f>
        <v>None</v>
      </c>
      <c r="AG326" s="25">
        <f t="shared" si="17"/>
        <v>1</v>
      </c>
      <c r="AH326" s="25">
        <f t="shared" si="18"/>
        <v>1.56</v>
      </c>
      <c r="AI326" s="25">
        <f t="shared" si="19"/>
        <v>1</v>
      </c>
    </row>
    <row r="327" ht="14.4" spans="1:35">
      <c r="A327" s="24" t="str">
        <f>'Ammo Input'!A327</f>
        <v>.38 Super</v>
      </c>
      <c r="B327" t="str">
        <f>'Ammo Input'!B327</f>
        <v>AP</v>
      </c>
      <c r="C327">
        <f>ROUNDUP(('Ammo Input'!C327*(MAX('Ammo Input'!D327,'Ammo Input'!F327)*0.5)^2*PI())*3/1000000,2)</f>
        <v>0.01</v>
      </c>
      <c r="D327">
        <f>ROUNDUP(('Ammo Input'!E327+'Ammo Input'!H327*IF('Ammo Input'!J327&lt;&gt;"",MAX('Ammo Input'!J327,1),1))/1000,3)</f>
        <v>0.015</v>
      </c>
      <c r="E327">
        <f>MIN(5000,MAX(25,CEILING(Calcs!L327,_xlfn.IFS(Calcs!L327&lt;100,25,Calcs!L327&lt;250,50,Calcs!L327&lt;1000,250,Calcs!L327&gt;=1000,1000))))</f>
        <v>5000</v>
      </c>
      <c r="F327">
        <f>ROUNDUP('Ammo Input'!G327^(3/4),0)</f>
        <v>95</v>
      </c>
      <c r="G327">
        <f>ROUND((0.5*((IF(OR(B327="HEAT",B327="HEDP"),'Ammo Input'!N327,'Ammo Input'!H327)/1000)*(IF(B327="HEAT",9000,IF(B327="HEDP",1500,'Ammo Input'!G327))^2))),0)</f>
        <v>742</v>
      </c>
      <c r="H327" s="25" t="str">
        <f>CONCATENATE(IF((B327="Foam")+(B327="Smoke"),"-",ROUND(Calcs!D327,0))," ",VLOOKUP(B327,AmmoTypeFactors,5,FALSE))</f>
        <v>8 Bullet</v>
      </c>
      <c r="I327" s="25" t="str">
        <f>IF(Calcs!E327=0,"None",CONCATENATE(ROUND(Calcs!E327,0)," ",VLOOKUP(B327,AmmoTypeFactors,6,FALSE)))</f>
        <v>None</v>
      </c>
      <c r="J327">
        <f>MROUND(2.42*'Ammo Input'!M327^(1/3)*VLOOKUP(B327,AmmoTypeFactors,3,FALSE),0.5)</f>
        <v>0</v>
      </c>
      <c r="K327" s="25" t="str">
        <f>IF(VLOOKUP(B327,AmmoTypeFactors,12,FALSE),MROUND(J327/3,0.5),"None")</f>
        <v>None</v>
      </c>
      <c r="L327" s="25">
        <f>IF(VLOOKUP(B327,AmmoTypeFactors,8,FALSE),"None",ROUNDUP(IF(Calcs!I327&gt;0,Calcs!I327,Calcs!H327),3))</f>
        <v>14.84</v>
      </c>
      <c r="M327" s="25">
        <f>IF(VLOOKUP(B327,AmmoTypeFactors,8,FALSE),"None",'Ammo Input'!L327)</f>
        <v>8</v>
      </c>
      <c r="N327">
        <f>'Ammo Input'!O327</f>
        <v>500</v>
      </c>
      <c r="O327" t="e">
        <f>ROUND((P327*0.0036+SUMPRODUCT(Q327:AB327,VLOOKUP($Q$1:$AB$1,IngredientStats,2,FALSE)))/N327*IF('Ammo Input'!R327,0.5,1),2)</f>
        <v>#VALUE!</v>
      </c>
      <c r="P327" t="e">
        <f>(SUMPRODUCT(Q327:AB327,VLOOKUP($Q$1:$AB$1,IngredientStats,4,FALSE))*VLOOKUP(B327,AmmoTypeFactors,14,FALSE)*IF('Ammo Input'!R327,1.1,1))</f>
        <v>#VALUE!</v>
      </c>
      <c r="Q327">
        <f>IFERROR(__xludf.DUMMYFUNCTION("((IF(NOT(OR(REGEXMATCH(B323, ""Arrow""), B323 = ""Javelin"", B323 = ""Stick bomb"")), ROUNDUP(('Ammo Input'!E323 / 1000) * N323)) + IF(VLOOKUP(B323, AmmoTypeFactors, 9, FALSE) = ""Steel"", ROUNDUP(('Ammo Input'!H323 -'Ammo Input'!M323) * MAX(IF('Ammo Inpu"&amp;"t'!J323 &gt; 0, 'Ammo Input'!J323, 1), 1) * N323 / 1000))) / 'Ingredient stats'!$C$2) * IF(ISBLANK(VLOOKUP(B323,AmmoTypeFactors,15,False)),1,VLOOKUP(B323,AmmoTypeFactors,15,False))"),18)</f>
        <v>18</v>
      </c>
      <c r="R327">
        <f>IFERROR(__xludf.DUMMYFUNCTION("ROUNDUP((IF(REGEXMATCH(B323, ""Arrow"") + (B323 = ""Javelin""), 'Ammo Input'!E323) + IF(VLOOKUP(B323, AmmoTypeFactors, 9, FALSE) = ""Wood"", 'Ammo Input'!H323) + IF(B323 = ""Stick bomb"", 'Ammo Input'!E323)) * N323 / 'Ingredient stats'!$C$12 / 1000)"),0)</f>
        <v>0</v>
      </c>
      <c r="S327">
        <v>0</v>
      </c>
      <c r="T327">
        <v>0</v>
      </c>
      <c r="U327">
        <f>IF(VLOOKUP(B327,AmmoTypeFactors,9,FALSE)="Plasteel",ROUNDUP(('Ammo Input'!H327*MAX(IF('Ammo Input'!J327&gt;0,'Ammo Input'!J327,1)*N327/1000/'Ingredient stats'!$C$4)),0),0)</f>
        <v>0</v>
      </c>
      <c r="V327">
        <f>IFERROR(__xludf.DUMMYFUNCTION("ROUNDUP(IF(ISBLANK(VLOOKUP(B323,AmmoTypeFactors,16,False)),1,VLOOKUP(B323,AmmoTypeFactors,16,False)) * (IFS(REGEXMATCH(B323, ""EMP""), 'Ammo Input'!M323 * N323 / 'Ingredient stats'!$C$5, REGEXMATCH(B323, ""Charge""), (U323^0.75), true, 0) + (IF(VLOOKUP(B3"&amp;"23, AmmoTypeFactors, 10, false), 2,0) + IF('Ammo Input'!P323, 2,0) + IF('Ammo Input'!Q323,MIN(ROUNDUP(0.2*('Ammo Input'!H323/1000)*'Ammo Input'!O323,0),20),0))))"),0)</f>
        <v>0</v>
      </c>
      <c r="W327">
        <v>0</v>
      </c>
      <c r="X327">
        <v>0</v>
      </c>
      <c r="Y327">
        <v>0</v>
      </c>
      <c r="Z327">
        <v>0</v>
      </c>
      <c r="AA327">
        <v>0</v>
      </c>
      <c r="AB327" s="30">
        <f>IF(B327="Sling Bullet (Stone)",ROUNDUP(D327*0.02*E327/'Ingredient stats'!$C$8,0),0)</f>
        <v>0</v>
      </c>
      <c r="AC327" t="str">
        <f t="shared" si="16"/>
        <v>None</v>
      </c>
      <c r="AD327" t="str">
        <f>IF(OR(B327="Buck",B327="Bird",B327="Charge (Scatter)"),'Ammo Input'!J327,"None")</f>
        <v>None</v>
      </c>
      <c r="AE327" t="str">
        <f>_xlfn.IFS(ISTEXT(Calcs!N327),Calcs!N327,Calcs!N327&lt;=40,Calcs!N327,Calcs!N327&gt;41,"40")</f>
        <v>None</v>
      </c>
      <c r="AF327" t="str">
        <f>_xlfn.IFS(ISTEXT(Calcs!O327),Calcs!O327,Calcs!O327&lt;=80,Calcs!O327,Calcs!O327&gt;=81,"80")</f>
        <v>None</v>
      </c>
      <c r="AG327" s="25">
        <f t="shared" si="17"/>
        <v>1</v>
      </c>
      <c r="AH327" s="25">
        <f t="shared" si="18"/>
        <v>1.56</v>
      </c>
      <c r="AI327" s="25">
        <f t="shared" si="19"/>
        <v>1</v>
      </c>
    </row>
    <row r="328" ht="14.4" spans="1:35">
      <c r="A328" s="24" t="str">
        <f>'Ammo Input'!A328</f>
        <v>.38 Super</v>
      </c>
      <c r="B328" t="str">
        <f>'Ammo Input'!B328</f>
        <v>HP</v>
      </c>
      <c r="C328">
        <f>ROUNDUP(('Ammo Input'!C328*(MAX('Ammo Input'!D328,'Ammo Input'!F328)*0.5)^2*PI())*3/1000000,2)</f>
        <v>0.01</v>
      </c>
      <c r="D328">
        <f>ROUNDUP(('Ammo Input'!E328+'Ammo Input'!H328*IF('Ammo Input'!J328&lt;&gt;"",MAX('Ammo Input'!J328,1),1))/1000,3)</f>
        <v>0.015</v>
      </c>
      <c r="E328">
        <f>MIN(5000,MAX(25,CEILING(Calcs!L328,_xlfn.IFS(Calcs!L328&lt;100,25,Calcs!L328&lt;250,50,Calcs!L328&lt;1000,250,Calcs!L328&gt;=1000,1000))))</f>
        <v>5000</v>
      </c>
      <c r="F328">
        <f>ROUNDUP('Ammo Input'!G328^(3/4),0)</f>
        <v>95</v>
      </c>
      <c r="G328">
        <f>ROUND((0.5*((IF(OR(B328="HEAT",B328="HEDP"),'Ammo Input'!N328,'Ammo Input'!H328)/1000)*(IF(B328="HEAT",9000,IF(B328="HEDP",1500,'Ammo Input'!G328))^2))),0)</f>
        <v>742</v>
      </c>
      <c r="H328" s="25" t="str">
        <f>CONCATENATE(IF((B328="Foam")+(B328="Smoke"),"-",ROUND(Calcs!D328,0))," ",VLOOKUP(B328,AmmoTypeFactors,5,FALSE))</f>
        <v>15 Bullet</v>
      </c>
      <c r="I328" s="25" t="str">
        <f>IF(Calcs!E328=0,"None",CONCATENATE(ROUND(Calcs!E328,0)," ",VLOOKUP(B328,AmmoTypeFactors,6,FALSE)))</f>
        <v>None</v>
      </c>
      <c r="J328">
        <f>MROUND(2.42*'Ammo Input'!M328^(1/3)*VLOOKUP(B328,AmmoTypeFactors,3,FALSE),0.5)</f>
        <v>0</v>
      </c>
      <c r="K328" s="25" t="str">
        <f>IF(VLOOKUP(B328,AmmoTypeFactors,12,FALSE),MROUND(J328/3,0.5),"None")</f>
        <v>None</v>
      </c>
      <c r="L328" s="25">
        <f>IF(VLOOKUP(B328,AmmoTypeFactors,8,FALSE),"None",ROUNDUP(IF(Calcs!I328&gt;0,Calcs!I328,Calcs!H328),3))</f>
        <v>14.84</v>
      </c>
      <c r="M328" s="25">
        <f>IF(VLOOKUP(B328,AmmoTypeFactors,8,FALSE),"None",'Ammo Input'!L328)</f>
        <v>2</v>
      </c>
      <c r="N328">
        <f>'Ammo Input'!O328</f>
        <v>500</v>
      </c>
      <c r="O328" t="e">
        <f>ROUND((P328*0.0036+SUMPRODUCT(Q328:AB328,VLOOKUP($Q$1:$AB$1,IngredientStats,2,FALSE)))/N328*IF('Ammo Input'!R328,0.5,1),2)</f>
        <v>#VALUE!</v>
      </c>
      <c r="P328" t="e">
        <f>(SUMPRODUCT(Q328:AB328,VLOOKUP($Q$1:$AB$1,IngredientStats,4,FALSE))*VLOOKUP(B328,AmmoTypeFactors,14,FALSE)*IF('Ammo Input'!R328,1.1,1))</f>
        <v>#VALUE!</v>
      </c>
      <c r="Q328">
        <f>IFERROR(__xludf.DUMMYFUNCTION("((IF(NOT(OR(REGEXMATCH(B324, ""Arrow""), B324 = ""Javelin"", B324 = ""Stick bomb"")), ROUNDUP(('Ammo Input'!E324 / 1000) * N324)) + IF(VLOOKUP(B324, AmmoTypeFactors, 9, FALSE) = ""Steel"", ROUNDUP(('Ammo Input'!H324 -'Ammo Input'!M324) * MAX(IF('Ammo Inpu"&amp;"t'!J324 &gt; 0, 'Ammo Input'!J324, 1), 1) * N324 / 1000))) / 'Ingredient stats'!$C$2) * IF(ISBLANK(VLOOKUP(B324,AmmoTypeFactors,15,False)),1,VLOOKUP(B324,AmmoTypeFactors,15,False))"),18)</f>
        <v>18</v>
      </c>
      <c r="R328">
        <f>IFERROR(__xludf.DUMMYFUNCTION("ROUNDUP((IF(REGEXMATCH(B324, ""Arrow"") + (B324 = ""Javelin""), 'Ammo Input'!E324) + IF(VLOOKUP(B324, AmmoTypeFactors, 9, FALSE) = ""Wood"", 'Ammo Input'!H324) + IF(B324 = ""Stick bomb"", 'Ammo Input'!E324)) * N324 / 'Ingredient stats'!$C$12 / 1000)"),0)</f>
        <v>0</v>
      </c>
      <c r="S328">
        <v>0</v>
      </c>
      <c r="T328">
        <v>0</v>
      </c>
      <c r="U328">
        <f>IF(VLOOKUP(B328,AmmoTypeFactors,9,FALSE)="Plasteel",ROUNDUP(('Ammo Input'!H328*MAX(IF('Ammo Input'!J328&gt;0,'Ammo Input'!J328,1)*N328/1000/'Ingredient stats'!$C$4)),0),0)</f>
        <v>0</v>
      </c>
      <c r="V328">
        <f>IFERROR(__xludf.DUMMYFUNCTION("ROUNDUP(IF(ISBLANK(VLOOKUP(B324,AmmoTypeFactors,16,False)),1,VLOOKUP(B324,AmmoTypeFactors,16,False)) * (IFS(REGEXMATCH(B324, ""EMP""), 'Ammo Input'!M324 * N324 / 'Ingredient stats'!$C$5, REGEXMATCH(B324, ""Charge""), (U324^0.75), true, 0) + (IF(VLOOKUP(B3"&amp;"24, AmmoTypeFactors, 10, false), 2,0) + IF('Ammo Input'!P324, 2,0) + IF('Ammo Input'!Q324,MIN(ROUNDUP(0.2*('Ammo Input'!H324/1000)*'Ammo Input'!O324,0),20),0))))"),0)</f>
        <v>0</v>
      </c>
      <c r="W328">
        <v>0</v>
      </c>
      <c r="X328">
        <v>0</v>
      </c>
      <c r="Y328">
        <v>0</v>
      </c>
      <c r="Z328">
        <v>0</v>
      </c>
      <c r="AA328">
        <v>0</v>
      </c>
      <c r="AB328" s="30">
        <f>IF(B328="Sling Bullet (Stone)",ROUNDUP(D328*0.02*E328/'Ingredient stats'!$C$8,0),0)</f>
        <v>0</v>
      </c>
      <c r="AC328" t="str">
        <f t="shared" si="16"/>
        <v>None</v>
      </c>
      <c r="AD328" t="str">
        <f>IF(OR(B328="Buck",B328="Bird",B328="Charge (Scatter)"),'Ammo Input'!J328,"None")</f>
        <v>None</v>
      </c>
      <c r="AE328" t="str">
        <f>_xlfn.IFS(ISTEXT(Calcs!N328),Calcs!N328,Calcs!N328&lt;=40,Calcs!N328,Calcs!N328&gt;41,"40")</f>
        <v>None</v>
      </c>
      <c r="AF328" t="str">
        <f>_xlfn.IFS(ISTEXT(Calcs!O328),Calcs!O328,Calcs!O328&lt;=80,Calcs!O328,Calcs!O328&gt;=81,"80")</f>
        <v>None</v>
      </c>
      <c r="AG328" s="25">
        <f t="shared" si="17"/>
        <v>1</v>
      </c>
      <c r="AH328" s="25">
        <f t="shared" si="18"/>
        <v>1.56</v>
      </c>
      <c r="AI328" s="25">
        <f t="shared" si="19"/>
        <v>1</v>
      </c>
    </row>
    <row r="329" ht="14.4" spans="1:35">
      <c r="A329" s="24" t="str">
        <f>'Ammo Input'!A329</f>
        <v>.454 Casull</v>
      </c>
      <c r="B329" t="str">
        <f>'Ammo Input'!B329</f>
        <v>FMJ</v>
      </c>
      <c r="C329">
        <f>ROUNDUP(('Ammo Input'!C329*(MAX('Ammo Input'!D329,'Ammo Input'!F329)*0.5)^2*PI())*3/1000000,2)</f>
        <v>0.02</v>
      </c>
      <c r="D329">
        <f>ROUNDUP(('Ammo Input'!E329+'Ammo Input'!H329*IF('Ammo Input'!J329&lt;&gt;"",MAX('Ammo Input'!J329,1),1))/1000,3)</f>
        <v>0.032</v>
      </c>
      <c r="E329">
        <f>MIN(5000,MAX(25,CEILING(Calcs!L329,_xlfn.IFS(Calcs!L329&lt;100,25,Calcs!L329&lt;250,50,Calcs!L329&lt;1000,250,Calcs!L329&gt;=1000,1000))))</f>
        <v>5000</v>
      </c>
      <c r="F329">
        <f>ROUNDUP('Ammo Input'!G329^(3/4),0)</f>
        <v>100</v>
      </c>
      <c r="G329">
        <f>ROUND((0.5*((IF(OR(B329="HEAT",B329="HEDP"),'Ammo Input'!N329,'Ammo Input'!H329)/1000)*(IF(B329="HEAT",9000,IF(B329="HEDP",1500,'Ammo Input'!G329))^2))),0)</f>
        <v>2433</v>
      </c>
      <c r="H329" s="25" t="str">
        <f>CONCATENATE(IF((B329="Foam")+(B329="Smoke"),"-",ROUND(Calcs!D329,0))," ",VLOOKUP(B329,AmmoTypeFactors,5,FALSE))</f>
        <v>20 Bullet</v>
      </c>
      <c r="I329" s="25" t="str">
        <f>IF(Calcs!E329=0,"None",CONCATENATE(ROUND(Calcs!E329,0)," ",VLOOKUP(B329,AmmoTypeFactors,6,FALSE)))</f>
        <v>None</v>
      </c>
      <c r="J329">
        <f>MROUND(2.42*'Ammo Input'!M329^(1/3)*VLOOKUP(B329,AmmoTypeFactors,3,FALSE),0.5)</f>
        <v>0</v>
      </c>
      <c r="K329" s="25" t="str">
        <f>IF(VLOOKUP(B329,AmmoTypeFactors,12,FALSE),MROUND(J329/3,0.5),"None")</f>
        <v>None</v>
      </c>
      <c r="L329" s="25">
        <f>IF(VLOOKUP(B329,AmmoTypeFactors,8,FALSE),"None",ROUNDUP(IF(Calcs!I329&gt;0,Calcs!I329,Calcs!H329),3))</f>
        <v>48.66</v>
      </c>
      <c r="M329" s="25">
        <f>IF(VLOOKUP(B329,AmmoTypeFactors,8,FALSE),"None",'Ammo Input'!L329)</f>
        <v>8</v>
      </c>
      <c r="N329">
        <f>'Ammo Input'!O329</f>
        <v>500</v>
      </c>
      <c r="O329" t="e">
        <f>ROUND((P329*0.0036+SUMPRODUCT(Q329:AB329,VLOOKUP($Q$1:$AB$1,IngredientStats,2,FALSE)))/N329*IF('Ammo Input'!R329,0.5,1),2)</f>
        <v>#VALUE!</v>
      </c>
      <c r="P329" t="e">
        <f>(SUMPRODUCT(Q329:AB329,VLOOKUP($Q$1:$AB$1,IngredientStats,4,FALSE))*VLOOKUP(B329,AmmoTypeFactors,14,FALSE)*IF('Ammo Input'!R329,1.1,1))</f>
        <v>#VALUE!</v>
      </c>
      <c r="Q329">
        <f>IFERROR(__xludf.DUMMYFUNCTION("((IF(NOT(OR(REGEXMATCH(B325, ""Arrow""), B325 = ""Javelin"", B325 = ""Stick bomb"")), ROUNDUP(('Ammo Input'!E325 / 1000) * N325)) + IF(VLOOKUP(B325, AmmoTypeFactors, 9, FALSE) = ""Steel"", ROUNDUP(('Ammo Input'!H325 -'Ammo Input'!M325) * MAX(IF('Ammo Inpu"&amp;"t'!J325 &gt; 0, 'Ammo Input'!J325, 1), 1) * N325 / 1000))) / 'Ingredient stats'!$C$2) * IF(ISBLANK(VLOOKUP(B325,AmmoTypeFactors,15,False)),1,VLOOKUP(B325,AmmoTypeFactors,15,False))"),34)</f>
        <v>34</v>
      </c>
      <c r="R329">
        <f>IFERROR(__xludf.DUMMYFUNCTION("ROUNDUP((IF(REGEXMATCH(B325, ""Arrow"") + (B325 = ""Javelin""), 'Ammo Input'!E325) + IF(VLOOKUP(B325, AmmoTypeFactors, 9, FALSE) = ""Wood"", 'Ammo Input'!H325) + IF(B325 = ""Stick bomb"", 'Ammo Input'!E325)) * N325 / 'Ingredient stats'!$C$12 / 1000)"),0)</f>
        <v>0</v>
      </c>
      <c r="S329">
        <v>0</v>
      </c>
      <c r="T329">
        <v>0</v>
      </c>
      <c r="U329">
        <f>IF(VLOOKUP(B329,AmmoTypeFactors,9,FALSE)="Plasteel",ROUNDUP(('Ammo Input'!H329*MAX(IF('Ammo Input'!J329&gt;0,'Ammo Input'!J329,1)*N329/1000/'Ingredient stats'!$C$4)),0),0)</f>
        <v>0</v>
      </c>
      <c r="V329">
        <f>IFERROR(__xludf.DUMMYFUNCTION("ROUNDUP(IF(ISBLANK(VLOOKUP(B325,AmmoTypeFactors,16,False)),1,VLOOKUP(B325,AmmoTypeFactors,16,False)) * (IFS(REGEXMATCH(B325, ""EMP""), 'Ammo Input'!M325 * N325 / 'Ingredient stats'!$C$5, REGEXMATCH(B325, ""Charge""), (U325^0.75), true, 0) + (IF(VLOOKUP(B3"&amp;"25, AmmoTypeFactors, 10, false), 2,0) + IF('Ammo Input'!P325, 2,0) + IF('Ammo Input'!Q325,MIN(ROUNDUP(0.2*('Ammo Input'!H325/1000)*'Ammo Input'!O325,0),20),0))))"),0)</f>
        <v>0</v>
      </c>
      <c r="W329">
        <v>0</v>
      </c>
      <c r="X329">
        <v>0</v>
      </c>
      <c r="Y329">
        <v>0</v>
      </c>
      <c r="Z329">
        <v>0</v>
      </c>
      <c r="AA329">
        <v>0</v>
      </c>
      <c r="AB329" s="30">
        <f>IF(B329="Sling Bullet (Stone)",ROUNDUP(D329*0.02*E329/'Ingredient stats'!$C$8,0),0)</f>
        <v>0</v>
      </c>
      <c r="AC329" t="str">
        <f t="shared" si="16"/>
        <v>None</v>
      </c>
      <c r="AD329" t="str">
        <f>IF(OR(B329="Buck",B329="Bird",B329="Charge (Scatter)"),'Ammo Input'!J329,"None")</f>
        <v>None</v>
      </c>
      <c r="AE329" t="str">
        <f>_xlfn.IFS(ISTEXT(Calcs!N329),Calcs!N329,Calcs!N329&lt;=40,Calcs!N329,Calcs!N329&gt;41,"40")</f>
        <v>None</v>
      </c>
      <c r="AF329" t="str">
        <f>_xlfn.IFS(ISTEXT(Calcs!O329),Calcs!O329,Calcs!O329&lt;=80,Calcs!O329,Calcs!O329&gt;=81,"80")</f>
        <v>None</v>
      </c>
      <c r="AG329" s="25">
        <f t="shared" si="17"/>
        <v>1</v>
      </c>
      <c r="AH329" s="25">
        <f t="shared" si="18"/>
        <v>1.65</v>
      </c>
      <c r="AI329" s="25">
        <f t="shared" si="19"/>
        <v>1</v>
      </c>
    </row>
    <row r="330" ht="14.4" spans="1:35">
      <c r="A330" s="24" t="str">
        <f>'Ammo Input'!A330</f>
        <v>.454 Casull</v>
      </c>
      <c r="B330" t="str">
        <f>'Ammo Input'!B330</f>
        <v>AP</v>
      </c>
      <c r="C330">
        <f>ROUNDUP(('Ammo Input'!C330*(MAX('Ammo Input'!D330,'Ammo Input'!F330)*0.5)^2*PI())*3/1000000,2)</f>
        <v>0.02</v>
      </c>
      <c r="D330">
        <f>ROUNDUP(('Ammo Input'!E330+'Ammo Input'!H330*IF('Ammo Input'!J330&lt;&gt;"",MAX('Ammo Input'!J330,1),1))/1000,3)</f>
        <v>0.032</v>
      </c>
      <c r="E330">
        <f>MIN(5000,MAX(25,CEILING(Calcs!L330,_xlfn.IFS(Calcs!L330&lt;100,25,Calcs!L330&lt;250,50,Calcs!L330&lt;1000,250,Calcs!L330&gt;=1000,1000))))</f>
        <v>5000</v>
      </c>
      <c r="F330">
        <f>ROUNDUP('Ammo Input'!G330^(3/4),0)</f>
        <v>100</v>
      </c>
      <c r="G330">
        <f>ROUND((0.5*((IF(OR(B330="HEAT",B330="HEDP"),'Ammo Input'!N330,'Ammo Input'!H330)/1000)*(IF(B330="HEAT",9000,IF(B330="HEDP",1500,'Ammo Input'!G330))^2))),0)</f>
        <v>2433</v>
      </c>
      <c r="H330" s="25" t="str">
        <f>CONCATENATE(IF((B330="Foam")+(B330="Smoke"),"-",ROUND(Calcs!D330,0))," ",VLOOKUP(B330,AmmoTypeFactors,5,FALSE))</f>
        <v>13 Bullet</v>
      </c>
      <c r="I330" s="25" t="str">
        <f>IF(Calcs!E330=0,"None",CONCATENATE(ROUND(Calcs!E330,0)," ",VLOOKUP(B330,AmmoTypeFactors,6,FALSE)))</f>
        <v>None</v>
      </c>
      <c r="J330">
        <f>MROUND(2.42*'Ammo Input'!M330^(1/3)*VLOOKUP(B330,AmmoTypeFactors,3,FALSE),0.5)</f>
        <v>0</v>
      </c>
      <c r="K330" s="25" t="str">
        <f>IF(VLOOKUP(B330,AmmoTypeFactors,12,FALSE),MROUND(J330/3,0.5),"None")</f>
        <v>None</v>
      </c>
      <c r="L330" s="25">
        <f>IF(VLOOKUP(B330,AmmoTypeFactors,8,FALSE),"None",ROUNDUP(IF(Calcs!I330&gt;0,Calcs!I330,Calcs!H330),3))</f>
        <v>48.66</v>
      </c>
      <c r="M330" s="25">
        <f>IF(VLOOKUP(B330,AmmoTypeFactors,8,FALSE),"None",'Ammo Input'!L330)</f>
        <v>16</v>
      </c>
      <c r="N330">
        <f>'Ammo Input'!O330</f>
        <v>500</v>
      </c>
      <c r="O330" t="e">
        <f>ROUND((P330*0.0036+SUMPRODUCT(Q330:AB330,VLOOKUP($Q$1:$AB$1,IngredientStats,2,FALSE)))/N330*IF('Ammo Input'!R330,0.5,1),2)</f>
        <v>#VALUE!</v>
      </c>
      <c r="P330" t="e">
        <f>(SUMPRODUCT(Q330:AB330,VLOOKUP($Q$1:$AB$1,IngredientStats,4,FALSE))*VLOOKUP(B330,AmmoTypeFactors,14,FALSE)*IF('Ammo Input'!R330,1.1,1))</f>
        <v>#VALUE!</v>
      </c>
      <c r="Q330">
        <f>IFERROR(__xludf.DUMMYFUNCTION("((IF(NOT(OR(REGEXMATCH(B326, ""Arrow""), B326 = ""Javelin"", B326 = ""Stick bomb"")), ROUNDUP(('Ammo Input'!E326 / 1000) * N326)) + IF(VLOOKUP(B326, AmmoTypeFactors, 9, FALSE) = ""Steel"", ROUNDUP(('Ammo Input'!H326 -'Ammo Input'!M326) * MAX(IF('Ammo Inpu"&amp;"t'!J326 &gt; 0, 'Ammo Input'!J326, 1), 1) * N326 / 1000))) / 'Ingredient stats'!$C$2) * IF(ISBLANK(VLOOKUP(B326,AmmoTypeFactors,15,False)),1,VLOOKUP(B326,AmmoTypeFactors,15,False))"),34)</f>
        <v>34</v>
      </c>
      <c r="R330">
        <f>IFERROR(__xludf.DUMMYFUNCTION("ROUNDUP((IF(REGEXMATCH(B326, ""Arrow"") + (B326 = ""Javelin""), 'Ammo Input'!E326) + IF(VLOOKUP(B326, AmmoTypeFactors, 9, FALSE) = ""Wood"", 'Ammo Input'!H326) + IF(B326 = ""Stick bomb"", 'Ammo Input'!E326)) * N326 / 'Ingredient stats'!$C$12 / 1000)"),0)</f>
        <v>0</v>
      </c>
      <c r="S330">
        <v>0</v>
      </c>
      <c r="T330">
        <v>0</v>
      </c>
      <c r="U330">
        <f>IF(VLOOKUP(B330,AmmoTypeFactors,9,FALSE)="Plasteel",ROUNDUP(('Ammo Input'!H330*MAX(IF('Ammo Input'!J330&gt;0,'Ammo Input'!J330,1)*N330/1000/'Ingredient stats'!$C$4)),0),0)</f>
        <v>0</v>
      </c>
      <c r="V330">
        <f>IFERROR(__xludf.DUMMYFUNCTION("ROUNDUP(IF(ISBLANK(VLOOKUP(B326,AmmoTypeFactors,16,False)),1,VLOOKUP(B326,AmmoTypeFactors,16,False)) * (IFS(REGEXMATCH(B326, ""EMP""), 'Ammo Input'!M326 * N326 / 'Ingredient stats'!$C$5, REGEXMATCH(B326, ""Charge""), (U326^0.75), true, 0) + (IF(VLOOKUP(B3"&amp;"26, AmmoTypeFactors, 10, false), 2,0) + IF('Ammo Input'!P326, 2,0) + IF('Ammo Input'!Q326,MIN(ROUNDUP(0.2*('Ammo Input'!H326/1000)*'Ammo Input'!O326,0),20),0))))"),0)</f>
        <v>0</v>
      </c>
      <c r="W330">
        <v>0</v>
      </c>
      <c r="X330">
        <v>0</v>
      </c>
      <c r="Y330">
        <v>0</v>
      </c>
      <c r="Z330">
        <v>0</v>
      </c>
      <c r="AA330">
        <v>0</v>
      </c>
      <c r="AB330" s="30">
        <f>IF(B330="Sling Bullet (Stone)",ROUNDUP(D330*0.02*E330/'Ingredient stats'!$C$8,0),0)</f>
        <v>0</v>
      </c>
      <c r="AC330" t="str">
        <f t="shared" si="16"/>
        <v>None</v>
      </c>
      <c r="AD330" t="str">
        <f>IF(OR(B330="Buck",B330="Bird",B330="Charge (Scatter)"),'Ammo Input'!J330,"None")</f>
        <v>None</v>
      </c>
      <c r="AE330" t="str">
        <f>_xlfn.IFS(ISTEXT(Calcs!N330),Calcs!N330,Calcs!N330&lt;=40,Calcs!N330,Calcs!N330&gt;41,"40")</f>
        <v>None</v>
      </c>
      <c r="AF330" t="str">
        <f>_xlfn.IFS(ISTEXT(Calcs!O330),Calcs!O330,Calcs!O330&lt;=80,Calcs!O330,Calcs!O330&gt;=81,"80")</f>
        <v>None</v>
      </c>
      <c r="AG330" s="25">
        <f t="shared" si="17"/>
        <v>1</v>
      </c>
      <c r="AH330" s="25">
        <f t="shared" si="18"/>
        <v>1.65</v>
      </c>
      <c r="AI330" s="25">
        <f t="shared" si="19"/>
        <v>1</v>
      </c>
    </row>
    <row r="331" ht="14.4" spans="1:35">
      <c r="A331" s="24" t="str">
        <f>'Ammo Input'!A331</f>
        <v>.454 Casull</v>
      </c>
      <c r="B331" t="str">
        <f>'Ammo Input'!B331</f>
        <v>HP</v>
      </c>
      <c r="C331">
        <f>ROUNDUP(('Ammo Input'!C331*(MAX('Ammo Input'!D331,'Ammo Input'!F331)*0.5)^2*PI())*3/1000000,2)</f>
        <v>0.02</v>
      </c>
      <c r="D331">
        <f>ROUNDUP(('Ammo Input'!E331+'Ammo Input'!H331*IF('Ammo Input'!J331&lt;&gt;"",MAX('Ammo Input'!J331,1),1))/1000,3)</f>
        <v>0.032</v>
      </c>
      <c r="E331">
        <f>MIN(5000,MAX(25,CEILING(Calcs!L331,_xlfn.IFS(Calcs!L331&lt;100,25,Calcs!L331&lt;250,50,Calcs!L331&lt;1000,250,Calcs!L331&gt;=1000,1000))))</f>
        <v>5000</v>
      </c>
      <c r="F331">
        <f>ROUNDUP('Ammo Input'!G331^(3/4),0)</f>
        <v>100</v>
      </c>
      <c r="G331">
        <f>ROUND((0.5*((IF(OR(B331="HEAT",B331="HEDP"),'Ammo Input'!N331,'Ammo Input'!H331)/1000)*(IF(B331="HEAT",9000,IF(B331="HEDP",1500,'Ammo Input'!G331))^2))),0)</f>
        <v>2433</v>
      </c>
      <c r="H331" s="25" t="str">
        <f>CONCATENATE(IF((B331="Foam")+(B331="Smoke"),"-",ROUND(Calcs!D331,0))," ",VLOOKUP(B331,AmmoTypeFactors,5,FALSE))</f>
        <v>25 Bullet</v>
      </c>
      <c r="I331" s="25" t="str">
        <f>IF(Calcs!E331=0,"None",CONCATENATE(ROUND(Calcs!E331,0)," ",VLOOKUP(B331,AmmoTypeFactors,6,FALSE)))</f>
        <v>None</v>
      </c>
      <c r="J331">
        <f>MROUND(2.42*'Ammo Input'!M331^(1/3)*VLOOKUP(B331,AmmoTypeFactors,3,FALSE),0.5)</f>
        <v>0</v>
      </c>
      <c r="K331" s="25" t="str">
        <f>IF(VLOOKUP(B331,AmmoTypeFactors,12,FALSE),MROUND(J331/3,0.5),"None")</f>
        <v>None</v>
      </c>
      <c r="L331" s="25">
        <f>IF(VLOOKUP(B331,AmmoTypeFactors,8,FALSE),"None",ROUNDUP(IF(Calcs!I331&gt;0,Calcs!I331,Calcs!H331),3))</f>
        <v>48.66</v>
      </c>
      <c r="M331" s="25">
        <f>IF(VLOOKUP(B331,AmmoTypeFactors,8,FALSE),"None",'Ammo Input'!L331)</f>
        <v>4</v>
      </c>
      <c r="N331">
        <f>'Ammo Input'!O331</f>
        <v>500</v>
      </c>
      <c r="O331" t="e">
        <f>ROUND((P331*0.0036+SUMPRODUCT(Q331:AB331,VLOOKUP($Q$1:$AB$1,IngredientStats,2,FALSE)))/N331*IF('Ammo Input'!R331,0.5,1),2)</f>
        <v>#VALUE!</v>
      </c>
      <c r="P331" t="e">
        <f>(SUMPRODUCT(Q331:AB331,VLOOKUP($Q$1:$AB$1,IngredientStats,4,FALSE))*VLOOKUP(B331,AmmoTypeFactors,14,FALSE)*IF('Ammo Input'!R331,1.1,1))</f>
        <v>#VALUE!</v>
      </c>
      <c r="Q331">
        <f>IFERROR(__xludf.DUMMYFUNCTION("((IF(NOT(OR(REGEXMATCH(B327, ""Arrow""), B327 = ""Javelin"", B327 = ""Stick bomb"")), ROUNDUP(('Ammo Input'!E327 / 1000) * N327)) + IF(VLOOKUP(B327, AmmoTypeFactors, 9, FALSE) = ""Steel"", ROUNDUP(('Ammo Input'!H327 -'Ammo Input'!M327) * MAX(IF('Ammo Inpu"&amp;"t'!J327 &gt; 0, 'Ammo Input'!J327, 1), 1) * N327 / 1000))) / 'Ingredient stats'!$C$2) * IF(ISBLANK(VLOOKUP(B327,AmmoTypeFactors,15,False)),1,VLOOKUP(B327,AmmoTypeFactors,15,False))"),34)</f>
        <v>34</v>
      </c>
      <c r="R331">
        <f>IFERROR(__xludf.DUMMYFUNCTION("ROUNDUP((IF(REGEXMATCH(B327, ""Arrow"") + (B327 = ""Javelin""), 'Ammo Input'!E327) + IF(VLOOKUP(B327, AmmoTypeFactors, 9, FALSE) = ""Wood"", 'Ammo Input'!H327) + IF(B327 = ""Stick bomb"", 'Ammo Input'!E327)) * N327 / 'Ingredient stats'!$C$12 / 1000)"),0)</f>
        <v>0</v>
      </c>
      <c r="S331">
        <v>0</v>
      </c>
      <c r="T331">
        <v>0</v>
      </c>
      <c r="U331">
        <f>IF(VLOOKUP(B331,AmmoTypeFactors,9,FALSE)="Plasteel",ROUNDUP(('Ammo Input'!H331*MAX(IF('Ammo Input'!J331&gt;0,'Ammo Input'!J331,1)*N331/1000/'Ingredient stats'!$C$4)),0),0)</f>
        <v>0</v>
      </c>
      <c r="V331">
        <f>IFERROR(__xludf.DUMMYFUNCTION("ROUNDUP(IF(ISBLANK(VLOOKUP(B327,AmmoTypeFactors,16,False)),1,VLOOKUP(B327,AmmoTypeFactors,16,False)) * (IFS(REGEXMATCH(B327, ""EMP""), 'Ammo Input'!M327 * N327 / 'Ingredient stats'!$C$5, REGEXMATCH(B327, ""Charge""), (U327^0.75), true, 0) + (IF(VLOOKUP(B3"&amp;"27, AmmoTypeFactors, 10, false), 2,0) + IF('Ammo Input'!P327, 2,0) + IF('Ammo Input'!Q327,MIN(ROUNDUP(0.2*('Ammo Input'!H327/1000)*'Ammo Input'!O327,0),20),0))))"),0)</f>
        <v>0</v>
      </c>
      <c r="W331">
        <v>0</v>
      </c>
      <c r="X331">
        <v>0</v>
      </c>
      <c r="Y331">
        <v>0</v>
      </c>
      <c r="Z331">
        <v>0</v>
      </c>
      <c r="AA331">
        <v>0</v>
      </c>
      <c r="AB331" s="30">
        <f>IF(B331="Sling Bullet (Stone)",ROUNDUP(D331*0.02*E331/'Ingredient stats'!$C$8,0),0)</f>
        <v>0</v>
      </c>
      <c r="AC331" t="str">
        <f t="shared" si="16"/>
        <v>None</v>
      </c>
      <c r="AD331" t="str">
        <f>IF(OR(B331="Buck",B331="Bird",B331="Charge (Scatter)"),'Ammo Input'!J331,"None")</f>
        <v>None</v>
      </c>
      <c r="AE331" t="str">
        <f>_xlfn.IFS(ISTEXT(Calcs!N331),Calcs!N331,Calcs!N331&lt;=40,Calcs!N331,Calcs!N331&gt;41,"40")</f>
        <v>None</v>
      </c>
      <c r="AF331" t="str">
        <f>_xlfn.IFS(ISTEXT(Calcs!O331),Calcs!O331,Calcs!O331&lt;=80,Calcs!O331,Calcs!O331&gt;=81,"80")</f>
        <v>None</v>
      </c>
      <c r="AG331" s="25">
        <f t="shared" si="17"/>
        <v>1</v>
      </c>
      <c r="AH331" s="25">
        <f t="shared" si="18"/>
        <v>1.65</v>
      </c>
      <c r="AI331" s="25">
        <f t="shared" si="19"/>
        <v>1</v>
      </c>
    </row>
    <row r="332" ht="14.4" spans="1:35">
      <c r="A332" s="24" t="str">
        <f>'Ammo Input'!A332</f>
        <v>8×22mm Nambu</v>
      </c>
      <c r="B332" t="str">
        <f>'Ammo Input'!B332</f>
        <v>FMJ</v>
      </c>
      <c r="C332">
        <f>ROUNDUP(('Ammo Input'!C332*(MAX('Ammo Input'!D332,'Ammo Input'!F332)*0.5)^2*PI())*3/1000000,2)</f>
        <v>0.01</v>
      </c>
      <c r="D332">
        <f>ROUNDUP(('Ammo Input'!E332+'Ammo Input'!H332*IF('Ammo Input'!J332&lt;&gt;"",MAX('Ammo Input'!J332,1),1))/1000,3)</f>
        <v>0.013</v>
      </c>
      <c r="E332">
        <f>MIN(5000,MAX(25,CEILING(Calcs!L332,_xlfn.IFS(Calcs!L332&lt;100,25,Calcs!L332&lt;250,50,Calcs!L332&lt;1000,250,Calcs!L332&gt;=1000,1000))))</f>
        <v>5000</v>
      </c>
      <c r="F332">
        <f>ROUNDUP('Ammo Input'!G332^(3/4),0)</f>
        <v>71</v>
      </c>
      <c r="G332">
        <f>ROUND((0.5*((IF(OR(B332="HEAT",B332="HEDP"),'Ammo Input'!N332,'Ammo Input'!H332)/1000)*(IF(B332="HEAT",9000,IF(B332="HEDP",1500,'Ammo Input'!G332))^2))),0)</f>
        <v>294</v>
      </c>
      <c r="H332" s="25" t="str">
        <f>CONCATENATE(IF((B332="Foam")+(B332="Smoke"),"-",ROUND(Calcs!D332,0))," ",VLOOKUP(B332,AmmoTypeFactors,5,FALSE))</f>
        <v>9 Bullet</v>
      </c>
      <c r="I332" s="25" t="str">
        <f>IF(Calcs!E332=0,"None",CONCATENATE(ROUND(Calcs!E332,0)," ",VLOOKUP(B332,AmmoTypeFactors,6,FALSE)))</f>
        <v>None</v>
      </c>
      <c r="J332">
        <f>MROUND(2.42*'Ammo Input'!M332^(1/3)*VLOOKUP(B332,AmmoTypeFactors,3,FALSE),0.5)</f>
        <v>0</v>
      </c>
      <c r="K332" s="25" t="str">
        <f>IF(VLOOKUP(B332,AmmoTypeFactors,12,FALSE),MROUND(J332/3,0.5),"None")</f>
        <v>None</v>
      </c>
      <c r="L332" s="25">
        <f>IF(VLOOKUP(B332,AmmoTypeFactors,8,FALSE),"None",ROUNDUP(IF(Calcs!I332&gt;0,Calcs!I332,Calcs!H332),3))</f>
        <v>5.88</v>
      </c>
      <c r="M332" s="25">
        <f>IF(VLOOKUP(B332,AmmoTypeFactors,8,FALSE),"None",'Ammo Input'!L332)</f>
        <v>3</v>
      </c>
      <c r="N332">
        <f>'Ammo Input'!O332</f>
        <v>500</v>
      </c>
      <c r="O332" t="e">
        <f>ROUND((P332*0.0036+SUMPRODUCT(Q332:AB332,VLOOKUP($Q$1:$AB$1,IngredientStats,2,FALSE)))/N332*IF('Ammo Input'!R332,0.5,1),2)</f>
        <v>#VALUE!</v>
      </c>
      <c r="P332" t="e">
        <f>(SUMPRODUCT(Q332:AB332,VLOOKUP($Q$1:$AB$1,IngredientStats,4,FALSE))*VLOOKUP(B332,AmmoTypeFactors,14,FALSE)*IF('Ammo Input'!R332,1.1,1))</f>
        <v>#VALUE!</v>
      </c>
      <c r="Q332">
        <f>IFERROR(__xludf.DUMMYFUNCTION("((IF(NOT(OR(REGEXMATCH(B328, ""Arrow""), B328 = ""Javelin"", B328 = ""Stick bomb"")), ROUNDUP(('Ammo Input'!E328 / 1000) * N328)) + IF(VLOOKUP(B328, AmmoTypeFactors, 9, FALSE) = ""Steel"", ROUNDUP(('Ammo Input'!H328 -'Ammo Input'!M328) * MAX(IF('Ammo Inpu"&amp;"t'!J328 &gt; 0, 'Ammo Input'!J328, 1), 1) * N328 / 1000))) / 'Ingredient stats'!$C$2) * IF(ISBLANK(VLOOKUP(B328,AmmoTypeFactors,15,False)),1,VLOOKUP(B328,AmmoTypeFactors,15,False))"),14)</f>
        <v>14</v>
      </c>
      <c r="R332">
        <f>IFERROR(__xludf.DUMMYFUNCTION("ROUNDUP((IF(REGEXMATCH(B328, ""Arrow"") + (B328 = ""Javelin""), 'Ammo Input'!E328) + IF(VLOOKUP(B328, AmmoTypeFactors, 9, FALSE) = ""Wood"", 'Ammo Input'!H328) + IF(B328 = ""Stick bomb"", 'Ammo Input'!E328)) * N328 / 'Ingredient stats'!$C$12 / 1000)"),0)</f>
        <v>0</v>
      </c>
      <c r="S332">
        <v>0</v>
      </c>
      <c r="T332">
        <v>0</v>
      </c>
      <c r="U332">
        <f>IF(VLOOKUP(B332,AmmoTypeFactors,9,FALSE)="Plasteel",ROUNDUP(('Ammo Input'!H332*MAX(IF('Ammo Input'!J332&gt;0,'Ammo Input'!J332,1)*N332/1000/'Ingredient stats'!$C$4)),0),0)</f>
        <v>0</v>
      </c>
      <c r="V332">
        <f>IFERROR(__xludf.DUMMYFUNCTION("ROUNDUP(IF(ISBLANK(VLOOKUP(B328,AmmoTypeFactors,16,False)),1,VLOOKUP(B328,AmmoTypeFactors,16,False)) * (IFS(REGEXMATCH(B328, ""EMP""), 'Ammo Input'!M328 * N328 / 'Ingredient stats'!$C$5, REGEXMATCH(B328, ""Charge""), (U328^0.75), true, 0) + (IF(VLOOKUP(B3"&amp;"28, AmmoTypeFactors, 10, false), 2,0) + IF('Ammo Input'!P328, 2,0) + IF('Ammo Input'!Q328,MIN(ROUNDUP(0.2*('Ammo Input'!H328/1000)*'Ammo Input'!O328,0),20),0))))"),0)</f>
        <v>0</v>
      </c>
      <c r="W332">
        <v>0</v>
      </c>
      <c r="X332">
        <v>0</v>
      </c>
      <c r="Y332">
        <v>0</v>
      </c>
      <c r="Z332">
        <v>0</v>
      </c>
      <c r="AA332">
        <v>0</v>
      </c>
      <c r="AB332" s="30">
        <f>IF(B332="Sling Bullet (Stone)",ROUNDUP(D332*0.02*E332/'Ingredient stats'!$C$8,0),0)</f>
        <v>0</v>
      </c>
      <c r="AC332" t="str">
        <f t="shared" si="16"/>
        <v>None</v>
      </c>
      <c r="AD332" t="str">
        <f>IF(OR(B332="Buck",B332="Bird",B332="Charge (Scatter)"),'Ammo Input'!J332,"None")</f>
        <v>None</v>
      </c>
      <c r="AE332" t="str">
        <f>_xlfn.IFS(ISTEXT(Calcs!N332),Calcs!N332,Calcs!N332&lt;=40,Calcs!N332,Calcs!N332&gt;41,"40")</f>
        <v>None</v>
      </c>
      <c r="AF332" t="str">
        <f>_xlfn.IFS(ISTEXT(Calcs!O332),Calcs!O332,Calcs!O332&lt;=80,Calcs!O332,Calcs!O332&gt;=81,"80")</f>
        <v>None</v>
      </c>
      <c r="AG332" s="25">
        <f t="shared" si="17"/>
        <v>1</v>
      </c>
      <c r="AH332" s="25">
        <f t="shared" si="18"/>
        <v>1.17</v>
      </c>
      <c r="AI332" s="25">
        <f t="shared" si="19"/>
        <v>1</v>
      </c>
    </row>
    <row r="333" ht="14.4" spans="1:35">
      <c r="A333" s="24" t="str">
        <f>'Ammo Input'!A333</f>
        <v>8×22mm Nambu</v>
      </c>
      <c r="B333" t="str">
        <f>'Ammo Input'!B333</f>
        <v>AP</v>
      </c>
      <c r="C333">
        <f>ROUNDUP(('Ammo Input'!C333*(MAX('Ammo Input'!D333,'Ammo Input'!F333)*0.5)^2*PI())*3/1000000,2)</f>
        <v>0.01</v>
      </c>
      <c r="D333">
        <f>ROUNDUP(('Ammo Input'!E333+'Ammo Input'!H333*IF('Ammo Input'!J333&lt;&gt;"",MAX('Ammo Input'!J333,1),1))/1000,3)</f>
        <v>0.013</v>
      </c>
      <c r="E333">
        <f>MIN(5000,MAX(25,CEILING(Calcs!L333,_xlfn.IFS(Calcs!L333&lt;100,25,Calcs!L333&lt;250,50,Calcs!L333&lt;1000,250,Calcs!L333&gt;=1000,1000))))</f>
        <v>5000</v>
      </c>
      <c r="F333">
        <f>ROUNDUP('Ammo Input'!G333^(3/4),0)</f>
        <v>71</v>
      </c>
      <c r="G333">
        <f>ROUND((0.5*((IF(OR(B333="HEAT",B333="HEDP"),'Ammo Input'!N333,'Ammo Input'!H333)/1000)*(IF(B333="HEAT",9000,IF(B333="HEDP",1500,'Ammo Input'!G333))^2))),0)</f>
        <v>294</v>
      </c>
      <c r="H333" s="25" t="str">
        <f>CONCATENATE(IF((B333="Foam")+(B333="Smoke"),"-",ROUND(Calcs!D333,0))," ",VLOOKUP(B333,AmmoTypeFactors,5,FALSE))</f>
        <v>5 Bullet</v>
      </c>
      <c r="I333" s="25" t="str">
        <f>IF(Calcs!E333=0,"None",CONCATENATE(ROUND(Calcs!E333,0)," ",VLOOKUP(B333,AmmoTypeFactors,6,FALSE)))</f>
        <v>None</v>
      </c>
      <c r="J333">
        <f>MROUND(2.42*'Ammo Input'!M333^(1/3)*VLOOKUP(B333,AmmoTypeFactors,3,FALSE),0.5)</f>
        <v>0</v>
      </c>
      <c r="K333" s="25" t="str">
        <f>IF(VLOOKUP(B333,AmmoTypeFactors,12,FALSE),MROUND(J333/3,0.5),"None")</f>
        <v>None</v>
      </c>
      <c r="L333" s="25">
        <f>IF(VLOOKUP(B333,AmmoTypeFactors,8,FALSE),"None",ROUNDUP(IF(Calcs!I333&gt;0,Calcs!I333,Calcs!H333),3))</f>
        <v>5.88</v>
      </c>
      <c r="M333" s="25">
        <f>IF(VLOOKUP(B333,AmmoTypeFactors,8,FALSE),"None",'Ammo Input'!L333)</f>
        <v>6</v>
      </c>
      <c r="N333">
        <f>'Ammo Input'!O333</f>
        <v>500</v>
      </c>
      <c r="O333" t="e">
        <f>ROUND((P333*0.0036+SUMPRODUCT(Q333:AB333,VLOOKUP($Q$1:$AB$1,IngredientStats,2,FALSE)))/N333*IF('Ammo Input'!R333,0.5,1),2)</f>
        <v>#VALUE!</v>
      </c>
      <c r="P333" t="e">
        <f>(SUMPRODUCT(Q333:AB333,VLOOKUP($Q$1:$AB$1,IngredientStats,4,FALSE))*VLOOKUP(B333,AmmoTypeFactors,14,FALSE)*IF('Ammo Input'!R333,1.1,1))</f>
        <v>#VALUE!</v>
      </c>
      <c r="Q333">
        <f>IFERROR(__xludf.DUMMYFUNCTION("((IF(NOT(OR(REGEXMATCH(B329, ""Arrow""), B329 = ""Javelin"", B329 = ""Stick bomb"")), ROUNDUP(('Ammo Input'!E329 / 1000) * N329)) + IF(VLOOKUP(B329, AmmoTypeFactors, 9, FALSE) = ""Steel"", ROUNDUP(('Ammo Input'!H329 -'Ammo Input'!M329) * MAX(IF('Ammo Inpu"&amp;"t'!J329 &gt; 0, 'Ammo Input'!J329, 1), 1) * N329 / 1000))) / 'Ingredient stats'!$C$2) * IF(ISBLANK(VLOOKUP(B329,AmmoTypeFactors,15,False)),1,VLOOKUP(B329,AmmoTypeFactors,15,False))"),14)</f>
        <v>14</v>
      </c>
      <c r="R333">
        <f>IFERROR(__xludf.DUMMYFUNCTION("ROUNDUP((IF(REGEXMATCH(B329, ""Arrow"") + (B329 = ""Javelin""), 'Ammo Input'!E329) + IF(VLOOKUP(B329, AmmoTypeFactors, 9, FALSE) = ""Wood"", 'Ammo Input'!H329) + IF(B329 = ""Stick bomb"", 'Ammo Input'!E329)) * N329 / 'Ingredient stats'!$C$12 / 1000)"),0)</f>
        <v>0</v>
      </c>
      <c r="S333">
        <v>0</v>
      </c>
      <c r="T333">
        <v>0</v>
      </c>
      <c r="U333">
        <f>IF(VLOOKUP(B333,AmmoTypeFactors,9,FALSE)="Plasteel",ROUNDUP(('Ammo Input'!H333*MAX(IF('Ammo Input'!J333&gt;0,'Ammo Input'!J333,1)*N333/1000/'Ingredient stats'!$C$4)),0),0)</f>
        <v>0</v>
      </c>
      <c r="V333">
        <f>IFERROR(__xludf.DUMMYFUNCTION("ROUNDUP(IF(ISBLANK(VLOOKUP(B329,AmmoTypeFactors,16,False)),1,VLOOKUP(B329,AmmoTypeFactors,16,False)) * (IFS(REGEXMATCH(B329, ""EMP""), 'Ammo Input'!M329 * N329 / 'Ingredient stats'!$C$5, REGEXMATCH(B329, ""Charge""), (U329^0.75), true, 0) + (IF(VLOOKUP(B3"&amp;"29, AmmoTypeFactors, 10, false), 2,0) + IF('Ammo Input'!P329, 2,0) + IF('Ammo Input'!Q329,MIN(ROUNDUP(0.2*('Ammo Input'!H329/1000)*'Ammo Input'!O329,0),20),0))))"),0)</f>
        <v>0</v>
      </c>
      <c r="W333">
        <v>0</v>
      </c>
      <c r="X333">
        <v>0</v>
      </c>
      <c r="Y333">
        <v>0</v>
      </c>
      <c r="Z333">
        <v>0</v>
      </c>
      <c r="AA333">
        <v>0</v>
      </c>
      <c r="AB333" s="30">
        <f>IF(B333="Sling Bullet (Stone)",ROUNDUP(D333*0.02*E333/'Ingredient stats'!$C$8,0),0)</f>
        <v>0</v>
      </c>
      <c r="AC333" t="str">
        <f t="shared" si="16"/>
        <v>None</v>
      </c>
      <c r="AD333" t="str">
        <f>IF(OR(B333="Buck",B333="Bird",B333="Charge (Scatter)"),'Ammo Input'!J333,"None")</f>
        <v>None</v>
      </c>
      <c r="AE333" t="str">
        <f>_xlfn.IFS(ISTEXT(Calcs!N333),Calcs!N333,Calcs!N333&lt;=40,Calcs!N333,Calcs!N333&gt;41,"40")</f>
        <v>None</v>
      </c>
      <c r="AF333" t="str">
        <f>_xlfn.IFS(ISTEXT(Calcs!O333),Calcs!O333,Calcs!O333&lt;=80,Calcs!O333,Calcs!O333&gt;=81,"80")</f>
        <v>None</v>
      </c>
      <c r="AG333" s="25">
        <f t="shared" si="17"/>
        <v>1</v>
      </c>
      <c r="AH333" s="25">
        <f t="shared" si="18"/>
        <v>1.17</v>
      </c>
      <c r="AI333" s="25">
        <f t="shared" si="19"/>
        <v>1</v>
      </c>
    </row>
    <row r="334" ht="14.4" spans="1:35">
      <c r="A334" s="24" t="str">
        <f>'Ammo Input'!A334</f>
        <v>8×22mm Nambu</v>
      </c>
      <c r="B334" t="str">
        <f>'Ammo Input'!B334</f>
        <v>HP</v>
      </c>
      <c r="C334">
        <f>ROUNDUP(('Ammo Input'!C334*(MAX('Ammo Input'!D334,'Ammo Input'!F334)*0.5)^2*PI())*3/1000000,2)</f>
        <v>0.01</v>
      </c>
      <c r="D334">
        <f>ROUNDUP(('Ammo Input'!E334+'Ammo Input'!H334*IF('Ammo Input'!J334&lt;&gt;"",MAX('Ammo Input'!J334,1),1))/1000,3)</f>
        <v>0.013</v>
      </c>
      <c r="E334">
        <f>MIN(5000,MAX(25,CEILING(Calcs!L334,_xlfn.IFS(Calcs!L334&lt;100,25,Calcs!L334&lt;250,50,Calcs!L334&lt;1000,250,Calcs!L334&gt;=1000,1000))))</f>
        <v>5000</v>
      </c>
      <c r="F334">
        <f>ROUNDUP('Ammo Input'!G334^(3/4),0)</f>
        <v>71</v>
      </c>
      <c r="G334">
        <f>ROUND((0.5*((IF(OR(B334="HEAT",B334="HEDP"),'Ammo Input'!N334,'Ammo Input'!H334)/1000)*(IF(B334="HEAT",9000,IF(B334="HEDP",1500,'Ammo Input'!G334))^2))),0)</f>
        <v>294</v>
      </c>
      <c r="H334" s="25" t="str">
        <f>CONCATENATE(IF((B334="Foam")+(B334="Smoke"),"-",ROUND(Calcs!D334,0))," ",VLOOKUP(B334,AmmoTypeFactors,5,FALSE))</f>
        <v>11 Bullet</v>
      </c>
      <c r="I334" s="25" t="str">
        <f>IF(Calcs!E334=0,"None",CONCATENATE(ROUND(Calcs!E334,0)," ",VLOOKUP(B334,AmmoTypeFactors,6,FALSE)))</f>
        <v>None</v>
      </c>
      <c r="J334">
        <f>MROUND(2.42*'Ammo Input'!M334^(1/3)*VLOOKUP(B334,AmmoTypeFactors,3,FALSE),0.5)</f>
        <v>0</v>
      </c>
      <c r="K334" s="25" t="str">
        <f>IF(VLOOKUP(B334,AmmoTypeFactors,12,FALSE),MROUND(J334/3,0.5),"None")</f>
        <v>None</v>
      </c>
      <c r="L334" s="25">
        <f>IF(VLOOKUP(B334,AmmoTypeFactors,8,FALSE),"None",ROUNDUP(IF(Calcs!I334&gt;0,Calcs!I334,Calcs!H334),3))</f>
        <v>5.88</v>
      </c>
      <c r="M334" s="25">
        <f>IF(VLOOKUP(B334,AmmoTypeFactors,8,FALSE),"None",'Ammo Input'!L334)</f>
        <v>2</v>
      </c>
      <c r="N334">
        <f>'Ammo Input'!O334</f>
        <v>500</v>
      </c>
      <c r="O334" t="e">
        <f>ROUND((P334*0.0036+SUMPRODUCT(Q334:AB334,VLOOKUP($Q$1:$AB$1,IngredientStats,2,FALSE)))/N334*IF('Ammo Input'!R334,0.5,1),2)</f>
        <v>#VALUE!</v>
      </c>
      <c r="P334" t="e">
        <f>(SUMPRODUCT(Q334:AB334,VLOOKUP($Q$1:$AB$1,IngredientStats,4,FALSE))*VLOOKUP(B334,AmmoTypeFactors,14,FALSE)*IF('Ammo Input'!R334,1.1,1))</f>
        <v>#VALUE!</v>
      </c>
      <c r="Q334">
        <f>IFERROR(__xludf.DUMMYFUNCTION("((IF(NOT(OR(REGEXMATCH(B330, ""Arrow""), B330 = ""Javelin"", B330 = ""Stick bomb"")), ROUNDUP(('Ammo Input'!E330 / 1000) * N330)) + IF(VLOOKUP(B330, AmmoTypeFactors, 9, FALSE) = ""Steel"", ROUNDUP(('Ammo Input'!H330 -'Ammo Input'!M330) * MAX(IF('Ammo Inpu"&amp;"t'!J330 &gt; 0, 'Ammo Input'!J330, 1), 1) * N330 / 1000))) / 'Ingredient stats'!$C$2) * IF(ISBLANK(VLOOKUP(B330,AmmoTypeFactors,15,False)),1,VLOOKUP(B330,AmmoTypeFactors,15,False))"),14)</f>
        <v>14</v>
      </c>
      <c r="R334">
        <f>IFERROR(__xludf.DUMMYFUNCTION("ROUNDUP((IF(REGEXMATCH(B330, ""Arrow"") + (B330 = ""Javelin""), 'Ammo Input'!E330) + IF(VLOOKUP(B330, AmmoTypeFactors, 9, FALSE) = ""Wood"", 'Ammo Input'!H330) + IF(B330 = ""Stick bomb"", 'Ammo Input'!E330)) * N330 / 'Ingredient stats'!$C$12 / 1000)"),0)</f>
        <v>0</v>
      </c>
      <c r="S334">
        <v>0</v>
      </c>
      <c r="T334">
        <v>0</v>
      </c>
      <c r="U334">
        <f>IF(VLOOKUP(B334,AmmoTypeFactors,9,FALSE)="Plasteel",ROUNDUP(('Ammo Input'!H334*MAX(IF('Ammo Input'!J334&gt;0,'Ammo Input'!J334,1)*N334/1000/'Ingredient stats'!$C$4)),0),0)</f>
        <v>0</v>
      </c>
      <c r="V334">
        <f>IFERROR(__xludf.DUMMYFUNCTION("ROUNDUP(IF(ISBLANK(VLOOKUP(B330,AmmoTypeFactors,16,False)),1,VLOOKUP(B330,AmmoTypeFactors,16,False)) * (IFS(REGEXMATCH(B330, ""EMP""), 'Ammo Input'!M330 * N330 / 'Ingredient stats'!$C$5, REGEXMATCH(B330, ""Charge""), (U330^0.75), true, 0) + (IF(VLOOKUP(B3"&amp;"30, AmmoTypeFactors, 10, false), 2,0) + IF('Ammo Input'!P330, 2,0) + IF('Ammo Input'!Q330,MIN(ROUNDUP(0.2*('Ammo Input'!H330/1000)*'Ammo Input'!O330,0),20),0))))"),0)</f>
        <v>0</v>
      </c>
      <c r="W334">
        <v>0</v>
      </c>
      <c r="X334">
        <v>0</v>
      </c>
      <c r="Y334">
        <v>0</v>
      </c>
      <c r="Z334">
        <v>0</v>
      </c>
      <c r="AA334">
        <v>0</v>
      </c>
      <c r="AB334" s="30">
        <f>IF(B334="Sling Bullet (Stone)",ROUNDUP(D334*0.02*E334/'Ingredient stats'!$C$8,0),0)</f>
        <v>0</v>
      </c>
      <c r="AC334" t="str">
        <f t="shared" si="16"/>
        <v>None</v>
      </c>
      <c r="AD334" t="str">
        <f>IF(OR(B334="Buck",B334="Bird",B334="Charge (Scatter)"),'Ammo Input'!J334,"None")</f>
        <v>None</v>
      </c>
      <c r="AE334" t="str">
        <f>_xlfn.IFS(ISTEXT(Calcs!N334),Calcs!N334,Calcs!N334&lt;=40,Calcs!N334,Calcs!N334&gt;41,"40")</f>
        <v>None</v>
      </c>
      <c r="AF334" t="str">
        <f>_xlfn.IFS(ISTEXT(Calcs!O334),Calcs!O334,Calcs!O334&lt;=80,Calcs!O334,Calcs!O334&gt;=81,"80")</f>
        <v>None</v>
      </c>
      <c r="AG334" s="25">
        <f t="shared" si="17"/>
        <v>1</v>
      </c>
      <c r="AH334" s="25">
        <f t="shared" si="18"/>
        <v>1.17</v>
      </c>
      <c r="AI334" s="25">
        <f t="shared" si="19"/>
        <v>1</v>
      </c>
    </row>
    <row r="335" ht="14.4" spans="1:35">
      <c r="A335" s="24" t="str">
        <f>'Ammo Input'!A335</f>
        <v>5.8x21mm DAP9</v>
      </c>
      <c r="B335" t="str">
        <f>'Ammo Input'!B335</f>
        <v>FMJ</v>
      </c>
      <c r="C335">
        <f>ROUNDUP(('Ammo Input'!C335*(MAX('Ammo Input'!D335,'Ammo Input'!F335)*0.5)^2*PI())*3/1000000,2)</f>
        <v>0.01</v>
      </c>
      <c r="D335">
        <f>ROUNDUP(('Ammo Input'!E335+'Ammo Input'!H335*IF('Ammo Input'!J335&lt;&gt;"",MAX('Ammo Input'!J335,1),1))/1000,3)</f>
        <v>0.011</v>
      </c>
      <c r="E335">
        <f>MIN(5000,MAX(25,CEILING(Calcs!L335,_xlfn.IFS(Calcs!L335&lt;100,25,Calcs!L335&lt;250,50,Calcs!L335&lt;1000,250,Calcs!L335&gt;=1000,1000))))</f>
        <v>5000</v>
      </c>
      <c r="F335">
        <f>ROUNDUP('Ammo Input'!G335^(3/4),0)</f>
        <v>111</v>
      </c>
      <c r="G335">
        <f>ROUND((0.5*((IF(OR(B335="HEAT",B335="HEDP"),'Ammo Input'!N335,'Ammo Input'!H335)/1000)*(IF(B335="HEAT",9000,IF(B335="HEDP",1500,'Ammo Input'!G335))^2))),0)</f>
        <v>843</v>
      </c>
      <c r="H335" s="25" t="str">
        <f>CONCATENATE(IF((B335="Foam")+(B335="Smoke"),"-",ROUND(Calcs!D335,0))," ",VLOOKUP(B335,AmmoTypeFactors,5,FALSE))</f>
        <v>11 Bullet</v>
      </c>
      <c r="I335" s="25" t="str">
        <f>IF(Calcs!E335=0,"None",CONCATENATE(ROUND(Calcs!E335,0)," ",VLOOKUP(B335,AmmoTypeFactors,6,FALSE)))</f>
        <v>None</v>
      </c>
      <c r="J335">
        <f>MROUND(2.42*'Ammo Input'!M335^(1/3)*VLOOKUP(B335,AmmoTypeFactors,3,FALSE),0.5)</f>
        <v>0</v>
      </c>
      <c r="K335" s="25" t="str">
        <f>IF(VLOOKUP(B335,AmmoTypeFactors,12,FALSE),MROUND(J335/3,0.5),"None")</f>
        <v>None</v>
      </c>
      <c r="L335" s="25">
        <f>IF(VLOOKUP(B335,AmmoTypeFactors,8,FALSE),"None",ROUNDUP(IF(Calcs!I335&gt;0,Calcs!I335,Calcs!H335),3))</f>
        <v>16.86</v>
      </c>
      <c r="M335" s="25">
        <f>IF(VLOOKUP(B335,AmmoTypeFactors,8,FALSE),"None",'Ammo Input'!L335)</f>
        <v>3</v>
      </c>
      <c r="N335">
        <f>'Ammo Input'!O335</f>
        <v>500</v>
      </c>
      <c r="O335" t="e">
        <f>ROUND((P335*0.0036+SUMPRODUCT(Q335:AB335,VLOOKUP($Q$1:$AB$1,IngredientStats,2,FALSE)))/N335*IF('Ammo Input'!R335,0.5,1),2)</f>
        <v>#VALUE!</v>
      </c>
      <c r="P335" t="e">
        <f>(SUMPRODUCT(Q335:AB335,VLOOKUP($Q$1:$AB$1,IngredientStats,4,FALSE))*VLOOKUP(B335,AmmoTypeFactors,14,FALSE)*IF('Ammo Input'!R335,1.1,1))</f>
        <v>#VALUE!</v>
      </c>
      <c r="Q335">
        <f>IFERROR(__xludf.DUMMYFUNCTION("((IF(NOT(OR(REGEXMATCH(B331, ""Arrow""), B331 = ""Javelin"", B331 = ""Stick bomb"")), ROUNDUP(('Ammo Input'!E331 / 1000) * N331)) + IF(VLOOKUP(B331, AmmoTypeFactors, 9, FALSE) = ""Steel"", ROUNDUP(('Ammo Input'!H331 -'Ammo Input'!M331) * MAX(IF('Ammo Inpu"&amp;"t'!J331 &gt; 0, 'Ammo Input'!J331, 1), 1) * N331 / 1000))) / 'Ingredient stats'!$C$2) * IF(ISBLANK(VLOOKUP(B331,AmmoTypeFactors,15,False)),1,VLOOKUP(B331,AmmoTypeFactors,15,False))"),12)</f>
        <v>12</v>
      </c>
      <c r="R335">
        <f>IFERROR(__xludf.DUMMYFUNCTION("ROUNDUP((IF(REGEXMATCH(B331, ""Arrow"") + (B331 = ""Javelin""), 'Ammo Input'!E331) + IF(VLOOKUP(B331, AmmoTypeFactors, 9, FALSE) = ""Wood"", 'Ammo Input'!H331) + IF(B331 = ""Stick bomb"", 'Ammo Input'!E331)) * N331 / 'Ingredient stats'!$C$12 / 1000)"),0)</f>
        <v>0</v>
      </c>
      <c r="S335">
        <v>0</v>
      </c>
      <c r="T335">
        <v>0</v>
      </c>
      <c r="U335">
        <f>IF(VLOOKUP(B335,AmmoTypeFactors,9,FALSE)="Plasteel",ROUNDUP(('Ammo Input'!H335*MAX(IF('Ammo Input'!J335&gt;0,'Ammo Input'!J335,1)*N335/1000/'Ingredient stats'!$C$4)),0),0)</f>
        <v>0</v>
      </c>
      <c r="V335">
        <f>IFERROR(__xludf.DUMMYFUNCTION("ROUNDUP(IF(ISBLANK(VLOOKUP(B331,AmmoTypeFactors,16,False)),1,VLOOKUP(B331,AmmoTypeFactors,16,False)) * (IFS(REGEXMATCH(B331, ""EMP""), 'Ammo Input'!M331 * N331 / 'Ingredient stats'!$C$5, REGEXMATCH(B331, ""Charge""), (U331^0.75), true, 0) + (IF(VLOOKUP(B3"&amp;"31, AmmoTypeFactors, 10, false), 2,0) + IF('Ammo Input'!P331, 2,0) + IF('Ammo Input'!Q331,MIN(ROUNDUP(0.2*('Ammo Input'!H331/1000)*'Ammo Input'!O331,0),20),0))))"),0)</f>
        <v>0</v>
      </c>
      <c r="W335">
        <v>0</v>
      </c>
      <c r="X335">
        <v>0</v>
      </c>
      <c r="Y335">
        <v>0</v>
      </c>
      <c r="Z335">
        <v>0</v>
      </c>
      <c r="AA335">
        <v>0</v>
      </c>
      <c r="AB335" s="30">
        <f>IF(B335="Sling Bullet (Stone)",ROUNDUP(D335*0.02*E335/'Ingredient stats'!$C$8,0),0)</f>
        <v>0</v>
      </c>
      <c r="AC335" t="str">
        <f t="shared" si="16"/>
        <v>None</v>
      </c>
      <c r="AD335" t="str">
        <f>IF(OR(B335="Buck",B335="Bird",B335="Charge (Scatter)"),'Ammo Input'!J335,"None")</f>
        <v>None</v>
      </c>
      <c r="AE335" t="str">
        <f>_xlfn.IFS(ISTEXT(Calcs!N335),Calcs!N335,Calcs!N335&lt;=40,Calcs!N335,Calcs!N335&gt;41,"40")</f>
        <v>None</v>
      </c>
      <c r="AF335" t="str">
        <f>_xlfn.IFS(ISTEXT(Calcs!O335),Calcs!O335,Calcs!O335&lt;=80,Calcs!O335,Calcs!O335&gt;=81,"80")</f>
        <v>None</v>
      </c>
      <c r="AG335" s="25">
        <f t="shared" si="17"/>
        <v>1</v>
      </c>
      <c r="AH335" s="25">
        <f t="shared" si="18"/>
        <v>1.82</v>
      </c>
      <c r="AI335" s="25">
        <f t="shared" si="19"/>
        <v>1</v>
      </c>
    </row>
    <row r="336" ht="14.4" spans="1:35">
      <c r="A336" s="24" t="str">
        <f>'Ammo Input'!A336</f>
        <v>5.8x21mm DAP9</v>
      </c>
      <c r="B336" t="str">
        <f>'Ammo Input'!B336</f>
        <v>AP</v>
      </c>
      <c r="C336">
        <f>ROUNDUP(('Ammo Input'!C336*(MAX('Ammo Input'!D336,'Ammo Input'!F336)*0.5)^2*PI())*3/1000000,2)</f>
        <v>0.01</v>
      </c>
      <c r="D336">
        <f>ROUNDUP(('Ammo Input'!E336+'Ammo Input'!H336*IF('Ammo Input'!J336&lt;&gt;"",MAX('Ammo Input'!J336,1),1))/1000,3)</f>
        <v>0.011</v>
      </c>
      <c r="E336">
        <f>MIN(5000,MAX(25,CEILING(Calcs!L336,_xlfn.IFS(Calcs!L336&lt;100,25,Calcs!L336&lt;250,50,Calcs!L336&lt;1000,250,Calcs!L336&gt;=1000,1000))))</f>
        <v>5000</v>
      </c>
      <c r="F336">
        <f>ROUNDUP('Ammo Input'!G336^(3/4),0)</f>
        <v>111</v>
      </c>
      <c r="G336">
        <f>ROUND((0.5*((IF(OR(B336="HEAT",B336="HEDP"),'Ammo Input'!N336,'Ammo Input'!H336)/1000)*(IF(B336="HEAT",9000,IF(B336="HEDP",1500,'Ammo Input'!G336))^2))),0)</f>
        <v>843</v>
      </c>
      <c r="H336" s="25" t="str">
        <f>CONCATENATE(IF((B336="Foam")+(B336="Smoke"),"-",ROUND(Calcs!D336,0))," ",VLOOKUP(B336,AmmoTypeFactors,5,FALSE))</f>
        <v>7 Bullet</v>
      </c>
      <c r="I336" s="25" t="str">
        <f>IF(Calcs!E336=0,"None",CONCATENATE(ROUND(Calcs!E336,0)," ",VLOOKUP(B336,AmmoTypeFactors,6,FALSE)))</f>
        <v>None</v>
      </c>
      <c r="J336">
        <f>MROUND(2.42*'Ammo Input'!M336^(1/3)*VLOOKUP(B336,AmmoTypeFactors,3,FALSE),0.5)</f>
        <v>0</v>
      </c>
      <c r="K336" s="25" t="str">
        <f>IF(VLOOKUP(B336,AmmoTypeFactors,12,FALSE),MROUND(J336/3,0.5),"None")</f>
        <v>None</v>
      </c>
      <c r="L336" s="25">
        <f>IF(VLOOKUP(B336,AmmoTypeFactors,8,FALSE),"None",ROUNDUP(IF(Calcs!I336&gt;0,Calcs!I336,Calcs!H336),3))</f>
        <v>16.86</v>
      </c>
      <c r="M336" s="25">
        <f>IF(VLOOKUP(B336,AmmoTypeFactors,8,FALSE),"None",'Ammo Input'!L336)</f>
        <v>6</v>
      </c>
      <c r="N336">
        <f>'Ammo Input'!O336</f>
        <v>500</v>
      </c>
      <c r="O336" t="e">
        <f>ROUND((P336*0.0036+SUMPRODUCT(Q336:AB336,VLOOKUP($Q$1:$AB$1,IngredientStats,2,FALSE)))/N336*IF('Ammo Input'!R336,0.5,1),2)</f>
        <v>#VALUE!</v>
      </c>
      <c r="P336" t="e">
        <f>(SUMPRODUCT(Q336:AB336,VLOOKUP($Q$1:$AB$1,IngredientStats,4,FALSE))*VLOOKUP(B336,AmmoTypeFactors,14,FALSE)*IF('Ammo Input'!R336,1.1,1))</f>
        <v>#VALUE!</v>
      </c>
      <c r="Q336">
        <f>IFERROR(__xludf.DUMMYFUNCTION("((IF(NOT(OR(REGEXMATCH(B332, ""Arrow""), B332 = ""Javelin"", B332 = ""Stick bomb"")), ROUNDUP(('Ammo Input'!E332 / 1000) * N332)) + IF(VLOOKUP(B332, AmmoTypeFactors, 9, FALSE) = ""Steel"", ROUNDUP(('Ammo Input'!H332 -'Ammo Input'!M332) * MAX(IF('Ammo Inpu"&amp;"t'!J332 &gt; 0, 'Ammo Input'!J332, 1), 1) * N332 / 1000))) / 'Ingredient stats'!$C$2) * IF(ISBLANK(VLOOKUP(B332,AmmoTypeFactors,15,False)),1,VLOOKUP(B332,AmmoTypeFactors,15,False))"),12)</f>
        <v>12</v>
      </c>
      <c r="R336">
        <f>IFERROR(__xludf.DUMMYFUNCTION("ROUNDUP((IF(REGEXMATCH(B332, ""Arrow"") + (B332 = ""Javelin""), 'Ammo Input'!E332) + IF(VLOOKUP(B332, AmmoTypeFactors, 9, FALSE) = ""Wood"", 'Ammo Input'!H332) + IF(B332 = ""Stick bomb"", 'Ammo Input'!E332)) * N332 / 'Ingredient stats'!$C$12 / 1000)"),0)</f>
        <v>0</v>
      </c>
      <c r="S336">
        <v>0</v>
      </c>
      <c r="T336">
        <v>0</v>
      </c>
      <c r="U336">
        <f>IF(VLOOKUP(B336,AmmoTypeFactors,9,FALSE)="Plasteel",ROUNDUP(('Ammo Input'!H336*MAX(IF('Ammo Input'!J336&gt;0,'Ammo Input'!J336,1)*N336/1000/'Ingredient stats'!$C$4)),0),0)</f>
        <v>0</v>
      </c>
      <c r="V336">
        <f>IFERROR(__xludf.DUMMYFUNCTION("ROUNDUP(IF(ISBLANK(VLOOKUP(B332,AmmoTypeFactors,16,False)),1,VLOOKUP(B332,AmmoTypeFactors,16,False)) * (IFS(REGEXMATCH(B332, ""EMP""), 'Ammo Input'!M332 * N332 / 'Ingredient stats'!$C$5, REGEXMATCH(B332, ""Charge""), (U332^0.75), true, 0) + (IF(VLOOKUP(B3"&amp;"32, AmmoTypeFactors, 10, false), 2,0) + IF('Ammo Input'!P332, 2,0) + IF('Ammo Input'!Q332,MIN(ROUNDUP(0.2*('Ammo Input'!H332/1000)*'Ammo Input'!O332,0),20),0))))"),0)</f>
        <v>0</v>
      </c>
      <c r="W336">
        <v>0</v>
      </c>
      <c r="X336">
        <v>0</v>
      </c>
      <c r="Y336">
        <v>0</v>
      </c>
      <c r="Z336">
        <v>0</v>
      </c>
      <c r="AA336">
        <v>0</v>
      </c>
      <c r="AB336" s="30">
        <f>IF(B336="Sling Bullet (Stone)",ROUNDUP(D336*0.02*E336/'Ingredient stats'!$C$8,0),0)</f>
        <v>0</v>
      </c>
      <c r="AC336" t="str">
        <f t="shared" si="16"/>
        <v>None</v>
      </c>
      <c r="AD336" t="str">
        <f>IF(OR(B336="Buck",B336="Bird",B336="Charge (Scatter)"),'Ammo Input'!J336,"None")</f>
        <v>None</v>
      </c>
      <c r="AE336" t="str">
        <f>_xlfn.IFS(ISTEXT(Calcs!N336),Calcs!N336,Calcs!N336&lt;=40,Calcs!N336,Calcs!N336&gt;41,"40")</f>
        <v>None</v>
      </c>
      <c r="AF336" t="str">
        <f>_xlfn.IFS(ISTEXT(Calcs!O336),Calcs!O336,Calcs!O336&lt;=80,Calcs!O336,Calcs!O336&gt;=81,"80")</f>
        <v>None</v>
      </c>
      <c r="AG336" s="25">
        <f t="shared" si="17"/>
        <v>1</v>
      </c>
      <c r="AH336" s="25">
        <f t="shared" si="18"/>
        <v>1.82</v>
      </c>
      <c r="AI336" s="25">
        <f t="shared" si="19"/>
        <v>1</v>
      </c>
    </row>
    <row r="337" ht="14.4" spans="1:35">
      <c r="A337" s="24" t="str">
        <f>'Ammo Input'!A337</f>
        <v>5.8x21mm DAP9</v>
      </c>
      <c r="B337" t="str">
        <f>'Ammo Input'!B337</f>
        <v>HP</v>
      </c>
      <c r="C337">
        <f>ROUNDUP(('Ammo Input'!C337*(MAX('Ammo Input'!D337,'Ammo Input'!F337)*0.5)^2*PI())*3/1000000,2)</f>
        <v>0.01</v>
      </c>
      <c r="D337">
        <f>ROUNDUP(('Ammo Input'!E337+'Ammo Input'!H337*IF('Ammo Input'!J337&lt;&gt;"",MAX('Ammo Input'!J337,1),1))/1000,3)</f>
        <v>0.011</v>
      </c>
      <c r="E337">
        <f>MIN(5000,MAX(25,CEILING(Calcs!L337,_xlfn.IFS(Calcs!L337&lt;100,25,Calcs!L337&lt;250,50,Calcs!L337&lt;1000,250,Calcs!L337&gt;=1000,1000))))</f>
        <v>5000</v>
      </c>
      <c r="F337">
        <f>ROUNDUP('Ammo Input'!G337^(3/4),0)</f>
        <v>111</v>
      </c>
      <c r="G337">
        <f>ROUND((0.5*((IF(OR(B337="HEAT",B337="HEDP"),'Ammo Input'!N337,'Ammo Input'!H337)/1000)*(IF(B337="HEAT",9000,IF(B337="HEDP",1500,'Ammo Input'!G337))^2))),0)</f>
        <v>843</v>
      </c>
      <c r="H337" s="25" t="str">
        <f>CONCATENATE(IF((B337="Foam")+(B337="Smoke"),"-",ROUND(Calcs!D337,0))," ",VLOOKUP(B337,AmmoTypeFactors,5,FALSE))</f>
        <v>14 Bullet</v>
      </c>
      <c r="I337" s="25" t="str">
        <f>IF(Calcs!E337=0,"None",CONCATENATE(ROUND(Calcs!E337,0)," ",VLOOKUP(B337,AmmoTypeFactors,6,FALSE)))</f>
        <v>None</v>
      </c>
      <c r="J337">
        <f>MROUND(2.42*'Ammo Input'!M337^(1/3)*VLOOKUP(B337,AmmoTypeFactors,3,FALSE),0.5)</f>
        <v>0</v>
      </c>
      <c r="K337" s="25" t="str">
        <f>IF(VLOOKUP(B337,AmmoTypeFactors,12,FALSE),MROUND(J337/3,0.5),"None")</f>
        <v>None</v>
      </c>
      <c r="L337" s="25">
        <f>IF(VLOOKUP(B337,AmmoTypeFactors,8,FALSE),"None",ROUNDUP(IF(Calcs!I337&gt;0,Calcs!I337,Calcs!H337),3))</f>
        <v>16.86</v>
      </c>
      <c r="M337" s="25">
        <f>IF(VLOOKUP(B337,AmmoTypeFactors,8,FALSE),"None",'Ammo Input'!L337)</f>
        <v>2</v>
      </c>
      <c r="N337">
        <f>'Ammo Input'!O337</f>
        <v>500</v>
      </c>
      <c r="O337" t="e">
        <f>ROUND((P337*0.0036+SUMPRODUCT(Q337:AB337,VLOOKUP($Q$1:$AB$1,IngredientStats,2,FALSE)))/N337*IF('Ammo Input'!R337,0.5,1),2)</f>
        <v>#VALUE!</v>
      </c>
      <c r="P337" t="e">
        <f>(SUMPRODUCT(Q337:AB337,VLOOKUP($Q$1:$AB$1,IngredientStats,4,FALSE))*VLOOKUP(B337,AmmoTypeFactors,14,FALSE)*IF('Ammo Input'!R337,1.1,1))</f>
        <v>#VALUE!</v>
      </c>
      <c r="Q337">
        <f>IFERROR(__xludf.DUMMYFUNCTION("((IF(NOT(OR(REGEXMATCH(B333, ""Arrow""), B333 = ""Javelin"", B333 = ""Stick bomb"")), ROUNDUP(('Ammo Input'!E333 / 1000) * N333)) + IF(VLOOKUP(B333, AmmoTypeFactors, 9, FALSE) = ""Steel"", ROUNDUP(('Ammo Input'!H333 -'Ammo Input'!M333) * MAX(IF('Ammo Inpu"&amp;"t'!J333 &gt; 0, 'Ammo Input'!J333, 1), 1) * N333 / 1000))) / 'Ingredient stats'!$C$2) * IF(ISBLANK(VLOOKUP(B333,AmmoTypeFactors,15,False)),1,VLOOKUP(B333,AmmoTypeFactors,15,False))"),12)</f>
        <v>12</v>
      </c>
      <c r="R337">
        <f>IFERROR(__xludf.DUMMYFUNCTION("ROUNDUP((IF(REGEXMATCH(B333, ""Arrow"") + (B333 = ""Javelin""), 'Ammo Input'!E333) + IF(VLOOKUP(B333, AmmoTypeFactors, 9, FALSE) = ""Wood"", 'Ammo Input'!H333) + IF(B333 = ""Stick bomb"", 'Ammo Input'!E333)) * N333 / 'Ingredient stats'!$C$12 / 1000)"),0)</f>
        <v>0</v>
      </c>
      <c r="S337">
        <v>0</v>
      </c>
      <c r="T337">
        <v>0</v>
      </c>
      <c r="U337">
        <f>IF(VLOOKUP(B337,AmmoTypeFactors,9,FALSE)="Plasteel",ROUNDUP(('Ammo Input'!H337*MAX(IF('Ammo Input'!J337&gt;0,'Ammo Input'!J337,1)*N337/1000/'Ingredient stats'!$C$4)),0),0)</f>
        <v>0</v>
      </c>
      <c r="V337">
        <f>IFERROR(__xludf.DUMMYFUNCTION("ROUNDUP(IF(ISBLANK(VLOOKUP(B333,AmmoTypeFactors,16,False)),1,VLOOKUP(B333,AmmoTypeFactors,16,False)) * (IFS(REGEXMATCH(B333, ""EMP""), 'Ammo Input'!M333 * N333 / 'Ingredient stats'!$C$5, REGEXMATCH(B333, ""Charge""), (U333^0.75), true, 0) + (IF(VLOOKUP(B3"&amp;"33, AmmoTypeFactors, 10, false), 2,0) + IF('Ammo Input'!P333, 2,0) + IF('Ammo Input'!Q333,MIN(ROUNDUP(0.2*('Ammo Input'!H333/1000)*'Ammo Input'!O333,0),20),0))))"),0)</f>
        <v>0</v>
      </c>
      <c r="W337">
        <v>0</v>
      </c>
      <c r="X337">
        <v>0</v>
      </c>
      <c r="Y337">
        <v>0</v>
      </c>
      <c r="Z337">
        <v>0</v>
      </c>
      <c r="AA337">
        <v>0</v>
      </c>
      <c r="AB337" s="30">
        <f>IF(B337="Sling Bullet (Stone)",ROUNDUP(D337*0.02*E337/'Ingredient stats'!$C$8,0),0)</f>
        <v>0</v>
      </c>
      <c r="AC337" t="str">
        <f t="shared" si="16"/>
        <v>None</v>
      </c>
      <c r="AD337" t="str">
        <f>IF(OR(B337="Buck",B337="Bird",B337="Charge (Scatter)"),'Ammo Input'!J337,"None")</f>
        <v>None</v>
      </c>
      <c r="AE337" t="str">
        <f>_xlfn.IFS(ISTEXT(Calcs!N337),Calcs!N337,Calcs!N337&lt;=40,Calcs!N337,Calcs!N337&gt;41,"40")</f>
        <v>None</v>
      </c>
      <c r="AF337" t="str">
        <f>_xlfn.IFS(ISTEXT(Calcs!O337),Calcs!O337,Calcs!O337&lt;=80,Calcs!O337,Calcs!O337&gt;=81,"80")</f>
        <v>None</v>
      </c>
      <c r="AG337" s="25">
        <f t="shared" si="17"/>
        <v>1</v>
      </c>
      <c r="AH337" s="25">
        <f t="shared" si="18"/>
        <v>1.82</v>
      </c>
      <c r="AI337" s="25">
        <f t="shared" si="19"/>
        <v>1</v>
      </c>
    </row>
    <row r="338" ht="14.4" spans="1:35">
      <c r="A338" s="14" t="s">
        <v>154</v>
      </c>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row>
    <row r="339" ht="14.4" spans="1:35">
      <c r="A339" s="24" t="str">
        <f>'Ammo Input'!A339</f>
        <v>.17 HMR</v>
      </c>
      <c r="B339" t="str">
        <f>'Ammo Input'!B339</f>
        <v>FMJ</v>
      </c>
      <c r="C339">
        <f>ROUNDUP(('Ammo Input'!C339*(MAX('Ammo Input'!D339,'Ammo Input'!F339)*0.5)^2*PI())*3/1000000,2)</f>
        <v>0.01</v>
      </c>
      <c r="D339">
        <f>ROUNDUP(('Ammo Input'!E339+'Ammo Input'!H339*IF('Ammo Input'!J339&lt;&gt;"",MAX('Ammo Input'!J339,1),1))/1000,3)</f>
        <v>0.004</v>
      </c>
      <c r="E339">
        <f>MIN(5000,MAX(25,CEILING(Calcs!L339,_xlfn.IFS(Calcs!L339&lt;100,25,Calcs!L339&lt;250,50,Calcs!L339&lt;1000,250,Calcs!L339&gt;=1000,1000))))</f>
        <v>5000</v>
      </c>
      <c r="F339">
        <f>ROUNDUP('Ammo Input'!G339^(3/4),0)</f>
        <v>146</v>
      </c>
      <c r="G339">
        <f>ROUND((0.5*((IF(OR(B339="HEAT",B339="HEDP"),'Ammo Input'!N339,'Ammo Input'!H339)/1000)*(IF(B339="HEAT",9000,IF(B339="HEDP",1500,'Ammo Input'!G339))^2))),0)</f>
        <v>322</v>
      </c>
      <c r="H339" s="25" t="str">
        <f>CONCATENATE(IF((B339="Foam")+(B339="Smoke"),"-",ROUND(Calcs!D339,0))," ",VLOOKUP(B339,AmmoTypeFactors,5,FALSE))</f>
        <v>7 Bullet</v>
      </c>
      <c r="I339" s="25" t="str">
        <f>IF(Calcs!E339=0,"None",CONCATENATE(ROUND(Calcs!E339,0)," ",VLOOKUP(B339,AmmoTypeFactors,6,FALSE)))</f>
        <v>None</v>
      </c>
      <c r="J339">
        <f>MROUND(2.42*'Ammo Input'!M339^(1/3)*VLOOKUP(B339,AmmoTypeFactors,3,FALSE),0.5)</f>
        <v>0</v>
      </c>
      <c r="K339" s="25" t="str">
        <f>IF(VLOOKUP(B339,AmmoTypeFactors,12,FALSE),MROUND(J339/3,0.5),"None")</f>
        <v>None</v>
      </c>
      <c r="L339" s="25">
        <f>IF(VLOOKUP(B339,AmmoTypeFactors,8,FALSE),"None",ROUNDUP(IF(Calcs!I339&gt;0,Calcs!I339,Calcs!H339),3))</f>
        <v>6.44</v>
      </c>
      <c r="M339" s="25">
        <f>IF(VLOOKUP(B339,AmmoTypeFactors,8,FALSE),"None",'Ammo Input'!L339)</f>
        <v>3</v>
      </c>
      <c r="N339">
        <f>'Ammo Input'!O339</f>
        <v>500</v>
      </c>
      <c r="O339" t="e">
        <f>ROUND((P339*0.0036+SUMPRODUCT(Q339:AB339,VLOOKUP($Q$1:$AB$1,IngredientStats,2,FALSE)))/N339*IF('Ammo Input'!R339,0.5,1),2)</f>
        <v>#VALUE!</v>
      </c>
      <c r="P339" t="e">
        <f>(SUMPRODUCT(Q339:AB339,VLOOKUP($Q$1:$AB$1,IngredientStats,4,FALSE))*VLOOKUP(B339,AmmoTypeFactors,14,FALSE)*IF('Ammo Input'!R339,1.1,1))</f>
        <v>#VALUE!</v>
      </c>
      <c r="Q339">
        <f>IFERROR(__xludf.DUMMYFUNCTION("((IF(NOT(OR(REGEXMATCH(B335, ""Arrow""), B335 = ""Javelin"", B335 = ""Stick bomb"")), ROUNDUP(('Ammo Input'!E335 / 1000) * N335)) + IF(VLOOKUP(B335, AmmoTypeFactors, 9, FALSE) = ""Steel"", ROUNDUP(('Ammo Input'!H335 -'Ammo Input'!M335) * MAX(IF('Ammo Inpu"&amp;"t'!J335 &gt; 0, 'Ammo Input'!J335, 1), 1) * N335 / 1000))) / 'Ingredient stats'!$C$2) * IF(ISBLANK(VLOOKUP(B335,AmmoTypeFactors,15,False)),1,VLOOKUP(B335,AmmoTypeFactors,15,False))"),6)</f>
        <v>6</v>
      </c>
      <c r="R339">
        <f>IFERROR(__xludf.DUMMYFUNCTION("ROUNDUP((IF(REGEXMATCH(B335, ""Arrow"") + (B335 = ""Javelin""), 'Ammo Input'!E335) + IF(VLOOKUP(B335, AmmoTypeFactors, 9, FALSE) = ""Wood"", 'Ammo Input'!H335) + IF(B335 = ""Stick bomb"", 'Ammo Input'!E335)) * N335 / 'Ingredient stats'!$C$12 / 1000)"),0)</f>
        <v>0</v>
      </c>
      <c r="S339">
        <v>0</v>
      </c>
      <c r="T339">
        <v>0</v>
      </c>
      <c r="U339">
        <f>IF(VLOOKUP(B339,AmmoTypeFactors,9,FALSE)="Plasteel",ROUNDUP(('Ammo Input'!H339*MAX(IF('Ammo Input'!J339&gt;0,'Ammo Input'!J339,1)*N339/1000/'Ingredient stats'!$C$4)),0),0)</f>
        <v>0</v>
      </c>
      <c r="V339">
        <f>IFERROR(__xludf.DUMMYFUNCTION("ROUNDUP(IF(ISBLANK(VLOOKUP(B335,AmmoTypeFactors,16,False)),1,VLOOKUP(B335,AmmoTypeFactors,16,False)) * (IFS(REGEXMATCH(B335, ""EMP""), 'Ammo Input'!M335 * N335 / 'Ingredient stats'!$C$5, REGEXMATCH(B335, ""Charge""), (U335^0.75), true, 0) + (IF(VLOOKUP(B3"&amp;"35, AmmoTypeFactors, 10, false), 2,0) + IF('Ammo Input'!P335, 2,0) + IF('Ammo Input'!Q335,MIN(ROUNDUP(0.2*('Ammo Input'!H335/1000)*'Ammo Input'!O335,0),20),0))))"),0)</f>
        <v>0</v>
      </c>
      <c r="W339">
        <v>0</v>
      </c>
      <c r="X339">
        <v>0</v>
      </c>
      <c r="Y339">
        <v>0</v>
      </c>
      <c r="Z339">
        <v>0</v>
      </c>
      <c r="AA339" s="30">
        <v>0</v>
      </c>
      <c r="AB339" s="30">
        <f>IF(B339="Sling Bullet (Stone)",ROUNDUP(D339*0.02*E339/'Ingredient stats'!$C$8,0),0)</f>
        <v>0</v>
      </c>
      <c r="AC339" t="str">
        <f t="shared" ref="AC339:AC569" si="20">IF(B339="Buck",8.9,IF(B339="Bird",71.4,IF(B339="Beanbag",2,IF(OR(B339="Charge (Scatter)",B339="Charge (IonScatter)"),8.9,"None"))))</f>
        <v>None</v>
      </c>
      <c r="AD339" t="str">
        <f>IF(OR(B339="Buck",B339="Bird",B339="Charge (Scatter)"),'Ammo Input'!J339,"None")</f>
        <v>None</v>
      </c>
      <c r="AE339" t="str">
        <f>_xlfn.IFS(ISTEXT(Calcs!N339),Calcs!N339,Calcs!N339&lt;=40,Calcs!N339,Calcs!N339&gt;41,"40")</f>
        <v>None</v>
      </c>
      <c r="AF339" t="str">
        <f>_xlfn.IFS(ISTEXT(Calcs!O339),Calcs!O339,Calcs!O339&lt;=80,Calcs!O339,Calcs!O339&gt;=81,"80")</f>
        <v>None</v>
      </c>
      <c r="AG339" s="25">
        <f t="shared" ref="AG339:AG569" si="21">IF(IFERROR(FIND("-",$H339),0),0,IF($J339,3,1))</f>
        <v>1</v>
      </c>
      <c r="AH339" s="25">
        <f t="shared" ref="AH339:AH569" si="22">IFERROR(ROUND(200/(CEILING(200/$F339*60,1)+1),2),"-")</f>
        <v>2.38</v>
      </c>
      <c r="AI339" s="25">
        <f t="shared" ref="AI339:AI569" si="23">IF(IFERROR(FIND("-",$H339),0),0,IF($J339,2,1))</f>
        <v>1</v>
      </c>
    </row>
    <row r="340" ht="14.4" spans="1:35">
      <c r="A340" s="24" t="str">
        <f>'Ammo Input'!A340</f>
        <v>.17 HMR</v>
      </c>
      <c r="B340" t="str">
        <f>'Ammo Input'!B340</f>
        <v>AP</v>
      </c>
      <c r="C340">
        <f>ROUNDUP(('Ammo Input'!C340*(MAX('Ammo Input'!D340,'Ammo Input'!F340)*0.5)^2*PI())*3/1000000,2)</f>
        <v>0.01</v>
      </c>
      <c r="D340">
        <f>ROUNDUP(('Ammo Input'!E340+'Ammo Input'!H340*IF('Ammo Input'!J340&lt;&gt;"",MAX('Ammo Input'!J340,1),1))/1000,3)</f>
        <v>0.004</v>
      </c>
      <c r="E340">
        <f>MIN(5000,MAX(25,CEILING(Calcs!L340,_xlfn.IFS(Calcs!L340&lt;100,25,Calcs!L340&lt;250,50,Calcs!L340&lt;1000,250,Calcs!L340&gt;=1000,1000))))</f>
        <v>5000</v>
      </c>
      <c r="F340">
        <f>ROUNDUP('Ammo Input'!G340^(3/4),0)</f>
        <v>146</v>
      </c>
      <c r="G340">
        <f>ROUND((0.5*((IF(OR(B340="HEAT",B340="HEDP"),'Ammo Input'!N340,'Ammo Input'!H340)/1000)*(IF(B340="HEAT",9000,IF(B340="HEDP",1500,'Ammo Input'!G340))^2))),0)</f>
        <v>322</v>
      </c>
      <c r="H340" s="25" t="str">
        <f>CONCATENATE(IF((B340="Foam")+(B340="Smoke"),"-",ROUND(Calcs!D340,0))," ",VLOOKUP(B340,AmmoTypeFactors,5,FALSE))</f>
        <v>4 Bullet</v>
      </c>
      <c r="I340" s="25" t="str">
        <f>IF(Calcs!E340=0,"None",CONCATENATE(ROUND(Calcs!E340,0)," ",VLOOKUP(B340,AmmoTypeFactors,6,FALSE)))</f>
        <v>None</v>
      </c>
      <c r="J340">
        <f>MROUND(2.42*'Ammo Input'!M340^(1/3)*VLOOKUP(B340,AmmoTypeFactors,3,FALSE),0.5)</f>
        <v>0</v>
      </c>
      <c r="K340" s="25" t="str">
        <f>IF(VLOOKUP(B340,AmmoTypeFactors,12,FALSE),MROUND(J340/3,0.5),"None")</f>
        <v>None</v>
      </c>
      <c r="L340" s="25">
        <f>IF(VLOOKUP(B340,AmmoTypeFactors,8,FALSE),"None",ROUNDUP(IF(Calcs!I340&gt;0,Calcs!I340,Calcs!H340),3))</f>
        <v>6.44</v>
      </c>
      <c r="M340" s="25">
        <f>IF(VLOOKUP(B340,AmmoTypeFactors,8,FALSE),"None",'Ammo Input'!L340)</f>
        <v>6</v>
      </c>
      <c r="N340">
        <f>'Ammo Input'!O340</f>
        <v>500</v>
      </c>
      <c r="O340" t="e">
        <f>ROUND((P340*0.0036+SUMPRODUCT(Q340:AB340,VLOOKUP($Q$1:$AB$1,IngredientStats,2,FALSE)))/N340*IF('Ammo Input'!R340,0.5,1),2)</f>
        <v>#VALUE!</v>
      </c>
      <c r="P340" t="e">
        <f>(SUMPRODUCT(Q340:AB340,VLOOKUP($Q$1:$AB$1,IngredientStats,4,FALSE))*VLOOKUP(B340,AmmoTypeFactors,14,FALSE)*IF('Ammo Input'!R340,1.1,1))</f>
        <v>#VALUE!</v>
      </c>
      <c r="Q340">
        <f>IFERROR(__xludf.DUMMYFUNCTION("((IF(NOT(OR(REGEXMATCH(B336, ""Arrow""), B336 = ""Javelin"", B336 = ""Stick bomb"")), ROUNDUP(('Ammo Input'!E336 / 1000) * N336)) + IF(VLOOKUP(B336, AmmoTypeFactors, 9, FALSE) = ""Steel"", ROUNDUP(('Ammo Input'!H336 -'Ammo Input'!M336) * MAX(IF('Ammo Inpu"&amp;"t'!J336 &gt; 0, 'Ammo Input'!J336, 1), 1) * N336 / 1000))) / 'Ingredient stats'!$C$2) * IF(ISBLANK(VLOOKUP(B336,AmmoTypeFactors,15,False)),1,VLOOKUP(B336,AmmoTypeFactors,15,False))"),6)</f>
        <v>6</v>
      </c>
      <c r="R340">
        <f>IFERROR(__xludf.DUMMYFUNCTION("ROUNDUP((IF(REGEXMATCH(B336, ""Arrow"") + (B336 = ""Javelin""), 'Ammo Input'!E336) + IF(VLOOKUP(B336, AmmoTypeFactors, 9, FALSE) = ""Wood"", 'Ammo Input'!H336) + IF(B336 = ""Stick bomb"", 'Ammo Input'!E336)) * N336 / 'Ingredient stats'!$C$12 / 1000)"),0)</f>
        <v>0</v>
      </c>
      <c r="S340">
        <v>0</v>
      </c>
      <c r="T340">
        <v>0</v>
      </c>
      <c r="U340">
        <f>IF(VLOOKUP(B340,AmmoTypeFactors,9,FALSE)="Plasteel",ROUNDUP(('Ammo Input'!H340*MAX(IF('Ammo Input'!J340&gt;0,'Ammo Input'!J340,1)*N340/1000/'Ingredient stats'!$C$4)),0),0)</f>
        <v>0</v>
      </c>
      <c r="V340">
        <f>IFERROR(__xludf.DUMMYFUNCTION("ROUNDUP(IF(ISBLANK(VLOOKUP(B336,AmmoTypeFactors,16,False)),1,VLOOKUP(B336,AmmoTypeFactors,16,False)) * (IFS(REGEXMATCH(B336, ""EMP""), 'Ammo Input'!M336 * N336 / 'Ingredient stats'!$C$5, REGEXMATCH(B336, ""Charge""), (U336^0.75), true, 0) + (IF(VLOOKUP(B3"&amp;"36, AmmoTypeFactors, 10, false), 2,0) + IF('Ammo Input'!P336, 2,0) + IF('Ammo Input'!Q336,MIN(ROUNDUP(0.2*('Ammo Input'!H336/1000)*'Ammo Input'!O336,0),20),0))))"),0)</f>
        <v>0</v>
      </c>
      <c r="W340">
        <v>0</v>
      </c>
      <c r="X340">
        <v>0</v>
      </c>
      <c r="Y340">
        <v>0</v>
      </c>
      <c r="Z340">
        <v>0</v>
      </c>
      <c r="AA340">
        <v>0</v>
      </c>
      <c r="AB340" s="30">
        <f>IF(B340="Sling Bullet (Stone)",ROUNDUP(D340*0.02*E340/'Ingredient stats'!$C$8,0),0)</f>
        <v>0</v>
      </c>
      <c r="AC340" t="str">
        <f t="shared" si="20"/>
        <v>None</v>
      </c>
      <c r="AD340" t="str">
        <f>IF(OR(B340="Buck",B340="Bird",B340="Charge (Scatter)"),'Ammo Input'!J340,"None")</f>
        <v>None</v>
      </c>
      <c r="AE340" t="str">
        <f>_xlfn.IFS(ISTEXT(Calcs!N340),Calcs!N340,Calcs!N340&lt;=40,Calcs!N340,Calcs!N340&gt;41,"40")</f>
        <v>None</v>
      </c>
      <c r="AF340" t="str">
        <f>_xlfn.IFS(ISTEXT(Calcs!O340),Calcs!O340,Calcs!O340&lt;=80,Calcs!O340,Calcs!O340&gt;=81,"80")</f>
        <v>None</v>
      </c>
      <c r="AG340" s="25">
        <f t="shared" si="21"/>
        <v>1</v>
      </c>
      <c r="AH340" s="25">
        <f t="shared" si="22"/>
        <v>2.38</v>
      </c>
      <c r="AI340" s="25">
        <f t="shared" si="23"/>
        <v>1</v>
      </c>
    </row>
    <row r="341" ht="14.4" spans="1:35">
      <c r="A341" s="24" t="str">
        <f>'Ammo Input'!A341</f>
        <v>.17 HMR</v>
      </c>
      <c r="B341" t="str">
        <f>'Ammo Input'!B341</f>
        <v>HP</v>
      </c>
      <c r="C341">
        <f>ROUNDUP(('Ammo Input'!C341*(MAX('Ammo Input'!D341,'Ammo Input'!F341)*0.5)^2*PI())*3/1000000,2)</f>
        <v>0.01</v>
      </c>
      <c r="D341">
        <f>ROUNDUP(('Ammo Input'!E341+'Ammo Input'!H341*IF('Ammo Input'!J341&lt;&gt;"",MAX('Ammo Input'!J341,1),1))/1000,3)</f>
        <v>0.004</v>
      </c>
      <c r="E341">
        <f>MIN(5000,MAX(25,CEILING(Calcs!L341,_xlfn.IFS(Calcs!L341&lt;100,25,Calcs!L341&lt;250,50,Calcs!L341&lt;1000,250,Calcs!L341&gt;=1000,1000))))</f>
        <v>5000</v>
      </c>
      <c r="F341">
        <f>ROUNDUP('Ammo Input'!G341^(3/4),0)</f>
        <v>146</v>
      </c>
      <c r="G341">
        <f>ROUND((0.5*((IF(OR(B341="HEAT",B341="HEDP"),'Ammo Input'!N341,'Ammo Input'!H341)/1000)*(IF(B341="HEAT",9000,IF(B341="HEDP",1500,'Ammo Input'!G341))^2))),0)</f>
        <v>322</v>
      </c>
      <c r="H341" s="25" t="str">
        <f>CONCATENATE(IF((B341="Foam")+(B341="Smoke"),"-",ROUND(Calcs!D341,0))," ",VLOOKUP(B341,AmmoTypeFactors,5,FALSE))</f>
        <v>9 Bullet</v>
      </c>
      <c r="I341" s="25" t="str">
        <f>IF(Calcs!E341=0,"None",CONCATENATE(ROUND(Calcs!E341,0)," ",VLOOKUP(B341,AmmoTypeFactors,6,FALSE)))</f>
        <v>None</v>
      </c>
      <c r="J341">
        <f>MROUND(2.42*'Ammo Input'!M341^(1/3)*VLOOKUP(B341,AmmoTypeFactors,3,FALSE),0.5)</f>
        <v>0</v>
      </c>
      <c r="K341" s="25" t="str">
        <f>IF(VLOOKUP(B341,AmmoTypeFactors,12,FALSE),MROUND(J341/3,0.5),"None")</f>
        <v>None</v>
      </c>
      <c r="L341" s="25">
        <f>IF(VLOOKUP(B341,AmmoTypeFactors,8,FALSE),"None",ROUNDUP(IF(Calcs!I341&gt;0,Calcs!I341,Calcs!H341),3))</f>
        <v>6.44</v>
      </c>
      <c r="M341" s="25">
        <f>IF(VLOOKUP(B341,AmmoTypeFactors,8,FALSE),"None",'Ammo Input'!L341)</f>
        <v>2</v>
      </c>
      <c r="N341">
        <f>'Ammo Input'!O341</f>
        <v>500</v>
      </c>
      <c r="O341" t="e">
        <f>ROUND((P341*0.0036+SUMPRODUCT(Q341:AB341,VLOOKUP($Q$1:$AB$1,IngredientStats,2,FALSE)))/N341*IF('Ammo Input'!R341,0.5,1),2)</f>
        <v>#VALUE!</v>
      </c>
      <c r="P341" t="e">
        <f>(SUMPRODUCT(Q341:AB341,VLOOKUP($Q$1:$AB$1,IngredientStats,4,FALSE))*VLOOKUP(B341,AmmoTypeFactors,14,FALSE)*IF('Ammo Input'!R341,1.1,1))</f>
        <v>#VALUE!</v>
      </c>
      <c r="Q341">
        <f>IFERROR(__xludf.DUMMYFUNCTION("((IF(NOT(OR(REGEXMATCH(B337, ""Arrow""), B337 = ""Javelin"", B337 = ""Stick bomb"")), ROUNDUP(('Ammo Input'!E337 / 1000) * N337)) + IF(VLOOKUP(B337, AmmoTypeFactors, 9, FALSE) = ""Steel"", ROUNDUP(('Ammo Input'!H337 -'Ammo Input'!M337) * MAX(IF('Ammo Inpu"&amp;"t'!J337 &gt; 0, 'Ammo Input'!J337, 1), 1) * N337 / 1000))) / 'Ingredient stats'!$C$2) * IF(ISBLANK(VLOOKUP(B337,AmmoTypeFactors,15,False)),1,VLOOKUP(B337,AmmoTypeFactors,15,False))"),6)</f>
        <v>6</v>
      </c>
      <c r="R341">
        <f>IFERROR(__xludf.DUMMYFUNCTION("ROUNDUP((IF(REGEXMATCH(B337, ""Arrow"") + (B337 = ""Javelin""), 'Ammo Input'!E337) + IF(VLOOKUP(B337, AmmoTypeFactors, 9, FALSE) = ""Wood"", 'Ammo Input'!H337) + IF(B337 = ""Stick bomb"", 'Ammo Input'!E337)) * N337 / 'Ingredient stats'!$C$12 / 1000)"),0)</f>
        <v>0</v>
      </c>
      <c r="S341">
        <v>0</v>
      </c>
      <c r="T341">
        <v>0</v>
      </c>
      <c r="U341">
        <f>IF(VLOOKUP(B341,AmmoTypeFactors,9,FALSE)="Plasteel",ROUNDUP(('Ammo Input'!H341*MAX(IF('Ammo Input'!J341&gt;0,'Ammo Input'!J341,1)*N341/1000/'Ingredient stats'!$C$4)),0),0)</f>
        <v>0</v>
      </c>
      <c r="V341">
        <f>IFERROR(__xludf.DUMMYFUNCTION("ROUNDUP(IF(ISBLANK(VLOOKUP(B337,AmmoTypeFactors,16,False)),1,VLOOKUP(B337,AmmoTypeFactors,16,False)) * (IFS(REGEXMATCH(B337, ""EMP""), 'Ammo Input'!M337 * N337 / 'Ingredient stats'!$C$5, REGEXMATCH(B337, ""Charge""), (U337^0.75), true, 0) + (IF(VLOOKUP(B3"&amp;"37, AmmoTypeFactors, 10, false), 2,0) + IF('Ammo Input'!P337, 2,0) + IF('Ammo Input'!Q337,MIN(ROUNDUP(0.2*('Ammo Input'!H337/1000)*'Ammo Input'!O337,0),20),0))))"),0)</f>
        <v>0</v>
      </c>
      <c r="W341">
        <v>0</v>
      </c>
      <c r="X341">
        <v>0</v>
      </c>
      <c r="Y341">
        <v>0</v>
      </c>
      <c r="Z341">
        <v>0</v>
      </c>
      <c r="AA341">
        <v>0</v>
      </c>
      <c r="AB341" s="30">
        <f>IF(B341="Sling Bullet (Stone)",ROUNDUP(D341*0.02*E341/'Ingredient stats'!$C$8,0),0)</f>
        <v>0</v>
      </c>
      <c r="AC341" t="str">
        <f t="shared" si="20"/>
        <v>None</v>
      </c>
      <c r="AD341" t="str">
        <f>IF(OR(B341="Buck",B341="Bird",B341="Charge (Scatter)"),'Ammo Input'!J341,"None")</f>
        <v>None</v>
      </c>
      <c r="AE341" t="str">
        <f>_xlfn.IFS(ISTEXT(Calcs!N341),Calcs!N341,Calcs!N341&lt;=40,Calcs!N341,Calcs!N341&gt;41,"40")</f>
        <v>None</v>
      </c>
      <c r="AF341" t="str">
        <f>_xlfn.IFS(ISTEXT(Calcs!O341),Calcs!O341,Calcs!O341&lt;=80,Calcs!O341,Calcs!O341&gt;=81,"80")</f>
        <v>None</v>
      </c>
      <c r="AG341" s="25">
        <f t="shared" si="21"/>
        <v>1</v>
      </c>
      <c r="AH341" s="25">
        <f t="shared" si="22"/>
        <v>2.38</v>
      </c>
      <c r="AI341" s="25">
        <f t="shared" si="23"/>
        <v>1</v>
      </c>
    </row>
    <row r="342" ht="14.4" spans="1:35">
      <c r="A342" s="24" t="str">
        <f>'Ammo Input'!A342</f>
        <v>.22 WMR</v>
      </c>
      <c r="B342" t="str">
        <f>'Ammo Input'!B342</f>
        <v>FMJ</v>
      </c>
      <c r="C342">
        <f>ROUNDUP(('Ammo Input'!C342*(MAX('Ammo Input'!D342,'Ammo Input'!F342)*0.5)^2*PI())*3/1000000,2)</f>
        <v>0.01</v>
      </c>
      <c r="D342">
        <f>ROUNDUP(('Ammo Input'!E342+'Ammo Input'!H342*IF('Ammo Input'!J342&lt;&gt;"",MAX('Ammo Input'!J342,1),1))/1000,3)</f>
        <v>0.006</v>
      </c>
      <c r="E342">
        <f>MIN(5000,MAX(25,CEILING(Calcs!L342,_xlfn.IFS(Calcs!L342&lt;100,25,Calcs!L342&lt;250,50,Calcs!L342&lt;1000,250,Calcs!L342&gt;=1000,1000))))</f>
        <v>5000</v>
      </c>
      <c r="F342">
        <f>ROUNDUP('Ammo Input'!G342^(3/4),0)</f>
        <v>117</v>
      </c>
      <c r="G342">
        <f>ROUND((0.5*((IF(OR(B342="HEAT",B342="HEDP"),'Ammo Input'!N342,'Ammo Input'!H342)/1000)*(IF(B342="HEAT",9000,IF(B342="HEDP",1500,'Ammo Input'!G342))^2))),0)</f>
        <v>425</v>
      </c>
      <c r="H342" s="25" t="str">
        <f>CONCATENATE(IF((B342="Foam")+(B342="Smoke"),"-",ROUND(Calcs!D342,0))," ",VLOOKUP(B342,AmmoTypeFactors,5,FALSE))</f>
        <v>9 Bullet</v>
      </c>
      <c r="I342" s="25" t="str">
        <f>IF(Calcs!E342=0,"None",CONCATENATE(ROUND(Calcs!E342,0)," ",VLOOKUP(B342,AmmoTypeFactors,6,FALSE)))</f>
        <v>None</v>
      </c>
      <c r="J342">
        <f>MROUND(2.42*'Ammo Input'!M342^(1/3)*VLOOKUP(B342,AmmoTypeFactors,3,FALSE),0.5)</f>
        <v>0</v>
      </c>
      <c r="K342" s="25" t="str">
        <f>IF(VLOOKUP(B342,AmmoTypeFactors,12,FALSE),MROUND(J342/3,0.5),"None")</f>
        <v>None</v>
      </c>
      <c r="L342" s="25">
        <f>IF(VLOOKUP(B342,AmmoTypeFactors,8,FALSE),"None",ROUNDUP(IF(Calcs!I342&gt;0,Calcs!I342,Calcs!H342),3))</f>
        <v>8.5</v>
      </c>
      <c r="M342" s="25">
        <f>IF(VLOOKUP(B342,AmmoTypeFactors,8,FALSE),"None",'Ammo Input'!L342)</f>
        <v>3.5</v>
      </c>
      <c r="N342">
        <f>'Ammo Input'!O342</f>
        <v>500</v>
      </c>
      <c r="O342" t="e">
        <f>ROUND((P342*0.0036+SUMPRODUCT(Q342:AB342,VLOOKUP($Q$1:$AB$1,IngredientStats,2,FALSE)))/N342*IF('Ammo Input'!R342,0.5,1),2)</f>
        <v>#VALUE!</v>
      </c>
      <c r="P342" t="e">
        <f>(SUMPRODUCT(Q342:AB342,VLOOKUP($Q$1:$AB$1,IngredientStats,4,FALSE))*VLOOKUP(B342,AmmoTypeFactors,14,FALSE)*IF('Ammo Input'!R342,1.1,1))</f>
        <v>#VALUE!</v>
      </c>
      <c r="Q342">
        <f>IFERROR(__xludf.DUMMYFUNCTION("((IF(NOT(OR(REGEXMATCH(B338, ""Arrow""), B338 = ""Javelin"", B338 = ""Stick bomb"")), ROUNDUP(('Ammo Input'!E338 / 1000) * N338)) + IF(VLOOKUP(B338, AmmoTypeFactors, 9, FALSE) = ""Steel"", ROUNDUP(('Ammo Input'!H338 -'Ammo Input'!M338) * MAX(IF('Ammo Inpu"&amp;"t'!J338 &gt; 0, 'Ammo Input'!J338, 1), 1) * N338 / 1000))) / 'Ingredient stats'!$C$2) * IF(ISBLANK(VLOOKUP(B338,AmmoTypeFactors,15,False)),1,VLOOKUP(B338,AmmoTypeFactors,15,False))"),8)</f>
        <v>8</v>
      </c>
      <c r="R342">
        <f>IFERROR(__xludf.DUMMYFUNCTION("ROUNDUP((IF(REGEXMATCH(B338, ""Arrow"") + (B338 = ""Javelin""), 'Ammo Input'!E338) + IF(VLOOKUP(B338, AmmoTypeFactors, 9, FALSE) = ""Wood"", 'Ammo Input'!H338) + IF(B338 = ""Stick bomb"", 'Ammo Input'!E338)) * N338 / 'Ingredient stats'!$C$12 / 1000)"),0)</f>
        <v>0</v>
      </c>
      <c r="S342">
        <v>0</v>
      </c>
      <c r="T342">
        <v>0</v>
      </c>
      <c r="U342">
        <f>IF(VLOOKUP(B342,AmmoTypeFactors,9,FALSE)="Plasteel",ROUNDUP(('Ammo Input'!H342*MAX(IF('Ammo Input'!J342&gt;0,'Ammo Input'!J342,1)*N342/1000/'Ingredient stats'!$C$4)),0),0)</f>
        <v>0</v>
      </c>
      <c r="V342">
        <f>IFERROR(__xludf.DUMMYFUNCTION("ROUNDUP(IF(ISBLANK(VLOOKUP(B338,AmmoTypeFactors,16,False)),1,VLOOKUP(B338,AmmoTypeFactors,16,False)) * (IFS(REGEXMATCH(B338, ""EMP""), 'Ammo Input'!M338 * N338 / 'Ingredient stats'!$C$5, REGEXMATCH(B338, ""Charge""), (U338^0.75), true, 0) + (IF(VLOOKUP(B3"&amp;"38, AmmoTypeFactors, 10, false), 2,0) + IF('Ammo Input'!P338, 2,0) + IF('Ammo Input'!Q338,MIN(ROUNDUP(0.2*('Ammo Input'!H338/1000)*'Ammo Input'!O338,0),20),0))))"),0)</f>
        <v>0</v>
      </c>
      <c r="W342">
        <v>0</v>
      </c>
      <c r="X342">
        <v>0</v>
      </c>
      <c r="Y342">
        <v>0</v>
      </c>
      <c r="Z342">
        <v>0</v>
      </c>
      <c r="AA342">
        <v>0</v>
      </c>
      <c r="AB342" s="30">
        <f>IF(B342="Sling Bullet (Stone)",ROUNDUP(D342*0.02*E342/'Ingredient stats'!$C$8,0),0)</f>
        <v>0</v>
      </c>
      <c r="AC342" t="str">
        <f t="shared" si="20"/>
        <v>None</v>
      </c>
      <c r="AD342" t="str">
        <f>IF(OR(B342="Buck",B342="Bird",B342="Charge (Scatter)"),'Ammo Input'!J342,"None")</f>
        <v>None</v>
      </c>
      <c r="AE342" t="str">
        <f>_xlfn.IFS(ISTEXT(Calcs!N342),Calcs!N342,Calcs!N342&lt;=40,Calcs!N342,Calcs!N342&gt;41,"40")</f>
        <v>None</v>
      </c>
      <c r="AF342" t="str">
        <f>_xlfn.IFS(ISTEXT(Calcs!O342),Calcs!O342,Calcs!O342&lt;=80,Calcs!O342,Calcs!O342&gt;=81,"80")</f>
        <v>None</v>
      </c>
      <c r="AG342" s="25">
        <f t="shared" si="21"/>
        <v>1</v>
      </c>
      <c r="AH342" s="25">
        <f t="shared" si="22"/>
        <v>1.92</v>
      </c>
      <c r="AI342" s="25">
        <f t="shared" si="23"/>
        <v>1</v>
      </c>
    </row>
    <row r="343" ht="14.4" spans="1:35">
      <c r="A343" s="24" t="str">
        <f>'Ammo Input'!A343</f>
        <v>.22 WMR</v>
      </c>
      <c r="B343" t="str">
        <f>'Ammo Input'!B343</f>
        <v>AP</v>
      </c>
      <c r="C343">
        <f>ROUNDUP(('Ammo Input'!C343*(MAX('Ammo Input'!D343,'Ammo Input'!F343)*0.5)^2*PI())*3/1000000,2)</f>
        <v>0.01</v>
      </c>
      <c r="D343">
        <f>ROUNDUP(('Ammo Input'!E343+'Ammo Input'!H343*IF('Ammo Input'!J343&lt;&gt;"",MAX('Ammo Input'!J343,1),1))/1000,3)</f>
        <v>0.006</v>
      </c>
      <c r="E343">
        <f>MIN(5000,MAX(25,CEILING(Calcs!L343,_xlfn.IFS(Calcs!L343&lt;100,25,Calcs!L343&lt;250,50,Calcs!L343&lt;1000,250,Calcs!L343&gt;=1000,1000))))</f>
        <v>5000</v>
      </c>
      <c r="F343">
        <f>ROUNDUP('Ammo Input'!G343^(3/4),0)</f>
        <v>117</v>
      </c>
      <c r="G343">
        <f>ROUND((0.5*((IF(OR(B343="HEAT",B343="HEDP"),'Ammo Input'!N343,'Ammo Input'!H343)/1000)*(IF(B343="HEAT",9000,IF(B343="HEDP",1500,'Ammo Input'!G343))^2))),0)</f>
        <v>425</v>
      </c>
      <c r="H343" s="25" t="str">
        <f>CONCATENATE(IF((B343="Foam")+(B343="Smoke"),"-",ROUND(Calcs!D343,0))," ",VLOOKUP(B343,AmmoTypeFactors,5,FALSE))</f>
        <v>5 Bullet</v>
      </c>
      <c r="I343" s="25" t="str">
        <f>IF(Calcs!E343=0,"None",CONCATENATE(ROUND(Calcs!E343,0)," ",VLOOKUP(B343,AmmoTypeFactors,6,FALSE)))</f>
        <v>None</v>
      </c>
      <c r="J343">
        <f>MROUND(2.42*'Ammo Input'!M343^(1/3)*VLOOKUP(B343,AmmoTypeFactors,3,FALSE),0.5)</f>
        <v>0</v>
      </c>
      <c r="K343" s="25" t="str">
        <f>IF(VLOOKUP(B343,AmmoTypeFactors,12,FALSE),MROUND(J343/3,0.5),"None")</f>
        <v>None</v>
      </c>
      <c r="L343" s="25">
        <f>IF(VLOOKUP(B343,AmmoTypeFactors,8,FALSE),"None",ROUNDUP(IF(Calcs!I343&gt;0,Calcs!I343,Calcs!H343),3))</f>
        <v>8.5</v>
      </c>
      <c r="M343" s="25">
        <f>IF(VLOOKUP(B343,AmmoTypeFactors,8,FALSE),"None",'Ammo Input'!L343)</f>
        <v>7</v>
      </c>
      <c r="N343">
        <f>'Ammo Input'!O343</f>
        <v>500</v>
      </c>
      <c r="O343" t="e">
        <f>ROUND((P343*0.0036+SUMPRODUCT(Q343:AB343,VLOOKUP($Q$1:$AB$1,IngredientStats,2,FALSE)))/N343*IF('Ammo Input'!R343,0.5,1),2)</f>
        <v>#VALUE!</v>
      </c>
      <c r="P343" t="e">
        <f>(SUMPRODUCT(Q343:AB343,VLOOKUP($Q$1:$AB$1,IngredientStats,4,FALSE))*VLOOKUP(B343,AmmoTypeFactors,14,FALSE)*IF('Ammo Input'!R343,1.1,1))</f>
        <v>#VALUE!</v>
      </c>
      <c r="Q343">
        <f>IFERROR(__xludf.DUMMYFUNCTION("((IF(NOT(OR(REGEXMATCH(B339, ""Arrow""), B339 = ""Javelin"", B339 = ""Stick bomb"")), ROUNDUP(('Ammo Input'!E339 / 1000) * N339)) + IF(VLOOKUP(B339, AmmoTypeFactors, 9, FALSE) = ""Steel"", ROUNDUP(('Ammo Input'!H339 -'Ammo Input'!M339) * MAX(IF('Ammo Inpu"&amp;"t'!J339 &gt; 0, 'Ammo Input'!J339, 1), 1) * N339 / 1000))) / 'Ingredient stats'!$C$2) * IF(ISBLANK(VLOOKUP(B339,AmmoTypeFactors,15,False)),1,VLOOKUP(B339,AmmoTypeFactors,15,False))"),8)</f>
        <v>8</v>
      </c>
      <c r="R343">
        <f>IFERROR(__xludf.DUMMYFUNCTION("ROUNDUP((IF(REGEXMATCH(B339, ""Arrow"") + (B339 = ""Javelin""), 'Ammo Input'!E339) + IF(VLOOKUP(B339, AmmoTypeFactors, 9, FALSE) = ""Wood"", 'Ammo Input'!H339) + IF(B339 = ""Stick bomb"", 'Ammo Input'!E339)) * N339 / 'Ingredient stats'!$C$12 / 1000)"),0)</f>
        <v>0</v>
      </c>
      <c r="S343">
        <v>0</v>
      </c>
      <c r="T343">
        <v>0</v>
      </c>
      <c r="U343">
        <f>IF(VLOOKUP(B343,AmmoTypeFactors,9,FALSE)="Plasteel",ROUNDUP(('Ammo Input'!H343*MAX(IF('Ammo Input'!J343&gt;0,'Ammo Input'!J343,1)*N343/1000/'Ingredient stats'!$C$4)),0),0)</f>
        <v>0</v>
      </c>
      <c r="V343">
        <f>IFERROR(__xludf.DUMMYFUNCTION("ROUNDUP(IF(ISBLANK(VLOOKUP(B339,AmmoTypeFactors,16,False)),1,VLOOKUP(B339,AmmoTypeFactors,16,False)) * (IFS(REGEXMATCH(B339, ""EMP""), 'Ammo Input'!M339 * N339 / 'Ingredient stats'!$C$5, REGEXMATCH(B339, ""Charge""), (U339^0.75), true, 0) + (IF(VLOOKUP(B3"&amp;"39, AmmoTypeFactors, 10, false), 2,0) + IF('Ammo Input'!P339, 2,0) + IF('Ammo Input'!Q339,MIN(ROUNDUP(0.2*('Ammo Input'!H339/1000)*'Ammo Input'!O339,0),20),0))))"),0)</f>
        <v>0</v>
      </c>
      <c r="W343">
        <v>0</v>
      </c>
      <c r="X343">
        <v>0</v>
      </c>
      <c r="Y343">
        <v>0</v>
      </c>
      <c r="Z343">
        <v>0</v>
      </c>
      <c r="AA343">
        <v>0</v>
      </c>
      <c r="AB343" s="30">
        <f>IF(B343="Sling Bullet (Stone)",ROUNDUP(D343*0.02*E343/'Ingredient stats'!$C$8,0),0)</f>
        <v>0</v>
      </c>
      <c r="AC343" t="str">
        <f t="shared" si="20"/>
        <v>None</v>
      </c>
      <c r="AD343" t="str">
        <f>IF(OR(B343="Buck",B343="Bird",B343="Charge (Scatter)"),'Ammo Input'!J343,"None")</f>
        <v>None</v>
      </c>
      <c r="AE343" t="str">
        <f>_xlfn.IFS(ISTEXT(Calcs!N343),Calcs!N343,Calcs!N343&lt;=40,Calcs!N343,Calcs!N343&gt;41,"40")</f>
        <v>None</v>
      </c>
      <c r="AF343" t="str">
        <f>_xlfn.IFS(ISTEXT(Calcs!O343),Calcs!O343,Calcs!O343&lt;=80,Calcs!O343,Calcs!O343&gt;=81,"80")</f>
        <v>None</v>
      </c>
      <c r="AG343" s="25">
        <f t="shared" si="21"/>
        <v>1</v>
      </c>
      <c r="AH343" s="25">
        <f t="shared" si="22"/>
        <v>1.92</v>
      </c>
      <c r="AI343" s="25">
        <f t="shared" si="23"/>
        <v>1</v>
      </c>
    </row>
    <row r="344" ht="14.4" spans="1:35">
      <c r="A344" s="24" t="str">
        <f>'Ammo Input'!A344</f>
        <v>.22 WMR</v>
      </c>
      <c r="B344" t="str">
        <f>'Ammo Input'!B344</f>
        <v>HP</v>
      </c>
      <c r="C344">
        <f>ROUNDUP(('Ammo Input'!C344*(MAX('Ammo Input'!D344,'Ammo Input'!F344)*0.5)^2*PI())*3/1000000,2)</f>
        <v>0.01</v>
      </c>
      <c r="D344">
        <f>ROUNDUP(('Ammo Input'!E344+'Ammo Input'!H344*IF('Ammo Input'!J344&lt;&gt;"",MAX('Ammo Input'!J344,1),1))/1000,3)</f>
        <v>0.006</v>
      </c>
      <c r="E344">
        <f>MIN(5000,MAX(25,CEILING(Calcs!L344,_xlfn.IFS(Calcs!L344&lt;100,25,Calcs!L344&lt;250,50,Calcs!L344&lt;1000,250,Calcs!L344&gt;=1000,1000))))</f>
        <v>5000</v>
      </c>
      <c r="F344">
        <f>ROUNDUP('Ammo Input'!G344^(3/4),0)</f>
        <v>117</v>
      </c>
      <c r="G344">
        <f>ROUND((0.5*((IF(OR(B344="HEAT",B344="HEDP"),'Ammo Input'!N344,'Ammo Input'!H344)/1000)*(IF(B344="HEAT",9000,IF(B344="HEDP",1500,'Ammo Input'!G344))^2))),0)</f>
        <v>425</v>
      </c>
      <c r="H344" s="25" t="str">
        <f>CONCATENATE(IF((B344="Foam")+(B344="Smoke"),"-",ROUND(Calcs!D344,0))," ",VLOOKUP(B344,AmmoTypeFactors,5,FALSE))</f>
        <v>11 Bullet</v>
      </c>
      <c r="I344" s="25" t="str">
        <f>IF(Calcs!E344=0,"None",CONCATENATE(ROUND(Calcs!E344,0)," ",VLOOKUP(B344,AmmoTypeFactors,6,FALSE)))</f>
        <v>None</v>
      </c>
      <c r="J344">
        <f>MROUND(2.42*'Ammo Input'!M344^(1/3)*VLOOKUP(B344,AmmoTypeFactors,3,FALSE),0.5)</f>
        <v>0</v>
      </c>
      <c r="K344" s="25" t="str">
        <f>IF(VLOOKUP(B344,AmmoTypeFactors,12,FALSE),MROUND(J344/3,0.5),"None")</f>
        <v>None</v>
      </c>
      <c r="L344" s="25">
        <f>IF(VLOOKUP(B344,AmmoTypeFactors,8,FALSE),"None",ROUNDUP(IF(Calcs!I344&gt;0,Calcs!I344,Calcs!H344),3))</f>
        <v>8.5</v>
      </c>
      <c r="M344" s="25">
        <f>IF(VLOOKUP(B344,AmmoTypeFactors,8,FALSE),"None",'Ammo Input'!L344)</f>
        <v>2</v>
      </c>
      <c r="N344">
        <f>'Ammo Input'!O344</f>
        <v>500</v>
      </c>
      <c r="O344" t="e">
        <f>ROUND((P344*0.0036+SUMPRODUCT(Q344:AB344,VLOOKUP($Q$1:$AB$1,IngredientStats,2,FALSE)))/N344*IF('Ammo Input'!R344,0.5,1),2)</f>
        <v>#VALUE!</v>
      </c>
      <c r="P344" t="e">
        <f>(SUMPRODUCT(Q344:AB344,VLOOKUP($Q$1:$AB$1,IngredientStats,4,FALSE))*VLOOKUP(B344,AmmoTypeFactors,14,FALSE)*IF('Ammo Input'!R344,1.1,1))</f>
        <v>#VALUE!</v>
      </c>
      <c r="Q344">
        <f>IFERROR(__xludf.DUMMYFUNCTION("((IF(NOT(OR(REGEXMATCH(B340, ""Arrow""), B340 = ""Javelin"", B340 = ""Stick bomb"")), ROUNDUP(('Ammo Input'!E340 / 1000) * N340)) + IF(VLOOKUP(B340, AmmoTypeFactors, 9, FALSE) = ""Steel"", ROUNDUP(('Ammo Input'!H340 -'Ammo Input'!M340) * MAX(IF('Ammo Inpu"&amp;"t'!J340 &gt; 0, 'Ammo Input'!J340, 1), 1) * N340 / 1000))) / 'Ingredient stats'!$C$2) * IF(ISBLANK(VLOOKUP(B340,AmmoTypeFactors,15,False)),1,VLOOKUP(B340,AmmoTypeFactors,15,False))"),8)</f>
        <v>8</v>
      </c>
      <c r="R344">
        <f>IFERROR(__xludf.DUMMYFUNCTION("ROUNDUP((IF(REGEXMATCH(B340, ""Arrow"") + (B340 = ""Javelin""), 'Ammo Input'!E340) + IF(VLOOKUP(B340, AmmoTypeFactors, 9, FALSE) = ""Wood"", 'Ammo Input'!H340) + IF(B340 = ""Stick bomb"", 'Ammo Input'!E340)) * N340 / 'Ingredient stats'!$C$12 / 1000)"),0)</f>
        <v>0</v>
      </c>
      <c r="S344">
        <v>0</v>
      </c>
      <c r="T344">
        <v>0</v>
      </c>
      <c r="U344">
        <f>IF(VLOOKUP(B344,AmmoTypeFactors,9,FALSE)="Plasteel",ROUNDUP(('Ammo Input'!H344*MAX(IF('Ammo Input'!J344&gt;0,'Ammo Input'!J344,1)*N344/1000/'Ingredient stats'!$C$4)),0),0)</f>
        <v>0</v>
      </c>
      <c r="V344">
        <f>IFERROR(__xludf.DUMMYFUNCTION("ROUNDUP(IF(ISBLANK(VLOOKUP(B340,AmmoTypeFactors,16,False)),1,VLOOKUP(B340,AmmoTypeFactors,16,False)) * (IFS(REGEXMATCH(B340, ""EMP""), 'Ammo Input'!M340 * N340 / 'Ingredient stats'!$C$5, REGEXMATCH(B340, ""Charge""), (U340^0.75), true, 0) + (IF(VLOOKUP(B3"&amp;"40, AmmoTypeFactors, 10, false), 2,0) + IF('Ammo Input'!P340, 2,0) + IF('Ammo Input'!Q340,MIN(ROUNDUP(0.2*('Ammo Input'!H340/1000)*'Ammo Input'!O340,0),20),0))))"),0)</f>
        <v>0</v>
      </c>
      <c r="W344">
        <v>0</v>
      </c>
      <c r="X344">
        <v>0</v>
      </c>
      <c r="Y344">
        <v>0</v>
      </c>
      <c r="Z344">
        <v>0</v>
      </c>
      <c r="AA344">
        <v>0</v>
      </c>
      <c r="AB344" s="30">
        <f>IF(B344="Sling Bullet (Stone)",ROUNDUP(D344*0.02*E344/'Ingredient stats'!$C$8,0),0)</f>
        <v>0</v>
      </c>
      <c r="AC344" t="str">
        <f t="shared" si="20"/>
        <v>None</v>
      </c>
      <c r="AD344" t="str">
        <f>IF(OR(B344="Buck",B344="Bird",B344="Charge (Scatter)"),'Ammo Input'!J344,"None")</f>
        <v>None</v>
      </c>
      <c r="AE344" t="str">
        <f>_xlfn.IFS(ISTEXT(Calcs!N344),Calcs!N344,Calcs!N344&lt;=40,Calcs!N344,Calcs!N344&gt;41,"40")</f>
        <v>None</v>
      </c>
      <c r="AF344" t="str">
        <f>_xlfn.IFS(ISTEXT(Calcs!O344),Calcs!O344,Calcs!O344&lt;=80,Calcs!O344,Calcs!O344&gt;=81,"80")</f>
        <v>None</v>
      </c>
      <c r="AG344" s="25">
        <f t="shared" si="21"/>
        <v>1</v>
      </c>
      <c r="AH344" s="25">
        <f t="shared" si="22"/>
        <v>1.92</v>
      </c>
      <c r="AI344" s="25">
        <f t="shared" si="23"/>
        <v>1</v>
      </c>
    </row>
    <row r="345" ht="14.4" spans="1:35">
      <c r="A345" s="24" t="str">
        <f>'Ammo Input'!A345</f>
        <v>.22 Hornet</v>
      </c>
      <c r="B345" t="str">
        <f>'Ammo Input'!B345</f>
        <v>FMJ</v>
      </c>
      <c r="C345">
        <f>ROUNDUP(('Ammo Input'!C345*(MAX('Ammo Input'!D345,'Ammo Input'!F345)*0.5)^2*PI())*3/1000000,2)</f>
        <v>0.01</v>
      </c>
      <c r="D345">
        <f>ROUNDUP(('Ammo Input'!E345+'Ammo Input'!H345*IF('Ammo Input'!J345&lt;&gt;"",MAX('Ammo Input'!J345,1),1))/1000,3)</f>
        <v>0.007</v>
      </c>
      <c r="E345">
        <f>MIN(5000,MAX(25,CEILING(Calcs!L345,_xlfn.IFS(Calcs!L345&lt;100,25,Calcs!L345&lt;250,50,Calcs!L345&lt;1000,250,Calcs!L345&gt;=1000,1000))))</f>
        <v>5000</v>
      </c>
      <c r="F345">
        <f>ROUNDUP('Ammo Input'!G345^(3/4),0)</f>
        <v>158</v>
      </c>
      <c r="G345">
        <f>ROUND((0.5*((IF(OR(B345="HEAT",B345="HEDP"),'Ammo Input'!N345,'Ammo Input'!H345)/1000)*(IF(B345="HEAT",9000,IF(B345="HEDP",1500,'Ammo Input'!G345))^2))),0)</f>
        <v>1045</v>
      </c>
      <c r="H345" s="25" t="str">
        <f>CONCATENATE(IF((B345="Foam")+(B345="Smoke"),"-",ROUND(Calcs!D345,0))," ",VLOOKUP(B345,AmmoTypeFactors,5,FALSE))</f>
        <v>12 Bullet</v>
      </c>
      <c r="I345" s="25" t="str">
        <f>IF(Calcs!E345=0,"None",CONCATENATE(ROUND(Calcs!E345,0)," ",VLOOKUP(B345,AmmoTypeFactors,6,FALSE)))</f>
        <v>None</v>
      </c>
      <c r="J345">
        <f>MROUND(2.42*'Ammo Input'!M345^(1/3)*VLOOKUP(B345,AmmoTypeFactors,3,FALSE),0.5)</f>
        <v>0</v>
      </c>
      <c r="K345" s="25" t="str">
        <f>IF(VLOOKUP(B345,AmmoTypeFactors,12,FALSE),MROUND(J345/3,0.5),"None")</f>
        <v>None</v>
      </c>
      <c r="L345" s="25">
        <f>IF(VLOOKUP(B345,AmmoTypeFactors,8,FALSE),"None",ROUNDUP(IF(Calcs!I345&gt;0,Calcs!I345,Calcs!H345),3))</f>
        <v>20.9</v>
      </c>
      <c r="M345" s="25">
        <f>IF(VLOOKUP(B345,AmmoTypeFactors,8,FALSE),"None",'Ammo Input'!L345)</f>
        <v>3.5</v>
      </c>
      <c r="N345">
        <f>'Ammo Input'!O345</f>
        <v>500</v>
      </c>
      <c r="O345" t="e">
        <f>ROUND((P345*0.0036+SUMPRODUCT(Q345:AB345,VLOOKUP($Q$1:$AB$1,IngredientStats,2,FALSE)))/N345*IF('Ammo Input'!R345,0.5,1),2)</f>
        <v>#VALUE!</v>
      </c>
      <c r="P345" t="e">
        <f>(SUMPRODUCT(Q345:AB345,VLOOKUP($Q$1:$AB$1,IngredientStats,4,FALSE))*VLOOKUP(B345,AmmoTypeFactors,14,FALSE)*IF('Ammo Input'!R345,1.1,1))</f>
        <v>#VALUE!</v>
      </c>
      <c r="Q345">
        <f>IFERROR(__xludf.DUMMYFUNCTION("((IF(NOT(OR(REGEXMATCH(B341, ""Arrow""), B341 = ""Javelin"", B341 = ""Stick bomb"")), ROUNDUP(('Ammo Input'!E341 / 1000) * N341)) + IF(VLOOKUP(B341, AmmoTypeFactors, 9, FALSE) = ""Steel"", ROUNDUP(('Ammo Input'!H341 -'Ammo Input'!M341) * MAX(IF('Ammo Inpu"&amp;"t'!J341 &gt; 0, 'Ammo Input'!J341, 1), 1) * N341 / 1000))) / 'Ingredient stats'!$C$2) * IF(ISBLANK(VLOOKUP(B341,AmmoTypeFactors,15,False)),1,VLOOKUP(B341,AmmoTypeFactors,15,False))"),8)</f>
        <v>8</v>
      </c>
      <c r="R345">
        <f>IFERROR(__xludf.DUMMYFUNCTION("ROUNDUP((IF(REGEXMATCH(B341, ""Arrow"") + (B341 = ""Javelin""), 'Ammo Input'!E341) + IF(VLOOKUP(B341, AmmoTypeFactors, 9, FALSE) = ""Wood"", 'Ammo Input'!H341) + IF(B341 = ""Stick bomb"", 'Ammo Input'!E341)) * N341 / 'Ingredient stats'!$C$12 / 1000)"),0)</f>
        <v>0</v>
      </c>
      <c r="S345">
        <v>0</v>
      </c>
      <c r="T345">
        <v>0</v>
      </c>
      <c r="U345">
        <f>IF(VLOOKUP(B345,AmmoTypeFactors,9,FALSE)="Plasteel",ROUNDUP(('Ammo Input'!H345*MAX(IF('Ammo Input'!J345&gt;0,'Ammo Input'!J345,1)*N345/1000/'Ingredient stats'!$C$4)),0),0)</f>
        <v>0</v>
      </c>
      <c r="V345">
        <f>IFERROR(__xludf.DUMMYFUNCTION("ROUNDUP(IF(ISBLANK(VLOOKUP(B341,AmmoTypeFactors,16,False)),1,VLOOKUP(B341,AmmoTypeFactors,16,False)) * (IFS(REGEXMATCH(B341, ""EMP""), 'Ammo Input'!M341 * N341 / 'Ingredient stats'!$C$5, REGEXMATCH(B341, ""Charge""), (U341^0.75), true, 0) + (IF(VLOOKUP(B3"&amp;"41, AmmoTypeFactors, 10, false), 2,0) + IF('Ammo Input'!P341, 2,0) + IF('Ammo Input'!Q341,MIN(ROUNDUP(0.2*('Ammo Input'!H341/1000)*'Ammo Input'!O341,0),20),0))))"),0)</f>
        <v>0</v>
      </c>
      <c r="W345">
        <v>0</v>
      </c>
      <c r="X345">
        <v>0</v>
      </c>
      <c r="Y345">
        <v>0</v>
      </c>
      <c r="Z345">
        <v>0</v>
      </c>
      <c r="AA345">
        <v>0</v>
      </c>
      <c r="AB345" s="30">
        <f>IF(B345="Sling Bullet (Stone)",ROUNDUP(D345*0.02*E345/'Ingredient stats'!$C$8,0),0)</f>
        <v>0</v>
      </c>
      <c r="AC345" t="str">
        <f t="shared" si="20"/>
        <v>None</v>
      </c>
      <c r="AD345" t="str">
        <f>IF(OR(B345="Buck",B345="Bird",B345="Charge (Scatter)"),'Ammo Input'!J345,"None")</f>
        <v>None</v>
      </c>
      <c r="AE345" t="str">
        <f>_xlfn.IFS(ISTEXT(Calcs!N345),Calcs!N345,Calcs!N345&lt;=40,Calcs!N345,Calcs!N345&gt;41,"40")</f>
        <v>None</v>
      </c>
      <c r="AF345" t="str">
        <f>_xlfn.IFS(ISTEXT(Calcs!O345),Calcs!O345,Calcs!O345&lt;=80,Calcs!O345,Calcs!O345&gt;=81,"80")</f>
        <v>None</v>
      </c>
      <c r="AG345" s="25">
        <f t="shared" si="21"/>
        <v>1</v>
      </c>
      <c r="AH345" s="25">
        <f t="shared" si="22"/>
        <v>2.6</v>
      </c>
      <c r="AI345" s="25">
        <f t="shared" si="23"/>
        <v>1</v>
      </c>
    </row>
    <row r="346" ht="14.4" spans="1:35">
      <c r="A346" s="24" t="str">
        <f>'Ammo Input'!A346</f>
        <v>.22 Hornet</v>
      </c>
      <c r="B346" t="str">
        <f>'Ammo Input'!B346</f>
        <v>AP</v>
      </c>
      <c r="C346">
        <f>ROUNDUP(('Ammo Input'!C346*(MAX('Ammo Input'!D346,'Ammo Input'!F346)*0.5)^2*PI())*3/1000000,2)</f>
        <v>0.01</v>
      </c>
      <c r="D346">
        <f>ROUNDUP(('Ammo Input'!E346+'Ammo Input'!H346*IF('Ammo Input'!J346&lt;&gt;"",MAX('Ammo Input'!J346,1),1))/1000,3)</f>
        <v>0.007</v>
      </c>
      <c r="E346">
        <f>MIN(5000,MAX(25,CEILING(Calcs!L346,_xlfn.IFS(Calcs!L346&lt;100,25,Calcs!L346&lt;250,50,Calcs!L346&lt;1000,250,Calcs!L346&gt;=1000,1000))))</f>
        <v>5000</v>
      </c>
      <c r="F346">
        <f>ROUNDUP('Ammo Input'!G346^(3/4),0)</f>
        <v>158</v>
      </c>
      <c r="G346">
        <f>ROUND((0.5*((IF(OR(B346="HEAT",B346="HEDP"),'Ammo Input'!N346,'Ammo Input'!H346)/1000)*(IF(B346="HEAT",9000,IF(B346="HEDP",1500,'Ammo Input'!G346))^2))),0)</f>
        <v>1045</v>
      </c>
      <c r="H346" s="25" t="str">
        <f>CONCATENATE(IF((B346="Foam")+(B346="Smoke"),"-",ROUND(Calcs!D346,0))," ",VLOOKUP(B346,AmmoTypeFactors,5,FALSE))</f>
        <v>7 Bullet</v>
      </c>
      <c r="I346" s="25" t="str">
        <f>IF(Calcs!E346=0,"None",CONCATENATE(ROUND(Calcs!E346,0)," ",VLOOKUP(B346,AmmoTypeFactors,6,FALSE)))</f>
        <v>None</v>
      </c>
      <c r="J346">
        <f>MROUND(2.42*'Ammo Input'!M346^(1/3)*VLOOKUP(B346,AmmoTypeFactors,3,FALSE),0.5)</f>
        <v>0</v>
      </c>
      <c r="K346" s="25" t="str">
        <f>IF(VLOOKUP(B346,AmmoTypeFactors,12,FALSE),MROUND(J346/3,0.5),"None")</f>
        <v>None</v>
      </c>
      <c r="L346" s="25">
        <f>IF(VLOOKUP(B346,AmmoTypeFactors,8,FALSE),"None",ROUNDUP(IF(Calcs!I346&gt;0,Calcs!I346,Calcs!H346),3))</f>
        <v>20.9</v>
      </c>
      <c r="M346" s="25">
        <f>IF(VLOOKUP(B346,AmmoTypeFactors,8,FALSE),"None",'Ammo Input'!L346)</f>
        <v>7</v>
      </c>
      <c r="N346">
        <f>'Ammo Input'!O346</f>
        <v>500</v>
      </c>
      <c r="O346" t="e">
        <f>ROUND((P346*0.0036+SUMPRODUCT(Q346:AB346,VLOOKUP($Q$1:$AB$1,IngredientStats,2,FALSE)))/N346*IF('Ammo Input'!R346,0.5,1),2)</f>
        <v>#VALUE!</v>
      </c>
      <c r="P346" t="e">
        <f>(SUMPRODUCT(Q346:AB346,VLOOKUP($Q$1:$AB$1,IngredientStats,4,FALSE))*VLOOKUP(B346,AmmoTypeFactors,14,FALSE)*IF('Ammo Input'!R346,1.1,1))</f>
        <v>#VALUE!</v>
      </c>
      <c r="Q346">
        <f>IFERROR(__xludf.DUMMYFUNCTION("((IF(NOT(OR(REGEXMATCH(B342, ""Arrow""), B342 = ""Javelin"", B342 = ""Stick bomb"")), ROUNDUP(('Ammo Input'!E342 / 1000) * N342)) + IF(VLOOKUP(B342, AmmoTypeFactors, 9, FALSE) = ""Steel"", ROUNDUP(('Ammo Input'!H342 -'Ammo Input'!M342) * MAX(IF('Ammo Inpu"&amp;"t'!J342 &gt; 0, 'Ammo Input'!J342, 1), 1) * N342 / 1000))) / 'Ingredient stats'!$C$2) * IF(ISBLANK(VLOOKUP(B342,AmmoTypeFactors,15,False)),1,VLOOKUP(B342,AmmoTypeFactors,15,False))"),8)</f>
        <v>8</v>
      </c>
      <c r="R346">
        <f>IFERROR(__xludf.DUMMYFUNCTION("ROUNDUP((IF(REGEXMATCH(B342, ""Arrow"") + (B342 = ""Javelin""), 'Ammo Input'!E342) + IF(VLOOKUP(B342, AmmoTypeFactors, 9, FALSE) = ""Wood"", 'Ammo Input'!H342) + IF(B342 = ""Stick bomb"", 'Ammo Input'!E342)) * N342 / 'Ingredient stats'!$C$12 / 1000)"),0)</f>
        <v>0</v>
      </c>
      <c r="S346">
        <v>0</v>
      </c>
      <c r="T346">
        <v>0</v>
      </c>
      <c r="U346">
        <f>IF(VLOOKUP(B346,AmmoTypeFactors,9,FALSE)="Plasteel",ROUNDUP(('Ammo Input'!H346*MAX(IF('Ammo Input'!J346&gt;0,'Ammo Input'!J346,1)*N346/1000/'Ingredient stats'!$C$4)),0),0)</f>
        <v>0</v>
      </c>
      <c r="V346">
        <f>IFERROR(__xludf.DUMMYFUNCTION("ROUNDUP(IF(ISBLANK(VLOOKUP(B342,AmmoTypeFactors,16,False)),1,VLOOKUP(B342,AmmoTypeFactors,16,False)) * (IFS(REGEXMATCH(B342, ""EMP""), 'Ammo Input'!M342 * N342 / 'Ingredient stats'!$C$5, REGEXMATCH(B342, ""Charge""), (U342^0.75), true, 0) + (IF(VLOOKUP(B3"&amp;"42, AmmoTypeFactors, 10, false), 2,0) + IF('Ammo Input'!P342, 2,0) + IF('Ammo Input'!Q342,MIN(ROUNDUP(0.2*('Ammo Input'!H342/1000)*'Ammo Input'!O342,0),20),0))))"),0)</f>
        <v>0</v>
      </c>
      <c r="W346">
        <v>0</v>
      </c>
      <c r="X346">
        <v>0</v>
      </c>
      <c r="Y346">
        <v>0</v>
      </c>
      <c r="Z346">
        <v>0</v>
      </c>
      <c r="AA346">
        <v>0</v>
      </c>
      <c r="AB346" s="30">
        <f>IF(B346="Sling Bullet (Stone)",ROUNDUP(D346*0.02*E346/'Ingredient stats'!$C$8,0),0)</f>
        <v>0</v>
      </c>
      <c r="AC346" t="str">
        <f t="shared" si="20"/>
        <v>None</v>
      </c>
      <c r="AD346" t="str">
        <f>IF(OR(B346="Buck",B346="Bird",B346="Charge (Scatter)"),'Ammo Input'!J346,"None")</f>
        <v>None</v>
      </c>
      <c r="AE346" t="str">
        <f>_xlfn.IFS(ISTEXT(Calcs!N346),Calcs!N346,Calcs!N346&lt;=40,Calcs!N346,Calcs!N346&gt;41,"40")</f>
        <v>None</v>
      </c>
      <c r="AF346" t="str">
        <f>_xlfn.IFS(ISTEXT(Calcs!O346),Calcs!O346,Calcs!O346&lt;=80,Calcs!O346,Calcs!O346&gt;=81,"80")</f>
        <v>None</v>
      </c>
      <c r="AG346" s="25">
        <f t="shared" si="21"/>
        <v>1</v>
      </c>
      <c r="AH346" s="25">
        <f t="shared" si="22"/>
        <v>2.6</v>
      </c>
      <c r="AI346" s="25">
        <f t="shared" si="23"/>
        <v>1</v>
      </c>
    </row>
    <row r="347" ht="14.4" spans="1:35">
      <c r="A347" s="24" t="str">
        <f>'Ammo Input'!A347</f>
        <v>.22 Hornet</v>
      </c>
      <c r="B347" t="str">
        <f>'Ammo Input'!B347</f>
        <v>HP</v>
      </c>
      <c r="C347">
        <f>ROUNDUP(('Ammo Input'!C347*(MAX('Ammo Input'!D347,'Ammo Input'!F347)*0.5)^2*PI())*3/1000000,2)</f>
        <v>0.01</v>
      </c>
      <c r="D347">
        <f>ROUNDUP(('Ammo Input'!E347+'Ammo Input'!H347*IF('Ammo Input'!J347&lt;&gt;"",MAX('Ammo Input'!J347,1),1))/1000,3)</f>
        <v>0.007</v>
      </c>
      <c r="E347">
        <f>MIN(5000,MAX(25,CEILING(Calcs!L347,_xlfn.IFS(Calcs!L347&lt;100,25,Calcs!L347&lt;250,50,Calcs!L347&lt;1000,250,Calcs!L347&gt;=1000,1000))))</f>
        <v>5000</v>
      </c>
      <c r="F347">
        <f>ROUNDUP('Ammo Input'!G347^(3/4),0)</f>
        <v>158</v>
      </c>
      <c r="G347">
        <f>ROUND((0.5*((IF(OR(B347="HEAT",B347="HEDP"),'Ammo Input'!N347,'Ammo Input'!H347)/1000)*(IF(B347="HEAT",9000,IF(B347="HEDP",1500,'Ammo Input'!G347))^2))),0)</f>
        <v>1045</v>
      </c>
      <c r="H347" s="25" t="str">
        <f>CONCATENATE(IF((B347="Foam")+(B347="Smoke"),"-",ROUND(Calcs!D347,0))," ",VLOOKUP(B347,AmmoTypeFactors,5,FALSE))</f>
        <v>15 Bullet</v>
      </c>
      <c r="I347" s="25" t="str">
        <f>IF(Calcs!E347=0,"None",CONCATENATE(ROUND(Calcs!E347,0)," ",VLOOKUP(B347,AmmoTypeFactors,6,FALSE)))</f>
        <v>None</v>
      </c>
      <c r="J347">
        <f>MROUND(2.42*'Ammo Input'!M347^(1/3)*VLOOKUP(B347,AmmoTypeFactors,3,FALSE),0.5)</f>
        <v>0</v>
      </c>
      <c r="K347" s="25" t="str">
        <f>IF(VLOOKUP(B347,AmmoTypeFactors,12,FALSE),MROUND(J347/3,0.5),"None")</f>
        <v>None</v>
      </c>
      <c r="L347" s="25">
        <f>IF(VLOOKUP(B347,AmmoTypeFactors,8,FALSE),"None",ROUNDUP(IF(Calcs!I347&gt;0,Calcs!I347,Calcs!H347),3))</f>
        <v>20.9</v>
      </c>
      <c r="M347" s="25">
        <f>IF(VLOOKUP(B347,AmmoTypeFactors,8,FALSE),"None",'Ammo Input'!L347)</f>
        <v>2</v>
      </c>
      <c r="N347">
        <f>'Ammo Input'!O347</f>
        <v>500</v>
      </c>
      <c r="O347" t="e">
        <f>ROUND((P347*0.0036+SUMPRODUCT(Q347:AB347,VLOOKUP($Q$1:$AB$1,IngredientStats,2,FALSE)))/N347*IF('Ammo Input'!R347,0.5,1),2)</f>
        <v>#VALUE!</v>
      </c>
      <c r="P347" t="e">
        <f>(SUMPRODUCT(Q347:AB347,VLOOKUP($Q$1:$AB$1,IngredientStats,4,FALSE))*VLOOKUP(B347,AmmoTypeFactors,14,FALSE)*IF('Ammo Input'!R347,1.1,1))</f>
        <v>#VALUE!</v>
      </c>
      <c r="Q347">
        <f>IFERROR(__xludf.DUMMYFUNCTION("((IF(NOT(OR(REGEXMATCH(B343, ""Arrow""), B343 = ""Javelin"", B343 = ""Stick bomb"")), ROUNDUP(('Ammo Input'!E343 / 1000) * N343)) + IF(VLOOKUP(B343, AmmoTypeFactors, 9, FALSE) = ""Steel"", ROUNDUP(('Ammo Input'!H343 -'Ammo Input'!M343) * MAX(IF('Ammo Inpu"&amp;"t'!J343 &gt; 0, 'Ammo Input'!J343, 1), 1) * N343 / 1000))) / 'Ingredient stats'!$C$2) * IF(ISBLANK(VLOOKUP(B343,AmmoTypeFactors,15,False)),1,VLOOKUP(B343,AmmoTypeFactors,15,False))"),8)</f>
        <v>8</v>
      </c>
      <c r="R347">
        <f>IFERROR(__xludf.DUMMYFUNCTION("ROUNDUP((IF(REGEXMATCH(B343, ""Arrow"") + (B343 = ""Javelin""), 'Ammo Input'!E343) + IF(VLOOKUP(B343, AmmoTypeFactors, 9, FALSE) = ""Wood"", 'Ammo Input'!H343) + IF(B343 = ""Stick bomb"", 'Ammo Input'!E343)) * N343 / 'Ingredient stats'!$C$12 / 1000)"),0)</f>
        <v>0</v>
      </c>
      <c r="S347">
        <v>0</v>
      </c>
      <c r="T347">
        <v>0</v>
      </c>
      <c r="U347">
        <f>IF(VLOOKUP(B347,AmmoTypeFactors,9,FALSE)="Plasteel",ROUNDUP(('Ammo Input'!H347*MAX(IF('Ammo Input'!J347&gt;0,'Ammo Input'!J347,1)*N347/1000/'Ingredient stats'!$C$4)),0),0)</f>
        <v>0</v>
      </c>
      <c r="V347">
        <f>IFERROR(__xludf.DUMMYFUNCTION("ROUNDUP(IF(ISBLANK(VLOOKUP(B343,AmmoTypeFactors,16,False)),1,VLOOKUP(B343,AmmoTypeFactors,16,False)) * (IFS(REGEXMATCH(B343, ""EMP""), 'Ammo Input'!M343 * N343 / 'Ingredient stats'!$C$5, REGEXMATCH(B343, ""Charge""), (U343^0.75), true, 0) + (IF(VLOOKUP(B3"&amp;"43, AmmoTypeFactors, 10, false), 2,0) + IF('Ammo Input'!P343, 2,0) + IF('Ammo Input'!Q343,MIN(ROUNDUP(0.2*('Ammo Input'!H343/1000)*'Ammo Input'!O343,0),20),0))))"),0)</f>
        <v>0</v>
      </c>
      <c r="W347">
        <v>0</v>
      </c>
      <c r="X347">
        <v>0</v>
      </c>
      <c r="Y347">
        <v>0</v>
      </c>
      <c r="Z347">
        <v>0</v>
      </c>
      <c r="AA347">
        <v>0</v>
      </c>
      <c r="AB347" s="30">
        <f>IF(B347="Sling Bullet (Stone)",ROUNDUP(D347*0.02*E347/'Ingredient stats'!$C$8,0),0)</f>
        <v>0</v>
      </c>
      <c r="AC347" t="str">
        <f t="shared" si="20"/>
        <v>None</v>
      </c>
      <c r="AD347" t="str">
        <f>IF(OR(B347="Buck",B347="Bird",B347="Charge (Scatter)"),'Ammo Input'!J347,"None")</f>
        <v>None</v>
      </c>
      <c r="AE347" t="str">
        <f>_xlfn.IFS(ISTEXT(Calcs!N347),Calcs!N347,Calcs!N347&lt;=40,Calcs!N347,Calcs!N347&gt;41,"40")</f>
        <v>None</v>
      </c>
      <c r="AF347" t="str">
        <f>_xlfn.IFS(ISTEXT(Calcs!O347),Calcs!O347,Calcs!O347&lt;=80,Calcs!O347,Calcs!O347&gt;=81,"80")</f>
        <v>None</v>
      </c>
      <c r="AG347" s="25">
        <f t="shared" si="21"/>
        <v>1</v>
      </c>
      <c r="AH347" s="25">
        <f t="shared" si="22"/>
        <v>2.6</v>
      </c>
      <c r="AI347" s="25">
        <f t="shared" si="23"/>
        <v>1</v>
      </c>
    </row>
    <row r="348" ht="14.4" spans="1:35">
      <c r="A348" s="24" t="str">
        <f>'Ammo Input'!A348</f>
        <v>5.45x39mm Soviet</v>
      </c>
      <c r="B348" t="str">
        <f>'Ammo Input'!B348</f>
        <v>FMJ</v>
      </c>
      <c r="C348">
        <f>ROUNDUP(('Ammo Input'!C348*(MAX('Ammo Input'!D348,'Ammo Input'!F348)*0.5)^2*PI())*3/1000000,2)</f>
        <v>0.02</v>
      </c>
      <c r="D348">
        <f>ROUNDUP(('Ammo Input'!E348+'Ammo Input'!H348*IF('Ammo Input'!J348&lt;&gt;"",MAX('Ammo Input'!J348,1),1))/1000,3)</f>
        <v>0.011</v>
      </c>
      <c r="E348">
        <f>MIN(5000,MAX(25,CEILING(Calcs!L348,_xlfn.IFS(Calcs!L348&lt;100,25,Calcs!L348&lt;250,50,Calcs!L348&lt;1000,250,Calcs!L348&gt;=1000,1000))))</f>
        <v>5000</v>
      </c>
      <c r="F348">
        <f>ROUNDUP('Ammo Input'!G348^(3/4),0)</f>
        <v>162</v>
      </c>
      <c r="G348">
        <f>ROUND((0.5*((IF(OR(B348="HEAT",B348="HEDP"),'Ammo Input'!N348,'Ammo Input'!H348)/1000)*(IF(B348="HEAT",9000,IF(B348="HEDP",1500,'Ammo Input'!G348))^2))),0)</f>
        <v>1402</v>
      </c>
      <c r="H348" s="25" t="str">
        <f>CONCATENATE(IF((B348="Foam")+(B348="Smoke"),"-",ROUND(Calcs!D348,0))," ",VLOOKUP(B348,AmmoTypeFactors,5,FALSE))</f>
        <v>13 Bullet</v>
      </c>
      <c r="I348" s="25" t="str">
        <f>IF(Calcs!E348=0,"None",CONCATENATE(ROUND(Calcs!E348,0)," ",VLOOKUP(B348,AmmoTypeFactors,6,FALSE)))</f>
        <v>None</v>
      </c>
      <c r="J348">
        <f>MROUND(2.42*'Ammo Input'!M348^(1/3)*VLOOKUP(B348,AmmoTypeFactors,3,FALSE),0.5)</f>
        <v>0</v>
      </c>
      <c r="K348" s="25" t="str">
        <f>IF(VLOOKUP(B348,AmmoTypeFactors,12,FALSE),MROUND(J348/3,0.5),"None")</f>
        <v>None</v>
      </c>
      <c r="L348" s="25">
        <f>IF(VLOOKUP(B348,AmmoTypeFactors,8,FALSE),"None",ROUNDUP(IF(Calcs!I348&gt;0,Calcs!I348,Calcs!H348),3))</f>
        <v>28.04</v>
      </c>
      <c r="M348" s="25">
        <f>IF(VLOOKUP(B348,AmmoTypeFactors,8,FALSE),"None",'Ammo Input'!L348)</f>
        <v>5.5</v>
      </c>
      <c r="N348">
        <f>'Ammo Input'!O348</f>
        <v>500</v>
      </c>
      <c r="O348" t="e">
        <f>ROUND((P348*0.0036+SUMPRODUCT(Q348:AB348,VLOOKUP($Q$1:$AB$1,IngredientStats,2,FALSE)))/N348*IF('Ammo Input'!R348,0.5,1),2)</f>
        <v>#VALUE!</v>
      </c>
      <c r="P348" t="e">
        <f>(SUMPRODUCT(Q348:AB348,VLOOKUP($Q$1:$AB$1,IngredientStats,4,FALSE))*VLOOKUP(B348,AmmoTypeFactors,14,FALSE)*IF('Ammo Input'!R348,1.1,1))</f>
        <v>#VALUE!</v>
      </c>
      <c r="Q348">
        <f>IFERROR(__xludf.DUMMYFUNCTION("((IF(NOT(OR(REGEXMATCH(B344, ""Arrow""), B344 = ""Javelin"", B344 = ""Stick bomb"")), ROUNDUP(('Ammo Input'!E344 / 1000) * N344)) + IF(VLOOKUP(B344, AmmoTypeFactors, 9, FALSE) = ""Steel"", ROUNDUP(('Ammo Input'!H344 -'Ammo Input'!M344) * MAX(IF('Ammo Inpu"&amp;"t'!J344 &gt; 0, 'Ammo Input'!J344, 1), 1) * N344 / 1000))) / 'Ingredient stats'!$C$2) * IF(ISBLANK(VLOOKUP(B344,AmmoTypeFactors,15,False)),1,VLOOKUP(B344,AmmoTypeFactors,15,False))"),12)</f>
        <v>12</v>
      </c>
      <c r="R348">
        <f>IFERROR(__xludf.DUMMYFUNCTION("ROUNDUP((IF(REGEXMATCH(B344, ""Arrow"") + (B344 = ""Javelin""), 'Ammo Input'!E344) + IF(VLOOKUP(B344, AmmoTypeFactors, 9, FALSE) = ""Wood"", 'Ammo Input'!H344) + IF(B344 = ""Stick bomb"", 'Ammo Input'!E344)) * N344 / 'Ingredient stats'!$C$12 / 1000)"),0)</f>
        <v>0</v>
      </c>
      <c r="S348">
        <v>0</v>
      </c>
      <c r="T348">
        <v>0</v>
      </c>
      <c r="U348">
        <f>IF(VLOOKUP(B348,AmmoTypeFactors,9,FALSE)="Plasteel",ROUNDUP(('Ammo Input'!H348*MAX(IF('Ammo Input'!J348&gt;0,'Ammo Input'!J348,1)*N348/1000/'Ingredient stats'!$C$4)),0),0)</f>
        <v>0</v>
      </c>
      <c r="V348">
        <f>IFERROR(__xludf.DUMMYFUNCTION("ROUNDUP(IF(ISBLANK(VLOOKUP(B344,AmmoTypeFactors,16,False)),1,VLOOKUP(B344,AmmoTypeFactors,16,False)) * (IFS(REGEXMATCH(B344, ""EMP""), 'Ammo Input'!M344 * N344 / 'Ingredient stats'!$C$5, REGEXMATCH(B344, ""Charge""), (U344^0.75), true, 0) + (IF(VLOOKUP(B3"&amp;"44, AmmoTypeFactors, 10, false), 2,0) + IF('Ammo Input'!P344, 2,0) + IF('Ammo Input'!Q344,MIN(ROUNDUP(0.2*('Ammo Input'!H344/1000)*'Ammo Input'!O344,0),20),0))))"),0)</f>
        <v>0</v>
      </c>
      <c r="W348">
        <v>0</v>
      </c>
      <c r="X348">
        <v>0</v>
      </c>
      <c r="Y348">
        <v>0</v>
      </c>
      <c r="Z348">
        <v>0</v>
      </c>
      <c r="AA348">
        <v>0</v>
      </c>
      <c r="AB348" s="30">
        <f>IF(B348="Sling Bullet (Stone)",ROUNDUP(D348*0.02*E348/'Ingredient stats'!$C$8,0),0)</f>
        <v>0</v>
      </c>
      <c r="AC348" t="str">
        <f t="shared" si="20"/>
        <v>None</v>
      </c>
      <c r="AD348" t="str">
        <f>IF(OR(B348="Buck",B348="Bird",B348="Charge (Scatter)"),'Ammo Input'!J348,"None")</f>
        <v>None</v>
      </c>
      <c r="AE348" t="str">
        <f>_xlfn.IFS(ISTEXT(Calcs!N348),Calcs!N348,Calcs!N348&lt;=40,Calcs!N348,Calcs!N348&gt;41,"40")</f>
        <v>None</v>
      </c>
      <c r="AF348" t="str">
        <f>_xlfn.IFS(ISTEXT(Calcs!O348),Calcs!O348,Calcs!O348&lt;=80,Calcs!O348,Calcs!O348&gt;=81,"80")</f>
        <v>None</v>
      </c>
      <c r="AG348" s="25">
        <f t="shared" si="21"/>
        <v>1</v>
      </c>
      <c r="AH348" s="25">
        <f t="shared" si="22"/>
        <v>2.63</v>
      </c>
      <c r="AI348" s="25">
        <f t="shared" si="23"/>
        <v>1</v>
      </c>
    </row>
    <row r="349" ht="14.4" spans="1:35">
      <c r="A349" s="24" t="str">
        <f>'Ammo Input'!A349</f>
        <v>5.45x39mm Soviet</v>
      </c>
      <c r="B349" t="str">
        <f>'Ammo Input'!B349</f>
        <v>AP</v>
      </c>
      <c r="C349">
        <f>ROUNDUP(('Ammo Input'!C349*(MAX('Ammo Input'!D349,'Ammo Input'!F349)*0.5)^2*PI())*3/1000000,2)</f>
        <v>0.02</v>
      </c>
      <c r="D349">
        <f>ROUNDUP(('Ammo Input'!E349+'Ammo Input'!H349*IF('Ammo Input'!J349&lt;&gt;"",MAX('Ammo Input'!J349,1),1))/1000,3)</f>
        <v>0.011</v>
      </c>
      <c r="E349">
        <f>MIN(5000,MAX(25,CEILING(Calcs!L349,_xlfn.IFS(Calcs!L349&lt;100,25,Calcs!L349&lt;250,50,Calcs!L349&lt;1000,250,Calcs!L349&gt;=1000,1000))))</f>
        <v>5000</v>
      </c>
      <c r="F349">
        <f>ROUNDUP('Ammo Input'!G349^(3/4),0)</f>
        <v>162</v>
      </c>
      <c r="G349">
        <f>ROUND((0.5*((IF(OR(B349="HEAT",B349="HEDP"),'Ammo Input'!N349,'Ammo Input'!H349)/1000)*(IF(B349="HEAT",9000,IF(B349="HEDP",1500,'Ammo Input'!G349))^2))),0)</f>
        <v>1402</v>
      </c>
      <c r="H349" s="25" t="str">
        <f>CONCATENATE(IF((B349="Foam")+(B349="Smoke"),"-",ROUND(Calcs!D349,0))," ",VLOOKUP(B349,AmmoTypeFactors,5,FALSE))</f>
        <v>8 Bullet</v>
      </c>
      <c r="I349" s="25" t="str">
        <f>IF(Calcs!E349=0,"None",CONCATENATE(ROUND(Calcs!E349,0)," ",VLOOKUP(B349,AmmoTypeFactors,6,FALSE)))</f>
        <v>None</v>
      </c>
      <c r="J349">
        <f>MROUND(2.42*'Ammo Input'!M349^(1/3)*VLOOKUP(B349,AmmoTypeFactors,3,FALSE),0.5)</f>
        <v>0</v>
      </c>
      <c r="K349" s="25" t="str">
        <f>IF(VLOOKUP(B349,AmmoTypeFactors,12,FALSE),MROUND(J349/3,0.5),"None")</f>
        <v>None</v>
      </c>
      <c r="L349" s="25">
        <f>IF(VLOOKUP(B349,AmmoTypeFactors,8,FALSE),"None",ROUNDUP(IF(Calcs!I349&gt;0,Calcs!I349,Calcs!H349),3))</f>
        <v>28.04</v>
      </c>
      <c r="M349" s="25">
        <f>IF(VLOOKUP(B349,AmmoTypeFactors,8,FALSE),"None",'Ammo Input'!L349)</f>
        <v>11</v>
      </c>
      <c r="N349">
        <f>'Ammo Input'!O349</f>
        <v>500</v>
      </c>
      <c r="O349" t="e">
        <f>ROUND((P349*0.0036+SUMPRODUCT(Q349:AB349,VLOOKUP($Q$1:$AB$1,IngredientStats,2,FALSE)))/N349*IF('Ammo Input'!R349,0.5,1),2)</f>
        <v>#VALUE!</v>
      </c>
      <c r="P349" t="e">
        <f>(SUMPRODUCT(Q349:AB349,VLOOKUP($Q$1:$AB$1,IngredientStats,4,FALSE))*VLOOKUP(B349,AmmoTypeFactors,14,FALSE)*IF('Ammo Input'!R349,1.1,1))</f>
        <v>#VALUE!</v>
      </c>
      <c r="Q349">
        <f>IFERROR(__xludf.DUMMYFUNCTION("((IF(NOT(OR(REGEXMATCH(B345, ""Arrow""), B345 = ""Javelin"", B345 = ""Stick bomb"")), ROUNDUP(('Ammo Input'!E345 / 1000) * N345)) + IF(VLOOKUP(B345, AmmoTypeFactors, 9, FALSE) = ""Steel"", ROUNDUP(('Ammo Input'!H345 -'Ammo Input'!M345) * MAX(IF('Ammo Inpu"&amp;"t'!J345 &gt; 0, 'Ammo Input'!J345, 1), 1) * N345 / 1000))) / 'Ingredient stats'!$C$2) * IF(ISBLANK(VLOOKUP(B345,AmmoTypeFactors,15,False)),1,VLOOKUP(B345,AmmoTypeFactors,15,False))"),12)</f>
        <v>12</v>
      </c>
      <c r="R349">
        <f>IFERROR(__xludf.DUMMYFUNCTION("ROUNDUP((IF(REGEXMATCH(B345, ""Arrow"") + (B345 = ""Javelin""), 'Ammo Input'!E345) + IF(VLOOKUP(B345, AmmoTypeFactors, 9, FALSE) = ""Wood"", 'Ammo Input'!H345) + IF(B345 = ""Stick bomb"", 'Ammo Input'!E345)) * N345 / 'Ingredient stats'!$C$12 / 1000)"),0)</f>
        <v>0</v>
      </c>
      <c r="S349">
        <v>0</v>
      </c>
      <c r="T349">
        <v>0</v>
      </c>
      <c r="U349">
        <f>IF(VLOOKUP(B349,AmmoTypeFactors,9,FALSE)="Plasteel",ROUNDUP(('Ammo Input'!H349*MAX(IF('Ammo Input'!J349&gt;0,'Ammo Input'!J349,1)*N349/1000/'Ingredient stats'!$C$4)),0),0)</f>
        <v>0</v>
      </c>
      <c r="V349">
        <f>IFERROR(__xludf.DUMMYFUNCTION("ROUNDUP(IF(ISBLANK(VLOOKUP(B345,AmmoTypeFactors,16,False)),1,VLOOKUP(B345,AmmoTypeFactors,16,False)) * (IFS(REGEXMATCH(B345, ""EMP""), 'Ammo Input'!M345 * N345 / 'Ingredient stats'!$C$5, REGEXMATCH(B345, ""Charge""), (U345^0.75), true, 0) + (IF(VLOOKUP(B3"&amp;"45, AmmoTypeFactors, 10, false), 2,0) + IF('Ammo Input'!P345, 2,0) + IF('Ammo Input'!Q345,MIN(ROUNDUP(0.2*('Ammo Input'!H345/1000)*'Ammo Input'!O345,0),20),0))))"),0)</f>
        <v>0</v>
      </c>
      <c r="W349">
        <v>0</v>
      </c>
      <c r="X349">
        <v>0</v>
      </c>
      <c r="Y349">
        <v>0</v>
      </c>
      <c r="Z349">
        <v>0</v>
      </c>
      <c r="AA349">
        <v>0</v>
      </c>
      <c r="AB349" s="30">
        <f>IF(B349="Sling Bullet (Stone)",ROUNDUP(D349*0.02*E349/'Ingredient stats'!$C$8,0),0)</f>
        <v>0</v>
      </c>
      <c r="AC349" t="str">
        <f t="shared" si="20"/>
        <v>None</v>
      </c>
      <c r="AD349" t="str">
        <f>IF(OR(B349="Buck",B349="Bird",B349="Charge (Scatter)"),'Ammo Input'!J349,"None")</f>
        <v>None</v>
      </c>
      <c r="AE349" t="str">
        <f>_xlfn.IFS(ISTEXT(Calcs!N349),Calcs!N349,Calcs!N349&lt;=40,Calcs!N349,Calcs!N349&gt;41,"40")</f>
        <v>None</v>
      </c>
      <c r="AF349" t="str">
        <f>_xlfn.IFS(ISTEXT(Calcs!O349),Calcs!O349,Calcs!O349&lt;=80,Calcs!O349,Calcs!O349&gt;=81,"80")</f>
        <v>None</v>
      </c>
      <c r="AG349" s="25">
        <f t="shared" si="21"/>
        <v>1</v>
      </c>
      <c r="AH349" s="25">
        <f t="shared" si="22"/>
        <v>2.63</v>
      </c>
      <c r="AI349" s="25">
        <f t="shared" si="23"/>
        <v>1</v>
      </c>
    </row>
    <row r="350" ht="14.4" spans="1:35">
      <c r="A350" s="24" t="str">
        <f>'Ammo Input'!A350</f>
        <v>5.45x39mm Soviet</v>
      </c>
      <c r="B350" t="str">
        <f>'Ammo Input'!B350</f>
        <v>HP</v>
      </c>
      <c r="C350">
        <f>ROUNDUP(('Ammo Input'!C350*(MAX('Ammo Input'!D350,'Ammo Input'!F350)*0.5)^2*PI())*3/1000000,2)</f>
        <v>0.02</v>
      </c>
      <c r="D350">
        <f>ROUNDUP(('Ammo Input'!E350+'Ammo Input'!H350*IF('Ammo Input'!J350&lt;&gt;"",MAX('Ammo Input'!J350,1),1))/1000,3)</f>
        <v>0.011</v>
      </c>
      <c r="E350">
        <f>MIN(5000,MAX(25,CEILING(Calcs!L350,_xlfn.IFS(Calcs!L350&lt;100,25,Calcs!L350&lt;250,50,Calcs!L350&lt;1000,250,Calcs!L350&gt;=1000,1000))))</f>
        <v>5000</v>
      </c>
      <c r="F350">
        <f>ROUNDUP('Ammo Input'!G350^(3/4),0)</f>
        <v>162</v>
      </c>
      <c r="G350">
        <f>ROUND((0.5*((IF(OR(B350="HEAT",B350="HEDP"),'Ammo Input'!N350,'Ammo Input'!H350)/1000)*(IF(B350="HEAT",9000,IF(B350="HEDP",1500,'Ammo Input'!G350))^2))),0)</f>
        <v>1402</v>
      </c>
      <c r="H350" s="25" t="str">
        <f>CONCATENATE(IF((B350="Foam")+(B350="Smoke"),"-",ROUND(Calcs!D350,0))," ",VLOOKUP(B350,AmmoTypeFactors,5,FALSE))</f>
        <v>16 Bullet</v>
      </c>
      <c r="I350" s="25" t="str">
        <f>IF(Calcs!E350=0,"None",CONCATENATE(ROUND(Calcs!E350,0)," ",VLOOKUP(B350,AmmoTypeFactors,6,FALSE)))</f>
        <v>None</v>
      </c>
      <c r="J350">
        <f>MROUND(2.42*'Ammo Input'!M350^(1/3)*VLOOKUP(B350,AmmoTypeFactors,3,FALSE),0.5)</f>
        <v>0</v>
      </c>
      <c r="K350" s="25" t="str">
        <f>IF(VLOOKUP(B350,AmmoTypeFactors,12,FALSE),MROUND(J350/3,0.5),"None")</f>
        <v>None</v>
      </c>
      <c r="L350" s="25">
        <f>IF(VLOOKUP(B350,AmmoTypeFactors,8,FALSE),"None",ROUNDUP(IF(Calcs!I350&gt;0,Calcs!I350,Calcs!H350),3))</f>
        <v>28.04</v>
      </c>
      <c r="M350" s="25">
        <f>IF(VLOOKUP(B350,AmmoTypeFactors,8,FALSE),"None",'Ammo Input'!L350)</f>
        <v>3</v>
      </c>
      <c r="N350">
        <f>'Ammo Input'!O350</f>
        <v>500</v>
      </c>
      <c r="O350" t="e">
        <f>ROUND((P350*0.0036+SUMPRODUCT(Q350:AB350,VLOOKUP($Q$1:$AB$1,IngredientStats,2,FALSE)))/N350*IF('Ammo Input'!R350,0.5,1),2)</f>
        <v>#VALUE!</v>
      </c>
      <c r="P350" t="e">
        <f>(SUMPRODUCT(Q350:AB350,VLOOKUP($Q$1:$AB$1,IngredientStats,4,FALSE))*VLOOKUP(B350,AmmoTypeFactors,14,FALSE)*IF('Ammo Input'!R350,1.1,1))</f>
        <v>#VALUE!</v>
      </c>
      <c r="Q350">
        <f>IFERROR(__xludf.DUMMYFUNCTION("((IF(NOT(OR(REGEXMATCH(B346, ""Arrow""), B346 = ""Javelin"", B346 = ""Stick bomb"")), ROUNDUP(('Ammo Input'!E346 / 1000) * N346)) + IF(VLOOKUP(B346, AmmoTypeFactors, 9, FALSE) = ""Steel"", ROUNDUP(('Ammo Input'!H346 -'Ammo Input'!M346) * MAX(IF('Ammo Inpu"&amp;"t'!J346 &gt; 0, 'Ammo Input'!J346, 1), 1) * N346 / 1000))) / 'Ingredient stats'!$C$2) * IF(ISBLANK(VLOOKUP(B346,AmmoTypeFactors,15,False)),1,VLOOKUP(B346,AmmoTypeFactors,15,False))"),12)</f>
        <v>12</v>
      </c>
      <c r="R350">
        <f>IFERROR(__xludf.DUMMYFUNCTION("ROUNDUP((IF(REGEXMATCH(B346, ""Arrow"") + (B346 = ""Javelin""), 'Ammo Input'!E346) + IF(VLOOKUP(B346, AmmoTypeFactors, 9, FALSE) = ""Wood"", 'Ammo Input'!H346) + IF(B346 = ""Stick bomb"", 'Ammo Input'!E346)) * N346 / 'Ingredient stats'!$C$12 / 1000)"),0)</f>
        <v>0</v>
      </c>
      <c r="S350">
        <v>0</v>
      </c>
      <c r="T350">
        <v>0</v>
      </c>
      <c r="U350">
        <f>IF(VLOOKUP(B350,AmmoTypeFactors,9,FALSE)="Plasteel",ROUNDUP(('Ammo Input'!H350*MAX(IF('Ammo Input'!J350&gt;0,'Ammo Input'!J350,1)*N350/1000/'Ingredient stats'!$C$4)),0),0)</f>
        <v>0</v>
      </c>
      <c r="V350">
        <f>IFERROR(__xludf.DUMMYFUNCTION("ROUNDUP(IF(ISBLANK(VLOOKUP(B346,AmmoTypeFactors,16,False)),1,VLOOKUP(B346,AmmoTypeFactors,16,False)) * (IFS(REGEXMATCH(B346, ""EMP""), 'Ammo Input'!M346 * N346 / 'Ingredient stats'!$C$5, REGEXMATCH(B346, ""Charge""), (U346^0.75), true, 0) + (IF(VLOOKUP(B3"&amp;"46, AmmoTypeFactors, 10, false), 2,0) + IF('Ammo Input'!P346, 2,0) + IF('Ammo Input'!Q346,MIN(ROUNDUP(0.2*('Ammo Input'!H346/1000)*'Ammo Input'!O346,0),20),0))))"),0)</f>
        <v>0</v>
      </c>
      <c r="W350">
        <v>0</v>
      </c>
      <c r="X350">
        <v>0</v>
      </c>
      <c r="Y350">
        <v>0</v>
      </c>
      <c r="Z350">
        <v>0</v>
      </c>
      <c r="AA350">
        <v>0</v>
      </c>
      <c r="AB350" s="30">
        <f>IF(B350="Sling Bullet (Stone)",ROUNDUP(D350*0.02*E350/'Ingredient stats'!$C$8,0),0)</f>
        <v>0</v>
      </c>
      <c r="AC350" t="str">
        <f t="shared" si="20"/>
        <v>None</v>
      </c>
      <c r="AD350" t="str">
        <f>IF(OR(B350="Buck",B350="Bird",B350="Charge (Scatter)"),'Ammo Input'!J350,"None")</f>
        <v>None</v>
      </c>
      <c r="AE350" t="str">
        <f>_xlfn.IFS(ISTEXT(Calcs!N350),Calcs!N350,Calcs!N350&lt;=40,Calcs!N350,Calcs!N350&gt;41,"40")</f>
        <v>None</v>
      </c>
      <c r="AF350" t="str">
        <f>_xlfn.IFS(ISTEXT(Calcs!O350),Calcs!O350,Calcs!O350&lt;=80,Calcs!O350,Calcs!O350&gt;=81,"80")</f>
        <v>None</v>
      </c>
      <c r="AG350" s="25">
        <f t="shared" si="21"/>
        <v>1</v>
      </c>
      <c r="AH350" s="25">
        <f t="shared" si="22"/>
        <v>2.63</v>
      </c>
      <c r="AI350" s="25">
        <f t="shared" si="23"/>
        <v>1</v>
      </c>
    </row>
    <row r="351" ht="14.4" spans="1:35">
      <c r="A351" s="24" t="str">
        <f>'Ammo Input'!A351</f>
        <v>5.45x39mm Soviet</v>
      </c>
      <c r="B351" t="str">
        <f>'Ammo Input'!B351</f>
        <v>AP-I</v>
      </c>
      <c r="C351">
        <f>ROUNDUP(('Ammo Input'!C351*(MAX('Ammo Input'!D351,'Ammo Input'!F351)*0.5)^2*PI())*3/1000000,2)</f>
        <v>0.02</v>
      </c>
      <c r="D351">
        <f>ROUNDUP(('Ammo Input'!E351+'Ammo Input'!H351*IF('Ammo Input'!J351&lt;&gt;"",MAX('Ammo Input'!J351,1),1))/1000,3)</f>
        <v>0.011</v>
      </c>
      <c r="E351">
        <f>MIN(5000,MAX(25,CEILING(Calcs!L351,_xlfn.IFS(Calcs!L351&lt;100,25,Calcs!L351&lt;250,50,Calcs!L351&lt;1000,250,Calcs!L351&gt;=1000,1000))))</f>
        <v>5000</v>
      </c>
      <c r="F351">
        <f>ROUNDUP('Ammo Input'!G351^(3/4),0)</f>
        <v>162</v>
      </c>
      <c r="G351">
        <f>ROUND((0.5*((IF(OR(B351="HEAT",B351="HEDP"),'Ammo Input'!N351,'Ammo Input'!H351)/1000)*(IF(B351="HEAT",9000,IF(B351="HEDP",1500,'Ammo Input'!G351))^2))),0)</f>
        <v>1402</v>
      </c>
      <c r="H351" s="25" t="str">
        <f>CONCATENATE(IF((B351="Foam")+(B351="Smoke"),"-",ROUND(Calcs!D351,0))," ",VLOOKUP(B351,AmmoTypeFactors,5,FALSE))</f>
        <v>8 Bullet</v>
      </c>
      <c r="I351" s="25" t="str">
        <f>IF(Calcs!E351=0,"None",CONCATENATE(ROUND(Calcs!E351,0)," ",VLOOKUP(B351,AmmoTypeFactors,6,FALSE)))</f>
        <v>3 Flame_Secondary</v>
      </c>
      <c r="J351">
        <f>MROUND(2.42*'Ammo Input'!M351^(1/3)*VLOOKUP(B351,AmmoTypeFactors,3,FALSE),0.5)</f>
        <v>0</v>
      </c>
      <c r="K351" s="25" t="str">
        <f>IF(VLOOKUP(B351,AmmoTypeFactors,12,FALSE),MROUND(J351/3,0.5),"None")</f>
        <v>None</v>
      </c>
      <c r="L351" s="25">
        <f>IF(VLOOKUP(B351,AmmoTypeFactors,8,FALSE),"None",ROUNDUP(IF(Calcs!I351&gt;0,Calcs!I351,Calcs!H351),3))</f>
        <v>28.04</v>
      </c>
      <c r="M351" s="25">
        <f>IF(VLOOKUP(B351,AmmoTypeFactors,8,FALSE),"None",'Ammo Input'!L351)</f>
        <v>11</v>
      </c>
      <c r="N351">
        <f>'Ammo Input'!O351</f>
        <v>500</v>
      </c>
      <c r="O351" t="e">
        <f>ROUND((P351*0.0036+SUMPRODUCT(Q351:AB351,VLOOKUP($Q$1:$AB$1,IngredientStats,2,FALSE)))/N351*IF('Ammo Input'!R351,0.5,1),2)</f>
        <v>#VALUE!</v>
      </c>
      <c r="P351" t="e">
        <f>(SUMPRODUCT(Q351:AB351,VLOOKUP($Q$1:$AB$1,IngredientStats,4,FALSE))*VLOOKUP(B351,AmmoTypeFactors,14,FALSE)*IF('Ammo Input'!R351,1.1,1))</f>
        <v>#VALUE!</v>
      </c>
      <c r="Q351">
        <f>IFERROR(__xludf.DUMMYFUNCTION("((IF(NOT(OR(REGEXMATCH(B347, ""Arrow""), B347 = ""Javelin"", B347 = ""Stick bomb"")), ROUNDUP(('Ammo Input'!E347 / 1000) * N347)) + IF(VLOOKUP(B347, AmmoTypeFactors, 9, FALSE) = ""Steel"", ROUNDUP(('Ammo Input'!H347 -'Ammo Input'!M347) * MAX(IF('Ammo Inpu"&amp;"t'!J347 &gt; 0, 'Ammo Input'!J347, 1), 1) * N347 / 1000))) / 'Ingredient stats'!$C$2) * IF(ISBLANK(VLOOKUP(B347,AmmoTypeFactors,15,False)),1,VLOOKUP(B347,AmmoTypeFactors,15,False))"),12)</f>
        <v>12</v>
      </c>
      <c r="R351">
        <f>IFERROR(__xludf.DUMMYFUNCTION("ROUNDUP((IF(REGEXMATCH(B347, ""Arrow"") + (B347 = ""Javelin""), 'Ammo Input'!E347) + IF(VLOOKUP(B347, AmmoTypeFactors, 9, FALSE) = ""Wood"", 'Ammo Input'!H347) + IF(B347 = ""Stick bomb"", 'Ammo Input'!E347)) * N347 / 'Ingredient stats'!$C$12 / 1000)"),0)</f>
        <v>0</v>
      </c>
      <c r="S351">
        <v>0</v>
      </c>
      <c r="T351">
        <v>0</v>
      </c>
      <c r="U351">
        <f>IF(VLOOKUP(B351,AmmoTypeFactors,9,FALSE)="Plasteel",ROUNDUP(('Ammo Input'!H351*MAX(IF('Ammo Input'!J351&gt;0,'Ammo Input'!J351,1)*N351/1000/'Ingredient stats'!$C$4)),0),0)</f>
        <v>0</v>
      </c>
      <c r="V351">
        <f>IFERROR(__xludf.DUMMYFUNCTION("ROUNDUP(IF(ISBLANK(VLOOKUP(B347,AmmoTypeFactors,16,False)),1,VLOOKUP(B347,AmmoTypeFactors,16,False)) * (IFS(REGEXMATCH(B347, ""EMP""), 'Ammo Input'!M347 * N347 / 'Ingredient stats'!$C$5, REGEXMATCH(B347, ""Charge""), (U347^0.75), true, 0) + (IF(VLOOKUP(B3"&amp;"47, AmmoTypeFactors, 10, false), 2,0) + IF('Ammo Input'!P347, 2,0) + IF('Ammo Input'!Q347,MIN(ROUNDUP(0.2*('Ammo Input'!H347/1000)*'Ammo Input'!O347,0),20),0))))"),0)</f>
        <v>0</v>
      </c>
      <c r="W351">
        <v>1</v>
      </c>
      <c r="X351">
        <v>0</v>
      </c>
      <c r="Y351">
        <v>0</v>
      </c>
      <c r="Z351">
        <v>0</v>
      </c>
      <c r="AA351">
        <v>0</v>
      </c>
      <c r="AB351" s="30">
        <f>IF(B351="Sling Bullet (Stone)",ROUNDUP(D351*0.02*E351/'Ingredient stats'!$C$8,0),0)</f>
        <v>0</v>
      </c>
      <c r="AC351" t="str">
        <f t="shared" si="20"/>
        <v>None</v>
      </c>
      <c r="AD351" t="str">
        <f>IF(OR(B351="Buck",B351="Bird",B351="Charge (Scatter)"),'Ammo Input'!J351,"None")</f>
        <v>None</v>
      </c>
      <c r="AE351" t="str">
        <f>_xlfn.IFS(ISTEXT(Calcs!N351),Calcs!N351,Calcs!N351&lt;=40,Calcs!N351,Calcs!N351&gt;41,"40")</f>
        <v>None</v>
      </c>
      <c r="AF351" t="str">
        <f>_xlfn.IFS(ISTEXT(Calcs!O351),Calcs!O351,Calcs!O351&lt;=80,Calcs!O351,Calcs!O351&gt;=81,"80")</f>
        <v>None</v>
      </c>
      <c r="AG351" s="25">
        <f t="shared" si="21"/>
        <v>1</v>
      </c>
      <c r="AH351" s="25">
        <f t="shared" si="22"/>
        <v>2.63</v>
      </c>
      <c r="AI351" s="25">
        <f t="shared" si="23"/>
        <v>1</v>
      </c>
    </row>
    <row r="352" ht="14.4" spans="1:35">
      <c r="A352" s="24" t="str">
        <f>'Ammo Input'!A352</f>
        <v>5.45x39mm Soviet</v>
      </c>
      <c r="B352" t="str">
        <f>'Ammo Input'!B352</f>
        <v>AP-HE</v>
      </c>
      <c r="C352">
        <f>ROUNDUP(('Ammo Input'!C352*(MAX('Ammo Input'!D352,'Ammo Input'!F352)*0.5)^2*PI())*3/1000000,2)</f>
        <v>0.02</v>
      </c>
      <c r="D352">
        <f>ROUNDUP(('Ammo Input'!E352+'Ammo Input'!H352*IF('Ammo Input'!J352&lt;&gt;"",MAX('Ammo Input'!J352,1),1))/1000,3)</f>
        <v>0.011</v>
      </c>
      <c r="E352">
        <f>MIN(5000,MAX(25,CEILING(Calcs!L352,_xlfn.IFS(Calcs!L352&lt;100,25,Calcs!L352&lt;250,50,Calcs!L352&lt;1000,250,Calcs!L352&gt;=1000,1000))))</f>
        <v>5000</v>
      </c>
      <c r="F352">
        <f>ROUNDUP('Ammo Input'!G352^(3/4),0)</f>
        <v>162</v>
      </c>
      <c r="G352">
        <f>ROUND((0.5*((IF(OR(B352="HEAT",B352="HEDP"),'Ammo Input'!N352,'Ammo Input'!H352)/1000)*(IF(B352="HEAT",9000,IF(B352="HEDP",1500,'Ammo Input'!G352))^2))),0)</f>
        <v>1402</v>
      </c>
      <c r="H352" s="25" t="str">
        <f>CONCATENATE(IF((B352="Foam")+(B352="Smoke"),"-",ROUND(Calcs!D352,0))," ",VLOOKUP(B352,AmmoTypeFactors,5,FALSE))</f>
        <v>13 Bullet</v>
      </c>
      <c r="I352" s="25" t="str">
        <f>IF(Calcs!E352=0,"None",CONCATENATE(ROUND(Calcs!E352,0)," ",VLOOKUP(B352,AmmoTypeFactors,6,FALSE)))</f>
        <v>4 Bomb_Secondary</v>
      </c>
      <c r="J352">
        <f>MROUND(2.42*'Ammo Input'!M352^(1/3)*VLOOKUP(B352,AmmoTypeFactors,3,FALSE),0.5)</f>
        <v>0</v>
      </c>
      <c r="K352" s="25" t="str">
        <f>IF(VLOOKUP(B352,AmmoTypeFactors,12,FALSE),MROUND(J352/3,0.5),"None")</f>
        <v>None</v>
      </c>
      <c r="L352" s="25">
        <f>IF(VLOOKUP(B352,AmmoTypeFactors,8,FALSE),"None",ROUNDUP(IF(Calcs!I352&gt;0,Calcs!I352,Calcs!H352),3))</f>
        <v>28.04</v>
      </c>
      <c r="M352" s="25">
        <f>IF(VLOOKUP(B352,AmmoTypeFactors,8,FALSE),"None",'Ammo Input'!L352)</f>
        <v>5.5</v>
      </c>
      <c r="N352">
        <f>'Ammo Input'!O352</f>
        <v>500</v>
      </c>
      <c r="O352" t="e">
        <f>ROUND((P352*0.0036+SUMPRODUCT(Q352:AB352,VLOOKUP($Q$1:$AB$1,IngredientStats,2,FALSE)))/N352*IF('Ammo Input'!R352,0.5,1),2)</f>
        <v>#VALUE!</v>
      </c>
      <c r="P352" t="e">
        <f>(SUMPRODUCT(Q352:AB352,VLOOKUP($Q$1:$AB$1,IngredientStats,4,FALSE))*VLOOKUP(B352,AmmoTypeFactors,14,FALSE)*IF('Ammo Input'!R352,1.1,1))</f>
        <v>#VALUE!</v>
      </c>
      <c r="Q352">
        <f>IFERROR(__xludf.DUMMYFUNCTION("((IF(NOT(OR(REGEXMATCH(B348, ""Arrow""), B348 = ""Javelin"", B348 = ""Stick bomb"")), ROUNDUP(('Ammo Input'!E348 / 1000) * N348)) + IF(VLOOKUP(B348, AmmoTypeFactors, 9, FALSE) = ""Steel"", ROUNDUP(('Ammo Input'!H348 -'Ammo Input'!M348) * MAX(IF('Ammo Inpu"&amp;"t'!J348 &gt; 0, 'Ammo Input'!J348, 1), 1) * N348 / 1000))) / 'Ingredient stats'!$C$2) * IF(ISBLANK(VLOOKUP(B348,AmmoTypeFactors,15,False)),1,VLOOKUP(B348,AmmoTypeFactors,15,False))"),12)</f>
        <v>12</v>
      </c>
      <c r="R352">
        <f>IFERROR(__xludf.DUMMYFUNCTION("ROUNDUP((IF(REGEXMATCH(B348, ""Arrow"") + (B348 = ""Javelin""), 'Ammo Input'!E348) + IF(VLOOKUP(B348, AmmoTypeFactors, 9, FALSE) = ""Wood"", 'Ammo Input'!H348) + IF(B348 = ""Stick bomb"", 'Ammo Input'!E348)) * N348 / 'Ingredient stats'!$C$12 / 1000)"),0)</f>
        <v>0</v>
      </c>
      <c r="S352">
        <v>0</v>
      </c>
      <c r="T352">
        <v>0</v>
      </c>
      <c r="U352">
        <f>IF(VLOOKUP(B352,AmmoTypeFactors,9,FALSE)="Plasteel",ROUNDUP(('Ammo Input'!H352*MAX(IF('Ammo Input'!J352&gt;0,'Ammo Input'!J352,1)*N352/1000/'Ingredient stats'!$C$4)),0),0)</f>
        <v>0</v>
      </c>
      <c r="V352">
        <f>IFERROR(__xludf.DUMMYFUNCTION("ROUNDUP(IF(ISBLANK(VLOOKUP(B348,AmmoTypeFactors,16,False)),1,VLOOKUP(B348,AmmoTypeFactors,16,False)) * (IFS(REGEXMATCH(B348, ""EMP""), 'Ammo Input'!M348 * N348 / 'Ingredient stats'!$C$5, REGEXMATCH(B348, ""Charge""), (U348^0.75), true, 0) + (IF(VLOOKUP(B3"&amp;"48, AmmoTypeFactors, 10, false), 2,0) + IF('Ammo Input'!P348, 2,0) + IF('Ammo Input'!Q348,MIN(ROUNDUP(0.2*('Ammo Input'!H348/1000)*'Ammo Input'!O348,0),20),0))))"),0)</f>
        <v>0</v>
      </c>
      <c r="W352">
        <v>0</v>
      </c>
      <c r="X352">
        <v>4</v>
      </c>
      <c r="Y352">
        <v>0</v>
      </c>
      <c r="Z352">
        <v>0</v>
      </c>
      <c r="AA352">
        <v>0</v>
      </c>
      <c r="AB352" s="30">
        <f>IF(B352="Sling Bullet (Stone)",ROUNDUP(D352*0.02*E352/'Ingredient stats'!$C$8,0),0)</f>
        <v>0</v>
      </c>
      <c r="AC352" t="str">
        <f t="shared" si="20"/>
        <v>None</v>
      </c>
      <c r="AD352" t="str">
        <f>IF(OR(B352="Buck",B352="Bird",B352="Charge (Scatter)"),'Ammo Input'!J352,"None")</f>
        <v>None</v>
      </c>
      <c r="AE352" t="str">
        <f>_xlfn.IFS(ISTEXT(Calcs!N352),Calcs!N352,Calcs!N352&lt;=40,Calcs!N352,Calcs!N352&gt;41,"40")</f>
        <v>None</v>
      </c>
      <c r="AF352" t="str">
        <f>_xlfn.IFS(ISTEXT(Calcs!O352),Calcs!O352,Calcs!O352&lt;=80,Calcs!O352,Calcs!O352&gt;=81,"80")</f>
        <v>None</v>
      </c>
      <c r="AG352" s="25">
        <f t="shared" si="21"/>
        <v>1</v>
      </c>
      <c r="AH352" s="25">
        <f t="shared" si="22"/>
        <v>2.63</v>
      </c>
      <c r="AI352" s="25">
        <f t="shared" si="23"/>
        <v>1</v>
      </c>
    </row>
    <row r="353" ht="14.4" spans="1:35">
      <c r="A353" s="24" t="str">
        <f>'Ammo Input'!A353</f>
        <v>5.45x39mm Soviet</v>
      </c>
      <c r="B353" t="str">
        <f>'Ammo Input'!B353</f>
        <v>Sabot</v>
      </c>
      <c r="C353">
        <f>ROUNDUP(('Ammo Input'!C353*(MAX('Ammo Input'!D353,'Ammo Input'!F353)*0.5)^2*PI())*3/1000000,2)</f>
        <v>0.02</v>
      </c>
      <c r="D353">
        <f>ROUNDUP(('Ammo Input'!E353+'Ammo Input'!H353*IF('Ammo Input'!J353&lt;&gt;"",MAX('Ammo Input'!J353,1),1))/1000,3)</f>
        <v>0.01</v>
      </c>
      <c r="E353">
        <f>MIN(5000,MAX(25,CEILING(Calcs!L353,_xlfn.IFS(Calcs!L353&lt;100,25,Calcs!L353&lt;250,50,Calcs!L353&lt;1000,250,Calcs!L353&gt;=1000,1000))))</f>
        <v>5000</v>
      </c>
      <c r="F353">
        <f>ROUNDUP('Ammo Input'!G353^(3/4),0)</f>
        <v>219</v>
      </c>
      <c r="G353">
        <f>ROUND((0.5*((IF(OR(B353="HEAT",B353="HEDP"),'Ammo Input'!N353,'Ammo Input'!H353)/1000)*(IF(B353="HEAT",9000,IF(B353="HEDP",1500,'Ammo Input'!G353))^2))),0)</f>
        <v>1830</v>
      </c>
      <c r="H353" s="25" t="str">
        <f>CONCATENATE(IF((B353="Foam")+(B353="Smoke"),"-",ROUND(Calcs!D353,0))," ",VLOOKUP(B353,AmmoTypeFactors,5,FALSE))</f>
        <v>7 Bullet</v>
      </c>
      <c r="I353" s="25" t="str">
        <f>IF(Calcs!E353=0,"None",CONCATENATE(ROUND(Calcs!E353,0)," ",VLOOKUP(B353,AmmoTypeFactors,6,FALSE)))</f>
        <v>None</v>
      </c>
      <c r="J353">
        <f>MROUND(2.42*'Ammo Input'!M353^(1/3)*VLOOKUP(B353,AmmoTypeFactors,3,FALSE),0.5)</f>
        <v>0</v>
      </c>
      <c r="K353" s="25" t="str">
        <f>IF(VLOOKUP(B353,AmmoTypeFactors,12,FALSE),MROUND(J353/3,0.5),"None")</f>
        <v>None</v>
      </c>
      <c r="L353" s="25">
        <f>IF(VLOOKUP(B353,AmmoTypeFactors,8,FALSE),"None",ROUNDUP(IF(Calcs!I353&gt;0,Calcs!I353,Calcs!H353),3))</f>
        <v>36.6</v>
      </c>
      <c r="M353" s="25">
        <f>IF(VLOOKUP(B353,AmmoTypeFactors,8,FALSE),"None",'Ammo Input'!L353)</f>
        <v>19.25</v>
      </c>
      <c r="N353">
        <f>'Ammo Input'!O353</f>
        <v>500</v>
      </c>
      <c r="O353" t="e">
        <f>ROUND((P353*0.0036+SUMPRODUCT(Q353:AB353,VLOOKUP($Q$1:$AB$1,IngredientStats,2,FALSE)))/N353*IF('Ammo Input'!R353,0.5,1),2)</f>
        <v>#VALUE!</v>
      </c>
      <c r="P353" t="e">
        <f>(SUMPRODUCT(Q353:AB353,VLOOKUP($Q$1:$AB$1,IngredientStats,4,FALSE))*VLOOKUP(B353,AmmoTypeFactors,14,FALSE)*IF('Ammo Input'!R353,1.1,1))</f>
        <v>#VALUE!</v>
      </c>
      <c r="Q353">
        <f>IFERROR(__xludf.DUMMYFUNCTION("((IF(NOT(OR(REGEXMATCH(B349, ""Arrow""), B349 = ""Javelin"", B349 = ""Stick bomb"")), ROUNDUP(('Ammo Input'!E349 / 1000) * N349)) + IF(VLOOKUP(B349, AmmoTypeFactors, 9, FALSE) = ""Steel"", ROUNDUP(('Ammo Input'!H349 -'Ammo Input'!M349) * MAX(IF('Ammo Inpu"&amp;"t'!J349 &gt; 0, 'Ammo Input'!J349, 1), 1) * N349 / 1000))) / 'Ingredient stats'!$C$2) * IF(ISBLANK(VLOOKUP(B349,AmmoTypeFactors,15,False)),1,VLOOKUP(B349,AmmoTypeFactors,15,False))"),8)</f>
        <v>8</v>
      </c>
      <c r="R353">
        <f>IFERROR(__xludf.DUMMYFUNCTION("ROUNDUP((IF(REGEXMATCH(B349, ""Arrow"") + (B349 = ""Javelin""), 'Ammo Input'!E349) + IF(VLOOKUP(B349, AmmoTypeFactors, 9, FALSE) = ""Wood"", 'Ammo Input'!H349) + IF(B349 = ""Stick bomb"", 'Ammo Input'!E349)) * N349 / 'Ingredient stats'!$C$12 / 1000)"),0)</f>
        <v>0</v>
      </c>
      <c r="S353">
        <v>2</v>
      </c>
      <c r="T353">
        <v>2</v>
      </c>
      <c r="U353">
        <f>IF(VLOOKUP(B353,AmmoTypeFactors,9,FALSE)="Plasteel",ROUNDUP(('Ammo Input'!H353*MAX(IF('Ammo Input'!J353&gt;0,'Ammo Input'!J353,1)*N353/1000/'Ingredient stats'!$C$4)),0),0)</f>
        <v>0</v>
      </c>
      <c r="V353">
        <f>IFERROR(__xludf.DUMMYFUNCTION("ROUNDUP(IF(ISBLANK(VLOOKUP(B349,AmmoTypeFactors,16,False)),1,VLOOKUP(B349,AmmoTypeFactors,16,False)) * (IFS(REGEXMATCH(B349, ""EMP""), 'Ammo Input'!M349 * N349 / 'Ingredient stats'!$C$5, REGEXMATCH(B349, ""Charge""), (U349^0.75), true, 0) + (IF(VLOOKUP(B3"&amp;"49, AmmoTypeFactors, 10, false), 2,0) + IF('Ammo Input'!P349, 2,0) + IF('Ammo Input'!Q349,MIN(ROUNDUP(0.2*('Ammo Input'!H349/1000)*'Ammo Input'!O349,0),20),0))))"),0)</f>
        <v>0</v>
      </c>
      <c r="W353">
        <v>0</v>
      </c>
      <c r="X353">
        <v>0</v>
      </c>
      <c r="Y353">
        <v>0</v>
      </c>
      <c r="Z353">
        <v>0</v>
      </c>
      <c r="AA353">
        <v>0</v>
      </c>
      <c r="AB353" s="30">
        <f>IF(B353="Sling Bullet (Stone)",ROUNDUP(D353*0.02*E353/'Ingredient stats'!$C$8,0),0)</f>
        <v>0</v>
      </c>
      <c r="AC353" t="str">
        <f t="shared" si="20"/>
        <v>None</v>
      </c>
      <c r="AD353" t="str">
        <f>IF(OR(B353="Buck",B353="Bird",B353="Charge (Scatter)"),'Ammo Input'!J353,"None")</f>
        <v>None</v>
      </c>
      <c r="AE353" t="str">
        <f>_xlfn.IFS(ISTEXT(Calcs!N353),Calcs!N353,Calcs!N353&lt;=40,Calcs!N353,Calcs!N353&gt;41,"40")</f>
        <v>None</v>
      </c>
      <c r="AF353" t="str">
        <f>_xlfn.IFS(ISTEXT(Calcs!O353),Calcs!O353,Calcs!O353&lt;=80,Calcs!O353,Calcs!O353&gt;=81,"80")</f>
        <v>None</v>
      </c>
      <c r="AG353" s="25">
        <f t="shared" si="21"/>
        <v>1</v>
      </c>
      <c r="AH353" s="25">
        <f t="shared" si="22"/>
        <v>3.57</v>
      </c>
      <c r="AI353" s="25">
        <f t="shared" si="23"/>
        <v>1</v>
      </c>
    </row>
    <row r="354" ht="14.4" spans="1:35">
      <c r="A354" s="24" t="str">
        <f>'Ammo Input'!A354</f>
        <v>5.45x39mm Soviet (Slow)</v>
      </c>
      <c r="B354" t="str">
        <f>'Ammo Input'!B354</f>
        <v>FMJ</v>
      </c>
      <c r="C354">
        <f>ROUNDUP(('Ammo Input'!C354*(MAX('Ammo Input'!D354,'Ammo Input'!F354)*0.5)^2*PI())*3/1000000,2)</f>
        <v>0.02</v>
      </c>
      <c r="D354">
        <f>ROUNDUP(('Ammo Input'!E354+'Ammo Input'!H354*IF('Ammo Input'!J354&lt;&gt;"",MAX('Ammo Input'!J354,1),1))/1000,3)</f>
        <v>0.011</v>
      </c>
      <c r="E354">
        <f>MIN(5000,MAX(25,CEILING(Calcs!L354,_xlfn.IFS(Calcs!L354&lt;100,25,Calcs!L354&lt;250,50,Calcs!L354&lt;1000,250,Calcs!L354&gt;=1000,1000))))</f>
        <v>5000</v>
      </c>
      <c r="F354">
        <f>ROUNDUP('Ammo Input'!G354^(3/4),0)</f>
        <v>142</v>
      </c>
      <c r="G354">
        <f>ROUND((0.5*((IF(OR(B354="HEAT",B354="HEDP"),'Ammo Input'!N354,'Ammo Input'!H354)/1000)*(IF(B354="HEAT",9000,IF(B354="HEDP",1500,'Ammo Input'!G354))^2))),0)</f>
        <v>978</v>
      </c>
      <c r="H354" s="25" t="str">
        <f>CONCATENATE(IF((B354="Foam")+(B354="Smoke"),"-",ROUND(Calcs!D354,0))," ",VLOOKUP(B354,AmmoTypeFactors,5,FALSE))</f>
        <v>11 Bullet</v>
      </c>
      <c r="I354" s="25" t="str">
        <f>IF(Calcs!E354=0,"None",CONCATENATE(ROUND(Calcs!E354,0)," ",VLOOKUP(B354,AmmoTypeFactors,6,FALSE)))</f>
        <v>None</v>
      </c>
      <c r="J354">
        <f>MROUND(2.42*'Ammo Input'!M354^(1/3)*VLOOKUP(B354,AmmoTypeFactors,3,FALSE),0.5)</f>
        <v>0</v>
      </c>
      <c r="K354" s="25" t="str">
        <f>IF(VLOOKUP(B354,AmmoTypeFactors,12,FALSE),MROUND(J354/3,0.5),"None")</f>
        <v>None</v>
      </c>
      <c r="L354" s="25">
        <f>IF(VLOOKUP(B354,AmmoTypeFactors,8,FALSE),"None",ROUNDUP(IF(Calcs!I354&gt;0,Calcs!I354,Calcs!H354),3))</f>
        <v>19.56</v>
      </c>
      <c r="M354" s="25">
        <f>IF(VLOOKUP(B354,AmmoTypeFactors,8,FALSE),"None",'Ammo Input'!L354)</f>
        <v>5</v>
      </c>
      <c r="N354">
        <f>'Ammo Input'!O354</f>
        <v>500</v>
      </c>
      <c r="O354" t="e">
        <f>ROUND((P354*0.0036+SUMPRODUCT(Q354:AB354,VLOOKUP($Q$1:$AB$1,IngredientStats,2,FALSE)))/N354*IF('Ammo Input'!R354,0.5,1),2)</f>
        <v>#VALUE!</v>
      </c>
      <c r="P354" t="e">
        <f>(SUMPRODUCT(Q354:AB354,VLOOKUP($Q$1:$AB$1,IngredientStats,4,FALSE))*VLOOKUP(B354,AmmoTypeFactors,14,FALSE)*IF('Ammo Input'!R354,1.1,1))</f>
        <v>#VALUE!</v>
      </c>
      <c r="Q354">
        <f>IFERROR(__xludf.DUMMYFUNCTION("((IF(NOT(OR(REGEXMATCH(B350, ""Arrow""), B350 = ""Javelin"", B350 = ""Stick bomb"")), ROUNDUP(('Ammo Input'!E350 / 1000) * N350)) + IF(VLOOKUP(B350, AmmoTypeFactors, 9, FALSE) = ""Steel"", ROUNDUP(('Ammo Input'!H350 -'Ammo Input'!M350) * MAX(IF('Ammo Inpu"&amp;"t'!J350 &gt; 0, 'Ammo Input'!J350, 1), 1) * N350 / 1000))) / 'Ingredient stats'!$C$2) * IF(ISBLANK(VLOOKUP(B350,AmmoTypeFactors,15,False)),1,VLOOKUP(B350,AmmoTypeFactors,15,False))"),12)</f>
        <v>12</v>
      </c>
      <c r="R354">
        <f>IFERROR(__xludf.DUMMYFUNCTION("ROUNDUP((IF(REGEXMATCH(B350, ""Arrow"") + (B350 = ""Javelin""), 'Ammo Input'!E350) + IF(VLOOKUP(B350, AmmoTypeFactors, 9, FALSE) = ""Wood"", 'Ammo Input'!H350) + IF(B350 = ""Stick bomb"", 'Ammo Input'!E350)) * N350 / 'Ingredient stats'!$C$12 / 1000)"),0)</f>
        <v>0</v>
      </c>
      <c r="S354">
        <v>0</v>
      </c>
      <c r="T354">
        <v>0</v>
      </c>
      <c r="U354">
        <f>IF(VLOOKUP(B354,AmmoTypeFactors,9,FALSE)="Plasteel",ROUNDUP(('Ammo Input'!H354*MAX(IF('Ammo Input'!J354&gt;0,'Ammo Input'!J354,1)*N354/1000/'Ingredient stats'!$C$4)),0),0)</f>
        <v>0</v>
      </c>
      <c r="V354">
        <f>IFERROR(__xludf.DUMMYFUNCTION("ROUNDUP(IF(ISBLANK(VLOOKUP(B350,AmmoTypeFactors,16,False)),1,VLOOKUP(B350,AmmoTypeFactors,16,False)) * (IFS(REGEXMATCH(B350, ""EMP""), 'Ammo Input'!M350 * N350 / 'Ingredient stats'!$C$5, REGEXMATCH(B350, ""Charge""), (U350^0.75), true, 0) + (IF(VLOOKUP(B3"&amp;"50, AmmoTypeFactors, 10, false), 2,0) + IF('Ammo Input'!P350, 2,0) + IF('Ammo Input'!Q350,MIN(ROUNDUP(0.2*('Ammo Input'!H350/1000)*'Ammo Input'!O350,0),20),0))))"),0)</f>
        <v>0</v>
      </c>
      <c r="W354">
        <v>0</v>
      </c>
      <c r="X354">
        <v>0</v>
      </c>
      <c r="Y354">
        <v>0</v>
      </c>
      <c r="Z354">
        <v>0</v>
      </c>
      <c r="AA354">
        <v>0</v>
      </c>
      <c r="AB354" s="30">
        <f>IF(B354="Sling Bullet (Stone)",ROUNDUP(D354*0.02*E354/'Ingredient stats'!$C$8,0),0)</f>
        <v>0</v>
      </c>
      <c r="AC354" t="str">
        <f t="shared" si="20"/>
        <v>None</v>
      </c>
      <c r="AD354" t="str">
        <f>IF(OR(B354="Buck",B354="Bird",B354="Charge (Scatter)"),'Ammo Input'!J354,"None")</f>
        <v>None</v>
      </c>
      <c r="AE354" t="str">
        <f>_xlfn.IFS(ISTEXT(Calcs!N354),Calcs!N354,Calcs!N354&lt;=40,Calcs!N354,Calcs!N354&gt;41,"40")</f>
        <v>None</v>
      </c>
      <c r="AF354" t="str">
        <f>_xlfn.IFS(ISTEXT(Calcs!O354),Calcs!O354,Calcs!O354&lt;=80,Calcs!O354,Calcs!O354&gt;=81,"80")</f>
        <v>None</v>
      </c>
      <c r="AG354" s="25">
        <f t="shared" si="21"/>
        <v>1</v>
      </c>
      <c r="AH354" s="25">
        <f t="shared" si="22"/>
        <v>2.33</v>
      </c>
      <c r="AI354" s="25">
        <f t="shared" si="23"/>
        <v>1</v>
      </c>
    </row>
    <row r="355" ht="14.4" spans="1:35">
      <c r="A355" s="24" t="str">
        <f>'Ammo Input'!A355</f>
        <v>5.45x39mm Soviet (Slow)</v>
      </c>
      <c r="B355" t="str">
        <f>'Ammo Input'!B355</f>
        <v>AP</v>
      </c>
      <c r="C355">
        <f>ROUNDUP(('Ammo Input'!C355*(MAX('Ammo Input'!D355,'Ammo Input'!F355)*0.5)^2*PI())*3/1000000,2)</f>
        <v>0.02</v>
      </c>
      <c r="D355">
        <f>ROUNDUP(('Ammo Input'!E355+'Ammo Input'!H355*IF('Ammo Input'!J355&lt;&gt;"",MAX('Ammo Input'!J355,1),1))/1000,3)</f>
        <v>0.011</v>
      </c>
      <c r="E355">
        <f>MIN(5000,MAX(25,CEILING(Calcs!L355,_xlfn.IFS(Calcs!L355&lt;100,25,Calcs!L355&lt;250,50,Calcs!L355&lt;1000,250,Calcs!L355&gt;=1000,1000))))</f>
        <v>5000</v>
      </c>
      <c r="F355">
        <f>ROUNDUP('Ammo Input'!G355^(3/4),0)</f>
        <v>142</v>
      </c>
      <c r="G355">
        <f>ROUND((0.5*((IF(OR(B355="HEAT",B355="HEDP"),'Ammo Input'!N355,'Ammo Input'!H355)/1000)*(IF(B355="HEAT",9000,IF(B355="HEDP",1500,'Ammo Input'!G355))^2))),0)</f>
        <v>978</v>
      </c>
      <c r="H355" s="25" t="str">
        <f>CONCATENATE(IF((B355="Foam")+(B355="Smoke"),"-",ROUND(Calcs!D355,0))," ",VLOOKUP(B355,AmmoTypeFactors,5,FALSE))</f>
        <v>7 Bullet</v>
      </c>
      <c r="I355" s="25" t="str">
        <f>IF(Calcs!E355=0,"None",CONCATENATE(ROUND(Calcs!E355,0)," ",VLOOKUP(B355,AmmoTypeFactors,6,FALSE)))</f>
        <v>None</v>
      </c>
      <c r="J355">
        <f>MROUND(2.42*'Ammo Input'!M355^(1/3)*VLOOKUP(B355,AmmoTypeFactors,3,FALSE),0.5)</f>
        <v>0</v>
      </c>
      <c r="K355" s="25" t="str">
        <f>IF(VLOOKUP(B355,AmmoTypeFactors,12,FALSE),MROUND(J355/3,0.5),"None")</f>
        <v>None</v>
      </c>
      <c r="L355" s="25">
        <f>IF(VLOOKUP(B355,AmmoTypeFactors,8,FALSE),"None",ROUNDUP(IF(Calcs!I355&gt;0,Calcs!I355,Calcs!H355),3))</f>
        <v>19.56</v>
      </c>
      <c r="M355" s="25">
        <f>IF(VLOOKUP(B355,AmmoTypeFactors,8,FALSE),"None",'Ammo Input'!L355)</f>
        <v>10</v>
      </c>
      <c r="N355">
        <f>'Ammo Input'!O355</f>
        <v>500</v>
      </c>
      <c r="O355" t="e">
        <f>ROUND((P355*0.0036+SUMPRODUCT(Q355:AB355,VLOOKUP($Q$1:$AB$1,IngredientStats,2,FALSE)))/N355*IF('Ammo Input'!R355,0.5,1),2)</f>
        <v>#VALUE!</v>
      </c>
      <c r="P355" t="e">
        <f>(SUMPRODUCT(Q355:AB355,VLOOKUP($Q$1:$AB$1,IngredientStats,4,FALSE))*VLOOKUP(B355,AmmoTypeFactors,14,FALSE)*IF('Ammo Input'!R355,1.1,1))</f>
        <v>#VALUE!</v>
      </c>
      <c r="Q355">
        <f>IFERROR(__xludf.DUMMYFUNCTION("((IF(NOT(OR(REGEXMATCH(B351, ""Arrow""), B351 = ""Javelin"", B351 = ""Stick bomb"")), ROUNDUP(('Ammo Input'!E351 / 1000) * N351)) + IF(VLOOKUP(B351, AmmoTypeFactors, 9, FALSE) = ""Steel"", ROUNDUP(('Ammo Input'!H351 -'Ammo Input'!M351) * MAX(IF('Ammo Inpu"&amp;"t'!J351 &gt; 0, 'Ammo Input'!J351, 1), 1) * N351 / 1000))) / 'Ingredient stats'!$C$2) * IF(ISBLANK(VLOOKUP(B351,AmmoTypeFactors,15,False)),1,VLOOKUP(B351,AmmoTypeFactors,15,False))"),12)</f>
        <v>12</v>
      </c>
      <c r="R355">
        <f>IFERROR(__xludf.DUMMYFUNCTION("ROUNDUP((IF(REGEXMATCH(B351, ""Arrow"") + (B351 = ""Javelin""), 'Ammo Input'!E351) + IF(VLOOKUP(B351, AmmoTypeFactors, 9, FALSE) = ""Wood"", 'Ammo Input'!H351) + IF(B351 = ""Stick bomb"", 'Ammo Input'!E351)) * N351 / 'Ingredient stats'!$C$12 / 1000)"),0)</f>
        <v>0</v>
      </c>
      <c r="S355">
        <v>0</v>
      </c>
      <c r="T355">
        <v>0</v>
      </c>
      <c r="U355">
        <f>IF(VLOOKUP(B355,AmmoTypeFactors,9,FALSE)="Plasteel",ROUNDUP(('Ammo Input'!H355*MAX(IF('Ammo Input'!J355&gt;0,'Ammo Input'!J355,1)*N355/1000/'Ingredient stats'!$C$4)),0),0)</f>
        <v>0</v>
      </c>
      <c r="V355">
        <f>IFERROR(__xludf.DUMMYFUNCTION("ROUNDUP(IF(ISBLANK(VLOOKUP(B351,AmmoTypeFactors,16,False)),1,VLOOKUP(B351,AmmoTypeFactors,16,False)) * (IFS(REGEXMATCH(B351, ""EMP""), 'Ammo Input'!M351 * N351 / 'Ingredient stats'!$C$5, REGEXMATCH(B351, ""Charge""), (U351^0.75), true, 0) + (IF(VLOOKUP(B3"&amp;"51, AmmoTypeFactors, 10, false), 2,0) + IF('Ammo Input'!P351, 2,0) + IF('Ammo Input'!Q351,MIN(ROUNDUP(0.2*('Ammo Input'!H351/1000)*'Ammo Input'!O351,0),20),0))))"),0)</f>
        <v>0</v>
      </c>
      <c r="W355">
        <v>0</v>
      </c>
      <c r="X355">
        <v>0</v>
      </c>
      <c r="Y355">
        <v>0</v>
      </c>
      <c r="Z355">
        <v>0</v>
      </c>
      <c r="AA355">
        <v>0</v>
      </c>
      <c r="AB355" s="30">
        <f>IF(B355="Sling Bullet (Stone)",ROUNDUP(D355*0.02*E355/'Ingredient stats'!$C$8,0),0)</f>
        <v>0</v>
      </c>
      <c r="AC355" t="str">
        <f t="shared" si="20"/>
        <v>None</v>
      </c>
      <c r="AD355" t="str">
        <f>IF(OR(B355="Buck",B355="Bird",B355="Charge (Scatter)"),'Ammo Input'!J355,"None")</f>
        <v>None</v>
      </c>
      <c r="AE355" t="str">
        <f>_xlfn.IFS(ISTEXT(Calcs!N355),Calcs!N355,Calcs!N355&lt;=40,Calcs!N355,Calcs!N355&gt;41,"40")</f>
        <v>None</v>
      </c>
      <c r="AF355" t="str">
        <f>_xlfn.IFS(ISTEXT(Calcs!O355),Calcs!O355,Calcs!O355&lt;=80,Calcs!O355,Calcs!O355&gt;=81,"80")</f>
        <v>None</v>
      </c>
      <c r="AG355" s="25">
        <f t="shared" si="21"/>
        <v>1</v>
      </c>
      <c r="AH355" s="25">
        <f t="shared" si="22"/>
        <v>2.33</v>
      </c>
      <c r="AI355" s="25">
        <f t="shared" si="23"/>
        <v>1</v>
      </c>
    </row>
    <row r="356" ht="14.4" spans="1:35">
      <c r="A356" s="24" t="str">
        <f>'Ammo Input'!A356</f>
        <v>5.45x39mm Soviet (Slow)</v>
      </c>
      <c r="B356" t="str">
        <f>'Ammo Input'!B356</f>
        <v>HP</v>
      </c>
      <c r="C356">
        <f>ROUNDUP(('Ammo Input'!C356*(MAX('Ammo Input'!D356,'Ammo Input'!F356)*0.5)^2*PI())*3/1000000,2)</f>
        <v>0.02</v>
      </c>
      <c r="D356">
        <f>ROUNDUP(('Ammo Input'!E356+'Ammo Input'!H356*IF('Ammo Input'!J356&lt;&gt;"",MAX('Ammo Input'!J356,1),1))/1000,3)</f>
        <v>0.011</v>
      </c>
      <c r="E356">
        <f>MIN(5000,MAX(25,CEILING(Calcs!L356,_xlfn.IFS(Calcs!L356&lt;100,25,Calcs!L356&lt;250,50,Calcs!L356&lt;1000,250,Calcs!L356&gt;=1000,1000))))</f>
        <v>5000</v>
      </c>
      <c r="F356">
        <f>ROUNDUP('Ammo Input'!G356^(3/4),0)</f>
        <v>142</v>
      </c>
      <c r="G356">
        <f>ROUND((0.5*((IF(OR(B356="HEAT",B356="HEDP"),'Ammo Input'!N356,'Ammo Input'!H356)/1000)*(IF(B356="HEAT",9000,IF(B356="HEDP",1500,'Ammo Input'!G356))^2))),0)</f>
        <v>978</v>
      </c>
      <c r="H356" s="25" t="str">
        <f>CONCATENATE(IF((B356="Foam")+(B356="Smoke"),"-",ROUND(Calcs!D356,0))," ",VLOOKUP(B356,AmmoTypeFactors,5,FALSE))</f>
        <v>14 Bullet</v>
      </c>
      <c r="I356" s="25" t="str">
        <f>IF(Calcs!E356=0,"None",CONCATENATE(ROUND(Calcs!E356,0)," ",VLOOKUP(B356,AmmoTypeFactors,6,FALSE)))</f>
        <v>None</v>
      </c>
      <c r="J356">
        <f>MROUND(2.42*'Ammo Input'!M356^(1/3)*VLOOKUP(B356,AmmoTypeFactors,3,FALSE),0.5)</f>
        <v>0</v>
      </c>
      <c r="K356" s="25" t="str">
        <f>IF(VLOOKUP(B356,AmmoTypeFactors,12,FALSE),MROUND(J356/3,0.5),"None")</f>
        <v>None</v>
      </c>
      <c r="L356" s="25">
        <f>IF(VLOOKUP(B356,AmmoTypeFactors,8,FALSE),"None",ROUNDUP(IF(Calcs!I356&gt;0,Calcs!I356,Calcs!H356),3))</f>
        <v>19.56</v>
      </c>
      <c r="M356" s="25">
        <f>IF(VLOOKUP(B356,AmmoTypeFactors,8,FALSE),"None",'Ammo Input'!L356)</f>
        <v>3</v>
      </c>
      <c r="N356">
        <f>'Ammo Input'!O356</f>
        <v>500</v>
      </c>
      <c r="O356" t="e">
        <f>ROUND((P356*0.0036+SUMPRODUCT(Q356:AB356,VLOOKUP($Q$1:$AB$1,IngredientStats,2,FALSE)))/N356*IF('Ammo Input'!R356,0.5,1),2)</f>
        <v>#VALUE!</v>
      </c>
      <c r="P356" t="e">
        <f>(SUMPRODUCT(Q356:AB356,VLOOKUP($Q$1:$AB$1,IngredientStats,4,FALSE))*VLOOKUP(B356,AmmoTypeFactors,14,FALSE)*IF('Ammo Input'!R356,1.1,1))</f>
        <v>#VALUE!</v>
      </c>
      <c r="Q356">
        <f>IFERROR(__xludf.DUMMYFUNCTION("((IF(NOT(OR(REGEXMATCH(B352, ""Arrow""), B352 = ""Javelin"", B352 = ""Stick bomb"")), ROUNDUP(('Ammo Input'!E352 / 1000) * N352)) + IF(VLOOKUP(B352, AmmoTypeFactors, 9, FALSE) = ""Steel"", ROUNDUP(('Ammo Input'!H352 -'Ammo Input'!M352) * MAX(IF('Ammo Inpu"&amp;"t'!J352 &gt; 0, 'Ammo Input'!J352, 1), 1) * N352 / 1000))) / 'Ingredient stats'!$C$2) * IF(ISBLANK(VLOOKUP(B352,AmmoTypeFactors,15,False)),1,VLOOKUP(B352,AmmoTypeFactors,15,False))"),12)</f>
        <v>12</v>
      </c>
      <c r="R356">
        <f>IFERROR(__xludf.DUMMYFUNCTION("ROUNDUP((IF(REGEXMATCH(B352, ""Arrow"") + (B352 = ""Javelin""), 'Ammo Input'!E352) + IF(VLOOKUP(B352, AmmoTypeFactors, 9, FALSE) = ""Wood"", 'Ammo Input'!H352) + IF(B352 = ""Stick bomb"", 'Ammo Input'!E352)) * N352 / 'Ingredient stats'!$C$12 / 1000)"),0)</f>
        <v>0</v>
      </c>
      <c r="S356">
        <v>0</v>
      </c>
      <c r="T356">
        <v>0</v>
      </c>
      <c r="U356">
        <f>IF(VLOOKUP(B356,AmmoTypeFactors,9,FALSE)="Plasteel",ROUNDUP(('Ammo Input'!H356*MAX(IF('Ammo Input'!J356&gt;0,'Ammo Input'!J356,1)*N356/1000/'Ingredient stats'!$C$4)),0),0)</f>
        <v>0</v>
      </c>
      <c r="V356">
        <f>IFERROR(__xludf.DUMMYFUNCTION("ROUNDUP(IF(ISBLANK(VLOOKUP(B352,AmmoTypeFactors,16,False)),1,VLOOKUP(B352,AmmoTypeFactors,16,False)) * (IFS(REGEXMATCH(B352, ""EMP""), 'Ammo Input'!M352 * N352 / 'Ingredient stats'!$C$5, REGEXMATCH(B352, ""Charge""), (U352^0.75), true, 0) + (IF(VLOOKUP(B3"&amp;"52, AmmoTypeFactors, 10, false), 2,0) + IF('Ammo Input'!P352, 2,0) + IF('Ammo Input'!Q352,MIN(ROUNDUP(0.2*('Ammo Input'!H352/1000)*'Ammo Input'!O352,0),20),0))))"),0)</f>
        <v>0</v>
      </c>
      <c r="W356">
        <v>0</v>
      </c>
      <c r="X356">
        <v>0</v>
      </c>
      <c r="Y356">
        <v>0</v>
      </c>
      <c r="Z356">
        <v>0</v>
      </c>
      <c r="AA356">
        <v>0</v>
      </c>
      <c r="AB356" s="30">
        <f>IF(B356="Sling Bullet (Stone)",ROUNDUP(D356*0.02*E356/'Ingredient stats'!$C$8,0),0)</f>
        <v>0</v>
      </c>
      <c r="AC356" t="str">
        <f t="shared" si="20"/>
        <v>None</v>
      </c>
      <c r="AD356" t="str">
        <f>IF(OR(B356="Buck",B356="Bird",B356="Charge (Scatter)"),'Ammo Input'!J356,"None")</f>
        <v>None</v>
      </c>
      <c r="AE356" t="str">
        <f>_xlfn.IFS(ISTEXT(Calcs!N356),Calcs!N356,Calcs!N356&lt;=40,Calcs!N356,Calcs!N356&gt;41,"40")</f>
        <v>None</v>
      </c>
      <c r="AF356" t="str">
        <f>_xlfn.IFS(ISTEXT(Calcs!O356),Calcs!O356,Calcs!O356&lt;=80,Calcs!O356,Calcs!O356&gt;=81,"80")</f>
        <v>None</v>
      </c>
      <c r="AG356" s="25">
        <f t="shared" si="21"/>
        <v>1</v>
      </c>
      <c r="AH356" s="25">
        <f t="shared" si="22"/>
        <v>2.33</v>
      </c>
      <c r="AI356" s="25">
        <f t="shared" si="23"/>
        <v>1</v>
      </c>
    </row>
    <row r="357" ht="14.4" spans="1:35">
      <c r="A357" s="24" t="str">
        <f>'Ammo Input'!A357</f>
        <v>5.45x39mm Soviet (Slow)</v>
      </c>
      <c r="B357" t="str">
        <f>'Ammo Input'!B357</f>
        <v>AP-I</v>
      </c>
      <c r="C357">
        <f>ROUNDUP(('Ammo Input'!C357*(MAX('Ammo Input'!D357,'Ammo Input'!F357)*0.5)^2*PI())*3/1000000,2)</f>
        <v>0.02</v>
      </c>
      <c r="D357">
        <f>ROUNDUP(('Ammo Input'!E357+'Ammo Input'!H357*IF('Ammo Input'!J357&lt;&gt;"",MAX('Ammo Input'!J357,1),1))/1000,3)</f>
        <v>0.011</v>
      </c>
      <c r="E357">
        <f>MIN(5000,MAX(25,CEILING(Calcs!L357,_xlfn.IFS(Calcs!L357&lt;100,25,Calcs!L357&lt;250,50,Calcs!L357&lt;1000,250,Calcs!L357&gt;=1000,1000))))</f>
        <v>5000</v>
      </c>
      <c r="F357">
        <f>ROUNDUP('Ammo Input'!G357^(3/4),0)</f>
        <v>142</v>
      </c>
      <c r="G357">
        <f>ROUND((0.5*((IF(OR(B357="HEAT",B357="HEDP"),'Ammo Input'!N357,'Ammo Input'!H357)/1000)*(IF(B357="HEAT",9000,IF(B357="HEDP",1500,'Ammo Input'!G357))^2))),0)</f>
        <v>978</v>
      </c>
      <c r="H357" s="25" t="str">
        <f>CONCATENATE(IF((B357="Foam")+(B357="Smoke"),"-",ROUND(Calcs!D357,0))," ",VLOOKUP(B357,AmmoTypeFactors,5,FALSE))</f>
        <v>7 Bullet</v>
      </c>
      <c r="I357" s="25" t="str">
        <f>IF(Calcs!E357=0,"None",CONCATENATE(ROUND(Calcs!E357,0)," ",VLOOKUP(B357,AmmoTypeFactors,6,FALSE)))</f>
        <v>3 Flame_Secondary</v>
      </c>
      <c r="J357">
        <f>MROUND(2.42*'Ammo Input'!M357^(1/3)*VLOOKUP(B357,AmmoTypeFactors,3,FALSE),0.5)</f>
        <v>0</v>
      </c>
      <c r="K357" s="25" t="str">
        <f>IF(VLOOKUP(B357,AmmoTypeFactors,12,FALSE),MROUND(J357/3,0.5),"None")</f>
        <v>None</v>
      </c>
      <c r="L357" s="25">
        <f>IF(VLOOKUP(B357,AmmoTypeFactors,8,FALSE),"None",ROUNDUP(IF(Calcs!I357&gt;0,Calcs!I357,Calcs!H357),3))</f>
        <v>19.56</v>
      </c>
      <c r="M357" s="25">
        <f>IF(VLOOKUP(B357,AmmoTypeFactors,8,FALSE),"None",'Ammo Input'!L357)</f>
        <v>10</v>
      </c>
      <c r="N357">
        <f>'Ammo Input'!O357</f>
        <v>500</v>
      </c>
      <c r="O357" t="e">
        <f>ROUND((P357*0.0036+SUMPRODUCT(Q357:AB357,VLOOKUP($Q$1:$AB$1,IngredientStats,2,FALSE)))/N357*IF('Ammo Input'!R357,0.5,1),2)</f>
        <v>#VALUE!</v>
      </c>
      <c r="P357" t="e">
        <f>(SUMPRODUCT(Q357:AB357,VLOOKUP($Q$1:$AB$1,IngredientStats,4,FALSE))*VLOOKUP(B357,AmmoTypeFactors,14,FALSE)*IF('Ammo Input'!R357,1.1,1))</f>
        <v>#VALUE!</v>
      </c>
      <c r="Q357">
        <f>IFERROR(__xludf.DUMMYFUNCTION("((IF(NOT(OR(REGEXMATCH(B353, ""Arrow""), B353 = ""Javelin"", B353 = ""Stick bomb"")), ROUNDUP(('Ammo Input'!E353 / 1000) * N353)) + IF(VLOOKUP(B353, AmmoTypeFactors, 9, FALSE) = ""Steel"", ROUNDUP(('Ammo Input'!H353 -'Ammo Input'!M353) * MAX(IF('Ammo Inpu"&amp;"t'!J353 &gt; 0, 'Ammo Input'!J353, 1), 1) * N353 / 1000))) / 'Ingredient stats'!$C$2) * IF(ISBLANK(VLOOKUP(B353,AmmoTypeFactors,15,False)),1,VLOOKUP(B353,AmmoTypeFactors,15,False))"),12)</f>
        <v>12</v>
      </c>
      <c r="R357">
        <f>IFERROR(__xludf.DUMMYFUNCTION("ROUNDUP((IF(REGEXMATCH(B353, ""Arrow"") + (B353 = ""Javelin""), 'Ammo Input'!E353) + IF(VLOOKUP(B353, AmmoTypeFactors, 9, FALSE) = ""Wood"", 'Ammo Input'!H353) + IF(B353 = ""Stick bomb"", 'Ammo Input'!E353)) * N353 / 'Ingredient stats'!$C$12 / 1000)"),0)</f>
        <v>0</v>
      </c>
      <c r="S357">
        <v>0</v>
      </c>
      <c r="T357">
        <v>0</v>
      </c>
      <c r="U357">
        <f>IF(VLOOKUP(B357,AmmoTypeFactors,9,FALSE)="Plasteel",ROUNDUP(('Ammo Input'!H357*MAX(IF('Ammo Input'!J357&gt;0,'Ammo Input'!J357,1)*N357/1000/'Ingredient stats'!$C$4)),0),0)</f>
        <v>0</v>
      </c>
      <c r="V357">
        <f>IFERROR(__xludf.DUMMYFUNCTION("ROUNDUP(IF(ISBLANK(VLOOKUP(B353,AmmoTypeFactors,16,False)),1,VLOOKUP(B353,AmmoTypeFactors,16,False)) * (IFS(REGEXMATCH(B353, ""EMP""), 'Ammo Input'!M353 * N353 / 'Ingredient stats'!$C$5, REGEXMATCH(B353, ""Charge""), (U353^0.75), true, 0) + (IF(VLOOKUP(B3"&amp;"53, AmmoTypeFactors, 10, false), 2,0) + IF('Ammo Input'!P353, 2,0) + IF('Ammo Input'!Q353,MIN(ROUNDUP(0.2*('Ammo Input'!H353/1000)*'Ammo Input'!O353,0),20),0))))"),0)</f>
        <v>0</v>
      </c>
      <c r="W357">
        <v>1</v>
      </c>
      <c r="X357">
        <v>0</v>
      </c>
      <c r="Y357">
        <v>0</v>
      </c>
      <c r="Z357">
        <v>0</v>
      </c>
      <c r="AA357">
        <v>0</v>
      </c>
      <c r="AB357" s="30">
        <f>IF(B357="Sling Bullet (Stone)",ROUNDUP(D357*0.02*E357/'Ingredient stats'!$C$8,0),0)</f>
        <v>0</v>
      </c>
      <c r="AC357" t="str">
        <f t="shared" si="20"/>
        <v>None</v>
      </c>
      <c r="AD357" t="str">
        <f>IF(OR(B357="Buck",B357="Bird",B357="Charge (Scatter)"),'Ammo Input'!J357,"None")</f>
        <v>None</v>
      </c>
      <c r="AE357" t="str">
        <f>_xlfn.IFS(ISTEXT(Calcs!N357),Calcs!N357,Calcs!N357&lt;=40,Calcs!N357,Calcs!N357&gt;41,"40")</f>
        <v>None</v>
      </c>
      <c r="AF357" t="str">
        <f>_xlfn.IFS(ISTEXT(Calcs!O357),Calcs!O357,Calcs!O357&lt;=80,Calcs!O357,Calcs!O357&gt;=81,"80")</f>
        <v>None</v>
      </c>
      <c r="AG357" s="25">
        <f t="shared" si="21"/>
        <v>1</v>
      </c>
      <c r="AH357" s="25">
        <f t="shared" si="22"/>
        <v>2.33</v>
      </c>
      <c r="AI357" s="25">
        <f t="shared" si="23"/>
        <v>1</v>
      </c>
    </row>
    <row r="358" ht="14.4" spans="1:35">
      <c r="A358" s="24" t="str">
        <f>'Ammo Input'!A358</f>
        <v>5.45x39mm Soviet (Slow)</v>
      </c>
      <c r="B358" t="str">
        <f>'Ammo Input'!B358</f>
        <v>AP-HE</v>
      </c>
      <c r="C358">
        <f>ROUNDUP(('Ammo Input'!C358*(MAX('Ammo Input'!D358,'Ammo Input'!F358)*0.5)^2*PI())*3/1000000,2)</f>
        <v>0.02</v>
      </c>
      <c r="D358">
        <f>ROUNDUP(('Ammo Input'!E358+'Ammo Input'!H358*IF('Ammo Input'!J358&lt;&gt;"",MAX('Ammo Input'!J358,1),1))/1000,3)</f>
        <v>0.011</v>
      </c>
      <c r="E358">
        <f>MIN(5000,MAX(25,CEILING(Calcs!L358,_xlfn.IFS(Calcs!L358&lt;100,25,Calcs!L358&lt;250,50,Calcs!L358&lt;1000,250,Calcs!L358&gt;=1000,1000))))</f>
        <v>5000</v>
      </c>
      <c r="F358">
        <f>ROUNDUP('Ammo Input'!G358^(3/4),0)</f>
        <v>142</v>
      </c>
      <c r="G358">
        <f>ROUND((0.5*((IF(OR(B358="HEAT",B358="HEDP"),'Ammo Input'!N358,'Ammo Input'!H358)/1000)*(IF(B358="HEAT",9000,IF(B358="HEDP",1500,'Ammo Input'!G358))^2))),0)</f>
        <v>978</v>
      </c>
      <c r="H358" s="25" t="str">
        <f>CONCATENATE(IF((B358="Foam")+(B358="Smoke"),"-",ROUND(Calcs!D358,0))," ",VLOOKUP(B358,AmmoTypeFactors,5,FALSE))</f>
        <v>11 Bullet</v>
      </c>
      <c r="I358" s="25" t="str">
        <f>IF(Calcs!E358=0,"None",CONCATENATE(ROUND(Calcs!E358,0)," ",VLOOKUP(B358,AmmoTypeFactors,6,FALSE)))</f>
        <v>4 Bomb_Secondary</v>
      </c>
      <c r="J358">
        <f>MROUND(2.42*'Ammo Input'!M358^(1/3)*VLOOKUP(B358,AmmoTypeFactors,3,FALSE),0.5)</f>
        <v>0</v>
      </c>
      <c r="K358" s="25" t="str">
        <f>IF(VLOOKUP(B358,AmmoTypeFactors,12,FALSE),MROUND(J358/3,0.5),"None")</f>
        <v>None</v>
      </c>
      <c r="L358" s="25">
        <f>IF(VLOOKUP(B358,AmmoTypeFactors,8,FALSE),"None",ROUNDUP(IF(Calcs!I358&gt;0,Calcs!I358,Calcs!H358),3))</f>
        <v>19.56</v>
      </c>
      <c r="M358" s="25">
        <f>IF(VLOOKUP(B358,AmmoTypeFactors,8,FALSE),"None",'Ammo Input'!L358)</f>
        <v>5</v>
      </c>
      <c r="N358">
        <f>'Ammo Input'!O358</f>
        <v>500</v>
      </c>
      <c r="O358" t="e">
        <f>ROUND((P358*0.0036+SUMPRODUCT(Q358:AB358,VLOOKUP($Q$1:$AB$1,IngredientStats,2,FALSE)))/N358*IF('Ammo Input'!R358,0.5,1),2)</f>
        <v>#VALUE!</v>
      </c>
      <c r="P358" t="e">
        <f>(SUMPRODUCT(Q358:AB358,VLOOKUP($Q$1:$AB$1,IngredientStats,4,FALSE))*VLOOKUP(B358,AmmoTypeFactors,14,FALSE)*IF('Ammo Input'!R358,1.1,1))</f>
        <v>#VALUE!</v>
      </c>
      <c r="Q358">
        <f>IFERROR(__xludf.DUMMYFUNCTION("((IF(NOT(OR(REGEXMATCH(B354, ""Arrow""), B354 = ""Javelin"", B354 = ""Stick bomb"")), ROUNDUP(('Ammo Input'!E354 / 1000) * N354)) + IF(VLOOKUP(B354, AmmoTypeFactors, 9, FALSE) = ""Steel"", ROUNDUP(('Ammo Input'!H354 -'Ammo Input'!M354) * MAX(IF('Ammo Inpu"&amp;"t'!J354 &gt; 0, 'Ammo Input'!J354, 1), 1) * N354 / 1000))) / 'Ingredient stats'!$C$2) * IF(ISBLANK(VLOOKUP(B354,AmmoTypeFactors,15,False)),1,VLOOKUP(B354,AmmoTypeFactors,15,False))"),12)</f>
        <v>12</v>
      </c>
      <c r="R358">
        <f>IFERROR(__xludf.DUMMYFUNCTION("ROUNDUP((IF(REGEXMATCH(B354, ""Arrow"") + (B354 = ""Javelin""), 'Ammo Input'!E354) + IF(VLOOKUP(B354, AmmoTypeFactors, 9, FALSE) = ""Wood"", 'Ammo Input'!H354) + IF(B354 = ""Stick bomb"", 'Ammo Input'!E354)) * N354 / 'Ingredient stats'!$C$12 / 1000)"),0)</f>
        <v>0</v>
      </c>
      <c r="S358">
        <v>0</v>
      </c>
      <c r="T358">
        <v>0</v>
      </c>
      <c r="U358">
        <f>IF(VLOOKUP(B358,AmmoTypeFactors,9,FALSE)="Plasteel",ROUNDUP(('Ammo Input'!H358*MAX(IF('Ammo Input'!J358&gt;0,'Ammo Input'!J358,1)*N358/1000/'Ingredient stats'!$C$4)),0),0)</f>
        <v>0</v>
      </c>
      <c r="V358">
        <f>IFERROR(__xludf.DUMMYFUNCTION("ROUNDUP(IF(ISBLANK(VLOOKUP(B354,AmmoTypeFactors,16,False)),1,VLOOKUP(B354,AmmoTypeFactors,16,False)) * (IFS(REGEXMATCH(B354, ""EMP""), 'Ammo Input'!M354 * N354 / 'Ingredient stats'!$C$5, REGEXMATCH(B354, ""Charge""), (U354^0.75), true, 0) + (IF(VLOOKUP(B3"&amp;"54, AmmoTypeFactors, 10, false), 2,0) + IF('Ammo Input'!P354, 2,0) + IF('Ammo Input'!Q354,MIN(ROUNDUP(0.2*('Ammo Input'!H354/1000)*'Ammo Input'!O354,0),20),0))))"),0)</f>
        <v>0</v>
      </c>
      <c r="W358">
        <v>0</v>
      </c>
      <c r="X358">
        <v>4</v>
      </c>
      <c r="Y358">
        <v>0</v>
      </c>
      <c r="Z358">
        <v>0</v>
      </c>
      <c r="AA358">
        <v>0</v>
      </c>
      <c r="AB358" s="30">
        <f>IF(B358="Sling Bullet (Stone)",ROUNDUP(D358*0.02*E358/'Ingredient stats'!$C$8,0),0)</f>
        <v>0</v>
      </c>
      <c r="AC358" t="str">
        <f t="shared" si="20"/>
        <v>None</v>
      </c>
      <c r="AD358" t="str">
        <f>IF(OR(B358="Buck",B358="Bird",B358="Charge (Scatter)"),'Ammo Input'!J358,"None")</f>
        <v>None</v>
      </c>
      <c r="AE358" t="str">
        <f>_xlfn.IFS(ISTEXT(Calcs!N358),Calcs!N358,Calcs!N358&lt;=40,Calcs!N358,Calcs!N358&gt;41,"40")</f>
        <v>None</v>
      </c>
      <c r="AF358" t="str">
        <f>_xlfn.IFS(ISTEXT(Calcs!O358),Calcs!O358,Calcs!O358&lt;=80,Calcs!O358,Calcs!O358&gt;=81,"80")</f>
        <v>None</v>
      </c>
      <c r="AG358" s="25">
        <f t="shared" si="21"/>
        <v>1</v>
      </c>
      <c r="AH358" s="25">
        <f t="shared" si="22"/>
        <v>2.33</v>
      </c>
      <c r="AI358" s="25">
        <f t="shared" si="23"/>
        <v>1</v>
      </c>
    </row>
    <row r="359" ht="14.4" spans="1:35">
      <c r="A359" s="24" t="str">
        <f>'Ammo Input'!A359</f>
        <v>5.45x39mm Soviet (Slow)</v>
      </c>
      <c r="B359" t="str">
        <f>'Ammo Input'!B359</f>
        <v>Sabot</v>
      </c>
      <c r="C359">
        <f>ROUNDUP(('Ammo Input'!C359*(MAX('Ammo Input'!D359,'Ammo Input'!F359)*0.5)^2*PI())*3/1000000,2)</f>
        <v>0.02</v>
      </c>
      <c r="D359">
        <f>ROUNDUP(('Ammo Input'!E359+'Ammo Input'!H359*IF('Ammo Input'!J359&lt;&gt;"",MAX('Ammo Input'!J359,1),1))/1000,3)</f>
        <v>0.01</v>
      </c>
      <c r="E359">
        <f>MIN(5000,MAX(25,CEILING(Calcs!L359,_xlfn.IFS(Calcs!L359&lt;100,25,Calcs!L359&lt;250,50,Calcs!L359&lt;1000,250,Calcs!L359&gt;=1000,1000))))</f>
        <v>5000</v>
      </c>
      <c r="F359">
        <f>ROUNDUP('Ammo Input'!G359^(3/4),0)</f>
        <v>192</v>
      </c>
      <c r="G359">
        <f>ROUND((0.5*((IF(OR(B359="HEAT",B359="HEDP"),'Ammo Input'!N359,'Ammo Input'!H359)/1000)*(IF(B359="HEAT",9000,IF(B359="HEDP",1500,'Ammo Input'!G359))^2))),0)</f>
        <v>1275</v>
      </c>
      <c r="H359" s="25" t="str">
        <f>CONCATENATE(IF((B359="Foam")+(B359="Smoke"),"-",ROUND(Calcs!D359,0))," ",VLOOKUP(B359,AmmoTypeFactors,5,FALSE))</f>
        <v>6 Bullet</v>
      </c>
      <c r="I359" s="25" t="str">
        <f>IF(Calcs!E359=0,"None",CONCATENATE(ROUND(Calcs!E359,0)," ",VLOOKUP(B359,AmmoTypeFactors,6,FALSE)))</f>
        <v>None</v>
      </c>
      <c r="J359">
        <f>MROUND(2.42*'Ammo Input'!M359^(1/3)*VLOOKUP(B359,AmmoTypeFactors,3,FALSE),0.5)</f>
        <v>0</v>
      </c>
      <c r="K359" s="25" t="str">
        <f>IF(VLOOKUP(B359,AmmoTypeFactors,12,FALSE),MROUND(J359/3,0.5),"None")</f>
        <v>None</v>
      </c>
      <c r="L359" s="25">
        <f>IF(VLOOKUP(B359,AmmoTypeFactors,8,FALSE),"None",ROUNDUP(IF(Calcs!I359&gt;0,Calcs!I359,Calcs!H359),3))</f>
        <v>25.5</v>
      </c>
      <c r="M359" s="25">
        <f>IF(VLOOKUP(B359,AmmoTypeFactors,8,FALSE),"None",'Ammo Input'!L359)</f>
        <v>17.5</v>
      </c>
      <c r="N359">
        <f>'Ammo Input'!O359</f>
        <v>500</v>
      </c>
      <c r="O359" t="e">
        <f>ROUND((P359*0.0036+SUMPRODUCT(Q359:AB359,VLOOKUP($Q$1:$AB$1,IngredientStats,2,FALSE)))/N359*IF('Ammo Input'!R359,0.5,1),2)</f>
        <v>#VALUE!</v>
      </c>
      <c r="P359" t="e">
        <f>(SUMPRODUCT(Q359:AB359,VLOOKUP($Q$1:$AB$1,IngredientStats,4,FALSE))*VLOOKUP(B359,AmmoTypeFactors,14,FALSE)*IF('Ammo Input'!R359,1.1,1))</f>
        <v>#VALUE!</v>
      </c>
      <c r="Q359">
        <f>IFERROR(__xludf.DUMMYFUNCTION("((IF(NOT(OR(REGEXMATCH(B355, ""Arrow""), B355 = ""Javelin"", B355 = ""Stick bomb"")), ROUNDUP(('Ammo Input'!E355 / 1000) * N355)) + IF(VLOOKUP(B355, AmmoTypeFactors, 9, FALSE) = ""Steel"", ROUNDUP(('Ammo Input'!H355 -'Ammo Input'!M355) * MAX(IF('Ammo Inpu"&amp;"t'!J355 &gt; 0, 'Ammo Input'!J355, 1), 1) * N355 / 1000))) / 'Ingredient stats'!$C$2) * IF(ISBLANK(VLOOKUP(B355,AmmoTypeFactors,15,False)),1,VLOOKUP(B355,AmmoTypeFactors,15,False))"),8)</f>
        <v>8</v>
      </c>
      <c r="R359">
        <f>IFERROR(__xludf.DUMMYFUNCTION("ROUNDUP((IF(REGEXMATCH(B355, ""Arrow"") + (B355 = ""Javelin""), 'Ammo Input'!E355) + IF(VLOOKUP(B355, AmmoTypeFactors, 9, FALSE) = ""Wood"", 'Ammo Input'!H355) + IF(B355 = ""Stick bomb"", 'Ammo Input'!E355)) * N355 / 'Ingredient stats'!$C$12 / 1000)"),0)</f>
        <v>0</v>
      </c>
      <c r="S359">
        <v>2</v>
      </c>
      <c r="T359">
        <v>2</v>
      </c>
      <c r="U359">
        <f>IF(VLOOKUP(B359,AmmoTypeFactors,9,FALSE)="Plasteel",ROUNDUP(('Ammo Input'!H359*MAX(IF('Ammo Input'!J359&gt;0,'Ammo Input'!J359,1)*N359/1000/'Ingredient stats'!$C$4)),0),0)</f>
        <v>0</v>
      </c>
      <c r="V359">
        <f>IFERROR(__xludf.DUMMYFUNCTION("ROUNDUP(IF(ISBLANK(VLOOKUP(B355,AmmoTypeFactors,16,False)),1,VLOOKUP(B355,AmmoTypeFactors,16,False)) * (IFS(REGEXMATCH(B355, ""EMP""), 'Ammo Input'!M355 * N355 / 'Ingredient stats'!$C$5, REGEXMATCH(B355, ""Charge""), (U355^0.75), true, 0) + (IF(VLOOKUP(B3"&amp;"55, AmmoTypeFactors, 10, false), 2,0) + IF('Ammo Input'!P355, 2,0) + IF('Ammo Input'!Q355,MIN(ROUNDUP(0.2*('Ammo Input'!H355/1000)*'Ammo Input'!O355,0),20),0))))"),0)</f>
        <v>0</v>
      </c>
      <c r="W359">
        <v>0</v>
      </c>
      <c r="X359">
        <v>0</v>
      </c>
      <c r="Y359">
        <v>0</v>
      </c>
      <c r="Z359">
        <v>0</v>
      </c>
      <c r="AA359">
        <v>0</v>
      </c>
      <c r="AB359" s="30">
        <f>IF(B359="Sling Bullet (Stone)",ROUNDUP(D359*0.02*E359/'Ingredient stats'!$C$8,0),0)</f>
        <v>0</v>
      </c>
      <c r="AC359" t="str">
        <f t="shared" si="20"/>
        <v>None</v>
      </c>
      <c r="AD359" t="str">
        <f>IF(OR(B359="Buck",B359="Bird",B359="Charge (Scatter)"),'Ammo Input'!J359,"None")</f>
        <v>None</v>
      </c>
      <c r="AE359" t="str">
        <f>_xlfn.IFS(ISTEXT(Calcs!N359),Calcs!N359,Calcs!N359&lt;=40,Calcs!N359,Calcs!N359&gt;41,"40")</f>
        <v>None</v>
      </c>
      <c r="AF359" t="str">
        <f>_xlfn.IFS(ISTEXT(Calcs!O359),Calcs!O359,Calcs!O359&lt;=80,Calcs!O359,Calcs!O359&gt;=81,"80")</f>
        <v>None</v>
      </c>
      <c r="AG359" s="25">
        <f t="shared" si="21"/>
        <v>1</v>
      </c>
      <c r="AH359" s="25">
        <f t="shared" si="22"/>
        <v>3.13</v>
      </c>
      <c r="AI359" s="25">
        <f t="shared" si="23"/>
        <v>1</v>
      </c>
    </row>
    <row r="360" ht="14.4" spans="1:35">
      <c r="A360" s="24" t="str">
        <f>'Ammo Input'!A360</f>
        <v>5.56x45mm NATO</v>
      </c>
      <c r="B360" t="str">
        <f>'Ammo Input'!B360</f>
        <v>FMJ</v>
      </c>
      <c r="C360">
        <f>ROUNDUP(('Ammo Input'!C360*(MAX('Ammo Input'!D360,'Ammo Input'!F360)*0.5)^2*PI())*3/1000000,2)</f>
        <v>0.02</v>
      </c>
      <c r="D360">
        <f>ROUNDUP(('Ammo Input'!E360+'Ammo Input'!H360*IF('Ammo Input'!J360&lt;&gt;"",MAX('Ammo Input'!J360,1),1))/1000,3)</f>
        <v>0.013</v>
      </c>
      <c r="E360">
        <f>MIN(5000,MAX(25,CEILING(Calcs!L360,_xlfn.IFS(Calcs!L360&lt;100,25,Calcs!L360&lt;250,50,Calcs!L360&lt;1000,250,Calcs!L360&gt;=1000,1000))))</f>
        <v>5000</v>
      </c>
      <c r="F360">
        <f>ROUNDUP('Ammo Input'!G360^(3/4),0)</f>
        <v>168</v>
      </c>
      <c r="G360">
        <f>ROUND((0.5*((IF(OR(B360="HEAT",B360="HEDP"),'Ammo Input'!N360,'Ammo Input'!H360)/1000)*(IF(B360="HEAT",9000,IF(B360="HEDP",1500,'Ammo Input'!G360))^2))),0)</f>
        <v>1709</v>
      </c>
      <c r="H360" s="25" t="str">
        <f>CONCATENATE(IF((B360="Foam")+(B360="Smoke"),"-",ROUND(Calcs!D360,0))," ",VLOOKUP(B360,AmmoTypeFactors,5,FALSE))</f>
        <v>14 Bullet</v>
      </c>
      <c r="I360" s="25" t="str">
        <f>IF(Calcs!E360=0,"None",CONCATENATE(ROUND(Calcs!E360,0)," ",VLOOKUP(B360,AmmoTypeFactors,6,FALSE)))</f>
        <v>None</v>
      </c>
      <c r="J360">
        <f>MROUND(2.42*'Ammo Input'!M360^(1/3)*VLOOKUP(B360,AmmoTypeFactors,3,FALSE),0.5)</f>
        <v>0</v>
      </c>
      <c r="K360" s="25" t="str">
        <f>IF(VLOOKUP(B360,AmmoTypeFactors,12,FALSE),MROUND(J360/3,0.5),"None")</f>
        <v>None</v>
      </c>
      <c r="L360" s="25">
        <f>IF(VLOOKUP(B360,AmmoTypeFactors,8,FALSE),"None",ROUNDUP(IF(Calcs!I360&gt;0,Calcs!I360,Calcs!H360),3))</f>
        <v>34.18</v>
      </c>
      <c r="M360" s="25">
        <f>IF(VLOOKUP(B360,AmmoTypeFactors,8,FALSE),"None",'Ammo Input'!L360)</f>
        <v>6</v>
      </c>
      <c r="N360">
        <f>'Ammo Input'!O360</f>
        <v>500</v>
      </c>
      <c r="O360" t="e">
        <f>ROUND((P360*0.0036+SUMPRODUCT(Q360:AB360,VLOOKUP($Q$1:$AB$1,IngredientStats,2,FALSE)))/N360*IF('Ammo Input'!R360,0.5,1),2)</f>
        <v>#VALUE!</v>
      </c>
      <c r="P360" t="e">
        <f>(SUMPRODUCT(Q360:AB360,VLOOKUP($Q$1:$AB$1,IngredientStats,4,FALSE))*VLOOKUP(B360,AmmoTypeFactors,14,FALSE)*IF('Ammo Input'!R360,1.1,1))</f>
        <v>#VALUE!</v>
      </c>
      <c r="Q360">
        <f>IFERROR(__xludf.DUMMYFUNCTION("((IF(NOT(OR(REGEXMATCH(B356, ""Arrow""), B356 = ""Javelin"", B356 = ""Stick bomb"")), ROUNDUP(('Ammo Input'!E356 / 1000) * N356)) + IF(VLOOKUP(B356, AmmoTypeFactors, 9, FALSE) = ""Steel"", ROUNDUP(('Ammo Input'!H356 -'Ammo Input'!M356) * MAX(IF('Ammo Inpu"&amp;"t'!J356 &gt; 0, 'Ammo Input'!J356, 1), 1) * N356 / 1000))) / 'Ingredient stats'!$C$2) * IF(ISBLANK(VLOOKUP(B356,AmmoTypeFactors,15,False)),1,VLOOKUP(B356,AmmoTypeFactors,15,False))"),14)</f>
        <v>14</v>
      </c>
      <c r="R360">
        <f>IFERROR(__xludf.DUMMYFUNCTION("ROUNDUP((IF(REGEXMATCH(B356, ""Arrow"") + (B356 = ""Javelin""), 'Ammo Input'!E356) + IF(VLOOKUP(B356, AmmoTypeFactors, 9, FALSE) = ""Wood"", 'Ammo Input'!H356) + IF(B356 = ""Stick bomb"", 'Ammo Input'!E356)) * N356 / 'Ingredient stats'!$C$12 / 1000)"),0)</f>
        <v>0</v>
      </c>
      <c r="S360">
        <v>0</v>
      </c>
      <c r="T360">
        <v>0</v>
      </c>
      <c r="U360">
        <f>IF(VLOOKUP(B360,AmmoTypeFactors,9,FALSE)="Plasteel",ROUNDUP(('Ammo Input'!H360*MAX(IF('Ammo Input'!J360&gt;0,'Ammo Input'!J360,1)*N360/1000/'Ingredient stats'!$C$4)),0),0)</f>
        <v>0</v>
      </c>
      <c r="V360">
        <f>IFERROR(__xludf.DUMMYFUNCTION("ROUNDUP(IF(ISBLANK(VLOOKUP(B356,AmmoTypeFactors,16,False)),1,VLOOKUP(B356,AmmoTypeFactors,16,False)) * (IFS(REGEXMATCH(B356, ""EMP""), 'Ammo Input'!M356 * N356 / 'Ingredient stats'!$C$5, REGEXMATCH(B356, ""Charge""), (U356^0.75), true, 0) + (IF(VLOOKUP(B3"&amp;"56, AmmoTypeFactors, 10, false), 2,0) + IF('Ammo Input'!P356, 2,0) + IF('Ammo Input'!Q356,MIN(ROUNDUP(0.2*('Ammo Input'!H356/1000)*'Ammo Input'!O356,0),20),0))))"),0)</f>
        <v>0</v>
      </c>
      <c r="W360">
        <v>0</v>
      </c>
      <c r="X360">
        <v>0</v>
      </c>
      <c r="Y360">
        <v>0</v>
      </c>
      <c r="Z360">
        <v>0</v>
      </c>
      <c r="AA360">
        <v>0</v>
      </c>
      <c r="AB360" s="30">
        <f>IF(B360="Sling Bullet (Stone)",ROUNDUP(D360*0.02*E360/'Ingredient stats'!$C$8,0),0)</f>
        <v>0</v>
      </c>
      <c r="AC360" t="str">
        <f t="shared" si="20"/>
        <v>None</v>
      </c>
      <c r="AD360" t="str">
        <f>IF(OR(B360="Buck",B360="Bird",B360="Charge (Scatter)"),'Ammo Input'!J360,"None")</f>
        <v>None</v>
      </c>
      <c r="AE360" t="str">
        <f>_xlfn.IFS(ISTEXT(Calcs!N360),Calcs!N360,Calcs!N360&lt;=40,Calcs!N360,Calcs!N360&gt;41,"40")</f>
        <v>None</v>
      </c>
      <c r="AF360" t="str">
        <f>_xlfn.IFS(ISTEXT(Calcs!O360),Calcs!O360,Calcs!O360&lt;=80,Calcs!O360,Calcs!O360&gt;=81,"80")</f>
        <v>None</v>
      </c>
      <c r="AG360" s="25">
        <f t="shared" si="21"/>
        <v>1</v>
      </c>
      <c r="AH360" s="25">
        <f t="shared" si="22"/>
        <v>2.74</v>
      </c>
      <c r="AI360" s="25">
        <f t="shared" si="23"/>
        <v>1</v>
      </c>
    </row>
    <row r="361" ht="14.4" spans="1:35">
      <c r="A361" s="24" t="str">
        <f>'Ammo Input'!A361</f>
        <v>5.56x45mm NATO</v>
      </c>
      <c r="B361" t="str">
        <f>'Ammo Input'!B361</f>
        <v>AP</v>
      </c>
      <c r="C361">
        <f>ROUNDUP(('Ammo Input'!C361*(MAX('Ammo Input'!D361,'Ammo Input'!F361)*0.5)^2*PI())*3/1000000,2)</f>
        <v>0.02</v>
      </c>
      <c r="D361">
        <f>ROUNDUP(('Ammo Input'!E361+'Ammo Input'!H361*IF('Ammo Input'!J361&lt;&gt;"",MAX('Ammo Input'!J361,1),1))/1000,3)</f>
        <v>0.013</v>
      </c>
      <c r="E361">
        <f>MIN(5000,MAX(25,CEILING(Calcs!L361,_xlfn.IFS(Calcs!L361&lt;100,25,Calcs!L361&lt;250,50,Calcs!L361&lt;1000,250,Calcs!L361&gt;=1000,1000))))</f>
        <v>5000</v>
      </c>
      <c r="F361">
        <f>ROUNDUP('Ammo Input'!G361^(3/4),0)</f>
        <v>168</v>
      </c>
      <c r="G361">
        <f>ROUND((0.5*((IF(OR(B361="HEAT",B361="HEDP"),'Ammo Input'!N361,'Ammo Input'!H361)/1000)*(IF(B361="HEAT",9000,IF(B361="HEDP",1500,'Ammo Input'!G361))^2))),0)</f>
        <v>1709</v>
      </c>
      <c r="H361" s="25" t="str">
        <f>CONCATENATE(IF((B361="Foam")+(B361="Smoke"),"-",ROUND(Calcs!D361,0))," ",VLOOKUP(B361,AmmoTypeFactors,5,FALSE))</f>
        <v>9 Bullet</v>
      </c>
      <c r="I361" s="25" t="str">
        <f>IF(Calcs!E361=0,"None",CONCATENATE(ROUND(Calcs!E361,0)," ",VLOOKUP(B361,AmmoTypeFactors,6,FALSE)))</f>
        <v>None</v>
      </c>
      <c r="J361">
        <f>MROUND(2.42*'Ammo Input'!M361^(1/3)*VLOOKUP(B361,AmmoTypeFactors,3,FALSE),0.5)</f>
        <v>0</v>
      </c>
      <c r="K361" s="25" t="str">
        <f>IF(VLOOKUP(B361,AmmoTypeFactors,12,FALSE),MROUND(J361/3,0.5),"None")</f>
        <v>None</v>
      </c>
      <c r="L361" s="25">
        <f>IF(VLOOKUP(B361,AmmoTypeFactors,8,FALSE),"None",ROUNDUP(IF(Calcs!I361&gt;0,Calcs!I361,Calcs!H361),3))</f>
        <v>34.18</v>
      </c>
      <c r="M361" s="25">
        <f>IF(VLOOKUP(B361,AmmoTypeFactors,8,FALSE),"None",'Ammo Input'!L361)</f>
        <v>12</v>
      </c>
      <c r="N361">
        <f>'Ammo Input'!O361</f>
        <v>500</v>
      </c>
      <c r="O361" t="e">
        <f>ROUND((P361*0.0036+SUMPRODUCT(Q361:AB361,VLOOKUP($Q$1:$AB$1,IngredientStats,2,FALSE)))/N361*IF('Ammo Input'!R361,0.5,1),2)</f>
        <v>#VALUE!</v>
      </c>
      <c r="P361" t="e">
        <f>(SUMPRODUCT(Q361:AB361,VLOOKUP($Q$1:$AB$1,IngredientStats,4,FALSE))*VLOOKUP(B361,AmmoTypeFactors,14,FALSE)*IF('Ammo Input'!R361,1.1,1))</f>
        <v>#VALUE!</v>
      </c>
      <c r="Q361">
        <f>IFERROR(__xludf.DUMMYFUNCTION("((IF(NOT(OR(REGEXMATCH(B357, ""Arrow""), B357 = ""Javelin"", B357 = ""Stick bomb"")), ROUNDUP(('Ammo Input'!E357 / 1000) * N357)) + IF(VLOOKUP(B357, AmmoTypeFactors, 9, FALSE) = ""Steel"", ROUNDUP(('Ammo Input'!H357 -'Ammo Input'!M357) * MAX(IF('Ammo Inpu"&amp;"t'!J357 &gt; 0, 'Ammo Input'!J357, 1), 1) * N357 / 1000))) / 'Ingredient stats'!$C$2) * IF(ISBLANK(VLOOKUP(B357,AmmoTypeFactors,15,False)),1,VLOOKUP(B357,AmmoTypeFactors,15,False))"),14)</f>
        <v>14</v>
      </c>
      <c r="R361">
        <f>IFERROR(__xludf.DUMMYFUNCTION("ROUNDUP((IF(REGEXMATCH(B357, ""Arrow"") + (B357 = ""Javelin""), 'Ammo Input'!E357) + IF(VLOOKUP(B357, AmmoTypeFactors, 9, FALSE) = ""Wood"", 'Ammo Input'!H357) + IF(B357 = ""Stick bomb"", 'Ammo Input'!E357)) * N357 / 'Ingredient stats'!$C$12 / 1000)"),0)</f>
        <v>0</v>
      </c>
      <c r="S361">
        <v>0</v>
      </c>
      <c r="T361">
        <v>0</v>
      </c>
      <c r="U361">
        <f>IF(VLOOKUP(B361,AmmoTypeFactors,9,FALSE)="Plasteel",ROUNDUP(('Ammo Input'!H361*MAX(IF('Ammo Input'!J361&gt;0,'Ammo Input'!J361,1)*N361/1000/'Ingredient stats'!$C$4)),0),0)</f>
        <v>0</v>
      </c>
      <c r="V361">
        <f>IFERROR(__xludf.DUMMYFUNCTION("ROUNDUP(IF(ISBLANK(VLOOKUP(B357,AmmoTypeFactors,16,False)),1,VLOOKUP(B357,AmmoTypeFactors,16,False)) * (IFS(REGEXMATCH(B357, ""EMP""), 'Ammo Input'!M357 * N357 / 'Ingredient stats'!$C$5, REGEXMATCH(B357, ""Charge""), (U357^0.75), true, 0) + (IF(VLOOKUP(B3"&amp;"57, AmmoTypeFactors, 10, false), 2,0) + IF('Ammo Input'!P357, 2,0) + IF('Ammo Input'!Q357,MIN(ROUNDUP(0.2*('Ammo Input'!H357/1000)*'Ammo Input'!O357,0),20),0))))"),0)</f>
        <v>0</v>
      </c>
      <c r="W361">
        <v>0</v>
      </c>
      <c r="X361">
        <v>0</v>
      </c>
      <c r="Y361">
        <v>0</v>
      </c>
      <c r="Z361">
        <v>0</v>
      </c>
      <c r="AA361">
        <v>0</v>
      </c>
      <c r="AB361" s="30">
        <f>IF(B361="Sling Bullet (Stone)",ROUNDUP(D361*0.02*E361/'Ingredient stats'!$C$8,0),0)</f>
        <v>0</v>
      </c>
      <c r="AC361" t="str">
        <f t="shared" si="20"/>
        <v>None</v>
      </c>
      <c r="AD361" t="str">
        <f>IF(OR(B361="Buck",B361="Bird",B361="Charge (Scatter)"),'Ammo Input'!J361,"None")</f>
        <v>None</v>
      </c>
      <c r="AE361" t="str">
        <f>_xlfn.IFS(ISTEXT(Calcs!N361),Calcs!N361,Calcs!N361&lt;=40,Calcs!N361,Calcs!N361&gt;41,"40")</f>
        <v>None</v>
      </c>
      <c r="AF361" t="str">
        <f>_xlfn.IFS(ISTEXT(Calcs!O361),Calcs!O361,Calcs!O361&lt;=80,Calcs!O361,Calcs!O361&gt;=81,"80")</f>
        <v>None</v>
      </c>
      <c r="AG361" s="25">
        <f t="shared" si="21"/>
        <v>1</v>
      </c>
      <c r="AH361" s="25">
        <f t="shared" si="22"/>
        <v>2.74</v>
      </c>
      <c r="AI361" s="25">
        <f t="shared" si="23"/>
        <v>1</v>
      </c>
    </row>
    <row r="362" ht="14.4" spans="1:35">
      <c r="A362" s="24" t="str">
        <f>'Ammo Input'!A362</f>
        <v>5.56x45mm NATO</v>
      </c>
      <c r="B362" t="str">
        <f>'Ammo Input'!B362</f>
        <v>HP</v>
      </c>
      <c r="C362">
        <f>ROUNDUP(('Ammo Input'!C362*(MAX('Ammo Input'!D362,'Ammo Input'!F362)*0.5)^2*PI())*3/1000000,2)</f>
        <v>0.02</v>
      </c>
      <c r="D362">
        <f>ROUNDUP(('Ammo Input'!E362+'Ammo Input'!H362*IF('Ammo Input'!J362&lt;&gt;"",MAX('Ammo Input'!J362,1),1))/1000,3)</f>
        <v>0.013</v>
      </c>
      <c r="E362">
        <f>MIN(5000,MAX(25,CEILING(Calcs!L362,_xlfn.IFS(Calcs!L362&lt;100,25,Calcs!L362&lt;250,50,Calcs!L362&lt;1000,250,Calcs!L362&gt;=1000,1000))))</f>
        <v>5000</v>
      </c>
      <c r="F362">
        <f>ROUNDUP('Ammo Input'!G362^(3/4),0)</f>
        <v>168</v>
      </c>
      <c r="G362">
        <f>ROUND((0.5*((IF(OR(B362="HEAT",B362="HEDP"),'Ammo Input'!N362,'Ammo Input'!H362)/1000)*(IF(B362="HEAT",9000,IF(B362="HEDP",1500,'Ammo Input'!G362))^2))),0)</f>
        <v>1709</v>
      </c>
      <c r="H362" s="25" t="str">
        <f>CONCATENATE(IF((B362="Foam")+(B362="Smoke"),"-",ROUND(Calcs!D362,0))," ",VLOOKUP(B362,AmmoTypeFactors,5,FALSE))</f>
        <v>18 Bullet</v>
      </c>
      <c r="I362" s="25" t="str">
        <f>IF(Calcs!E362=0,"None",CONCATENATE(ROUND(Calcs!E362,0)," ",VLOOKUP(B362,AmmoTypeFactors,6,FALSE)))</f>
        <v>None</v>
      </c>
      <c r="J362">
        <f>MROUND(2.42*'Ammo Input'!M362^(1/3)*VLOOKUP(B362,AmmoTypeFactors,3,FALSE),0.5)</f>
        <v>0</v>
      </c>
      <c r="K362" s="25" t="str">
        <f>IF(VLOOKUP(B362,AmmoTypeFactors,12,FALSE),MROUND(J362/3,0.5),"None")</f>
        <v>None</v>
      </c>
      <c r="L362" s="25">
        <f>IF(VLOOKUP(B362,AmmoTypeFactors,8,FALSE),"None",ROUNDUP(IF(Calcs!I362&gt;0,Calcs!I362,Calcs!H362),3))</f>
        <v>34.18</v>
      </c>
      <c r="M362" s="25">
        <f>IF(VLOOKUP(B362,AmmoTypeFactors,8,FALSE),"None",'Ammo Input'!L362)</f>
        <v>3</v>
      </c>
      <c r="N362">
        <f>'Ammo Input'!O362</f>
        <v>500</v>
      </c>
      <c r="O362" t="e">
        <f>ROUND((P362*0.0036+SUMPRODUCT(Q362:AB362,VLOOKUP($Q$1:$AB$1,IngredientStats,2,FALSE)))/N362*IF('Ammo Input'!R362,0.5,1),2)</f>
        <v>#VALUE!</v>
      </c>
      <c r="P362" t="e">
        <f>(SUMPRODUCT(Q362:AB362,VLOOKUP($Q$1:$AB$1,IngredientStats,4,FALSE))*VLOOKUP(B362,AmmoTypeFactors,14,FALSE)*IF('Ammo Input'!R362,1.1,1))</f>
        <v>#VALUE!</v>
      </c>
      <c r="Q362">
        <f>IFERROR(__xludf.DUMMYFUNCTION("((IF(NOT(OR(REGEXMATCH(B358, ""Arrow""), B358 = ""Javelin"", B358 = ""Stick bomb"")), ROUNDUP(('Ammo Input'!E358 / 1000) * N358)) + IF(VLOOKUP(B358, AmmoTypeFactors, 9, FALSE) = ""Steel"", ROUNDUP(('Ammo Input'!H358 -'Ammo Input'!M358) * MAX(IF('Ammo Inpu"&amp;"t'!J358 &gt; 0, 'Ammo Input'!J358, 1), 1) * N358 / 1000))) / 'Ingredient stats'!$C$2) * IF(ISBLANK(VLOOKUP(B358,AmmoTypeFactors,15,False)),1,VLOOKUP(B358,AmmoTypeFactors,15,False))"),14)</f>
        <v>14</v>
      </c>
      <c r="R362">
        <f>IFERROR(__xludf.DUMMYFUNCTION("ROUNDUP((IF(REGEXMATCH(B358, ""Arrow"") + (B358 = ""Javelin""), 'Ammo Input'!E358) + IF(VLOOKUP(B358, AmmoTypeFactors, 9, FALSE) = ""Wood"", 'Ammo Input'!H358) + IF(B358 = ""Stick bomb"", 'Ammo Input'!E358)) * N358 / 'Ingredient stats'!$C$12 / 1000)"),0)</f>
        <v>0</v>
      </c>
      <c r="S362">
        <v>0</v>
      </c>
      <c r="T362">
        <v>0</v>
      </c>
      <c r="U362">
        <f>IF(VLOOKUP(B362,AmmoTypeFactors,9,FALSE)="Plasteel",ROUNDUP(('Ammo Input'!H362*MAX(IF('Ammo Input'!J362&gt;0,'Ammo Input'!J362,1)*N362/1000/'Ingredient stats'!$C$4)),0),0)</f>
        <v>0</v>
      </c>
      <c r="V362">
        <f>IFERROR(__xludf.DUMMYFUNCTION("ROUNDUP(IF(ISBLANK(VLOOKUP(B358,AmmoTypeFactors,16,False)),1,VLOOKUP(B358,AmmoTypeFactors,16,False)) * (IFS(REGEXMATCH(B358, ""EMP""), 'Ammo Input'!M358 * N358 / 'Ingredient stats'!$C$5, REGEXMATCH(B358, ""Charge""), (U358^0.75), true, 0) + (IF(VLOOKUP(B3"&amp;"58, AmmoTypeFactors, 10, false), 2,0) + IF('Ammo Input'!P358, 2,0) + IF('Ammo Input'!Q358,MIN(ROUNDUP(0.2*('Ammo Input'!H358/1000)*'Ammo Input'!O358,0),20),0))))"),0)</f>
        <v>0</v>
      </c>
      <c r="W362">
        <v>0</v>
      </c>
      <c r="X362">
        <v>0</v>
      </c>
      <c r="Y362">
        <v>0</v>
      </c>
      <c r="Z362">
        <v>0</v>
      </c>
      <c r="AA362">
        <v>0</v>
      </c>
      <c r="AB362" s="30">
        <f>IF(B362="Sling Bullet (Stone)",ROUNDUP(D362*0.02*E362/'Ingredient stats'!$C$8,0),0)</f>
        <v>0</v>
      </c>
      <c r="AC362" t="str">
        <f t="shared" si="20"/>
        <v>None</v>
      </c>
      <c r="AD362" t="str">
        <f>IF(OR(B362="Buck",B362="Bird",B362="Charge (Scatter)"),'Ammo Input'!J362,"None")</f>
        <v>None</v>
      </c>
      <c r="AE362" t="str">
        <f>_xlfn.IFS(ISTEXT(Calcs!N362),Calcs!N362,Calcs!N362&lt;=40,Calcs!N362,Calcs!N362&gt;41,"40")</f>
        <v>None</v>
      </c>
      <c r="AF362" t="str">
        <f>_xlfn.IFS(ISTEXT(Calcs!O362),Calcs!O362,Calcs!O362&lt;=80,Calcs!O362,Calcs!O362&gt;=81,"80")</f>
        <v>None</v>
      </c>
      <c r="AG362" s="25">
        <f t="shared" si="21"/>
        <v>1</v>
      </c>
      <c r="AH362" s="25">
        <f t="shared" si="22"/>
        <v>2.74</v>
      </c>
      <c r="AI362" s="25">
        <f t="shared" si="23"/>
        <v>1</v>
      </c>
    </row>
    <row r="363" ht="14.4" spans="1:35">
      <c r="A363" s="24" t="str">
        <f>'Ammo Input'!A363</f>
        <v>5.56x45mm NATO</v>
      </c>
      <c r="B363" t="str">
        <f>'Ammo Input'!B363</f>
        <v>AP-I</v>
      </c>
      <c r="C363">
        <f>ROUNDUP(('Ammo Input'!C363*(MAX('Ammo Input'!D363,'Ammo Input'!F363)*0.5)^2*PI())*3/1000000,2)</f>
        <v>0.02</v>
      </c>
      <c r="D363">
        <f>ROUNDUP(('Ammo Input'!E363+'Ammo Input'!H363*IF('Ammo Input'!J363&lt;&gt;"",MAX('Ammo Input'!J363,1),1))/1000,3)</f>
        <v>0.013</v>
      </c>
      <c r="E363">
        <f>MIN(5000,MAX(25,CEILING(Calcs!L363,_xlfn.IFS(Calcs!L363&lt;100,25,Calcs!L363&lt;250,50,Calcs!L363&lt;1000,250,Calcs!L363&gt;=1000,1000))))</f>
        <v>5000</v>
      </c>
      <c r="F363">
        <f>ROUNDUP('Ammo Input'!G363^(3/4),0)</f>
        <v>168</v>
      </c>
      <c r="G363">
        <f>ROUND((0.5*((IF(OR(B363="HEAT",B363="HEDP"),'Ammo Input'!N363,'Ammo Input'!H363)/1000)*(IF(B363="HEAT",9000,IF(B363="HEDP",1500,'Ammo Input'!G363))^2))),0)</f>
        <v>1709</v>
      </c>
      <c r="H363" s="25" t="str">
        <f>CONCATENATE(IF((B363="Foam")+(B363="Smoke"),"-",ROUND(Calcs!D363,0))," ",VLOOKUP(B363,AmmoTypeFactors,5,FALSE))</f>
        <v>9 Bullet</v>
      </c>
      <c r="I363" s="25" t="str">
        <f>IF(Calcs!E363=0,"None",CONCATENATE(ROUND(Calcs!E363,0)," ",VLOOKUP(B363,AmmoTypeFactors,6,FALSE)))</f>
        <v>3 Flame_Secondary</v>
      </c>
      <c r="J363">
        <f>MROUND(2.42*'Ammo Input'!M363^(1/3)*VLOOKUP(B363,AmmoTypeFactors,3,FALSE),0.5)</f>
        <v>0</v>
      </c>
      <c r="K363" s="25" t="str">
        <f>IF(VLOOKUP(B363,AmmoTypeFactors,12,FALSE),MROUND(J363/3,0.5),"None")</f>
        <v>None</v>
      </c>
      <c r="L363" s="25">
        <f>IF(VLOOKUP(B363,AmmoTypeFactors,8,FALSE),"None",ROUNDUP(IF(Calcs!I363&gt;0,Calcs!I363,Calcs!H363),3))</f>
        <v>34.18</v>
      </c>
      <c r="M363" s="25">
        <f>IF(VLOOKUP(B363,AmmoTypeFactors,8,FALSE),"None",'Ammo Input'!L363)</f>
        <v>12</v>
      </c>
      <c r="N363">
        <f>'Ammo Input'!O363</f>
        <v>500</v>
      </c>
      <c r="O363" t="e">
        <f>ROUND((P363*0.0036+SUMPRODUCT(Q363:AB363,VLOOKUP($Q$1:$AB$1,IngredientStats,2,FALSE)))/N363*IF('Ammo Input'!R363,0.5,1),2)</f>
        <v>#VALUE!</v>
      </c>
      <c r="P363" t="e">
        <f>(SUMPRODUCT(Q363:AB363,VLOOKUP($Q$1:$AB$1,IngredientStats,4,FALSE))*VLOOKUP(B363,AmmoTypeFactors,14,FALSE)*IF('Ammo Input'!R363,1.1,1))</f>
        <v>#VALUE!</v>
      </c>
      <c r="Q363">
        <f>IFERROR(__xludf.DUMMYFUNCTION("((IF(NOT(OR(REGEXMATCH(B359, ""Arrow""), B359 = ""Javelin"", B359 = ""Stick bomb"")), ROUNDUP(('Ammo Input'!E359 / 1000) * N359)) + IF(VLOOKUP(B359, AmmoTypeFactors, 9, FALSE) = ""Steel"", ROUNDUP(('Ammo Input'!H359 -'Ammo Input'!M359) * MAX(IF('Ammo Inpu"&amp;"t'!J359 &gt; 0, 'Ammo Input'!J359, 1), 1) * N359 / 1000))) / 'Ingredient stats'!$C$2) * IF(ISBLANK(VLOOKUP(B359,AmmoTypeFactors,15,False)),1,VLOOKUP(B359,AmmoTypeFactors,15,False))"),14)</f>
        <v>14</v>
      </c>
      <c r="R363">
        <f>IFERROR(__xludf.DUMMYFUNCTION("ROUNDUP((IF(REGEXMATCH(B359, ""Arrow"") + (B359 = ""Javelin""), 'Ammo Input'!E359) + IF(VLOOKUP(B359, AmmoTypeFactors, 9, FALSE) = ""Wood"", 'Ammo Input'!H359) + IF(B359 = ""Stick bomb"", 'Ammo Input'!E359)) * N359 / 'Ingredient stats'!$C$12 / 1000)"),0)</f>
        <v>0</v>
      </c>
      <c r="S363">
        <v>0</v>
      </c>
      <c r="T363">
        <v>0</v>
      </c>
      <c r="U363">
        <f>IF(VLOOKUP(B363,AmmoTypeFactors,9,FALSE)="Plasteel",ROUNDUP(('Ammo Input'!H363*MAX(IF('Ammo Input'!J363&gt;0,'Ammo Input'!J363,1)*N363/1000/'Ingredient stats'!$C$4)),0),0)</f>
        <v>0</v>
      </c>
      <c r="V363">
        <f>IFERROR(__xludf.DUMMYFUNCTION("ROUNDUP(IF(ISBLANK(VLOOKUP(B359,AmmoTypeFactors,16,False)),1,VLOOKUP(B359,AmmoTypeFactors,16,False)) * (IFS(REGEXMATCH(B359, ""EMP""), 'Ammo Input'!M359 * N359 / 'Ingredient stats'!$C$5, REGEXMATCH(B359, ""Charge""), (U359^0.75), true, 0) + (IF(VLOOKUP(B3"&amp;"59, AmmoTypeFactors, 10, false), 2,0) + IF('Ammo Input'!P359, 2,0) + IF('Ammo Input'!Q359,MIN(ROUNDUP(0.2*('Ammo Input'!H359/1000)*'Ammo Input'!O359,0),20),0))))"),0)</f>
        <v>0</v>
      </c>
      <c r="W363">
        <v>1</v>
      </c>
      <c r="X363">
        <v>0</v>
      </c>
      <c r="Y363">
        <v>0</v>
      </c>
      <c r="Z363">
        <v>0</v>
      </c>
      <c r="AA363">
        <v>0</v>
      </c>
      <c r="AB363" s="30">
        <f>IF(B363="Sling Bullet (Stone)",ROUNDUP(D363*0.02*E363/'Ingredient stats'!$C$8,0),0)</f>
        <v>0</v>
      </c>
      <c r="AC363" t="str">
        <f t="shared" si="20"/>
        <v>None</v>
      </c>
      <c r="AD363" t="str">
        <f>IF(OR(B363="Buck",B363="Bird",B363="Charge (Scatter)"),'Ammo Input'!J363,"None")</f>
        <v>None</v>
      </c>
      <c r="AE363" t="str">
        <f>_xlfn.IFS(ISTEXT(Calcs!N363),Calcs!N363,Calcs!N363&lt;=40,Calcs!N363,Calcs!N363&gt;41,"40")</f>
        <v>None</v>
      </c>
      <c r="AF363" t="str">
        <f>_xlfn.IFS(ISTEXT(Calcs!O363),Calcs!O363,Calcs!O363&lt;=80,Calcs!O363,Calcs!O363&gt;=81,"80")</f>
        <v>None</v>
      </c>
      <c r="AG363" s="25">
        <f t="shared" si="21"/>
        <v>1</v>
      </c>
      <c r="AH363" s="25">
        <f t="shared" si="22"/>
        <v>2.74</v>
      </c>
      <c r="AI363" s="25">
        <f t="shared" si="23"/>
        <v>1</v>
      </c>
    </row>
    <row r="364" ht="14.4" spans="1:35">
      <c r="A364" s="24" t="str">
        <f>'Ammo Input'!A364</f>
        <v>5.56x45mm NATO</v>
      </c>
      <c r="B364" t="str">
        <f>'Ammo Input'!B364</f>
        <v>AP-HE</v>
      </c>
      <c r="C364">
        <f>ROUNDUP(('Ammo Input'!C364*(MAX('Ammo Input'!D364,'Ammo Input'!F364)*0.5)^2*PI())*3/1000000,2)</f>
        <v>0.02</v>
      </c>
      <c r="D364">
        <f>ROUNDUP(('Ammo Input'!E364+'Ammo Input'!H364*IF('Ammo Input'!J364&lt;&gt;"",MAX('Ammo Input'!J364,1),1))/1000,3)</f>
        <v>0.013</v>
      </c>
      <c r="E364">
        <f>MIN(5000,MAX(25,CEILING(Calcs!L364,_xlfn.IFS(Calcs!L364&lt;100,25,Calcs!L364&lt;250,50,Calcs!L364&lt;1000,250,Calcs!L364&gt;=1000,1000))))</f>
        <v>5000</v>
      </c>
      <c r="F364">
        <f>ROUNDUP('Ammo Input'!G364^(3/4),0)</f>
        <v>168</v>
      </c>
      <c r="G364">
        <f>ROUND((0.5*((IF(OR(B364="HEAT",B364="HEDP"),'Ammo Input'!N364,'Ammo Input'!H364)/1000)*(IF(B364="HEAT",9000,IF(B364="HEDP",1500,'Ammo Input'!G364))^2))),0)</f>
        <v>1709</v>
      </c>
      <c r="H364" s="25" t="str">
        <f>CONCATENATE(IF((B364="Foam")+(B364="Smoke"),"-",ROUND(Calcs!D364,0))," ",VLOOKUP(B364,AmmoTypeFactors,5,FALSE))</f>
        <v>14 Bullet</v>
      </c>
      <c r="I364" s="25" t="str">
        <f>IF(Calcs!E364=0,"None",CONCATENATE(ROUND(Calcs!E364,0)," ",VLOOKUP(B364,AmmoTypeFactors,6,FALSE)))</f>
        <v>5 Bomb_Secondary</v>
      </c>
      <c r="J364">
        <f>MROUND(2.42*'Ammo Input'!M364^(1/3)*VLOOKUP(B364,AmmoTypeFactors,3,FALSE),0.5)</f>
        <v>0</v>
      </c>
      <c r="K364" s="25" t="str">
        <f>IF(VLOOKUP(B364,AmmoTypeFactors,12,FALSE),MROUND(J364/3,0.5),"None")</f>
        <v>None</v>
      </c>
      <c r="L364" s="25">
        <f>IF(VLOOKUP(B364,AmmoTypeFactors,8,FALSE),"None",ROUNDUP(IF(Calcs!I364&gt;0,Calcs!I364,Calcs!H364),3))</f>
        <v>34.18</v>
      </c>
      <c r="M364" s="25">
        <f>IF(VLOOKUP(B364,AmmoTypeFactors,8,FALSE),"None",'Ammo Input'!L364)</f>
        <v>6</v>
      </c>
      <c r="N364">
        <f>'Ammo Input'!O364</f>
        <v>500</v>
      </c>
      <c r="O364" t="e">
        <f>ROUND((P364*0.0036+SUMPRODUCT(Q364:AB364,VLOOKUP($Q$1:$AB$1,IngredientStats,2,FALSE)))/N364*IF('Ammo Input'!R364,0.5,1),2)</f>
        <v>#VALUE!</v>
      </c>
      <c r="P364" t="e">
        <f>(SUMPRODUCT(Q364:AB364,VLOOKUP($Q$1:$AB$1,IngredientStats,4,FALSE))*VLOOKUP(B364,AmmoTypeFactors,14,FALSE)*IF('Ammo Input'!R364,1.1,1))</f>
        <v>#VALUE!</v>
      </c>
      <c r="Q364">
        <f>IFERROR(__xludf.DUMMYFUNCTION("((IF(NOT(OR(REGEXMATCH(B360, ""Arrow""), B360 = ""Javelin"", B360 = ""Stick bomb"")), ROUNDUP(('Ammo Input'!E360 / 1000) * N360)) + IF(VLOOKUP(B360, AmmoTypeFactors, 9, FALSE) = ""Steel"", ROUNDUP(('Ammo Input'!H360 -'Ammo Input'!M360) * MAX(IF('Ammo Inpu"&amp;"t'!J360 &gt; 0, 'Ammo Input'!J360, 1), 1) * N360 / 1000))) / 'Ingredient stats'!$C$2) * IF(ISBLANK(VLOOKUP(B360,AmmoTypeFactors,15,False)),1,VLOOKUP(B360,AmmoTypeFactors,15,False))"),14)</f>
        <v>14</v>
      </c>
      <c r="R364">
        <f>IFERROR(__xludf.DUMMYFUNCTION("ROUNDUP((IF(REGEXMATCH(B360, ""Arrow"") + (B360 = ""Javelin""), 'Ammo Input'!E360) + IF(VLOOKUP(B360, AmmoTypeFactors, 9, FALSE) = ""Wood"", 'Ammo Input'!H360) + IF(B360 = ""Stick bomb"", 'Ammo Input'!E360)) * N360 / 'Ingredient stats'!$C$12 / 1000)"),0)</f>
        <v>0</v>
      </c>
      <c r="S364">
        <v>0</v>
      </c>
      <c r="T364">
        <v>0</v>
      </c>
      <c r="U364">
        <f>IF(VLOOKUP(B364,AmmoTypeFactors,9,FALSE)="Plasteel",ROUNDUP(('Ammo Input'!H364*MAX(IF('Ammo Input'!J364&gt;0,'Ammo Input'!J364,1)*N364/1000/'Ingredient stats'!$C$4)),0),0)</f>
        <v>0</v>
      </c>
      <c r="V364">
        <f>IFERROR(__xludf.DUMMYFUNCTION("ROUNDUP(IF(ISBLANK(VLOOKUP(B360,AmmoTypeFactors,16,False)),1,VLOOKUP(B360,AmmoTypeFactors,16,False)) * (IFS(REGEXMATCH(B360, ""EMP""), 'Ammo Input'!M360 * N360 / 'Ingredient stats'!$C$5, REGEXMATCH(B360, ""Charge""), (U360^0.75), true, 0) + (IF(VLOOKUP(B3"&amp;"60, AmmoTypeFactors, 10, false), 2,0) + IF('Ammo Input'!P360, 2,0) + IF('Ammo Input'!Q360,MIN(ROUNDUP(0.2*('Ammo Input'!H360/1000)*'Ammo Input'!O360,0),20),0))))"),0)</f>
        <v>0</v>
      </c>
      <c r="W364">
        <v>0</v>
      </c>
      <c r="X364">
        <v>4</v>
      </c>
      <c r="Y364">
        <v>0</v>
      </c>
      <c r="Z364">
        <v>0</v>
      </c>
      <c r="AA364">
        <v>0</v>
      </c>
      <c r="AB364" s="30">
        <f>IF(B364="Sling Bullet (Stone)",ROUNDUP(D364*0.02*E364/'Ingredient stats'!$C$8,0),0)</f>
        <v>0</v>
      </c>
      <c r="AC364" t="str">
        <f t="shared" si="20"/>
        <v>None</v>
      </c>
      <c r="AD364" t="str">
        <f>IF(OR(B364="Buck",B364="Bird",B364="Charge (Scatter)"),'Ammo Input'!J364,"None")</f>
        <v>None</v>
      </c>
      <c r="AE364" t="str">
        <f>_xlfn.IFS(ISTEXT(Calcs!N364),Calcs!N364,Calcs!N364&lt;=40,Calcs!N364,Calcs!N364&gt;41,"40")</f>
        <v>None</v>
      </c>
      <c r="AF364" t="str">
        <f>_xlfn.IFS(ISTEXT(Calcs!O364),Calcs!O364,Calcs!O364&lt;=80,Calcs!O364,Calcs!O364&gt;=81,"80")</f>
        <v>None</v>
      </c>
      <c r="AG364" s="25">
        <f t="shared" si="21"/>
        <v>1</v>
      </c>
      <c r="AH364" s="25">
        <f t="shared" si="22"/>
        <v>2.74</v>
      </c>
      <c r="AI364" s="25">
        <f t="shared" si="23"/>
        <v>1</v>
      </c>
    </row>
    <row r="365" ht="14.4" spans="1:35">
      <c r="A365" s="24" t="str">
        <f>'Ammo Input'!A365</f>
        <v>5.56x45mm NATO</v>
      </c>
      <c r="B365" t="str">
        <f>'Ammo Input'!B365</f>
        <v>Sabot</v>
      </c>
      <c r="C365">
        <f>ROUNDUP(('Ammo Input'!C365*(MAX('Ammo Input'!D365,'Ammo Input'!F365)*0.5)^2*PI())*3/1000000,2)</f>
        <v>0.02</v>
      </c>
      <c r="D365">
        <f>ROUNDUP(('Ammo Input'!E365+'Ammo Input'!H365*IF('Ammo Input'!J365&lt;&gt;"",MAX('Ammo Input'!J365,1),1))/1000,3)</f>
        <v>0.011</v>
      </c>
      <c r="E365">
        <f>MIN(5000,MAX(25,CEILING(Calcs!L365,_xlfn.IFS(Calcs!L365&lt;100,25,Calcs!L365&lt;250,50,Calcs!L365&lt;1000,250,Calcs!L365&gt;=1000,1000))))</f>
        <v>5000</v>
      </c>
      <c r="F365">
        <f>ROUNDUP('Ammo Input'!G365^(3/4),0)</f>
        <v>227</v>
      </c>
      <c r="G365">
        <f>ROUND((0.5*((IF(OR(B365="HEAT",B365="HEDP"),'Ammo Input'!N365,'Ammo Input'!H365)/1000)*(IF(B365="HEAT",9000,IF(B365="HEDP",1500,'Ammo Input'!G365))^2))),0)</f>
        <v>2209</v>
      </c>
      <c r="H365" s="25" t="str">
        <f>CONCATENATE(IF((B365="Foam")+(B365="Smoke"),"-",ROUND(Calcs!D365,0))," ",VLOOKUP(B365,AmmoTypeFactors,5,FALSE))</f>
        <v>7 Bullet</v>
      </c>
      <c r="I365" s="25" t="str">
        <f>IF(Calcs!E365=0,"None",CONCATENATE(ROUND(Calcs!E365,0)," ",VLOOKUP(B365,AmmoTypeFactors,6,FALSE)))</f>
        <v>None</v>
      </c>
      <c r="J365">
        <f>MROUND(2.42*'Ammo Input'!M365^(1/3)*VLOOKUP(B365,AmmoTypeFactors,3,FALSE),0.5)</f>
        <v>0</v>
      </c>
      <c r="K365" s="25" t="str">
        <f>IF(VLOOKUP(B365,AmmoTypeFactors,12,FALSE),MROUND(J365/3,0.5),"None")</f>
        <v>None</v>
      </c>
      <c r="L365" s="25">
        <f>IF(VLOOKUP(B365,AmmoTypeFactors,8,FALSE),"None",ROUNDUP(IF(Calcs!I365&gt;0,Calcs!I365,Calcs!H365),3))</f>
        <v>44.18</v>
      </c>
      <c r="M365" s="25">
        <f>IF(VLOOKUP(B365,AmmoTypeFactors,8,FALSE),"None",'Ammo Input'!L365)</f>
        <v>18</v>
      </c>
      <c r="N365">
        <f>'Ammo Input'!O365</f>
        <v>500</v>
      </c>
      <c r="O365" t="e">
        <f>ROUND((P365*0.0036+SUMPRODUCT(Q365:AB365,VLOOKUP($Q$1:$AB$1,IngredientStats,2,FALSE)))/N365*IF('Ammo Input'!R365,0.5,1),2)</f>
        <v>#VALUE!</v>
      </c>
      <c r="P365" t="e">
        <f>(SUMPRODUCT(Q365:AB365,VLOOKUP($Q$1:$AB$1,IngredientStats,4,FALSE))*VLOOKUP(B365,AmmoTypeFactors,14,FALSE)*IF('Ammo Input'!R365,1.1,1))</f>
        <v>#VALUE!</v>
      </c>
      <c r="Q365">
        <f>IFERROR(__xludf.DUMMYFUNCTION("((IF(NOT(OR(REGEXMATCH(B361, ""Arrow""), B361 = ""Javelin"", B361 = ""Stick bomb"")), ROUNDUP(('Ammo Input'!E361 / 1000) * N361)) + IF(VLOOKUP(B361, AmmoTypeFactors, 9, FALSE) = ""Steel"", ROUNDUP(('Ammo Input'!H361 -'Ammo Input'!M361) * MAX(IF('Ammo Inpu"&amp;"t'!J361 &gt; 0, 'Ammo Input'!J361, 1), 1) * N361 / 1000))) / 'Ingredient stats'!$C$2) * IF(ISBLANK(VLOOKUP(B361,AmmoTypeFactors,15,False)),1,VLOOKUP(B361,AmmoTypeFactors,15,False))"),8)</f>
        <v>8</v>
      </c>
      <c r="R365">
        <f>IFERROR(__xludf.DUMMYFUNCTION("ROUNDUP((IF(REGEXMATCH(B361, ""Arrow"") + (B361 = ""Javelin""), 'Ammo Input'!E361) + IF(VLOOKUP(B361, AmmoTypeFactors, 9, FALSE) = ""Wood"", 'Ammo Input'!H361) + IF(B361 = ""Stick bomb"", 'Ammo Input'!E361)) * N361 / 'Ingredient stats'!$C$12 / 1000)"),0)</f>
        <v>0</v>
      </c>
      <c r="S365">
        <v>2</v>
      </c>
      <c r="T365">
        <v>2</v>
      </c>
      <c r="U365">
        <f>IF(VLOOKUP(B365,AmmoTypeFactors,9,FALSE)="Plasteel",ROUNDUP(('Ammo Input'!H365*MAX(IF('Ammo Input'!J365&gt;0,'Ammo Input'!J365,1)*N365/1000/'Ingredient stats'!$C$4)),0),0)</f>
        <v>0</v>
      </c>
      <c r="V365">
        <f>IFERROR(__xludf.DUMMYFUNCTION("ROUNDUP(IF(ISBLANK(VLOOKUP(B361,AmmoTypeFactors,16,False)),1,VLOOKUP(B361,AmmoTypeFactors,16,False)) * (IFS(REGEXMATCH(B361, ""EMP""), 'Ammo Input'!M361 * N361 / 'Ingredient stats'!$C$5, REGEXMATCH(B361, ""Charge""), (U361^0.75), true, 0) + (IF(VLOOKUP(B3"&amp;"61, AmmoTypeFactors, 10, false), 2,0) + IF('Ammo Input'!P361, 2,0) + IF('Ammo Input'!Q361,MIN(ROUNDUP(0.2*('Ammo Input'!H361/1000)*'Ammo Input'!O361,0),20),0))))"),0)</f>
        <v>0</v>
      </c>
      <c r="W365">
        <v>0</v>
      </c>
      <c r="X365">
        <v>0</v>
      </c>
      <c r="Y365">
        <v>0</v>
      </c>
      <c r="Z365">
        <v>0</v>
      </c>
      <c r="AA365">
        <v>0</v>
      </c>
      <c r="AB365" s="30">
        <f>IF(B365="Sling Bullet (Stone)",ROUNDUP(D365*0.02*E365/'Ingredient stats'!$C$8,0),0)</f>
        <v>0</v>
      </c>
      <c r="AC365" t="str">
        <f t="shared" si="20"/>
        <v>None</v>
      </c>
      <c r="AD365" t="str">
        <f>IF(OR(B365="Buck",B365="Bird",B365="Charge (Scatter)"),'Ammo Input'!J365,"None")</f>
        <v>None</v>
      </c>
      <c r="AE365" t="str">
        <f>_xlfn.IFS(ISTEXT(Calcs!N365),Calcs!N365,Calcs!N365&lt;=40,Calcs!N365,Calcs!N365&gt;41,"40")</f>
        <v>None</v>
      </c>
      <c r="AF365" t="str">
        <f>_xlfn.IFS(ISTEXT(Calcs!O365),Calcs!O365,Calcs!O365&lt;=80,Calcs!O365,Calcs!O365&gt;=81,"80")</f>
        <v>None</v>
      </c>
      <c r="AG365" s="25">
        <f t="shared" si="21"/>
        <v>1</v>
      </c>
      <c r="AH365" s="25">
        <f t="shared" si="22"/>
        <v>3.7</v>
      </c>
      <c r="AI365" s="25">
        <f t="shared" si="23"/>
        <v>1</v>
      </c>
    </row>
    <row r="366" ht="14.4" spans="1:35">
      <c r="A366" s="24" t="str">
        <f>'Ammo Input'!A366</f>
        <v>5.56x45mm NATO (Slow)</v>
      </c>
      <c r="B366" t="str">
        <f>'Ammo Input'!B366</f>
        <v>FMJ</v>
      </c>
      <c r="C366">
        <f>ROUNDUP(('Ammo Input'!C366*(MAX('Ammo Input'!D366,'Ammo Input'!F366)*0.5)^2*PI())*3/1000000,2)</f>
        <v>0.02</v>
      </c>
      <c r="D366">
        <f>ROUNDUP(('Ammo Input'!E366+'Ammo Input'!H366*IF('Ammo Input'!J366&lt;&gt;"",MAX('Ammo Input'!J366,1),1))/1000,3)</f>
        <v>0.013</v>
      </c>
      <c r="E366">
        <f>MIN(5000,MAX(25,CEILING(Calcs!L366,_xlfn.IFS(Calcs!L366&lt;100,25,Calcs!L366&lt;250,50,Calcs!L366&lt;1000,250,Calcs!L366&gt;=1000,1000))))</f>
        <v>5000</v>
      </c>
      <c r="F366">
        <f>ROUNDUP('Ammo Input'!G366^(3/4),0)</f>
        <v>141</v>
      </c>
      <c r="G366">
        <f>ROUND((0.5*((IF(OR(B366="HEAT",B366="HEDP"),'Ammo Input'!N366,'Ammo Input'!H366)/1000)*(IF(B366="HEAT",9000,IF(B366="HEDP",1500,'Ammo Input'!G366))^2))),0)</f>
        <v>1080</v>
      </c>
      <c r="H366" s="25" t="str">
        <f>CONCATENATE(IF((B366="Foam")+(B366="Smoke"),"-",ROUND(Calcs!D366,0))," ",VLOOKUP(B366,AmmoTypeFactors,5,FALSE))</f>
        <v>12 Bullet</v>
      </c>
      <c r="I366" s="25" t="str">
        <f>IF(Calcs!E366=0,"None",CONCATENATE(ROUND(Calcs!E366,0)," ",VLOOKUP(B366,AmmoTypeFactors,6,FALSE)))</f>
        <v>None</v>
      </c>
      <c r="J366">
        <f>MROUND(2.42*'Ammo Input'!M366^(1/3)*VLOOKUP(B366,AmmoTypeFactors,3,FALSE),0.5)</f>
        <v>0</v>
      </c>
      <c r="K366" s="25" t="str">
        <f>IF(VLOOKUP(B366,AmmoTypeFactors,12,FALSE),MROUND(J366/3,0.5),"None")</f>
        <v>None</v>
      </c>
      <c r="L366" s="25">
        <f>IF(VLOOKUP(B366,AmmoTypeFactors,8,FALSE),"None",ROUNDUP(IF(Calcs!I366&gt;0,Calcs!I366,Calcs!H366),3))</f>
        <v>21.6</v>
      </c>
      <c r="M366" s="25">
        <f>IF(VLOOKUP(B366,AmmoTypeFactors,8,FALSE),"None",'Ammo Input'!L366)</f>
        <v>5</v>
      </c>
      <c r="N366">
        <f>'Ammo Input'!O366</f>
        <v>500</v>
      </c>
      <c r="O366" t="e">
        <f>ROUND((P366*0.0036+SUMPRODUCT(Q366:AB366,VLOOKUP($Q$1:$AB$1,IngredientStats,2,FALSE)))/N366*IF('Ammo Input'!R366,0.5,1),2)</f>
        <v>#VALUE!</v>
      </c>
      <c r="P366" t="e">
        <f>(SUMPRODUCT(Q366:AB366,VLOOKUP($Q$1:$AB$1,IngredientStats,4,FALSE))*VLOOKUP(B366,AmmoTypeFactors,14,FALSE)*IF('Ammo Input'!R366,1.1,1))</f>
        <v>#VALUE!</v>
      </c>
      <c r="Q366">
        <f>IFERROR(__xludf.DUMMYFUNCTION("((IF(NOT(OR(REGEXMATCH(B362, ""Arrow""), B362 = ""Javelin"", B362 = ""Stick bomb"")), ROUNDUP(('Ammo Input'!E362 / 1000) * N362)) + IF(VLOOKUP(B362, AmmoTypeFactors, 9, FALSE) = ""Steel"", ROUNDUP(('Ammo Input'!H362 -'Ammo Input'!M362) * MAX(IF('Ammo Inpu"&amp;"t'!J362 &gt; 0, 'Ammo Input'!J362, 1), 1) * N362 / 1000))) / 'Ingredient stats'!$C$2) * IF(ISBLANK(VLOOKUP(B362,AmmoTypeFactors,15,False)),1,VLOOKUP(B362,AmmoTypeFactors,15,False))"),14)</f>
        <v>14</v>
      </c>
      <c r="R366">
        <f>IFERROR(__xludf.DUMMYFUNCTION("ROUNDUP((IF(REGEXMATCH(B362, ""Arrow"") + (B362 = ""Javelin""), 'Ammo Input'!E362) + IF(VLOOKUP(B362, AmmoTypeFactors, 9, FALSE) = ""Wood"", 'Ammo Input'!H362) + IF(B362 = ""Stick bomb"", 'Ammo Input'!E362)) * N362 / 'Ingredient stats'!$C$12 / 1000)"),0)</f>
        <v>0</v>
      </c>
      <c r="S366">
        <v>0</v>
      </c>
      <c r="T366">
        <v>0</v>
      </c>
      <c r="U366">
        <f>IF(VLOOKUP(B366,AmmoTypeFactors,9,FALSE)="Plasteel",ROUNDUP(('Ammo Input'!H366*MAX(IF('Ammo Input'!J366&gt;0,'Ammo Input'!J366,1)*N366/1000/'Ingredient stats'!$C$4)),0),0)</f>
        <v>0</v>
      </c>
      <c r="V366">
        <f>IFERROR(__xludf.DUMMYFUNCTION("ROUNDUP(IF(ISBLANK(VLOOKUP(B362,AmmoTypeFactors,16,False)),1,VLOOKUP(B362,AmmoTypeFactors,16,False)) * (IFS(REGEXMATCH(B362, ""EMP""), 'Ammo Input'!M362 * N362 / 'Ingredient stats'!$C$5, REGEXMATCH(B362, ""Charge""), (U362^0.75), true, 0) + (IF(VLOOKUP(B3"&amp;"62, AmmoTypeFactors, 10, false), 2,0) + IF('Ammo Input'!P362, 2,0) + IF('Ammo Input'!Q362,MIN(ROUNDUP(0.2*('Ammo Input'!H362/1000)*'Ammo Input'!O362,0),20),0))))"),0)</f>
        <v>0</v>
      </c>
      <c r="W366">
        <v>0</v>
      </c>
      <c r="X366">
        <v>0</v>
      </c>
      <c r="Y366">
        <v>0</v>
      </c>
      <c r="Z366">
        <v>0</v>
      </c>
      <c r="AA366">
        <v>0</v>
      </c>
      <c r="AB366" s="30">
        <f>IF(B366="Sling Bullet (Stone)",ROUNDUP(D366*0.02*E366/'Ingredient stats'!$C$8,0),0)</f>
        <v>0</v>
      </c>
      <c r="AC366" t="str">
        <f t="shared" si="20"/>
        <v>None</v>
      </c>
      <c r="AD366" t="str">
        <f>IF(OR(B366="Buck",B366="Bird",B366="Charge (Scatter)"),'Ammo Input'!J366,"None")</f>
        <v>None</v>
      </c>
      <c r="AE366" t="str">
        <f>_xlfn.IFS(ISTEXT(Calcs!N366),Calcs!N366,Calcs!N366&lt;=40,Calcs!N366,Calcs!N366&gt;41,"40")</f>
        <v>None</v>
      </c>
      <c r="AF366" t="str">
        <f>_xlfn.IFS(ISTEXT(Calcs!O366),Calcs!O366,Calcs!O366&lt;=80,Calcs!O366,Calcs!O366&gt;=81,"80")</f>
        <v>None</v>
      </c>
      <c r="AG366" s="25">
        <f t="shared" si="21"/>
        <v>1</v>
      </c>
      <c r="AH366" s="25">
        <f t="shared" si="22"/>
        <v>2.3</v>
      </c>
      <c r="AI366" s="25">
        <f t="shared" si="23"/>
        <v>1</v>
      </c>
    </row>
    <row r="367" ht="14.4" spans="1:35">
      <c r="A367" s="24" t="str">
        <f>'Ammo Input'!A367</f>
        <v>5.56x45mm NATO (Slow)</v>
      </c>
      <c r="B367" t="str">
        <f>'Ammo Input'!B367</f>
        <v>AP</v>
      </c>
      <c r="C367">
        <f>ROUNDUP(('Ammo Input'!C367*(MAX('Ammo Input'!D367,'Ammo Input'!F367)*0.5)^2*PI())*3/1000000,2)</f>
        <v>0.02</v>
      </c>
      <c r="D367">
        <f>ROUNDUP(('Ammo Input'!E367+'Ammo Input'!H367*IF('Ammo Input'!J367&lt;&gt;"",MAX('Ammo Input'!J367,1),1))/1000,3)</f>
        <v>0.013</v>
      </c>
      <c r="E367">
        <f>MIN(5000,MAX(25,CEILING(Calcs!L367,_xlfn.IFS(Calcs!L367&lt;100,25,Calcs!L367&lt;250,50,Calcs!L367&lt;1000,250,Calcs!L367&gt;=1000,1000))))</f>
        <v>5000</v>
      </c>
      <c r="F367">
        <f>ROUNDUP('Ammo Input'!G367^(3/4),0)</f>
        <v>141</v>
      </c>
      <c r="G367">
        <f>ROUND((0.5*((IF(OR(B367="HEAT",B367="HEDP"),'Ammo Input'!N367,'Ammo Input'!H367)/1000)*(IF(B367="HEAT",9000,IF(B367="HEDP",1500,'Ammo Input'!G367))^2))),0)</f>
        <v>1080</v>
      </c>
      <c r="H367" s="25" t="str">
        <f>CONCATENATE(IF((B367="Foam")+(B367="Smoke"),"-",ROUND(Calcs!D367,0))," ",VLOOKUP(B367,AmmoTypeFactors,5,FALSE))</f>
        <v>7 Bullet</v>
      </c>
      <c r="I367" s="25" t="str">
        <f>IF(Calcs!E367=0,"None",CONCATENATE(ROUND(Calcs!E367,0)," ",VLOOKUP(B367,AmmoTypeFactors,6,FALSE)))</f>
        <v>None</v>
      </c>
      <c r="J367">
        <f>MROUND(2.42*'Ammo Input'!M367^(1/3)*VLOOKUP(B367,AmmoTypeFactors,3,FALSE),0.5)</f>
        <v>0</v>
      </c>
      <c r="K367" s="25" t="str">
        <f>IF(VLOOKUP(B367,AmmoTypeFactors,12,FALSE),MROUND(J367/3,0.5),"None")</f>
        <v>None</v>
      </c>
      <c r="L367" s="25">
        <f>IF(VLOOKUP(B367,AmmoTypeFactors,8,FALSE),"None",ROUNDUP(IF(Calcs!I367&gt;0,Calcs!I367,Calcs!H367),3))</f>
        <v>21.6</v>
      </c>
      <c r="M367" s="25">
        <f>IF(VLOOKUP(B367,AmmoTypeFactors,8,FALSE),"None",'Ammo Input'!L367)</f>
        <v>10</v>
      </c>
      <c r="N367">
        <f>'Ammo Input'!O367</f>
        <v>500</v>
      </c>
      <c r="O367" t="e">
        <f>ROUND((P367*0.0036+SUMPRODUCT(Q367:AB367,VLOOKUP($Q$1:$AB$1,IngredientStats,2,FALSE)))/N367*IF('Ammo Input'!R367,0.5,1),2)</f>
        <v>#VALUE!</v>
      </c>
      <c r="P367" t="e">
        <f>(SUMPRODUCT(Q367:AB367,VLOOKUP($Q$1:$AB$1,IngredientStats,4,FALSE))*VLOOKUP(B367,AmmoTypeFactors,14,FALSE)*IF('Ammo Input'!R367,1.1,1))</f>
        <v>#VALUE!</v>
      </c>
      <c r="Q367">
        <f>IFERROR(__xludf.DUMMYFUNCTION("((IF(NOT(OR(REGEXMATCH(B363, ""Arrow""), B363 = ""Javelin"", B363 = ""Stick bomb"")), ROUNDUP(('Ammo Input'!E363 / 1000) * N363)) + IF(VLOOKUP(B363, AmmoTypeFactors, 9, FALSE) = ""Steel"", ROUNDUP(('Ammo Input'!H363 -'Ammo Input'!M363) * MAX(IF('Ammo Inpu"&amp;"t'!J363 &gt; 0, 'Ammo Input'!J363, 1), 1) * N363 / 1000))) / 'Ingredient stats'!$C$2) * IF(ISBLANK(VLOOKUP(B363,AmmoTypeFactors,15,False)),1,VLOOKUP(B363,AmmoTypeFactors,15,False))"),14)</f>
        <v>14</v>
      </c>
      <c r="R367">
        <f>IFERROR(__xludf.DUMMYFUNCTION("ROUNDUP((IF(REGEXMATCH(B363, ""Arrow"") + (B363 = ""Javelin""), 'Ammo Input'!E363) + IF(VLOOKUP(B363, AmmoTypeFactors, 9, FALSE) = ""Wood"", 'Ammo Input'!H363) + IF(B363 = ""Stick bomb"", 'Ammo Input'!E363)) * N363 / 'Ingredient stats'!$C$12 / 1000)"),0)</f>
        <v>0</v>
      </c>
      <c r="S367">
        <v>0</v>
      </c>
      <c r="T367">
        <v>0</v>
      </c>
      <c r="U367">
        <f>IF(VLOOKUP(B367,AmmoTypeFactors,9,FALSE)="Plasteel",ROUNDUP(('Ammo Input'!H367*MAX(IF('Ammo Input'!J367&gt;0,'Ammo Input'!J367,1)*N367/1000/'Ingredient stats'!$C$4)),0),0)</f>
        <v>0</v>
      </c>
      <c r="V367">
        <f>IFERROR(__xludf.DUMMYFUNCTION("ROUNDUP(IF(ISBLANK(VLOOKUP(B363,AmmoTypeFactors,16,False)),1,VLOOKUP(B363,AmmoTypeFactors,16,False)) * (IFS(REGEXMATCH(B363, ""EMP""), 'Ammo Input'!M363 * N363 / 'Ingredient stats'!$C$5, REGEXMATCH(B363, ""Charge""), (U363^0.75), true, 0) + (IF(VLOOKUP(B3"&amp;"63, AmmoTypeFactors, 10, false), 2,0) + IF('Ammo Input'!P363, 2,0) + IF('Ammo Input'!Q363,MIN(ROUNDUP(0.2*('Ammo Input'!H363/1000)*'Ammo Input'!O363,0),20),0))))"),0)</f>
        <v>0</v>
      </c>
      <c r="W367">
        <v>0</v>
      </c>
      <c r="X367">
        <v>0</v>
      </c>
      <c r="Y367">
        <v>0</v>
      </c>
      <c r="Z367">
        <v>0</v>
      </c>
      <c r="AA367">
        <v>0</v>
      </c>
      <c r="AB367" s="30">
        <f>IF(B367="Sling Bullet (Stone)",ROUNDUP(D367*0.02*E367/'Ingredient stats'!$C$8,0),0)</f>
        <v>0</v>
      </c>
      <c r="AC367" t="str">
        <f t="shared" si="20"/>
        <v>None</v>
      </c>
      <c r="AD367" t="str">
        <f>IF(OR(B367="Buck",B367="Bird",B367="Charge (Scatter)"),'Ammo Input'!J367,"None")</f>
        <v>None</v>
      </c>
      <c r="AE367" t="str">
        <f>_xlfn.IFS(ISTEXT(Calcs!N367),Calcs!N367,Calcs!N367&lt;=40,Calcs!N367,Calcs!N367&gt;41,"40")</f>
        <v>None</v>
      </c>
      <c r="AF367" t="str">
        <f>_xlfn.IFS(ISTEXT(Calcs!O367),Calcs!O367,Calcs!O367&lt;=80,Calcs!O367,Calcs!O367&gt;=81,"80")</f>
        <v>None</v>
      </c>
      <c r="AG367" s="25">
        <f t="shared" si="21"/>
        <v>1</v>
      </c>
      <c r="AH367" s="25">
        <f t="shared" si="22"/>
        <v>2.3</v>
      </c>
      <c r="AI367" s="25">
        <f t="shared" si="23"/>
        <v>1</v>
      </c>
    </row>
    <row r="368" ht="14.4" spans="1:35">
      <c r="A368" s="24" t="str">
        <f>'Ammo Input'!A368</f>
        <v>5.56x45mm NATO (Slow)</v>
      </c>
      <c r="B368" t="str">
        <f>'Ammo Input'!B368</f>
        <v>HP</v>
      </c>
      <c r="C368">
        <f>ROUNDUP(('Ammo Input'!C368*(MAX('Ammo Input'!D368,'Ammo Input'!F368)*0.5)^2*PI())*3/1000000,2)</f>
        <v>0.02</v>
      </c>
      <c r="D368">
        <f>ROUNDUP(('Ammo Input'!E368+'Ammo Input'!H368*IF('Ammo Input'!J368&lt;&gt;"",MAX('Ammo Input'!J368,1),1))/1000,3)</f>
        <v>0.013</v>
      </c>
      <c r="E368">
        <f>MIN(5000,MAX(25,CEILING(Calcs!L368,_xlfn.IFS(Calcs!L368&lt;100,25,Calcs!L368&lt;250,50,Calcs!L368&lt;1000,250,Calcs!L368&gt;=1000,1000))))</f>
        <v>5000</v>
      </c>
      <c r="F368">
        <f>ROUNDUP('Ammo Input'!G368^(3/4),0)</f>
        <v>141</v>
      </c>
      <c r="G368">
        <f>ROUND((0.5*((IF(OR(B368="HEAT",B368="HEDP"),'Ammo Input'!N368,'Ammo Input'!H368)/1000)*(IF(B368="HEAT",9000,IF(B368="HEDP",1500,'Ammo Input'!G368))^2))),0)</f>
        <v>1080</v>
      </c>
      <c r="H368" s="25" t="str">
        <f>CONCATENATE(IF((B368="Foam")+(B368="Smoke"),"-",ROUND(Calcs!D368,0))," ",VLOOKUP(B368,AmmoTypeFactors,5,FALSE))</f>
        <v>15 Bullet</v>
      </c>
      <c r="I368" s="25" t="str">
        <f>IF(Calcs!E368=0,"None",CONCATENATE(ROUND(Calcs!E368,0)," ",VLOOKUP(B368,AmmoTypeFactors,6,FALSE)))</f>
        <v>None</v>
      </c>
      <c r="J368">
        <f>MROUND(2.42*'Ammo Input'!M368^(1/3)*VLOOKUP(B368,AmmoTypeFactors,3,FALSE),0.5)</f>
        <v>0</v>
      </c>
      <c r="K368" s="25" t="str">
        <f>IF(VLOOKUP(B368,AmmoTypeFactors,12,FALSE),MROUND(J368/3,0.5),"None")</f>
        <v>None</v>
      </c>
      <c r="L368" s="25">
        <f>IF(VLOOKUP(B368,AmmoTypeFactors,8,FALSE),"None",ROUNDUP(IF(Calcs!I368&gt;0,Calcs!I368,Calcs!H368),3))</f>
        <v>21.6</v>
      </c>
      <c r="M368" s="25">
        <f>IF(VLOOKUP(B368,AmmoTypeFactors,8,FALSE),"None",'Ammo Input'!L368)</f>
        <v>3</v>
      </c>
      <c r="N368">
        <f>'Ammo Input'!O368</f>
        <v>500</v>
      </c>
      <c r="O368" t="e">
        <f>ROUND((P368*0.0036+SUMPRODUCT(Q368:AB368,VLOOKUP($Q$1:$AB$1,IngredientStats,2,FALSE)))/N368*IF('Ammo Input'!R368,0.5,1),2)</f>
        <v>#VALUE!</v>
      </c>
      <c r="P368" t="e">
        <f>(SUMPRODUCT(Q368:AB368,VLOOKUP($Q$1:$AB$1,IngredientStats,4,FALSE))*VLOOKUP(B368,AmmoTypeFactors,14,FALSE)*IF('Ammo Input'!R368,1.1,1))</f>
        <v>#VALUE!</v>
      </c>
      <c r="Q368">
        <f>IFERROR(__xludf.DUMMYFUNCTION("((IF(NOT(OR(REGEXMATCH(B364, ""Arrow""), B364 = ""Javelin"", B364 = ""Stick bomb"")), ROUNDUP(('Ammo Input'!E364 / 1000) * N364)) + IF(VLOOKUP(B364, AmmoTypeFactors, 9, FALSE) = ""Steel"", ROUNDUP(('Ammo Input'!H364 -'Ammo Input'!M364) * MAX(IF('Ammo Inpu"&amp;"t'!J364 &gt; 0, 'Ammo Input'!J364, 1), 1) * N364 / 1000))) / 'Ingredient stats'!$C$2) * IF(ISBLANK(VLOOKUP(B364,AmmoTypeFactors,15,False)),1,VLOOKUP(B364,AmmoTypeFactors,15,False))"),14)</f>
        <v>14</v>
      </c>
      <c r="R368">
        <f>IFERROR(__xludf.DUMMYFUNCTION("ROUNDUP((IF(REGEXMATCH(B364, ""Arrow"") + (B364 = ""Javelin""), 'Ammo Input'!E364) + IF(VLOOKUP(B364, AmmoTypeFactors, 9, FALSE) = ""Wood"", 'Ammo Input'!H364) + IF(B364 = ""Stick bomb"", 'Ammo Input'!E364)) * N364 / 'Ingredient stats'!$C$12 / 1000)"),0)</f>
        <v>0</v>
      </c>
      <c r="S368">
        <v>0</v>
      </c>
      <c r="T368">
        <v>0</v>
      </c>
      <c r="U368">
        <f>IF(VLOOKUP(B368,AmmoTypeFactors,9,FALSE)="Plasteel",ROUNDUP(('Ammo Input'!H368*MAX(IF('Ammo Input'!J368&gt;0,'Ammo Input'!J368,1)*N368/1000/'Ingredient stats'!$C$4)),0),0)</f>
        <v>0</v>
      </c>
      <c r="V368">
        <f>IFERROR(__xludf.DUMMYFUNCTION("ROUNDUP(IF(ISBLANK(VLOOKUP(B364,AmmoTypeFactors,16,False)),1,VLOOKUP(B364,AmmoTypeFactors,16,False)) * (IFS(REGEXMATCH(B364, ""EMP""), 'Ammo Input'!M364 * N364 / 'Ingredient stats'!$C$5, REGEXMATCH(B364, ""Charge""), (U364^0.75), true, 0) + (IF(VLOOKUP(B3"&amp;"64, AmmoTypeFactors, 10, false), 2,0) + IF('Ammo Input'!P364, 2,0) + IF('Ammo Input'!Q364,MIN(ROUNDUP(0.2*('Ammo Input'!H364/1000)*'Ammo Input'!O364,0),20),0))))"),0)</f>
        <v>0</v>
      </c>
      <c r="W368">
        <v>0</v>
      </c>
      <c r="X368">
        <v>0</v>
      </c>
      <c r="Y368">
        <v>0</v>
      </c>
      <c r="Z368">
        <v>0</v>
      </c>
      <c r="AA368">
        <v>0</v>
      </c>
      <c r="AB368" s="30">
        <f>IF(B368="Sling Bullet (Stone)",ROUNDUP(D368*0.02*E368/'Ingredient stats'!$C$8,0),0)</f>
        <v>0</v>
      </c>
      <c r="AC368" t="str">
        <f t="shared" si="20"/>
        <v>None</v>
      </c>
      <c r="AD368" t="str">
        <f>IF(OR(B368="Buck",B368="Bird",B368="Charge (Scatter)"),'Ammo Input'!J368,"None")</f>
        <v>None</v>
      </c>
      <c r="AE368" t="str">
        <f>_xlfn.IFS(ISTEXT(Calcs!N368),Calcs!N368,Calcs!N368&lt;=40,Calcs!N368,Calcs!N368&gt;41,"40")</f>
        <v>None</v>
      </c>
      <c r="AF368" t="str">
        <f>_xlfn.IFS(ISTEXT(Calcs!O368),Calcs!O368,Calcs!O368&lt;=80,Calcs!O368,Calcs!O368&gt;=81,"80")</f>
        <v>None</v>
      </c>
      <c r="AG368" s="25">
        <f t="shared" si="21"/>
        <v>1</v>
      </c>
      <c r="AH368" s="25">
        <f t="shared" si="22"/>
        <v>2.3</v>
      </c>
      <c r="AI368" s="25">
        <f t="shared" si="23"/>
        <v>1</v>
      </c>
    </row>
    <row r="369" ht="14.4" spans="1:35">
      <c r="A369" s="24" t="str">
        <f>'Ammo Input'!A369</f>
        <v>5.56x45mm NATO (Slow)</v>
      </c>
      <c r="B369" t="str">
        <f>'Ammo Input'!B369</f>
        <v>AP-I</v>
      </c>
      <c r="C369">
        <f>ROUNDUP(('Ammo Input'!C369*(MAX('Ammo Input'!D369,'Ammo Input'!F369)*0.5)^2*PI())*3/1000000,2)</f>
        <v>0.02</v>
      </c>
      <c r="D369">
        <f>ROUNDUP(('Ammo Input'!E369+'Ammo Input'!H369*IF('Ammo Input'!J369&lt;&gt;"",MAX('Ammo Input'!J369,1),1))/1000,3)</f>
        <v>0.013</v>
      </c>
      <c r="E369">
        <f>MIN(5000,MAX(25,CEILING(Calcs!L369,_xlfn.IFS(Calcs!L369&lt;100,25,Calcs!L369&lt;250,50,Calcs!L369&lt;1000,250,Calcs!L369&gt;=1000,1000))))</f>
        <v>5000</v>
      </c>
      <c r="F369">
        <f>ROUNDUP('Ammo Input'!G369^(3/4),0)</f>
        <v>141</v>
      </c>
      <c r="G369">
        <f>ROUND((0.5*((IF(OR(B369="HEAT",B369="HEDP"),'Ammo Input'!N369,'Ammo Input'!H369)/1000)*(IF(B369="HEAT",9000,IF(B369="HEDP",1500,'Ammo Input'!G369))^2))),0)</f>
        <v>1080</v>
      </c>
      <c r="H369" s="25" t="str">
        <f>CONCATENATE(IF((B369="Foam")+(B369="Smoke"),"-",ROUND(Calcs!D369,0))," ",VLOOKUP(B369,AmmoTypeFactors,5,FALSE))</f>
        <v>7 Bullet</v>
      </c>
      <c r="I369" s="25" t="str">
        <f>IF(Calcs!E369=0,"None",CONCATENATE(ROUND(Calcs!E369,0)," ",VLOOKUP(B369,AmmoTypeFactors,6,FALSE)))</f>
        <v>3 Flame_Secondary</v>
      </c>
      <c r="J369">
        <f>MROUND(2.42*'Ammo Input'!M369^(1/3)*VLOOKUP(B369,AmmoTypeFactors,3,FALSE),0.5)</f>
        <v>0</v>
      </c>
      <c r="K369" s="25" t="str">
        <f>IF(VLOOKUP(B369,AmmoTypeFactors,12,FALSE),MROUND(J369/3,0.5),"None")</f>
        <v>None</v>
      </c>
      <c r="L369" s="25">
        <f>IF(VLOOKUP(B369,AmmoTypeFactors,8,FALSE),"None",ROUNDUP(IF(Calcs!I369&gt;0,Calcs!I369,Calcs!H369),3))</f>
        <v>21.6</v>
      </c>
      <c r="M369" s="25">
        <f>IF(VLOOKUP(B369,AmmoTypeFactors,8,FALSE),"None",'Ammo Input'!L369)</f>
        <v>10</v>
      </c>
      <c r="N369">
        <f>'Ammo Input'!O369</f>
        <v>500</v>
      </c>
      <c r="O369" t="e">
        <f>ROUND((P369*0.0036+SUMPRODUCT(Q369:AB369,VLOOKUP($Q$1:$AB$1,IngredientStats,2,FALSE)))/N369*IF('Ammo Input'!R369,0.5,1),2)</f>
        <v>#VALUE!</v>
      </c>
      <c r="P369" t="e">
        <f>(SUMPRODUCT(Q369:AB369,VLOOKUP($Q$1:$AB$1,IngredientStats,4,FALSE))*VLOOKUP(B369,AmmoTypeFactors,14,FALSE)*IF('Ammo Input'!R369,1.1,1))</f>
        <v>#VALUE!</v>
      </c>
      <c r="Q369">
        <f>IFERROR(__xludf.DUMMYFUNCTION("((IF(NOT(OR(REGEXMATCH(B365, ""Arrow""), B365 = ""Javelin"", B365 = ""Stick bomb"")), ROUNDUP(('Ammo Input'!E365 / 1000) * N365)) + IF(VLOOKUP(B365, AmmoTypeFactors, 9, FALSE) = ""Steel"", ROUNDUP(('Ammo Input'!H365 -'Ammo Input'!M365) * MAX(IF('Ammo Inpu"&amp;"t'!J365 &gt; 0, 'Ammo Input'!J365, 1), 1) * N365 / 1000))) / 'Ingredient stats'!$C$2) * IF(ISBLANK(VLOOKUP(B365,AmmoTypeFactors,15,False)),1,VLOOKUP(B365,AmmoTypeFactors,15,False))"),14)</f>
        <v>14</v>
      </c>
      <c r="R369">
        <f>IFERROR(__xludf.DUMMYFUNCTION("ROUNDUP((IF(REGEXMATCH(B365, ""Arrow"") + (B365 = ""Javelin""), 'Ammo Input'!E365) + IF(VLOOKUP(B365, AmmoTypeFactors, 9, FALSE) = ""Wood"", 'Ammo Input'!H365) + IF(B365 = ""Stick bomb"", 'Ammo Input'!E365)) * N365 / 'Ingredient stats'!$C$12 / 1000)"),0)</f>
        <v>0</v>
      </c>
      <c r="S369">
        <v>0</v>
      </c>
      <c r="T369">
        <v>0</v>
      </c>
      <c r="U369">
        <f>IF(VLOOKUP(B369,AmmoTypeFactors,9,FALSE)="Plasteel",ROUNDUP(('Ammo Input'!H369*MAX(IF('Ammo Input'!J369&gt;0,'Ammo Input'!J369,1)*N369/1000/'Ingredient stats'!$C$4)),0),0)</f>
        <v>0</v>
      </c>
      <c r="V369">
        <f>IFERROR(__xludf.DUMMYFUNCTION("ROUNDUP(IF(ISBLANK(VLOOKUP(B365,AmmoTypeFactors,16,False)),1,VLOOKUP(B365,AmmoTypeFactors,16,False)) * (IFS(REGEXMATCH(B365, ""EMP""), 'Ammo Input'!M365 * N365 / 'Ingredient stats'!$C$5, REGEXMATCH(B365, ""Charge""), (U365^0.75), true, 0) + (IF(VLOOKUP(B3"&amp;"65, AmmoTypeFactors, 10, false), 2,0) + IF('Ammo Input'!P365, 2,0) + IF('Ammo Input'!Q365,MIN(ROUNDUP(0.2*('Ammo Input'!H365/1000)*'Ammo Input'!O365,0),20),0))))"),0)</f>
        <v>0</v>
      </c>
      <c r="W369">
        <v>1</v>
      </c>
      <c r="X369">
        <v>0</v>
      </c>
      <c r="Y369">
        <v>0</v>
      </c>
      <c r="Z369">
        <v>0</v>
      </c>
      <c r="AA369">
        <v>0</v>
      </c>
      <c r="AB369" s="30">
        <f>IF(B369="Sling Bullet (Stone)",ROUNDUP(D369*0.02*E369/'Ingredient stats'!$C$8,0),0)</f>
        <v>0</v>
      </c>
      <c r="AC369" t="str">
        <f t="shared" si="20"/>
        <v>None</v>
      </c>
      <c r="AD369" t="str">
        <f>IF(OR(B369="Buck",B369="Bird",B369="Charge (Scatter)"),'Ammo Input'!J369,"None")</f>
        <v>None</v>
      </c>
      <c r="AE369" t="str">
        <f>_xlfn.IFS(ISTEXT(Calcs!N369),Calcs!N369,Calcs!N369&lt;=40,Calcs!N369,Calcs!N369&gt;41,"40")</f>
        <v>None</v>
      </c>
      <c r="AF369" t="str">
        <f>_xlfn.IFS(ISTEXT(Calcs!O369),Calcs!O369,Calcs!O369&lt;=80,Calcs!O369,Calcs!O369&gt;=81,"80")</f>
        <v>None</v>
      </c>
      <c r="AG369" s="25">
        <f t="shared" si="21"/>
        <v>1</v>
      </c>
      <c r="AH369" s="25">
        <f t="shared" si="22"/>
        <v>2.3</v>
      </c>
      <c r="AI369" s="25">
        <f t="shared" si="23"/>
        <v>1</v>
      </c>
    </row>
    <row r="370" ht="14.4" spans="1:35">
      <c r="A370" s="24" t="str">
        <f>'Ammo Input'!A370</f>
        <v>5.56x45mm NATO (Slow)</v>
      </c>
      <c r="B370" t="str">
        <f>'Ammo Input'!B370</f>
        <v>AP-HE</v>
      </c>
      <c r="C370">
        <f>ROUNDUP(('Ammo Input'!C370*(MAX('Ammo Input'!D370,'Ammo Input'!F370)*0.5)^2*PI())*3/1000000,2)</f>
        <v>0.02</v>
      </c>
      <c r="D370">
        <f>ROUNDUP(('Ammo Input'!E370+'Ammo Input'!H370*IF('Ammo Input'!J370&lt;&gt;"",MAX('Ammo Input'!J370,1),1))/1000,3)</f>
        <v>0.013</v>
      </c>
      <c r="E370">
        <f>MIN(5000,MAX(25,CEILING(Calcs!L370,_xlfn.IFS(Calcs!L370&lt;100,25,Calcs!L370&lt;250,50,Calcs!L370&lt;1000,250,Calcs!L370&gt;=1000,1000))))</f>
        <v>5000</v>
      </c>
      <c r="F370">
        <f>ROUNDUP('Ammo Input'!G370^(3/4),0)</f>
        <v>141</v>
      </c>
      <c r="G370">
        <f>ROUND((0.5*((IF(OR(B370="HEAT",B370="HEDP"),'Ammo Input'!N370,'Ammo Input'!H370)/1000)*(IF(B370="HEAT",9000,IF(B370="HEDP",1500,'Ammo Input'!G370))^2))),0)</f>
        <v>1080</v>
      </c>
      <c r="H370" s="25" t="str">
        <f>CONCATENATE(IF((B370="Foam")+(B370="Smoke"),"-",ROUND(Calcs!D370,0))," ",VLOOKUP(B370,AmmoTypeFactors,5,FALSE))</f>
        <v>12 Bullet</v>
      </c>
      <c r="I370" s="25" t="str">
        <f>IF(Calcs!E370=0,"None",CONCATENATE(ROUND(Calcs!E370,0)," ",VLOOKUP(B370,AmmoTypeFactors,6,FALSE)))</f>
        <v>5 Bomb_Secondary</v>
      </c>
      <c r="J370">
        <f>MROUND(2.42*'Ammo Input'!M370^(1/3)*VLOOKUP(B370,AmmoTypeFactors,3,FALSE),0.5)</f>
        <v>0</v>
      </c>
      <c r="K370" s="25" t="str">
        <f>IF(VLOOKUP(B370,AmmoTypeFactors,12,FALSE),MROUND(J370/3,0.5),"None")</f>
        <v>None</v>
      </c>
      <c r="L370" s="25">
        <f>IF(VLOOKUP(B370,AmmoTypeFactors,8,FALSE),"None",ROUNDUP(IF(Calcs!I370&gt;0,Calcs!I370,Calcs!H370),3))</f>
        <v>21.6</v>
      </c>
      <c r="M370" s="25">
        <f>IF(VLOOKUP(B370,AmmoTypeFactors,8,FALSE),"None",'Ammo Input'!L370)</f>
        <v>5</v>
      </c>
      <c r="N370">
        <f>'Ammo Input'!O370</f>
        <v>500</v>
      </c>
      <c r="O370" t="e">
        <f>ROUND((P370*0.0036+SUMPRODUCT(Q370:AB370,VLOOKUP($Q$1:$AB$1,IngredientStats,2,FALSE)))/N370*IF('Ammo Input'!R370,0.5,1),2)</f>
        <v>#VALUE!</v>
      </c>
      <c r="P370" t="e">
        <f>(SUMPRODUCT(Q370:AB370,VLOOKUP($Q$1:$AB$1,IngredientStats,4,FALSE))*VLOOKUP(B370,AmmoTypeFactors,14,FALSE)*IF('Ammo Input'!R370,1.1,1))</f>
        <v>#VALUE!</v>
      </c>
      <c r="Q370">
        <f>IFERROR(__xludf.DUMMYFUNCTION("((IF(NOT(OR(REGEXMATCH(B366, ""Arrow""), B366 = ""Javelin"", B366 = ""Stick bomb"")), ROUNDUP(('Ammo Input'!E366 / 1000) * N366)) + IF(VLOOKUP(B366, AmmoTypeFactors, 9, FALSE) = ""Steel"", ROUNDUP(('Ammo Input'!H366 -'Ammo Input'!M366) * MAX(IF('Ammo Inpu"&amp;"t'!J366 &gt; 0, 'Ammo Input'!J366, 1), 1) * N366 / 1000))) / 'Ingredient stats'!$C$2) * IF(ISBLANK(VLOOKUP(B366,AmmoTypeFactors,15,False)),1,VLOOKUP(B366,AmmoTypeFactors,15,False))"),14)</f>
        <v>14</v>
      </c>
      <c r="R370">
        <f>IFERROR(__xludf.DUMMYFUNCTION("ROUNDUP((IF(REGEXMATCH(B366, ""Arrow"") + (B366 = ""Javelin""), 'Ammo Input'!E366) + IF(VLOOKUP(B366, AmmoTypeFactors, 9, FALSE) = ""Wood"", 'Ammo Input'!H366) + IF(B366 = ""Stick bomb"", 'Ammo Input'!E366)) * N366 / 'Ingredient stats'!$C$12 / 1000)"),0)</f>
        <v>0</v>
      </c>
      <c r="S370">
        <v>0</v>
      </c>
      <c r="T370">
        <v>0</v>
      </c>
      <c r="U370">
        <f>IF(VLOOKUP(B370,AmmoTypeFactors,9,FALSE)="Plasteel",ROUNDUP(('Ammo Input'!H370*MAX(IF('Ammo Input'!J370&gt;0,'Ammo Input'!J370,1)*N370/1000/'Ingredient stats'!$C$4)),0),0)</f>
        <v>0</v>
      </c>
      <c r="V370">
        <f>IFERROR(__xludf.DUMMYFUNCTION("ROUNDUP(IF(ISBLANK(VLOOKUP(B366,AmmoTypeFactors,16,False)),1,VLOOKUP(B366,AmmoTypeFactors,16,False)) * (IFS(REGEXMATCH(B366, ""EMP""), 'Ammo Input'!M366 * N366 / 'Ingredient stats'!$C$5, REGEXMATCH(B366, ""Charge""), (U366^0.75), true, 0) + (IF(VLOOKUP(B3"&amp;"66, AmmoTypeFactors, 10, false), 2,0) + IF('Ammo Input'!P366, 2,0) + IF('Ammo Input'!Q366,MIN(ROUNDUP(0.2*('Ammo Input'!H366/1000)*'Ammo Input'!O366,0),20),0))))"),0)</f>
        <v>0</v>
      </c>
      <c r="W370">
        <v>0</v>
      </c>
      <c r="X370">
        <v>4</v>
      </c>
      <c r="Y370">
        <v>0</v>
      </c>
      <c r="Z370">
        <v>0</v>
      </c>
      <c r="AA370">
        <v>0</v>
      </c>
      <c r="AB370" s="30">
        <f>IF(B370="Sling Bullet (Stone)",ROUNDUP(D370*0.02*E370/'Ingredient stats'!$C$8,0),0)</f>
        <v>0</v>
      </c>
      <c r="AC370" t="str">
        <f t="shared" si="20"/>
        <v>None</v>
      </c>
      <c r="AD370" t="str">
        <f>IF(OR(B370="Buck",B370="Bird",B370="Charge (Scatter)"),'Ammo Input'!J370,"None")</f>
        <v>None</v>
      </c>
      <c r="AE370" t="str">
        <f>_xlfn.IFS(ISTEXT(Calcs!N370),Calcs!N370,Calcs!N370&lt;=40,Calcs!N370,Calcs!N370&gt;41,"40")</f>
        <v>None</v>
      </c>
      <c r="AF370" t="str">
        <f>_xlfn.IFS(ISTEXT(Calcs!O370),Calcs!O370,Calcs!O370&lt;=80,Calcs!O370,Calcs!O370&gt;=81,"80")</f>
        <v>None</v>
      </c>
      <c r="AG370" s="25">
        <f t="shared" si="21"/>
        <v>1</v>
      </c>
      <c r="AH370" s="25">
        <f t="shared" si="22"/>
        <v>2.3</v>
      </c>
      <c r="AI370" s="25">
        <f t="shared" si="23"/>
        <v>1</v>
      </c>
    </row>
    <row r="371" ht="14.4" spans="1:35">
      <c r="A371" s="24" t="str">
        <f>'Ammo Input'!A371</f>
        <v>5.56x45mm NATO (Slow)</v>
      </c>
      <c r="B371" t="str">
        <f>'Ammo Input'!B371</f>
        <v>Sabot</v>
      </c>
      <c r="C371">
        <f>ROUNDUP(('Ammo Input'!C371*(MAX('Ammo Input'!D371,'Ammo Input'!F371)*0.5)^2*PI())*3/1000000,2)</f>
        <v>0.02</v>
      </c>
      <c r="D371">
        <f>ROUNDUP(('Ammo Input'!E371+'Ammo Input'!H371*IF('Ammo Input'!J371&lt;&gt;"",MAX('Ammo Input'!J371,1),1))/1000,3)</f>
        <v>0.011</v>
      </c>
      <c r="E371">
        <f>MIN(5000,MAX(25,CEILING(Calcs!L371,_xlfn.IFS(Calcs!L371&lt;100,25,Calcs!L371&lt;250,50,Calcs!L371&lt;1000,250,Calcs!L371&gt;=1000,1000))))</f>
        <v>5000</v>
      </c>
      <c r="F371">
        <f>ROUNDUP('Ammo Input'!G371^(3/4),0)</f>
        <v>192</v>
      </c>
      <c r="G371">
        <f>ROUND((0.5*((IF(OR(B371="HEAT",B371="HEDP"),'Ammo Input'!N371,'Ammo Input'!H371)/1000)*(IF(B371="HEAT",9000,IF(B371="HEDP",1500,'Ammo Input'!G371))^2))),0)</f>
        <v>1398</v>
      </c>
      <c r="H371" s="25" t="str">
        <f>CONCATENATE(IF((B371="Foam")+(B371="Smoke"),"-",ROUND(Calcs!D371,0))," ",VLOOKUP(B371,AmmoTypeFactors,5,FALSE))</f>
        <v>6 Bullet</v>
      </c>
      <c r="I371" s="25" t="str">
        <f>IF(Calcs!E371=0,"None",CONCATENATE(ROUND(Calcs!E371,0)," ",VLOOKUP(B371,AmmoTypeFactors,6,FALSE)))</f>
        <v>None</v>
      </c>
      <c r="J371">
        <f>MROUND(2.42*'Ammo Input'!M371^(1/3)*VLOOKUP(B371,AmmoTypeFactors,3,FALSE),0.5)</f>
        <v>0</v>
      </c>
      <c r="K371" s="25" t="str">
        <f>IF(VLOOKUP(B371,AmmoTypeFactors,12,FALSE),MROUND(J371/3,0.5),"None")</f>
        <v>None</v>
      </c>
      <c r="L371" s="25">
        <f>IF(VLOOKUP(B371,AmmoTypeFactors,8,FALSE),"None",ROUNDUP(IF(Calcs!I371&gt;0,Calcs!I371,Calcs!H371),3))</f>
        <v>27.96</v>
      </c>
      <c r="M371" s="25">
        <f>IF(VLOOKUP(B371,AmmoTypeFactors,8,FALSE),"None",'Ammo Input'!L371)</f>
        <v>17.5</v>
      </c>
      <c r="N371">
        <f>'Ammo Input'!O371</f>
        <v>500</v>
      </c>
      <c r="O371" t="e">
        <f>ROUND((P371*0.0036+SUMPRODUCT(Q371:AB371,VLOOKUP($Q$1:$AB$1,IngredientStats,2,FALSE)))/N371*IF('Ammo Input'!R371,0.5,1),2)</f>
        <v>#VALUE!</v>
      </c>
      <c r="P371" t="e">
        <f>(SUMPRODUCT(Q371:AB371,VLOOKUP($Q$1:$AB$1,IngredientStats,4,FALSE))*VLOOKUP(B371,AmmoTypeFactors,14,FALSE)*IF('Ammo Input'!R371,1.1,1))</f>
        <v>#VALUE!</v>
      </c>
      <c r="Q371">
        <f>IFERROR(__xludf.DUMMYFUNCTION("((IF(NOT(OR(REGEXMATCH(B367, ""Arrow""), B367 = ""Javelin"", B367 = ""Stick bomb"")), ROUNDUP(('Ammo Input'!E367 / 1000) * N367)) + IF(VLOOKUP(B367, AmmoTypeFactors, 9, FALSE) = ""Steel"", ROUNDUP(('Ammo Input'!H367 -'Ammo Input'!M367) * MAX(IF('Ammo Inpu"&amp;"t'!J367 &gt; 0, 'Ammo Input'!J367, 1), 1) * N367 / 1000))) / 'Ingredient stats'!$C$2) * IF(ISBLANK(VLOOKUP(B367,AmmoTypeFactors,15,False)),1,VLOOKUP(B367,AmmoTypeFactors,15,False))"),8)</f>
        <v>8</v>
      </c>
      <c r="R371">
        <f>IFERROR(__xludf.DUMMYFUNCTION("ROUNDUP((IF(REGEXMATCH(B367, ""Arrow"") + (B367 = ""Javelin""), 'Ammo Input'!E367) + IF(VLOOKUP(B367, AmmoTypeFactors, 9, FALSE) = ""Wood"", 'Ammo Input'!H367) + IF(B367 = ""Stick bomb"", 'Ammo Input'!E367)) * N367 / 'Ingredient stats'!$C$12 / 1000)"),0)</f>
        <v>0</v>
      </c>
      <c r="S371">
        <v>2</v>
      </c>
      <c r="T371">
        <v>2</v>
      </c>
      <c r="U371">
        <f>IF(VLOOKUP(B371,AmmoTypeFactors,9,FALSE)="Plasteel",ROUNDUP(('Ammo Input'!H371*MAX(IF('Ammo Input'!J371&gt;0,'Ammo Input'!J371,1)*N371/1000/'Ingredient stats'!$C$4)),0),0)</f>
        <v>0</v>
      </c>
      <c r="V371">
        <f>IFERROR(__xludf.DUMMYFUNCTION("ROUNDUP(IF(ISBLANK(VLOOKUP(B367,AmmoTypeFactors,16,False)),1,VLOOKUP(B367,AmmoTypeFactors,16,False)) * (IFS(REGEXMATCH(B367, ""EMP""), 'Ammo Input'!M367 * N367 / 'Ingredient stats'!$C$5, REGEXMATCH(B367, ""Charge""), (U367^0.75), true, 0) + (IF(VLOOKUP(B3"&amp;"67, AmmoTypeFactors, 10, false), 2,0) + IF('Ammo Input'!P367, 2,0) + IF('Ammo Input'!Q367,MIN(ROUNDUP(0.2*('Ammo Input'!H367/1000)*'Ammo Input'!O367,0),20),0))))"),0)</f>
        <v>0</v>
      </c>
      <c r="W371">
        <v>0</v>
      </c>
      <c r="X371">
        <v>0</v>
      </c>
      <c r="Y371">
        <v>0</v>
      </c>
      <c r="Z371">
        <v>0</v>
      </c>
      <c r="AA371">
        <v>0</v>
      </c>
      <c r="AB371" s="30">
        <f>IF(B371="Sling Bullet (Stone)",ROUNDUP(D371*0.02*E371/'Ingredient stats'!$C$8,0),0)</f>
        <v>0</v>
      </c>
      <c r="AC371" t="str">
        <f t="shared" si="20"/>
        <v>None</v>
      </c>
      <c r="AD371" t="str">
        <f>IF(OR(B371="Buck",B371="Bird",B371="Charge (Scatter)"),'Ammo Input'!J371,"None")</f>
        <v>None</v>
      </c>
      <c r="AE371" t="str">
        <f>_xlfn.IFS(ISTEXT(Calcs!N371),Calcs!N371,Calcs!N371&lt;=40,Calcs!N371,Calcs!N371&gt;41,"40")</f>
        <v>None</v>
      </c>
      <c r="AF371" t="str">
        <f>_xlfn.IFS(ISTEXT(Calcs!O371),Calcs!O371,Calcs!O371&lt;=80,Calcs!O371,Calcs!O371&gt;=81,"80")</f>
        <v>None</v>
      </c>
      <c r="AG371" s="25">
        <f t="shared" si="21"/>
        <v>1</v>
      </c>
      <c r="AH371" s="25">
        <f t="shared" si="22"/>
        <v>3.13</v>
      </c>
      <c r="AI371" s="25">
        <f t="shared" si="23"/>
        <v>1</v>
      </c>
    </row>
    <row r="372" ht="14.4" spans="1:35">
      <c r="A372" s="24" t="str">
        <f>'Ammo Input'!A372</f>
        <v>7.62x39mm Soviet</v>
      </c>
      <c r="B372" t="str">
        <f>'Ammo Input'!B372</f>
        <v>FMJ</v>
      </c>
      <c r="C372">
        <f>ROUNDUP(('Ammo Input'!C372*(MAX('Ammo Input'!D372,'Ammo Input'!F372)*0.5)^2*PI())*3/1000000,2)</f>
        <v>0.02</v>
      </c>
      <c r="D372">
        <f>ROUNDUP(('Ammo Input'!E372+'Ammo Input'!H372*IF('Ammo Input'!J372&lt;&gt;"",MAX('Ammo Input'!J372,1),1))/1000,3)</f>
        <v>0.017</v>
      </c>
      <c r="E372">
        <f>MIN(5000,MAX(25,CEILING(Calcs!L372,_xlfn.IFS(Calcs!L372&lt;100,25,Calcs!L372&lt;250,50,Calcs!L372&lt;1000,250,Calcs!L372&gt;=1000,1000))))</f>
        <v>5000</v>
      </c>
      <c r="F372">
        <f>ROUNDUP('Ammo Input'!G372^(3/4),0)</f>
        <v>139</v>
      </c>
      <c r="G372">
        <f>ROUND((0.5*((IF(OR(B372="HEAT",B372="HEDP"),'Ammo Input'!N372,'Ammo Input'!H372)/1000)*(IF(B372="HEAT",9000,IF(B372="HEDP",1500,'Ammo Input'!G372))^2))),0)</f>
        <v>2054</v>
      </c>
      <c r="H372" s="25" t="str">
        <f>CONCATENATE(IF((B372="Foam")+(B372="Smoke"),"-",ROUND(Calcs!D372,0))," ",VLOOKUP(B372,AmmoTypeFactors,5,FALSE))</f>
        <v>17 Bullet</v>
      </c>
      <c r="I372" s="25" t="str">
        <f>IF(Calcs!E372=0,"None",CONCATENATE(ROUND(Calcs!E372,0)," ",VLOOKUP(B372,AmmoTypeFactors,6,FALSE)))</f>
        <v>None</v>
      </c>
      <c r="J372">
        <f>MROUND(2.42*'Ammo Input'!M372^(1/3)*VLOOKUP(B372,AmmoTypeFactors,3,FALSE),0.5)</f>
        <v>0</v>
      </c>
      <c r="K372" s="25" t="str">
        <f>IF(VLOOKUP(B372,AmmoTypeFactors,12,FALSE),MROUND(J372/3,0.5),"None")</f>
        <v>None</v>
      </c>
      <c r="L372" s="25">
        <f>IF(VLOOKUP(B372,AmmoTypeFactors,8,FALSE),"None",ROUNDUP(IF(Calcs!I372&gt;0,Calcs!I372,Calcs!H372),3))</f>
        <v>41.08</v>
      </c>
      <c r="M372" s="25">
        <f>IF(VLOOKUP(B372,AmmoTypeFactors,8,FALSE),"None",'Ammo Input'!L372)</f>
        <v>6</v>
      </c>
      <c r="N372">
        <f>'Ammo Input'!O372</f>
        <v>500</v>
      </c>
      <c r="O372" t="e">
        <f>ROUND((P372*0.0036+SUMPRODUCT(Q372:AB372,VLOOKUP($Q$1:$AB$1,IngredientStats,2,FALSE)))/N372*IF('Ammo Input'!R372,0.5,1),2)</f>
        <v>#VALUE!</v>
      </c>
      <c r="P372" t="e">
        <f>(SUMPRODUCT(Q372:AB372,VLOOKUP($Q$1:$AB$1,IngredientStats,4,FALSE))*VLOOKUP(B372,AmmoTypeFactors,14,FALSE)*IF('Ammo Input'!R372,1.1,1))</f>
        <v>#VALUE!</v>
      </c>
      <c r="Q372">
        <f>IFERROR(__xludf.DUMMYFUNCTION("((IF(NOT(OR(REGEXMATCH(B368, ""Arrow""), B368 = ""Javelin"", B368 = ""Stick bomb"")), ROUNDUP(('Ammo Input'!E368 / 1000) * N368)) + IF(VLOOKUP(B368, AmmoTypeFactors, 9, FALSE) = ""Steel"", ROUNDUP(('Ammo Input'!H368 -'Ammo Input'!M368) * MAX(IF('Ammo Inpu"&amp;"t'!J368 &gt; 0, 'Ammo Input'!J368, 1), 1) * N368 / 1000))) / 'Ingredient stats'!$C$2) * IF(ISBLANK(VLOOKUP(B368,AmmoTypeFactors,15,False)),1,VLOOKUP(B368,AmmoTypeFactors,15,False))"),18)</f>
        <v>18</v>
      </c>
      <c r="R372">
        <f>IFERROR(__xludf.DUMMYFUNCTION("ROUNDUP((IF(REGEXMATCH(B368, ""Arrow"") + (B368 = ""Javelin""), 'Ammo Input'!E368) + IF(VLOOKUP(B368, AmmoTypeFactors, 9, FALSE) = ""Wood"", 'Ammo Input'!H368) + IF(B368 = ""Stick bomb"", 'Ammo Input'!E368)) * N368 / 'Ingredient stats'!$C$12 / 1000)"),0)</f>
        <v>0</v>
      </c>
      <c r="S372">
        <v>0</v>
      </c>
      <c r="T372">
        <v>0</v>
      </c>
      <c r="U372">
        <f>IF(VLOOKUP(B372,AmmoTypeFactors,9,FALSE)="Plasteel",ROUNDUP(('Ammo Input'!H372*MAX(IF('Ammo Input'!J372&gt;0,'Ammo Input'!J372,1)*N372/1000/'Ingredient stats'!$C$4)),0),0)</f>
        <v>0</v>
      </c>
      <c r="V372">
        <f>IFERROR(__xludf.DUMMYFUNCTION("ROUNDUP(IF(ISBLANK(VLOOKUP(B368,AmmoTypeFactors,16,False)),1,VLOOKUP(B368,AmmoTypeFactors,16,False)) * (IFS(REGEXMATCH(B368, ""EMP""), 'Ammo Input'!M368 * N368 / 'Ingredient stats'!$C$5, REGEXMATCH(B368, ""Charge""), (U368^0.75), true, 0) + (IF(VLOOKUP(B3"&amp;"68, AmmoTypeFactors, 10, false), 2,0) + IF('Ammo Input'!P368, 2,0) + IF('Ammo Input'!Q368,MIN(ROUNDUP(0.2*('Ammo Input'!H368/1000)*'Ammo Input'!O368,0),20),0))))"),0)</f>
        <v>0</v>
      </c>
      <c r="W372">
        <v>0</v>
      </c>
      <c r="X372">
        <v>0</v>
      </c>
      <c r="Y372">
        <v>0</v>
      </c>
      <c r="Z372">
        <v>0</v>
      </c>
      <c r="AA372">
        <v>0</v>
      </c>
      <c r="AB372" s="30">
        <f>IF(B372="Sling Bullet (Stone)",ROUNDUP(D372*0.02*E372/'Ingredient stats'!$C$8,0),0)</f>
        <v>0</v>
      </c>
      <c r="AC372" t="str">
        <f t="shared" si="20"/>
        <v>None</v>
      </c>
      <c r="AD372" t="str">
        <f>IF(OR(B372="Buck",B372="Bird",B372="Charge (Scatter)"),'Ammo Input'!J372,"None")</f>
        <v>None</v>
      </c>
      <c r="AE372" t="str">
        <f>_xlfn.IFS(ISTEXT(Calcs!N372),Calcs!N372,Calcs!N372&lt;=40,Calcs!N372,Calcs!N372&gt;41,"40")</f>
        <v>None</v>
      </c>
      <c r="AF372" t="str">
        <f>_xlfn.IFS(ISTEXT(Calcs!O372),Calcs!O372,Calcs!O372&lt;=80,Calcs!O372,Calcs!O372&gt;=81,"80")</f>
        <v>None</v>
      </c>
      <c r="AG372" s="25">
        <f t="shared" si="21"/>
        <v>1</v>
      </c>
      <c r="AH372" s="25">
        <f t="shared" si="22"/>
        <v>2.27</v>
      </c>
      <c r="AI372" s="25">
        <f t="shared" si="23"/>
        <v>1</v>
      </c>
    </row>
    <row r="373" ht="14.4" spans="1:35">
      <c r="A373" s="24" t="str">
        <f>'Ammo Input'!A373</f>
        <v>7.62x39mm Soviet</v>
      </c>
      <c r="B373" t="str">
        <f>'Ammo Input'!B373</f>
        <v>AP</v>
      </c>
      <c r="C373">
        <f>ROUNDUP(('Ammo Input'!C373*(MAX('Ammo Input'!D373,'Ammo Input'!F373)*0.5)^2*PI())*3/1000000,2)</f>
        <v>0.02</v>
      </c>
      <c r="D373">
        <f>ROUNDUP(('Ammo Input'!E373+'Ammo Input'!H373*IF('Ammo Input'!J373&lt;&gt;"",MAX('Ammo Input'!J373,1),1))/1000,3)</f>
        <v>0.017</v>
      </c>
      <c r="E373">
        <f>MIN(5000,MAX(25,CEILING(Calcs!L373,_xlfn.IFS(Calcs!L373&lt;100,25,Calcs!L373&lt;250,50,Calcs!L373&lt;1000,250,Calcs!L373&gt;=1000,1000))))</f>
        <v>5000</v>
      </c>
      <c r="F373">
        <f>ROUNDUP('Ammo Input'!G373^(3/4),0)</f>
        <v>139</v>
      </c>
      <c r="G373">
        <f>ROUND((0.5*((IF(OR(B373="HEAT",B373="HEDP"),'Ammo Input'!N373,'Ammo Input'!H373)/1000)*(IF(B373="HEAT",9000,IF(B373="HEDP",1500,'Ammo Input'!G373))^2))),0)</f>
        <v>2054</v>
      </c>
      <c r="H373" s="25" t="str">
        <f>CONCATENATE(IF((B373="Foam")+(B373="Smoke"),"-",ROUND(Calcs!D373,0))," ",VLOOKUP(B373,AmmoTypeFactors,5,FALSE))</f>
        <v>10 Bullet</v>
      </c>
      <c r="I373" s="25" t="str">
        <f>IF(Calcs!E373=0,"None",CONCATENATE(ROUND(Calcs!E373,0)," ",VLOOKUP(B373,AmmoTypeFactors,6,FALSE)))</f>
        <v>None</v>
      </c>
      <c r="J373">
        <f>MROUND(2.42*'Ammo Input'!M373^(1/3)*VLOOKUP(B373,AmmoTypeFactors,3,FALSE),0.5)</f>
        <v>0</v>
      </c>
      <c r="K373" s="25" t="str">
        <f>IF(VLOOKUP(B373,AmmoTypeFactors,12,FALSE),MROUND(J373/3,0.5),"None")</f>
        <v>None</v>
      </c>
      <c r="L373" s="25">
        <f>IF(VLOOKUP(B373,AmmoTypeFactors,8,FALSE),"None",ROUNDUP(IF(Calcs!I373&gt;0,Calcs!I373,Calcs!H373),3))</f>
        <v>41.08</v>
      </c>
      <c r="M373" s="25">
        <f>IF(VLOOKUP(B373,AmmoTypeFactors,8,FALSE),"None",'Ammo Input'!L373)</f>
        <v>12</v>
      </c>
      <c r="N373">
        <f>'Ammo Input'!O373</f>
        <v>500</v>
      </c>
      <c r="O373" t="e">
        <f>ROUND((P373*0.0036+SUMPRODUCT(Q373:AB373,VLOOKUP($Q$1:$AB$1,IngredientStats,2,FALSE)))/N373*IF('Ammo Input'!R373,0.5,1),2)</f>
        <v>#VALUE!</v>
      </c>
      <c r="P373" t="e">
        <f>(SUMPRODUCT(Q373:AB373,VLOOKUP($Q$1:$AB$1,IngredientStats,4,FALSE))*VLOOKUP(B373,AmmoTypeFactors,14,FALSE)*IF('Ammo Input'!R373,1.1,1))</f>
        <v>#VALUE!</v>
      </c>
      <c r="Q373">
        <f>IFERROR(__xludf.DUMMYFUNCTION("((IF(NOT(OR(REGEXMATCH(B369, ""Arrow""), B369 = ""Javelin"", B369 = ""Stick bomb"")), ROUNDUP(('Ammo Input'!E369 / 1000) * N369)) + IF(VLOOKUP(B369, AmmoTypeFactors, 9, FALSE) = ""Steel"", ROUNDUP(('Ammo Input'!H369 -'Ammo Input'!M369) * MAX(IF('Ammo Inpu"&amp;"t'!J369 &gt; 0, 'Ammo Input'!J369, 1), 1) * N369 / 1000))) / 'Ingredient stats'!$C$2) * IF(ISBLANK(VLOOKUP(B369,AmmoTypeFactors,15,False)),1,VLOOKUP(B369,AmmoTypeFactors,15,False))"),18)</f>
        <v>18</v>
      </c>
      <c r="R373">
        <f>IFERROR(__xludf.DUMMYFUNCTION("ROUNDUP((IF(REGEXMATCH(B369, ""Arrow"") + (B369 = ""Javelin""), 'Ammo Input'!E369) + IF(VLOOKUP(B369, AmmoTypeFactors, 9, FALSE) = ""Wood"", 'Ammo Input'!H369) + IF(B369 = ""Stick bomb"", 'Ammo Input'!E369)) * N369 / 'Ingredient stats'!$C$12 / 1000)"),0)</f>
        <v>0</v>
      </c>
      <c r="S373">
        <v>0</v>
      </c>
      <c r="T373">
        <v>0</v>
      </c>
      <c r="U373">
        <f>IF(VLOOKUP(B373,AmmoTypeFactors,9,FALSE)="Plasteel",ROUNDUP(('Ammo Input'!H373*MAX(IF('Ammo Input'!J373&gt;0,'Ammo Input'!J373,1)*N373/1000/'Ingredient stats'!$C$4)),0),0)</f>
        <v>0</v>
      </c>
      <c r="V373">
        <f>IFERROR(__xludf.DUMMYFUNCTION("ROUNDUP(IF(ISBLANK(VLOOKUP(B369,AmmoTypeFactors,16,False)),1,VLOOKUP(B369,AmmoTypeFactors,16,False)) * (IFS(REGEXMATCH(B369, ""EMP""), 'Ammo Input'!M369 * N369 / 'Ingredient stats'!$C$5, REGEXMATCH(B369, ""Charge""), (U369^0.75), true, 0) + (IF(VLOOKUP(B3"&amp;"69, AmmoTypeFactors, 10, false), 2,0) + IF('Ammo Input'!P369, 2,0) + IF('Ammo Input'!Q369,MIN(ROUNDUP(0.2*('Ammo Input'!H369/1000)*'Ammo Input'!O369,0),20),0))))"),0)</f>
        <v>0</v>
      </c>
      <c r="W373">
        <v>0</v>
      </c>
      <c r="X373">
        <v>0</v>
      </c>
      <c r="Y373">
        <v>0</v>
      </c>
      <c r="Z373">
        <v>0</v>
      </c>
      <c r="AA373">
        <v>0</v>
      </c>
      <c r="AB373" s="30">
        <f>IF(B373="Sling Bullet (Stone)",ROUNDUP(D373*0.02*E373/'Ingredient stats'!$C$8,0),0)</f>
        <v>0</v>
      </c>
      <c r="AC373" t="str">
        <f t="shared" si="20"/>
        <v>None</v>
      </c>
      <c r="AD373" t="str">
        <f>IF(OR(B373="Buck",B373="Bird",B373="Charge (Scatter)"),'Ammo Input'!J373,"None")</f>
        <v>None</v>
      </c>
      <c r="AE373" t="str">
        <f>_xlfn.IFS(ISTEXT(Calcs!N373),Calcs!N373,Calcs!N373&lt;=40,Calcs!N373,Calcs!N373&gt;41,"40")</f>
        <v>None</v>
      </c>
      <c r="AF373" t="str">
        <f>_xlfn.IFS(ISTEXT(Calcs!O373),Calcs!O373,Calcs!O373&lt;=80,Calcs!O373,Calcs!O373&gt;=81,"80")</f>
        <v>None</v>
      </c>
      <c r="AG373" s="25">
        <f t="shared" si="21"/>
        <v>1</v>
      </c>
      <c r="AH373" s="25">
        <f t="shared" si="22"/>
        <v>2.27</v>
      </c>
      <c r="AI373" s="25">
        <f t="shared" si="23"/>
        <v>1</v>
      </c>
    </row>
    <row r="374" ht="14.4" spans="1:35">
      <c r="A374" s="24" t="str">
        <f>'Ammo Input'!A374</f>
        <v>7.62x39mm Soviet</v>
      </c>
      <c r="B374" t="str">
        <f>'Ammo Input'!B374</f>
        <v>HP</v>
      </c>
      <c r="C374">
        <f>ROUNDUP(('Ammo Input'!C374*(MAX('Ammo Input'!D374,'Ammo Input'!F374)*0.5)^2*PI())*3/1000000,2)</f>
        <v>0.02</v>
      </c>
      <c r="D374">
        <f>ROUNDUP(('Ammo Input'!E374+'Ammo Input'!H374*IF('Ammo Input'!J374&lt;&gt;"",MAX('Ammo Input'!J374,1),1))/1000,3)</f>
        <v>0.017</v>
      </c>
      <c r="E374">
        <f>MIN(5000,MAX(25,CEILING(Calcs!L374,_xlfn.IFS(Calcs!L374&lt;100,25,Calcs!L374&lt;250,50,Calcs!L374&lt;1000,250,Calcs!L374&gt;=1000,1000))))</f>
        <v>5000</v>
      </c>
      <c r="F374">
        <f>ROUNDUP('Ammo Input'!G374^(3/4),0)</f>
        <v>139</v>
      </c>
      <c r="G374">
        <f>ROUND((0.5*((IF(OR(B374="HEAT",B374="HEDP"),'Ammo Input'!N374,'Ammo Input'!H374)/1000)*(IF(B374="HEAT",9000,IF(B374="HEDP",1500,'Ammo Input'!G374))^2))),0)</f>
        <v>2054</v>
      </c>
      <c r="H374" s="25" t="str">
        <f>CONCATENATE(IF((B374="Foam")+(B374="Smoke"),"-",ROUND(Calcs!D374,0))," ",VLOOKUP(B374,AmmoTypeFactors,5,FALSE))</f>
        <v>21 Bullet</v>
      </c>
      <c r="I374" s="25" t="str">
        <f>IF(Calcs!E374=0,"None",CONCATENATE(ROUND(Calcs!E374,0)," ",VLOOKUP(B374,AmmoTypeFactors,6,FALSE)))</f>
        <v>None</v>
      </c>
      <c r="J374">
        <f>MROUND(2.42*'Ammo Input'!M374^(1/3)*VLOOKUP(B374,AmmoTypeFactors,3,FALSE),0.5)</f>
        <v>0</v>
      </c>
      <c r="K374" s="25" t="str">
        <f>IF(VLOOKUP(B374,AmmoTypeFactors,12,FALSE),MROUND(J374/3,0.5),"None")</f>
        <v>None</v>
      </c>
      <c r="L374" s="25">
        <f>IF(VLOOKUP(B374,AmmoTypeFactors,8,FALSE),"None",ROUNDUP(IF(Calcs!I374&gt;0,Calcs!I374,Calcs!H374),3))</f>
        <v>41.08</v>
      </c>
      <c r="M374" s="25">
        <f>IF(VLOOKUP(B374,AmmoTypeFactors,8,FALSE),"None",'Ammo Input'!L374)</f>
        <v>3</v>
      </c>
      <c r="N374">
        <f>'Ammo Input'!O374</f>
        <v>500</v>
      </c>
      <c r="O374" t="e">
        <f>ROUND((P374*0.0036+SUMPRODUCT(Q374:AB374,VLOOKUP($Q$1:$AB$1,IngredientStats,2,FALSE)))/N374*IF('Ammo Input'!R374,0.5,1),2)</f>
        <v>#VALUE!</v>
      </c>
      <c r="P374" t="e">
        <f>(SUMPRODUCT(Q374:AB374,VLOOKUP($Q$1:$AB$1,IngredientStats,4,FALSE))*VLOOKUP(B374,AmmoTypeFactors,14,FALSE)*IF('Ammo Input'!R374,1.1,1))</f>
        <v>#VALUE!</v>
      </c>
      <c r="Q374">
        <f>IFERROR(__xludf.DUMMYFUNCTION("((IF(NOT(OR(REGEXMATCH(B370, ""Arrow""), B370 = ""Javelin"", B370 = ""Stick bomb"")), ROUNDUP(('Ammo Input'!E370 / 1000) * N370)) + IF(VLOOKUP(B370, AmmoTypeFactors, 9, FALSE) = ""Steel"", ROUNDUP(('Ammo Input'!H370 -'Ammo Input'!M370) * MAX(IF('Ammo Inpu"&amp;"t'!J370 &gt; 0, 'Ammo Input'!J370, 1), 1) * N370 / 1000))) / 'Ingredient stats'!$C$2) * IF(ISBLANK(VLOOKUP(B370,AmmoTypeFactors,15,False)),1,VLOOKUP(B370,AmmoTypeFactors,15,False))"),18)</f>
        <v>18</v>
      </c>
      <c r="R374">
        <f>IFERROR(__xludf.DUMMYFUNCTION("ROUNDUP((IF(REGEXMATCH(B370, ""Arrow"") + (B370 = ""Javelin""), 'Ammo Input'!E370) + IF(VLOOKUP(B370, AmmoTypeFactors, 9, FALSE) = ""Wood"", 'Ammo Input'!H370) + IF(B370 = ""Stick bomb"", 'Ammo Input'!E370)) * N370 / 'Ingredient stats'!$C$12 / 1000)"),0)</f>
        <v>0</v>
      </c>
      <c r="S374">
        <v>0</v>
      </c>
      <c r="T374">
        <v>0</v>
      </c>
      <c r="U374">
        <f>IF(VLOOKUP(B374,AmmoTypeFactors,9,FALSE)="Plasteel",ROUNDUP(('Ammo Input'!H374*MAX(IF('Ammo Input'!J374&gt;0,'Ammo Input'!J374,1)*N374/1000/'Ingredient stats'!$C$4)),0),0)</f>
        <v>0</v>
      </c>
      <c r="V374">
        <f>IFERROR(__xludf.DUMMYFUNCTION("ROUNDUP(IF(ISBLANK(VLOOKUP(B370,AmmoTypeFactors,16,False)),1,VLOOKUP(B370,AmmoTypeFactors,16,False)) * (IFS(REGEXMATCH(B370, ""EMP""), 'Ammo Input'!M370 * N370 / 'Ingredient stats'!$C$5, REGEXMATCH(B370, ""Charge""), (U370^0.75), true, 0) + (IF(VLOOKUP(B3"&amp;"70, AmmoTypeFactors, 10, false), 2,0) + IF('Ammo Input'!P370, 2,0) + IF('Ammo Input'!Q370,MIN(ROUNDUP(0.2*('Ammo Input'!H370/1000)*'Ammo Input'!O370,0),20),0))))"),0)</f>
        <v>0</v>
      </c>
      <c r="W374">
        <v>0</v>
      </c>
      <c r="X374">
        <v>0</v>
      </c>
      <c r="Y374">
        <v>0</v>
      </c>
      <c r="Z374">
        <v>0</v>
      </c>
      <c r="AA374">
        <v>0</v>
      </c>
      <c r="AB374" s="30">
        <f>IF(B374="Sling Bullet (Stone)",ROUNDUP(D374*0.02*E374/'Ingredient stats'!$C$8,0),0)</f>
        <v>0</v>
      </c>
      <c r="AC374" t="str">
        <f t="shared" si="20"/>
        <v>None</v>
      </c>
      <c r="AD374" t="str">
        <f>IF(OR(B374="Buck",B374="Bird",B374="Charge (Scatter)"),'Ammo Input'!J374,"None")</f>
        <v>None</v>
      </c>
      <c r="AE374" t="str">
        <f>_xlfn.IFS(ISTEXT(Calcs!N374),Calcs!N374,Calcs!N374&lt;=40,Calcs!N374,Calcs!N374&gt;41,"40")</f>
        <v>None</v>
      </c>
      <c r="AF374" t="str">
        <f>_xlfn.IFS(ISTEXT(Calcs!O374),Calcs!O374,Calcs!O374&lt;=80,Calcs!O374,Calcs!O374&gt;=81,"80")</f>
        <v>None</v>
      </c>
      <c r="AG374" s="25">
        <f t="shared" si="21"/>
        <v>1</v>
      </c>
      <c r="AH374" s="25">
        <f t="shared" si="22"/>
        <v>2.27</v>
      </c>
      <c r="AI374" s="25">
        <f t="shared" si="23"/>
        <v>1</v>
      </c>
    </row>
    <row r="375" ht="14.4" spans="1:35">
      <c r="A375" s="24" t="str">
        <f>'Ammo Input'!A375</f>
        <v>7.62x39mm Soviet</v>
      </c>
      <c r="B375" t="str">
        <f>'Ammo Input'!B375</f>
        <v>AP-I</v>
      </c>
      <c r="C375">
        <f>ROUNDUP(('Ammo Input'!C375*(MAX('Ammo Input'!D375,'Ammo Input'!F375)*0.5)^2*PI())*3/1000000,2)</f>
        <v>0.02</v>
      </c>
      <c r="D375">
        <f>ROUNDUP(('Ammo Input'!E375+'Ammo Input'!H375*IF('Ammo Input'!J375&lt;&gt;"",MAX('Ammo Input'!J375,1),1))/1000,3)</f>
        <v>0.017</v>
      </c>
      <c r="E375">
        <f>MIN(5000,MAX(25,CEILING(Calcs!L375,_xlfn.IFS(Calcs!L375&lt;100,25,Calcs!L375&lt;250,50,Calcs!L375&lt;1000,250,Calcs!L375&gt;=1000,1000))))</f>
        <v>5000</v>
      </c>
      <c r="F375">
        <f>ROUNDUP('Ammo Input'!G375^(3/4),0)</f>
        <v>139</v>
      </c>
      <c r="G375">
        <f>ROUND((0.5*((IF(OR(B375="HEAT",B375="HEDP"),'Ammo Input'!N375,'Ammo Input'!H375)/1000)*(IF(B375="HEAT",9000,IF(B375="HEDP",1500,'Ammo Input'!G375))^2))),0)</f>
        <v>2054</v>
      </c>
      <c r="H375" s="25" t="str">
        <f>CONCATENATE(IF((B375="Foam")+(B375="Smoke"),"-",ROUND(Calcs!D375,0))," ",VLOOKUP(B375,AmmoTypeFactors,5,FALSE))</f>
        <v>10 Bullet</v>
      </c>
      <c r="I375" s="25" t="str">
        <f>IF(Calcs!E375=0,"None",CONCATENATE(ROUND(Calcs!E375,0)," ",VLOOKUP(B375,AmmoTypeFactors,6,FALSE)))</f>
        <v>5 Flame_Secondary</v>
      </c>
      <c r="J375">
        <f>MROUND(2.42*'Ammo Input'!M375^(1/3)*VLOOKUP(B375,AmmoTypeFactors,3,FALSE),0.5)</f>
        <v>0</v>
      </c>
      <c r="K375" s="25" t="str">
        <f>IF(VLOOKUP(B375,AmmoTypeFactors,12,FALSE),MROUND(J375/3,0.5),"None")</f>
        <v>None</v>
      </c>
      <c r="L375" s="25">
        <f>IF(VLOOKUP(B375,AmmoTypeFactors,8,FALSE),"None",ROUNDUP(IF(Calcs!I375&gt;0,Calcs!I375,Calcs!H375),3))</f>
        <v>41.08</v>
      </c>
      <c r="M375" s="25">
        <f>IF(VLOOKUP(B375,AmmoTypeFactors,8,FALSE),"None",'Ammo Input'!L375)</f>
        <v>12</v>
      </c>
      <c r="N375">
        <f>'Ammo Input'!O375</f>
        <v>500</v>
      </c>
      <c r="O375" t="e">
        <f>ROUND((P375*0.0036+SUMPRODUCT(Q375:AB375,VLOOKUP($Q$1:$AB$1,IngredientStats,2,FALSE)))/N375*IF('Ammo Input'!R375,0.5,1),2)</f>
        <v>#VALUE!</v>
      </c>
      <c r="P375" t="e">
        <f>(SUMPRODUCT(Q375:AB375,VLOOKUP($Q$1:$AB$1,IngredientStats,4,FALSE))*VLOOKUP(B375,AmmoTypeFactors,14,FALSE)*IF('Ammo Input'!R375,1.1,1))</f>
        <v>#VALUE!</v>
      </c>
      <c r="Q375">
        <f>IFERROR(__xludf.DUMMYFUNCTION("((IF(NOT(OR(REGEXMATCH(B371, ""Arrow""), B371 = ""Javelin"", B371 = ""Stick bomb"")), ROUNDUP(('Ammo Input'!E371 / 1000) * N371)) + IF(VLOOKUP(B371, AmmoTypeFactors, 9, FALSE) = ""Steel"", ROUNDUP(('Ammo Input'!H371 -'Ammo Input'!M371) * MAX(IF('Ammo Inpu"&amp;"t'!J371 &gt; 0, 'Ammo Input'!J371, 1), 1) * N371 / 1000))) / 'Ingredient stats'!$C$2) * IF(ISBLANK(VLOOKUP(B371,AmmoTypeFactors,15,False)),1,VLOOKUP(B371,AmmoTypeFactors,15,False))"),18)</f>
        <v>18</v>
      </c>
      <c r="R375">
        <f>IFERROR(__xludf.DUMMYFUNCTION("ROUNDUP((IF(REGEXMATCH(B371, ""Arrow"") + (B371 = ""Javelin""), 'Ammo Input'!E371) + IF(VLOOKUP(B371, AmmoTypeFactors, 9, FALSE) = ""Wood"", 'Ammo Input'!H371) + IF(B371 = ""Stick bomb"", 'Ammo Input'!E371)) * N371 / 'Ingredient stats'!$C$12 / 1000)"),0)</f>
        <v>0</v>
      </c>
      <c r="S375">
        <v>0</v>
      </c>
      <c r="T375">
        <v>0</v>
      </c>
      <c r="U375">
        <f>IF(VLOOKUP(B375,AmmoTypeFactors,9,FALSE)="Plasteel",ROUNDUP(('Ammo Input'!H375*MAX(IF('Ammo Input'!J375&gt;0,'Ammo Input'!J375,1)*N375/1000/'Ingredient stats'!$C$4)),0),0)</f>
        <v>0</v>
      </c>
      <c r="V375">
        <f>IFERROR(__xludf.DUMMYFUNCTION("ROUNDUP(IF(ISBLANK(VLOOKUP(B371,AmmoTypeFactors,16,False)),1,VLOOKUP(B371,AmmoTypeFactors,16,False)) * (IFS(REGEXMATCH(B371, ""EMP""), 'Ammo Input'!M371 * N371 / 'Ingredient stats'!$C$5, REGEXMATCH(B371, ""Charge""), (U371^0.75), true, 0) + (IF(VLOOKUP(B3"&amp;"71, AmmoTypeFactors, 10, false), 2,0) + IF('Ammo Input'!P371, 2,0) + IF('Ammo Input'!Q371,MIN(ROUNDUP(0.2*('Ammo Input'!H371/1000)*'Ammo Input'!O371,0),20),0))))"),0)</f>
        <v>0</v>
      </c>
      <c r="W375">
        <v>2</v>
      </c>
      <c r="X375">
        <v>0</v>
      </c>
      <c r="Y375">
        <v>0</v>
      </c>
      <c r="Z375">
        <v>0</v>
      </c>
      <c r="AA375">
        <v>0</v>
      </c>
      <c r="AB375" s="30">
        <f>IF(B375="Sling Bullet (Stone)",ROUNDUP(D375*0.02*E375/'Ingredient stats'!$C$8,0),0)</f>
        <v>0</v>
      </c>
      <c r="AC375" t="str">
        <f t="shared" si="20"/>
        <v>None</v>
      </c>
      <c r="AD375" t="str">
        <f>IF(OR(B375="Buck",B375="Bird",B375="Charge (Scatter)"),'Ammo Input'!J375,"None")</f>
        <v>None</v>
      </c>
      <c r="AE375" t="str">
        <f>_xlfn.IFS(ISTEXT(Calcs!N375),Calcs!N375,Calcs!N375&lt;=40,Calcs!N375,Calcs!N375&gt;41,"40")</f>
        <v>None</v>
      </c>
      <c r="AF375" t="str">
        <f>_xlfn.IFS(ISTEXT(Calcs!O375),Calcs!O375,Calcs!O375&lt;=80,Calcs!O375,Calcs!O375&gt;=81,"80")</f>
        <v>None</v>
      </c>
      <c r="AG375" s="25">
        <f t="shared" si="21"/>
        <v>1</v>
      </c>
      <c r="AH375" s="25">
        <f t="shared" si="22"/>
        <v>2.27</v>
      </c>
      <c r="AI375" s="25">
        <f t="shared" si="23"/>
        <v>1</v>
      </c>
    </row>
    <row r="376" ht="14.4" spans="1:35">
      <c r="A376" s="24" t="str">
        <f>'Ammo Input'!A376</f>
        <v>7.62x39mm Soviet</v>
      </c>
      <c r="B376" t="str">
        <f>'Ammo Input'!B376</f>
        <v>AP-HE</v>
      </c>
      <c r="C376">
        <f>ROUNDUP(('Ammo Input'!C376*(MAX('Ammo Input'!D376,'Ammo Input'!F376)*0.5)^2*PI())*3/1000000,2)</f>
        <v>0.02</v>
      </c>
      <c r="D376">
        <f>ROUNDUP(('Ammo Input'!E376+'Ammo Input'!H376*IF('Ammo Input'!J376&lt;&gt;"",MAX('Ammo Input'!J376,1),1))/1000,3)</f>
        <v>0.017</v>
      </c>
      <c r="E376">
        <f>MIN(5000,MAX(25,CEILING(Calcs!L376,_xlfn.IFS(Calcs!L376&lt;100,25,Calcs!L376&lt;250,50,Calcs!L376&lt;1000,250,Calcs!L376&gt;=1000,1000))))</f>
        <v>5000</v>
      </c>
      <c r="F376">
        <f>ROUNDUP('Ammo Input'!G376^(3/4),0)</f>
        <v>139</v>
      </c>
      <c r="G376">
        <f>ROUND((0.5*((IF(OR(B376="HEAT",B376="HEDP"),'Ammo Input'!N376,'Ammo Input'!H376)/1000)*(IF(B376="HEAT",9000,IF(B376="HEDP",1500,'Ammo Input'!G376))^2))),0)</f>
        <v>2054</v>
      </c>
      <c r="H376" s="25" t="str">
        <f>CONCATENATE(IF((B376="Foam")+(B376="Smoke"),"-",ROUND(Calcs!D376,0))," ",VLOOKUP(B376,AmmoTypeFactors,5,FALSE))</f>
        <v>17 Bullet</v>
      </c>
      <c r="I376" s="25" t="str">
        <f>IF(Calcs!E376=0,"None",CONCATENATE(ROUND(Calcs!E376,0)," ",VLOOKUP(B376,AmmoTypeFactors,6,FALSE)))</f>
        <v>7 Bomb_Secondary</v>
      </c>
      <c r="J376">
        <f>MROUND(2.42*'Ammo Input'!M376^(1/3)*VLOOKUP(B376,AmmoTypeFactors,3,FALSE),0.5)</f>
        <v>0</v>
      </c>
      <c r="K376" s="25" t="str">
        <f>IF(VLOOKUP(B376,AmmoTypeFactors,12,FALSE),MROUND(J376/3,0.5),"None")</f>
        <v>None</v>
      </c>
      <c r="L376" s="25">
        <f>IF(VLOOKUP(B376,AmmoTypeFactors,8,FALSE),"None",ROUNDUP(IF(Calcs!I376&gt;0,Calcs!I376,Calcs!H376),3))</f>
        <v>41.08</v>
      </c>
      <c r="M376" s="25">
        <f>IF(VLOOKUP(B376,AmmoTypeFactors,8,FALSE),"None",'Ammo Input'!L376)</f>
        <v>6</v>
      </c>
      <c r="N376">
        <f>'Ammo Input'!O376</f>
        <v>500</v>
      </c>
      <c r="O376" t="e">
        <f>ROUND((P376*0.0036+SUMPRODUCT(Q376:AB376,VLOOKUP($Q$1:$AB$1,IngredientStats,2,FALSE)))/N376*IF('Ammo Input'!R376,0.5,1),2)</f>
        <v>#VALUE!</v>
      </c>
      <c r="P376" t="e">
        <f>(SUMPRODUCT(Q376:AB376,VLOOKUP($Q$1:$AB$1,IngredientStats,4,FALSE))*VLOOKUP(B376,AmmoTypeFactors,14,FALSE)*IF('Ammo Input'!R376,1.1,1))</f>
        <v>#VALUE!</v>
      </c>
      <c r="Q376">
        <f>IFERROR(__xludf.DUMMYFUNCTION("((IF(NOT(OR(REGEXMATCH(B372, ""Arrow""), B372 = ""Javelin"", B372 = ""Stick bomb"")), ROUNDUP(('Ammo Input'!E372 / 1000) * N372)) + IF(VLOOKUP(B372, AmmoTypeFactors, 9, FALSE) = ""Steel"", ROUNDUP(('Ammo Input'!H372 -'Ammo Input'!M372) * MAX(IF('Ammo Inpu"&amp;"t'!J372 &gt; 0, 'Ammo Input'!J372, 1), 1) * N372 / 1000))) / 'Ingredient stats'!$C$2) * IF(ISBLANK(VLOOKUP(B372,AmmoTypeFactors,15,False)),1,VLOOKUP(B372,AmmoTypeFactors,15,False))"),18)</f>
        <v>18</v>
      </c>
      <c r="R376">
        <f>IFERROR(__xludf.DUMMYFUNCTION("ROUNDUP((IF(REGEXMATCH(B372, ""Arrow"") + (B372 = ""Javelin""), 'Ammo Input'!E372) + IF(VLOOKUP(B372, AmmoTypeFactors, 9, FALSE) = ""Wood"", 'Ammo Input'!H372) + IF(B372 = ""Stick bomb"", 'Ammo Input'!E372)) * N372 / 'Ingredient stats'!$C$12 / 1000)"),0)</f>
        <v>0</v>
      </c>
      <c r="S376">
        <v>0</v>
      </c>
      <c r="T376">
        <v>0</v>
      </c>
      <c r="U376">
        <f>IF(VLOOKUP(B376,AmmoTypeFactors,9,FALSE)="Plasteel",ROUNDUP(('Ammo Input'!H376*MAX(IF('Ammo Input'!J376&gt;0,'Ammo Input'!J376,1)*N376/1000/'Ingredient stats'!$C$4)),0),0)</f>
        <v>0</v>
      </c>
      <c r="V376">
        <f>IFERROR(__xludf.DUMMYFUNCTION("ROUNDUP(IF(ISBLANK(VLOOKUP(B372,AmmoTypeFactors,16,False)),1,VLOOKUP(B372,AmmoTypeFactors,16,False)) * (IFS(REGEXMATCH(B372, ""EMP""), 'Ammo Input'!M372 * N372 / 'Ingredient stats'!$C$5, REGEXMATCH(B372, ""Charge""), (U372^0.75), true, 0) + (IF(VLOOKUP(B3"&amp;"72, AmmoTypeFactors, 10, false), 2,0) + IF('Ammo Input'!P372, 2,0) + IF('Ammo Input'!Q372,MIN(ROUNDUP(0.2*('Ammo Input'!H372/1000)*'Ammo Input'!O372,0),20),0))))"),0)</f>
        <v>0</v>
      </c>
      <c r="W376">
        <v>0</v>
      </c>
      <c r="X376">
        <v>5</v>
      </c>
      <c r="Y376">
        <v>0</v>
      </c>
      <c r="Z376">
        <v>0</v>
      </c>
      <c r="AA376">
        <v>0</v>
      </c>
      <c r="AB376" s="30">
        <f>IF(B376="Sling Bullet (Stone)",ROUNDUP(D376*0.02*E376/'Ingredient stats'!$C$8,0),0)</f>
        <v>0</v>
      </c>
      <c r="AC376" t="str">
        <f t="shared" si="20"/>
        <v>None</v>
      </c>
      <c r="AD376" t="str">
        <f>IF(OR(B376="Buck",B376="Bird",B376="Charge (Scatter)"),'Ammo Input'!J376,"None")</f>
        <v>None</v>
      </c>
      <c r="AE376" t="str">
        <f>_xlfn.IFS(ISTEXT(Calcs!N376),Calcs!N376,Calcs!N376&lt;=40,Calcs!N376,Calcs!N376&gt;41,"40")</f>
        <v>None</v>
      </c>
      <c r="AF376" t="str">
        <f>_xlfn.IFS(ISTEXT(Calcs!O376),Calcs!O376,Calcs!O376&lt;=80,Calcs!O376,Calcs!O376&gt;=81,"80")</f>
        <v>None</v>
      </c>
      <c r="AG376" s="25">
        <f t="shared" si="21"/>
        <v>1</v>
      </c>
      <c r="AH376" s="25">
        <f t="shared" si="22"/>
        <v>2.27</v>
      </c>
      <c r="AI376" s="25">
        <f t="shared" si="23"/>
        <v>1</v>
      </c>
    </row>
    <row r="377" ht="14.4" spans="1:35">
      <c r="A377" s="24" t="str">
        <f>'Ammo Input'!A377</f>
        <v>7.62x39mm Soviet</v>
      </c>
      <c r="B377" t="str">
        <f>'Ammo Input'!B377</f>
        <v>Sabot</v>
      </c>
      <c r="C377">
        <f>ROUNDUP(('Ammo Input'!C377*(MAX('Ammo Input'!D377,'Ammo Input'!F377)*0.5)^2*PI())*3/1000000,2)</f>
        <v>0.02</v>
      </c>
      <c r="D377">
        <f>ROUNDUP(('Ammo Input'!E377+'Ammo Input'!H377*IF('Ammo Input'!J377&lt;&gt;"",MAX('Ammo Input'!J377,1),1))/1000,3)</f>
        <v>0.013</v>
      </c>
      <c r="E377">
        <f>MIN(5000,MAX(25,CEILING(Calcs!L377,_xlfn.IFS(Calcs!L377&lt;100,25,Calcs!L377&lt;250,50,Calcs!L377&lt;1000,250,Calcs!L377&gt;=1000,1000))))</f>
        <v>5000</v>
      </c>
      <c r="F377">
        <f>ROUNDUP('Ammo Input'!G377^(3/4),0)</f>
        <v>189</v>
      </c>
      <c r="G377">
        <f>ROUND((0.5*((IF(OR(B377="HEAT",B377="HEDP"),'Ammo Input'!N377,'Ammo Input'!H377)/1000)*(IF(B377="HEAT",9000,IF(B377="HEDP",1500,'Ammo Input'!G377))^2))),0)</f>
        <v>2668</v>
      </c>
      <c r="H377" s="25" t="str">
        <f>CONCATENATE(IF((B377="Foam")+(B377="Smoke"),"-",ROUND(Calcs!D377,0))," ",VLOOKUP(B377,AmmoTypeFactors,5,FALSE))</f>
        <v>8 Bullet</v>
      </c>
      <c r="I377" s="25" t="str">
        <f>IF(Calcs!E377=0,"None",CONCATENATE(ROUND(Calcs!E377,0)," ",VLOOKUP(B377,AmmoTypeFactors,6,FALSE)))</f>
        <v>None</v>
      </c>
      <c r="J377">
        <f>MROUND(2.42*'Ammo Input'!M377^(1/3)*VLOOKUP(B377,AmmoTypeFactors,3,FALSE),0.5)</f>
        <v>0</v>
      </c>
      <c r="K377" s="25" t="str">
        <f>IF(VLOOKUP(B377,AmmoTypeFactors,12,FALSE),MROUND(J377/3,0.5),"None")</f>
        <v>None</v>
      </c>
      <c r="L377" s="25">
        <f>IF(VLOOKUP(B377,AmmoTypeFactors,8,FALSE),"None",ROUNDUP(IF(Calcs!I377&gt;0,Calcs!I377,Calcs!H377),3))</f>
        <v>53.36</v>
      </c>
      <c r="M377" s="25">
        <f>IF(VLOOKUP(B377,AmmoTypeFactors,8,FALSE),"None",'Ammo Input'!L377)</f>
        <v>21</v>
      </c>
      <c r="N377">
        <f>'Ammo Input'!O377</f>
        <v>500</v>
      </c>
      <c r="O377" t="e">
        <f>ROUND((P377*0.0036+SUMPRODUCT(Q377:AB377,VLOOKUP($Q$1:$AB$1,IngredientStats,2,FALSE)))/N377*IF('Ammo Input'!R377,0.5,1),2)</f>
        <v>#VALUE!</v>
      </c>
      <c r="P377" t="e">
        <f>(SUMPRODUCT(Q377:AB377,VLOOKUP($Q$1:$AB$1,IngredientStats,4,FALSE))*VLOOKUP(B377,AmmoTypeFactors,14,FALSE)*IF('Ammo Input'!R377,1.1,1))</f>
        <v>#VALUE!</v>
      </c>
      <c r="Q377">
        <f>IFERROR(__xludf.DUMMYFUNCTION("((IF(NOT(OR(REGEXMATCH(B373, ""Arrow""), B373 = ""Javelin"", B373 = ""Stick bomb"")), ROUNDUP(('Ammo Input'!E373 / 1000) * N373)) + IF(VLOOKUP(B373, AmmoTypeFactors, 9, FALSE) = ""Steel"", ROUNDUP(('Ammo Input'!H373 -'Ammo Input'!M373) * MAX(IF('Ammo Inpu"&amp;"t'!J373 &gt; 0, 'Ammo Input'!J373, 1), 1) * N373 / 1000))) / 'Ingredient stats'!$C$2) * IF(ISBLANK(VLOOKUP(B373,AmmoTypeFactors,15,False)),1,VLOOKUP(B373,AmmoTypeFactors,15,False))"),10)</f>
        <v>10</v>
      </c>
      <c r="R377">
        <f>IFERROR(__xludf.DUMMYFUNCTION("ROUNDUP((IF(REGEXMATCH(B373, ""Arrow"") + (B373 = ""Javelin""), 'Ammo Input'!E373) + IF(VLOOKUP(B373, AmmoTypeFactors, 9, FALSE) = ""Wood"", 'Ammo Input'!H373) + IF(B373 = ""Stick bomb"", 'Ammo Input'!E373)) * N373 / 'Ingredient stats'!$C$12 / 1000)"),0)</f>
        <v>0</v>
      </c>
      <c r="S377">
        <v>3</v>
      </c>
      <c r="T377">
        <v>3</v>
      </c>
      <c r="U377">
        <f>IF(VLOOKUP(B377,AmmoTypeFactors,9,FALSE)="Plasteel",ROUNDUP(('Ammo Input'!H377*MAX(IF('Ammo Input'!J377&gt;0,'Ammo Input'!J377,1)*N377/1000/'Ingredient stats'!$C$4)),0),0)</f>
        <v>0</v>
      </c>
      <c r="V377">
        <f>IFERROR(__xludf.DUMMYFUNCTION("ROUNDUP(IF(ISBLANK(VLOOKUP(B373,AmmoTypeFactors,16,False)),1,VLOOKUP(B373,AmmoTypeFactors,16,False)) * (IFS(REGEXMATCH(B373, ""EMP""), 'Ammo Input'!M373 * N373 / 'Ingredient stats'!$C$5, REGEXMATCH(B373, ""Charge""), (U373^0.75), true, 0) + (IF(VLOOKUP(B3"&amp;"73, AmmoTypeFactors, 10, false), 2,0) + IF('Ammo Input'!P373, 2,0) + IF('Ammo Input'!Q373,MIN(ROUNDUP(0.2*('Ammo Input'!H373/1000)*'Ammo Input'!O373,0),20),0))))"),0)</f>
        <v>0</v>
      </c>
      <c r="W377">
        <v>0</v>
      </c>
      <c r="X377">
        <v>0</v>
      </c>
      <c r="Y377">
        <v>0</v>
      </c>
      <c r="Z377">
        <v>0</v>
      </c>
      <c r="AA377">
        <v>0</v>
      </c>
      <c r="AB377" s="30">
        <f>IF(B377="Sling Bullet (Stone)",ROUNDUP(D377*0.02*E377/'Ingredient stats'!$C$8,0),0)</f>
        <v>0</v>
      </c>
      <c r="AC377" t="str">
        <f t="shared" si="20"/>
        <v>None</v>
      </c>
      <c r="AD377" t="str">
        <f>IF(OR(B377="Buck",B377="Bird",B377="Charge (Scatter)"),'Ammo Input'!J377,"None")</f>
        <v>None</v>
      </c>
      <c r="AE377" t="str">
        <f>_xlfn.IFS(ISTEXT(Calcs!N377),Calcs!N377,Calcs!N377&lt;=40,Calcs!N377,Calcs!N377&gt;41,"40")</f>
        <v>None</v>
      </c>
      <c r="AF377" t="str">
        <f>_xlfn.IFS(ISTEXT(Calcs!O377),Calcs!O377,Calcs!O377&lt;=80,Calcs!O377,Calcs!O377&gt;=81,"80")</f>
        <v>None</v>
      </c>
      <c r="AG377" s="25">
        <f t="shared" si="21"/>
        <v>1</v>
      </c>
      <c r="AH377" s="25">
        <f t="shared" si="22"/>
        <v>3.08</v>
      </c>
      <c r="AI377" s="25">
        <f t="shared" si="23"/>
        <v>1</v>
      </c>
    </row>
    <row r="378" ht="14.4" spans="1:35">
      <c r="A378" s="24" t="str">
        <f>'Ammo Input'!A378</f>
        <v>7.62x39mm Soviet (Slow)</v>
      </c>
      <c r="B378" t="str">
        <f>'Ammo Input'!B378</f>
        <v>FMJ</v>
      </c>
      <c r="C378">
        <f>ROUNDUP(('Ammo Input'!C378*(MAX('Ammo Input'!D378,'Ammo Input'!F378)*0.5)^2*PI())*3/1000000,2)</f>
        <v>0.02</v>
      </c>
      <c r="D378">
        <f>ROUNDUP(('Ammo Input'!E378+'Ammo Input'!H378*IF('Ammo Input'!J378&lt;&gt;"",MAX('Ammo Input'!J378,1),1))/1000,3)</f>
        <v>0.017</v>
      </c>
      <c r="E378">
        <f>MIN(5000,MAX(25,CEILING(Calcs!L378,_xlfn.IFS(Calcs!L378&lt;100,25,Calcs!L378&lt;250,50,Calcs!L378&lt;1000,250,Calcs!L378&gt;=1000,1000))))</f>
        <v>5000</v>
      </c>
      <c r="F378">
        <f>ROUNDUP('Ammo Input'!G378^(3/4),0)</f>
        <v>123</v>
      </c>
      <c r="G378">
        <f>ROUND((0.5*((IF(OR(B378="HEAT",B378="HEDP"),'Ammo Input'!N378,'Ammo Input'!H378)/1000)*(IF(B378="HEAT",9000,IF(B378="HEDP",1500,'Ammo Input'!G378))^2))),0)</f>
        <v>1478</v>
      </c>
      <c r="H378" s="25" t="str">
        <f>CONCATENATE(IF((B378="Foam")+(B378="Smoke"),"-",ROUND(Calcs!D378,0))," ",VLOOKUP(B378,AmmoTypeFactors,5,FALSE))</f>
        <v>15 Bullet</v>
      </c>
      <c r="I378" s="25" t="str">
        <f>IF(Calcs!E378=0,"None",CONCATENATE(ROUND(Calcs!E378,0)," ",VLOOKUP(B378,AmmoTypeFactors,6,FALSE)))</f>
        <v>None</v>
      </c>
      <c r="J378">
        <f>MROUND(2.42*'Ammo Input'!M378^(1/3)*VLOOKUP(B378,AmmoTypeFactors,3,FALSE),0.5)</f>
        <v>0</v>
      </c>
      <c r="K378" s="25" t="str">
        <f>IF(VLOOKUP(B378,AmmoTypeFactors,12,FALSE),MROUND(J378/3,0.5),"None")</f>
        <v>None</v>
      </c>
      <c r="L378" s="25">
        <f>IF(VLOOKUP(B378,AmmoTypeFactors,8,FALSE),"None",ROUNDUP(IF(Calcs!I378&gt;0,Calcs!I378,Calcs!H378),3))</f>
        <v>29.56</v>
      </c>
      <c r="M378" s="25">
        <f>IF(VLOOKUP(B378,AmmoTypeFactors,8,FALSE),"None",'Ammo Input'!L378)</f>
        <v>4.5</v>
      </c>
      <c r="N378">
        <f>'Ammo Input'!O378</f>
        <v>500</v>
      </c>
      <c r="O378" t="e">
        <f>ROUND((P378*0.0036+SUMPRODUCT(Q378:AB378,VLOOKUP($Q$1:$AB$1,IngredientStats,2,FALSE)))/N378*IF('Ammo Input'!R378,0.5,1),2)</f>
        <v>#VALUE!</v>
      </c>
      <c r="P378" t="e">
        <f>(SUMPRODUCT(Q378:AB378,VLOOKUP($Q$1:$AB$1,IngredientStats,4,FALSE))*VLOOKUP(B378,AmmoTypeFactors,14,FALSE)*IF('Ammo Input'!R378,1.1,1))</f>
        <v>#VALUE!</v>
      </c>
      <c r="Q378">
        <f>IFERROR(__xludf.DUMMYFUNCTION("((IF(NOT(OR(REGEXMATCH(B374, ""Arrow""), B374 = ""Javelin"", B374 = ""Stick bomb"")), ROUNDUP(('Ammo Input'!E374 / 1000) * N374)) + IF(VLOOKUP(B374, AmmoTypeFactors, 9, FALSE) = ""Steel"", ROUNDUP(('Ammo Input'!H374 -'Ammo Input'!M374) * MAX(IF('Ammo Inpu"&amp;"t'!J374 &gt; 0, 'Ammo Input'!J374, 1), 1) * N374 / 1000))) / 'Ingredient stats'!$C$2) * IF(ISBLANK(VLOOKUP(B374,AmmoTypeFactors,15,False)),1,VLOOKUP(B374,AmmoTypeFactors,15,False))"),18)</f>
        <v>18</v>
      </c>
      <c r="R378">
        <f>IFERROR(__xludf.DUMMYFUNCTION("ROUNDUP((IF(REGEXMATCH(B374, ""Arrow"") + (B374 = ""Javelin""), 'Ammo Input'!E374) + IF(VLOOKUP(B374, AmmoTypeFactors, 9, FALSE) = ""Wood"", 'Ammo Input'!H374) + IF(B374 = ""Stick bomb"", 'Ammo Input'!E374)) * N374 / 'Ingredient stats'!$C$12 / 1000)"),0)</f>
        <v>0</v>
      </c>
      <c r="S378">
        <v>0</v>
      </c>
      <c r="T378">
        <v>0</v>
      </c>
      <c r="U378">
        <f>IF(VLOOKUP(B378,AmmoTypeFactors,9,FALSE)="Plasteel",ROUNDUP(('Ammo Input'!H378*MAX(IF('Ammo Input'!J378&gt;0,'Ammo Input'!J378,1)*N378/1000/'Ingredient stats'!$C$4)),0),0)</f>
        <v>0</v>
      </c>
      <c r="V378">
        <f>IFERROR(__xludf.DUMMYFUNCTION("ROUNDUP(IF(ISBLANK(VLOOKUP(B374,AmmoTypeFactors,16,False)),1,VLOOKUP(B374,AmmoTypeFactors,16,False)) * (IFS(REGEXMATCH(B374, ""EMP""), 'Ammo Input'!M374 * N374 / 'Ingredient stats'!$C$5, REGEXMATCH(B374, ""Charge""), (U374^0.75), true, 0) + (IF(VLOOKUP(B3"&amp;"74, AmmoTypeFactors, 10, false), 2,0) + IF('Ammo Input'!P374, 2,0) + IF('Ammo Input'!Q374,MIN(ROUNDUP(0.2*('Ammo Input'!H374/1000)*'Ammo Input'!O374,0),20),0))))"),0)</f>
        <v>0</v>
      </c>
      <c r="W378">
        <v>0</v>
      </c>
      <c r="X378">
        <v>0</v>
      </c>
      <c r="Y378">
        <v>0</v>
      </c>
      <c r="Z378">
        <v>0</v>
      </c>
      <c r="AA378">
        <v>0</v>
      </c>
      <c r="AB378" s="30">
        <f>IF(B378="Sling Bullet (Stone)",ROUNDUP(D378*0.02*E378/'Ingredient stats'!$C$8,0),0)</f>
        <v>0</v>
      </c>
      <c r="AC378" t="str">
        <f t="shared" si="20"/>
        <v>None</v>
      </c>
      <c r="AD378" t="str">
        <f>IF(OR(B378="Buck",B378="Bird",B378="Charge (Scatter)"),'Ammo Input'!J378,"None")</f>
        <v>None</v>
      </c>
      <c r="AE378" t="str">
        <f>_xlfn.IFS(ISTEXT(Calcs!N378),Calcs!N378,Calcs!N378&lt;=40,Calcs!N378,Calcs!N378&gt;41,"40")</f>
        <v>None</v>
      </c>
      <c r="AF378" t="str">
        <f>_xlfn.IFS(ISTEXT(Calcs!O378),Calcs!O378,Calcs!O378&lt;=80,Calcs!O378,Calcs!O378&gt;=81,"80")</f>
        <v>None</v>
      </c>
      <c r="AG378" s="25">
        <f t="shared" si="21"/>
        <v>1</v>
      </c>
      <c r="AH378" s="25">
        <f t="shared" si="22"/>
        <v>2.02</v>
      </c>
      <c r="AI378" s="25">
        <f t="shared" si="23"/>
        <v>1</v>
      </c>
    </row>
    <row r="379" ht="14.4" spans="1:35">
      <c r="A379" s="24" t="str">
        <f>'Ammo Input'!A379</f>
        <v>7.62x39mm Soviet (Slow)</v>
      </c>
      <c r="B379" t="str">
        <f>'Ammo Input'!B379</f>
        <v>AP</v>
      </c>
      <c r="C379">
        <f>ROUNDUP(('Ammo Input'!C379*(MAX('Ammo Input'!D379,'Ammo Input'!F379)*0.5)^2*PI())*3/1000000,2)</f>
        <v>0.02</v>
      </c>
      <c r="D379">
        <f>ROUNDUP(('Ammo Input'!E379+'Ammo Input'!H379*IF('Ammo Input'!J379&lt;&gt;"",MAX('Ammo Input'!J379,1),1))/1000,3)</f>
        <v>0.017</v>
      </c>
      <c r="E379">
        <f>MIN(5000,MAX(25,CEILING(Calcs!L379,_xlfn.IFS(Calcs!L379&lt;100,25,Calcs!L379&lt;250,50,Calcs!L379&lt;1000,250,Calcs!L379&gt;=1000,1000))))</f>
        <v>5000</v>
      </c>
      <c r="F379">
        <f>ROUNDUP('Ammo Input'!G379^(3/4),0)</f>
        <v>123</v>
      </c>
      <c r="G379">
        <f>ROUND((0.5*((IF(OR(B379="HEAT",B379="HEDP"),'Ammo Input'!N379,'Ammo Input'!H379)/1000)*(IF(B379="HEAT",9000,IF(B379="HEDP",1500,'Ammo Input'!G379))^2))),0)</f>
        <v>1478</v>
      </c>
      <c r="H379" s="25" t="str">
        <f>CONCATENATE(IF((B379="Foam")+(B379="Smoke"),"-",ROUND(Calcs!D379,0))," ",VLOOKUP(B379,AmmoTypeFactors,5,FALSE))</f>
        <v>9 Bullet</v>
      </c>
      <c r="I379" s="25" t="str">
        <f>IF(Calcs!E379=0,"None",CONCATENATE(ROUND(Calcs!E379,0)," ",VLOOKUP(B379,AmmoTypeFactors,6,FALSE)))</f>
        <v>None</v>
      </c>
      <c r="J379">
        <f>MROUND(2.42*'Ammo Input'!M379^(1/3)*VLOOKUP(B379,AmmoTypeFactors,3,FALSE),0.5)</f>
        <v>0</v>
      </c>
      <c r="K379" s="25" t="str">
        <f>IF(VLOOKUP(B379,AmmoTypeFactors,12,FALSE),MROUND(J379/3,0.5),"None")</f>
        <v>None</v>
      </c>
      <c r="L379" s="25">
        <f>IF(VLOOKUP(B379,AmmoTypeFactors,8,FALSE),"None",ROUNDUP(IF(Calcs!I379&gt;0,Calcs!I379,Calcs!H379),3))</f>
        <v>29.56</v>
      </c>
      <c r="M379" s="25">
        <f>IF(VLOOKUP(B379,AmmoTypeFactors,8,FALSE),"None",'Ammo Input'!L379)</f>
        <v>9</v>
      </c>
      <c r="N379">
        <f>'Ammo Input'!O379</f>
        <v>500</v>
      </c>
      <c r="O379" t="e">
        <f>ROUND((P379*0.0036+SUMPRODUCT(Q379:AB379,VLOOKUP($Q$1:$AB$1,IngredientStats,2,FALSE)))/N379*IF('Ammo Input'!R379,0.5,1),2)</f>
        <v>#VALUE!</v>
      </c>
      <c r="P379" t="e">
        <f>(SUMPRODUCT(Q379:AB379,VLOOKUP($Q$1:$AB$1,IngredientStats,4,FALSE))*VLOOKUP(B379,AmmoTypeFactors,14,FALSE)*IF('Ammo Input'!R379,1.1,1))</f>
        <v>#VALUE!</v>
      </c>
      <c r="Q379">
        <f>IFERROR(__xludf.DUMMYFUNCTION("((IF(NOT(OR(REGEXMATCH(B375, ""Arrow""), B375 = ""Javelin"", B375 = ""Stick bomb"")), ROUNDUP(('Ammo Input'!E375 / 1000) * N375)) + IF(VLOOKUP(B375, AmmoTypeFactors, 9, FALSE) = ""Steel"", ROUNDUP(('Ammo Input'!H375 -'Ammo Input'!M375) * MAX(IF('Ammo Inpu"&amp;"t'!J375 &gt; 0, 'Ammo Input'!J375, 1), 1) * N375 / 1000))) / 'Ingredient stats'!$C$2) * IF(ISBLANK(VLOOKUP(B375,AmmoTypeFactors,15,False)),1,VLOOKUP(B375,AmmoTypeFactors,15,False))"),18)</f>
        <v>18</v>
      </c>
      <c r="R379">
        <f>IFERROR(__xludf.DUMMYFUNCTION("ROUNDUP((IF(REGEXMATCH(B375, ""Arrow"") + (B375 = ""Javelin""), 'Ammo Input'!E375) + IF(VLOOKUP(B375, AmmoTypeFactors, 9, FALSE) = ""Wood"", 'Ammo Input'!H375) + IF(B375 = ""Stick bomb"", 'Ammo Input'!E375)) * N375 / 'Ingredient stats'!$C$12 / 1000)"),0)</f>
        <v>0</v>
      </c>
      <c r="S379">
        <v>0</v>
      </c>
      <c r="T379">
        <v>0</v>
      </c>
      <c r="U379">
        <f>IF(VLOOKUP(B379,AmmoTypeFactors,9,FALSE)="Plasteel",ROUNDUP(('Ammo Input'!H379*MAX(IF('Ammo Input'!J379&gt;0,'Ammo Input'!J379,1)*N379/1000/'Ingredient stats'!$C$4)),0),0)</f>
        <v>0</v>
      </c>
      <c r="V379">
        <f>IFERROR(__xludf.DUMMYFUNCTION("ROUNDUP(IF(ISBLANK(VLOOKUP(B375,AmmoTypeFactors,16,False)),1,VLOOKUP(B375,AmmoTypeFactors,16,False)) * (IFS(REGEXMATCH(B375, ""EMP""), 'Ammo Input'!M375 * N375 / 'Ingredient stats'!$C$5, REGEXMATCH(B375, ""Charge""), (U375^0.75), true, 0) + (IF(VLOOKUP(B3"&amp;"75, AmmoTypeFactors, 10, false), 2,0) + IF('Ammo Input'!P375, 2,0) + IF('Ammo Input'!Q375,MIN(ROUNDUP(0.2*('Ammo Input'!H375/1000)*'Ammo Input'!O375,0),20),0))))"),0)</f>
        <v>0</v>
      </c>
      <c r="W379">
        <v>0</v>
      </c>
      <c r="X379">
        <v>0</v>
      </c>
      <c r="Y379">
        <v>0</v>
      </c>
      <c r="Z379">
        <v>0</v>
      </c>
      <c r="AA379">
        <v>0</v>
      </c>
      <c r="AB379" s="30">
        <f>IF(B379="Sling Bullet (Stone)",ROUNDUP(D379*0.02*E379/'Ingredient stats'!$C$8,0),0)</f>
        <v>0</v>
      </c>
      <c r="AC379" t="str">
        <f t="shared" si="20"/>
        <v>None</v>
      </c>
      <c r="AD379" t="str">
        <f>IF(OR(B379="Buck",B379="Bird",B379="Charge (Scatter)"),'Ammo Input'!J379,"None")</f>
        <v>None</v>
      </c>
      <c r="AE379" t="str">
        <f>_xlfn.IFS(ISTEXT(Calcs!N379),Calcs!N379,Calcs!N379&lt;=40,Calcs!N379,Calcs!N379&gt;41,"40")</f>
        <v>None</v>
      </c>
      <c r="AF379" t="str">
        <f>_xlfn.IFS(ISTEXT(Calcs!O379),Calcs!O379,Calcs!O379&lt;=80,Calcs!O379,Calcs!O379&gt;=81,"80")</f>
        <v>None</v>
      </c>
      <c r="AG379" s="25">
        <f t="shared" si="21"/>
        <v>1</v>
      </c>
      <c r="AH379" s="25">
        <f t="shared" si="22"/>
        <v>2.02</v>
      </c>
      <c r="AI379" s="25">
        <f t="shared" si="23"/>
        <v>1</v>
      </c>
    </row>
    <row r="380" ht="14.4" spans="1:35">
      <c r="A380" s="24" t="str">
        <f>'Ammo Input'!A380</f>
        <v>7.62x39mm Soviet (Slow)</v>
      </c>
      <c r="B380" t="str">
        <f>'Ammo Input'!B380</f>
        <v>HP</v>
      </c>
      <c r="C380">
        <f>ROUNDUP(('Ammo Input'!C380*(MAX('Ammo Input'!D380,'Ammo Input'!F380)*0.5)^2*PI())*3/1000000,2)</f>
        <v>0.02</v>
      </c>
      <c r="D380">
        <f>ROUNDUP(('Ammo Input'!E380+'Ammo Input'!H380*IF('Ammo Input'!J380&lt;&gt;"",MAX('Ammo Input'!J380,1),1))/1000,3)</f>
        <v>0.017</v>
      </c>
      <c r="E380">
        <f>MIN(5000,MAX(25,CEILING(Calcs!L380,_xlfn.IFS(Calcs!L380&lt;100,25,Calcs!L380&lt;250,50,Calcs!L380&lt;1000,250,Calcs!L380&gt;=1000,1000))))</f>
        <v>5000</v>
      </c>
      <c r="F380">
        <f>ROUNDUP('Ammo Input'!G380^(3/4),0)</f>
        <v>123</v>
      </c>
      <c r="G380">
        <f>ROUND((0.5*((IF(OR(B380="HEAT",B380="HEDP"),'Ammo Input'!N380,'Ammo Input'!H380)/1000)*(IF(B380="HEAT",9000,IF(B380="HEDP",1500,'Ammo Input'!G380))^2))),0)</f>
        <v>1478</v>
      </c>
      <c r="H380" s="25" t="str">
        <f>CONCATENATE(IF((B380="Foam")+(B380="Smoke"),"-",ROUND(Calcs!D380,0))," ",VLOOKUP(B380,AmmoTypeFactors,5,FALSE))</f>
        <v>19 Bullet</v>
      </c>
      <c r="I380" s="25" t="str">
        <f>IF(Calcs!E380=0,"None",CONCATENATE(ROUND(Calcs!E380,0)," ",VLOOKUP(B380,AmmoTypeFactors,6,FALSE)))</f>
        <v>None</v>
      </c>
      <c r="J380">
        <f>MROUND(2.42*'Ammo Input'!M380^(1/3)*VLOOKUP(B380,AmmoTypeFactors,3,FALSE),0.5)</f>
        <v>0</v>
      </c>
      <c r="K380" s="25" t="str">
        <f>IF(VLOOKUP(B380,AmmoTypeFactors,12,FALSE),MROUND(J380/3,0.5),"None")</f>
        <v>None</v>
      </c>
      <c r="L380" s="25">
        <f>IF(VLOOKUP(B380,AmmoTypeFactors,8,FALSE),"None",ROUNDUP(IF(Calcs!I380&gt;0,Calcs!I380,Calcs!H380),3))</f>
        <v>29.56</v>
      </c>
      <c r="M380" s="25">
        <f>IF(VLOOKUP(B380,AmmoTypeFactors,8,FALSE),"None",'Ammo Input'!L380)</f>
        <v>2.5</v>
      </c>
      <c r="N380">
        <f>'Ammo Input'!O380</f>
        <v>500</v>
      </c>
      <c r="O380" t="e">
        <f>ROUND((P380*0.0036+SUMPRODUCT(Q380:AB380,VLOOKUP($Q$1:$AB$1,IngredientStats,2,FALSE)))/N380*IF('Ammo Input'!R380,0.5,1),2)</f>
        <v>#VALUE!</v>
      </c>
      <c r="P380" t="e">
        <f>(SUMPRODUCT(Q380:AB380,VLOOKUP($Q$1:$AB$1,IngredientStats,4,FALSE))*VLOOKUP(B380,AmmoTypeFactors,14,FALSE)*IF('Ammo Input'!R380,1.1,1))</f>
        <v>#VALUE!</v>
      </c>
      <c r="Q380">
        <f>IFERROR(__xludf.DUMMYFUNCTION("((IF(NOT(OR(REGEXMATCH(B376, ""Arrow""), B376 = ""Javelin"", B376 = ""Stick bomb"")), ROUNDUP(('Ammo Input'!E376 / 1000) * N376)) + IF(VLOOKUP(B376, AmmoTypeFactors, 9, FALSE) = ""Steel"", ROUNDUP(('Ammo Input'!H376 -'Ammo Input'!M376) * MAX(IF('Ammo Inpu"&amp;"t'!J376 &gt; 0, 'Ammo Input'!J376, 1), 1) * N376 / 1000))) / 'Ingredient stats'!$C$2) * IF(ISBLANK(VLOOKUP(B376,AmmoTypeFactors,15,False)),1,VLOOKUP(B376,AmmoTypeFactors,15,False))"),18)</f>
        <v>18</v>
      </c>
      <c r="R380">
        <f>IFERROR(__xludf.DUMMYFUNCTION("ROUNDUP((IF(REGEXMATCH(B376, ""Arrow"") + (B376 = ""Javelin""), 'Ammo Input'!E376) + IF(VLOOKUP(B376, AmmoTypeFactors, 9, FALSE) = ""Wood"", 'Ammo Input'!H376) + IF(B376 = ""Stick bomb"", 'Ammo Input'!E376)) * N376 / 'Ingredient stats'!$C$12 / 1000)"),0)</f>
        <v>0</v>
      </c>
      <c r="S380">
        <v>0</v>
      </c>
      <c r="T380">
        <v>0</v>
      </c>
      <c r="U380">
        <f>IF(VLOOKUP(B380,AmmoTypeFactors,9,FALSE)="Plasteel",ROUNDUP(('Ammo Input'!H380*MAX(IF('Ammo Input'!J380&gt;0,'Ammo Input'!J380,1)*N380/1000/'Ingredient stats'!$C$4)),0),0)</f>
        <v>0</v>
      </c>
      <c r="V380">
        <f>IFERROR(__xludf.DUMMYFUNCTION("ROUNDUP(IF(ISBLANK(VLOOKUP(B376,AmmoTypeFactors,16,False)),1,VLOOKUP(B376,AmmoTypeFactors,16,False)) * (IFS(REGEXMATCH(B376, ""EMP""), 'Ammo Input'!M376 * N376 / 'Ingredient stats'!$C$5, REGEXMATCH(B376, ""Charge""), (U376^0.75), true, 0) + (IF(VLOOKUP(B3"&amp;"76, AmmoTypeFactors, 10, false), 2,0) + IF('Ammo Input'!P376, 2,0) + IF('Ammo Input'!Q376,MIN(ROUNDUP(0.2*('Ammo Input'!H376/1000)*'Ammo Input'!O376,0),20),0))))"),0)</f>
        <v>0</v>
      </c>
      <c r="W380">
        <v>0</v>
      </c>
      <c r="X380">
        <v>0</v>
      </c>
      <c r="Y380">
        <v>0</v>
      </c>
      <c r="Z380">
        <v>0</v>
      </c>
      <c r="AA380">
        <v>0</v>
      </c>
      <c r="AB380" s="30">
        <f>IF(B380="Sling Bullet (Stone)",ROUNDUP(D380*0.02*E380/'Ingredient stats'!$C$8,0),0)</f>
        <v>0</v>
      </c>
      <c r="AC380" t="str">
        <f t="shared" si="20"/>
        <v>None</v>
      </c>
      <c r="AD380" t="str">
        <f>IF(OR(B380="Buck",B380="Bird",B380="Charge (Scatter)"),'Ammo Input'!J380,"None")</f>
        <v>None</v>
      </c>
      <c r="AE380" t="str">
        <f>_xlfn.IFS(ISTEXT(Calcs!N380),Calcs!N380,Calcs!N380&lt;=40,Calcs!N380,Calcs!N380&gt;41,"40")</f>
        <v>None</v>
      </c>
      <c r="AF380" t="str">
        <f>_xlfn.IFS(ISTEXT(Calcs!O380),Calcs!O380,Calcs!O380&lt;=80,Calcs!O380,Calcs!O380&gt;=81,"80")</f>
        <v>None</v>
      </c>
      <c r="AG380" s="25">
        <f t="shared" si="21"/>
        <v>1</v>
      </c>
      <c r="AH380" s="25">
        <f t="shared" si="22"/>
        <v>2.02</v>
      </c>
      <c r="AI380" s="25">
        <f t="shared" si="23"/>
        <v>1</v>
      </c>
    </row>
    <row r="381" ht="14.4" spans="1:35">
      <c r="A381" s="24" t="str">
        <f>'Ammo Input'!A381</f>
        <v>7.62x39mm Soviet (Slow)</v>
      </c>
      <c r="B381" t="str">
        <f>'Ammo Input'!B381</f>
        <v>AP-I</v>
      </c>
      <c r="C381">
        <f>ROUNDUP(('Ammo Input'!C381*(MAX('Ammo Input'!D381,'Ammo Input'!F381)*0.5)^2*PI())*3/1000000,2)</f>
        <v>0.02</v>
      </c>
      <c r="D381">
        <f>ROUNDUP(('Ammo Input'!E381+'Ammo Input'!H381*IF('Ammo Input'!J381&lt;&gt;"",MAX('Ammo Input'!J381,1),1))/1000,3)</f>
        <v>0.017</v>
      </c>
      <c r="E381">
        <f>MIN(5000,MAX(25,CEILING(Calcs!L381,_xlfn.IFS(Calcs!L381&lt;100,25,Calcs!L381&lt;250,50,Calcs!L381&lt;1000,250,Calcs!L381&gt;=1000,1000))))</f>
        <v>5000</v>
      </c>
      <c r="F381">
        <f>ROUNDUP('Ammo Input'!G381^(3/4),0)</f>
        <v>123</v>
      </c>
      <c r="G381">
        <f>ROUND((0.5*((IF(OR(B381="HEAT",B381="HEDP"),'Ammo Input'!N381,'Ammo Input'!H381)/1000)*(IF(B381="HEAT",9000,IF(B381="HEDP",1500,'Ammo Input'!G381))^2))),0)</f>
        <v>1478</v>
      </c>
      <c r="H381" s="25" t="str">
        <f>CONCATENATE(IF((B381="Foam")+(B381="Smoke"),"-",ROUND(Calcs!D381,0))," ",VLOOKUP(B381,AmmoTypeFactors,5,FALSE))</f>
        <v>9 Bullet</v>
      </c>
      <c r="I381" s="25" t="str">
        <f>IF(Calcs!E381=0,"None",CONCATENATE(ROUND(Calcs!E381,0)," ",VLOOKUP(B381,AmmoTypeFactors,6,FALSE)))</f>
        <v>5 Flame_Secondary</v>
      </c>
      <c r="J381">
        <f>MROUND(2.42*'Ammo Input'!M381^(1/3)*VLOOKUP(B381,AmmoTypeFactors,3,FALSE),0.5)</f>
        <v>0</v>
      </c>
      <c r="K381" s="25" t="str">
        <f>IF(VLOOKUP(B381,AmmoTypeFactors,12,FALSE),MROUND(J381/3,0.5),"None")</f>
        <v>None</v>
      </c>
      <c r="L381" s="25">
        <f>IF(VLOOKUP(B381,AmmoTypeFactors,8,FALSE),"None",ROUNDUP(IF(Calcs!I381&gt;0,Calcs!I381,Calcs!H381),3))</f>
        <v>29.56</v>
      </c>
      <c r="M381" s="25">
        <f>IF(VLOOKUP(B381,AmmoTypeFactors,8,FALSE),"None",'Ammo Input'!L381)</f>
        <v>9</v>
      </c>
      <c r="N381">
        <f>'Ammo Input'!O381</f>
        <v>500</v>
      </c>
      <c r="O381" t="e">
        <f>ROUND((P381*0.0036+SUMPRODUCT(Q381:AB381,VLOOKUP($Q$1:$AB$1,IngredientStats,2,FALSE)))/N381*IF('Ammo Input'!R381,0.5,1),2)</f>
        <v>#VALUE!</v>
      </c>
      <c r="P381" t="e">
        <f>(SUMPRODUCT(Q381:AB381,VLOOKUP($Q$1:$AB$1,IngredientStats,4,FALSE))*VLOOKUP(B381,AmmoTypeFactors,14,FALSE)*IF('Ammo Input'!R381,1.1,1))</f>
        <v>#VALUE!</v>
      </c>
      <c r="Q381">
        <f>IFERROR(__xludf.DUMMYFUNCTION("((IF(NOT(OR(REGEXMATCH(B377, ""Arrow""), B377 = ""Javelin"", B377 = ""Stick bomb"")), ROUNDUP(('Ammo Input'!E377 / 1000) * N377)) + IF(VLOOKUP(B377, AmmoTypeFactors, 9, FALSE) = ""Steel"", ROUNDUP(('Ammo Input'!H377 -'Ammo Input'!M377) * MAX(IF('Ammo Inpu"&amp;"t'!J377 &gt; 0, 'Ammo Input'!J377, 1), 1) * N377 / 1000))) / 'Ingredient stats'!$C$2) * IF(ISBLANK(VLOOKUP(B377,AmmoTypeFactors,15,False)),1,VLOOKUP(B377,AmmoTypeFactors,15,False))"),18)</f>
        <v>18</v>
      </c>
      <c r="R381">
        <f>IFERROR(__xludf.DUMMYFUNCTION("ROUNDUP((IF(REGEXMATCH(B377, ""Arrow"") + (B377 = ""Javelin""), 'Ammo Input'!E377) + IF(VLOOKUP(B377, AmmoTypeFactors, 9, FALSE) = ""Wood"", 'Ammo Input'!H377) + IF(B377 = ""Stick bomb"", 'Ammo Input'!E377)) * N377 / 'Ingredient stats'!$C$12 / 1000)"),0)</f>
        <v>0</v>
      </c>
      <c r="S381">
        <v>0</v>
      </c>
      <c r="T381">
        <v>0</v>
      </c>
      <c r="U381">
        <f>IF(VLOOKUP(B381,AmmoTypeFactors,9,FALSE)="Plasteel",ROUNDUP(('Ammo Input'!H381*MAX(IF('Ammo Input'!J381&gt;0,'Ammo Input'!J381,1)*N381/1000/'Ingredient stats'!$C$4)),0),0)</f>
        <v>0</v>
      </c>
      <c r="V381">
        <f>IFERROR(__xludf.DUMMYFUNCTION("ROUNDUP(IF(ISBLANK(VLOOKUP(B377,AmmoTypeFactors,16,False)),1,VLOOKUP(B377,AmmoTypeFactors,16,False)) * (IFS(REGEXMATCH(B377, ""EMP""), 'Ammo Input'!M377 * N377 / 'Ingredient stats'!$C$5, REGEXMATCH(B377, ""Charge""), (U377^0.75), true, 0) + (IF(VLOOKUP(B3"&amp;"77, AmmoTypeFactors, 10, false), 2,0) + IF('Ammo Input'!P377, 2,0) + IF('Ammo Input'!Q377,MIN(ROUNDUP(0.2*('Ammo Input'!H377/1000)*'Ammo Input'!O377,0),20),0))))"),0)</f>
        <v>0</v>
      </c>
      <c r="W381">
        <v>2</v>
      </c>
      <c r="X381">
        <v>0</v>
      </c>
      <c r="Y381">
        <v>0</v>
      </c>
      <c r="Z381">
        <v>0</v>
      </c>
      <c r="AA381">
        <v>0</v>
      </c>
      <c r="AB381" s="30">
        <f>IF(B381="Sling Bullet (Stone)",ROUNDUP(D381*0.02*E381/'Ingredient stats'!$C$8,0),0)</f>
        <v>0</v>
      </c>
      <c r="AC381" t="str">
        <f t="shared" si="20"/>
        <v>None</v>
      </c>
      <c r="AD381" t="str">
        <f>IF(OR(B381="Buck",B381="Bird",B381="Charge (Scatter)"),'Ammo Input'!J381,"None")</f>
        <v>None</v>
      </c>
      <c r="AE381" t="str">
        <f>_xlfn.IFS(ISTEXT(Calcs!N381),Calcs!N381,Calcs!N381&lt;=40,Calcs!N381,Calcs!N381&gt;41,"40")</f>
        <v>None</v>
      </c>
      <c r="AF381" t="str">
        <f>_xlfn.IFS(ISTEXT(Calcs!O381),Calcs!O381,Calcs!O381&lt;=80,Calcs!O381,Calcs!O381&gt;=81,"80")</f>
        <v>None</v>
      </c>
      <c r="AG381" s="25">
        <f t="shared" si="21"/>
        <v>1</v>
      </c>
      <c r="AH381" s="25">
        <f t="shared" si="22"/>
        <v>2.02</v>
      </c>
      <c r="AI381" s="25">
        <f t="shared" si="23"/>
        <v>1</v>
      </c>
    </row>
    <row r="382" ht="14.4" spans="1:35">
      <c r="A382" s="24" t="str">
        <f>'Ammo Input'!A382</f>
        <v>7.62x39mm Soviet (Slow)</v>
      </c>
      <c r="B382" t="str">
        <f>'Ammo Input'!B382</f>
        <v>AP-HE</v>
      </c>
      <c r="C382">
        <f>ROUNDUP(('Ammo Input'!C382*(MAX('Ammo Input'!D382,'Ammo Input'!F382)*0.5)^2*PI())*3/1000000,2)</f>
        <v>0.02</v>
      </c>
      <c r="D382">
        <f>ROUNDUP(('Ammo Input'!E382+'Ammo Input'!H382*IF('Ammo Input'!J382&lt;&gt;"",MAX('Ammo Input'!J382,1),1))/1000,3)</f>
        <v>0.017</v>
      </c>
      <c r="E382">
        <f>MIN(5000,MAX(25,CEILING(Calcs!L382,_xlfn.IFS(Calcs!L382&lt;100,25,Calcs!L382&lt;250,50,Calcs!L382&lt;1000,250,Calcs!L382&gt;=1000,1000))))</f>
        <v>5000</v>
      </c>
      <c r="F382">
        <f>ROUNDUP('Ammo Input'!G382^(3/4),0)</f>
        <v>123</v>
      </c>
      <c r="G382">
        <f>ROUND((0.5*((IF(OR(B382="HEAT",B382="HEDP"),'Ammo Input'!N382,'Ammo Input'!H382)/1000)*(IF(B382="HEAT",9000,IF(B382="HEDP",1500,'Ammo Input'!G382))^2))),0)</f>
        <v>1478</v>
      </c>
      <c r="H382" s="25" t="str">
        <f>CONCATENATE(IF((B382="Foam")+(B382="Smoke"),"-",ROUND(Calcs!D382,0))," ",VLOOKUP(B382,AmmoTypeFactors,5,FALSE))</f>
        <v>15 Bullet</v>
      </c>
      <c r="I382" s="25" t="str">
        <f>IF(Calcs!E382=0,"None",CONCATENATE(ROUND(Calcs!E382,0)," ",VLOOKUP(B382,AmmoTypeFactors,6,FALSE)))</f>
        <v>7 Bomb_Secondary</v>
      </c>
      <c r="J382">
        <f>MROUND(2.42*'Ammo Input'!M382^(1/3)*VLOOKUP(B382,AmmoTypeFactors,3,FALSE),0.5)</f>
        <v>0</v>
      </c>
      <c r="K382" s="25" t="str">
        <f>IF(VLOOKUP(B382,AmmoTypeFactors,12,FALSE),MROUND(J382/3,0.5),"None")</f>
        <v>None</v>
      </c>
      <c r="L382" s="25">
        <f>IF(VLOOKUP(B382,AmmoTypeFactors,8,FALSE),"None",ROUNDUP(IF(Calcs!I382&gt;0,Calcs!I382,Calcs!H382),3))</f>
        <v>29.56</v>
      </c>
      <c r="M382" s="25">
        <f>IF(VLOOKUP(B382,AmmoTypeFactors,8,FALSE),"None",'Ammo Input'!L382)</f>
        <v>2.9</v>
      </c>
      <c r="N382">
        <f>'Ammo Input'!O382</f>
        <v>500</v>
      </c>
      <c r="O382" t="e">
        <f>ROUND((P382*0.0036+SUMPRODUCT(Q382:AB382,VLOOKUP($Q$1:$AB$1,IngredientStats,2,FALSE)))/N382*IF('Ammo Input'!R382,0.5,1),2)</f>
        <v>#VALUE!</v>
      </c>
      <c r="P382" t="e">
        <f>(SUMPRODUCT(Q382:AB382,VLOOKUP($Q$1:$AB$1,IngredientStats,4,FALSE))*VLOOKUP(B382,AmmoTypeFactors,14,FALSE)*IF('Ammo Input'!R382,1.1,1))</f>
        <v>#VALUE!</v>
      </c>
      <c r="Q382">
        <f>IFERROR(__xludf.DUMMYFUNCTION("((IF(NOT(OR(REGEXMATCH(B378, ""Arrow""), B378 = ""Javelin"", B378 = ""Stick bomb"")), ROUNDUP(('Ammo Input'!E378 / 1000) * N378)) + IF(VLOOKUP(B378, AmmoTypeFactors, 9, FALSE) = ""Steel"", ROUNDUP(('Ammo Input'!H378 -'Ammo Input'!M378) * MAX(IF('Ammo Inpu"&amp;"t'!J378 &gt; 0, 'Ammo Input'!J378, 1), 1) * N378 / 1000))) / 'Ingredient stats'!$C$2) * IF(ISBLANK(VLOOKUP(B378,AmmoTypeFactors,15,False)),1,VLOOKUP(B378,AmmoTypeFactors,15,False))"),18)</f>
        <v>18</v>
      </c>
      <c r="R382">
        <f>IFERROR(__xludf.DUMMYFUNCTION("ROUNDUP((IF(REGEXMATCH(B378, ""Arrow"") + (B378 = ""Javelin""), 'Ammo Input'!E378) + IF(VLOOKUP(B378, AmmoTypeFactors, 9, FALSE) = ""Wood"", 'Ammo Input'!H378) + IF(B378 = ""Stick bomb"", 'Ammo Input'!E378)) * N378 / 'Ingredient stats'!$C$12 / 1000)"),0)</f>
        <v>0</v>
      </c>
      <c r="S382">
        <v>0</v>
      </c>
      <c r="T382">
        <v>0</v>
      </c>
      <c r="U382">
        <f>IF(VLOOKUP(B382,AmmoTypeFactors,9,FALSE)="Plasteel",ROUNDUP(('Ammo Input'!H382*MAX(IF('Ammo Input'!J382&gt;0,'Ammo Input'!J382,1)*N382/1000/'Ingredient stats'!$C$4)),0),0)</f>
        <v>0</v>
      </c>
      <c r="V382">
        <f>IFERROR(__xludf.DUMMYFUNCTION("ROUNDUP(IF(ISBLANK(VLOOKUP(B378,AmmoTypeFactors,16,False)),1,VLOOKUP(B378,AmmoTypeFactors,16,False)) * (IFS(REGEXMATCH(B378, ""EMP""), 'Ammo Input'!M378 * N378 / 'Ingredient stats'!$C$5, REGEXMATCH(B378, ""Charge""), (U378^0.75), true, 0) + (IF(VLOOKUP(B3"&amp;"78, AmmoTypeFactors, 10, false), 2,0) + IF('Ammo Input'!P378, 2,0) + IF('Ammo Input'!Q378,MIN(ROUNDUP(0.2*('Ammo Input'!H378/1000)*'Ammo Input'!O378,0),20),0))))"),0)</f>
        <v>0</v>
      </c>
      <c r="W382">
        <v>0</v>
      </c>
      <c r="X382">
        <v>5</v>
      </c>
      <c r="Y382">
        <v>0</v>
      </c>
      <c r="Z382">
        <v>0</v>
      </c>
      <c r="AA382">
        <v>0</v>
      </c>
      <c r="AB382" s="30">
        <f>IF(B382="Sling Bullet (Stone)",ROUNDUP(D382*0.02*E382/'Ingredient stats'!$C$8,0),0)</f>
        <v>0</v>
      </c>
      <c r="AC382" t="str">
        <f t="shared" si="20"/>
        <v>None</v>
      </c>
      <c r="AD382" t="str">
        <f>IF(OR(B382="Buck",B382="Bird",B382="Charge (Scatter)"),'Ammo Input'!J382,"None")</f>
        <v>None</v>
      </c>
      <c r="AE382" t="str">
        <f>_xlfn.IFS(ISTEXT(Calcs!N382),Calcs!N382,Calcs!N382&lt;=40,Calcs!N382,Calcs!N382&gt;41,"40")</f>
        <v>None</v>
      </c>
      <c r="AF382" t="str">
        <f>_xlfn.IFS(ISTEXT(Calcs!O382),Calcs!O382,Calcs!O382&lt;=80,Calcs!O382,Calcs!O382&gt;=81,"80")</f>
        <v>None</v>
      </c>
      <c r="AG382" s="25">
        <f t="shared" si="21"/>
        <v>1</v>
      </c>
      <c r="AH382" s="25">
        <f t="shared" si="22"/>
        <v>2.02</v>
      </c>
      <c r="AI382" s="25">
        <f t="shared" si="23"/>
        <v>1</v>
      </c>
    </row>
    <row r="383" ht="14.4" spans="1:35">
      <c r="A383" s="24" t="str">
        <f>'Ammo Input'!A383</f>
        <v>7.62x39mm Soviet (Slow)</v>
      </c>
      <c r="B383" t="str">
        <f>'Ammo Input'!B383</f>
        <v>Sabot</v>
      </c>
      <c r="C383">
        <f>ROUNDUP(('Ammo Input'!C383*(MAX('Ammo Input'!D383,'Ammo Input'!F383)*0.5)^2*PI())*3/1000000,2)</f>
        <v>0.02</v>
      </c>
      <c r="D383">
        <f>ROUNDUP(('Ammo Input'!E383+'Ammo Input'!H383*IF('Ammo Input'!J383&lt;&gt;"",MAX('Ammo Input'!J383,1),1))/1000,3)</f>
        <v>0.013</v>
      </c>
      <c r="E383">
        <f>MIN(5000,MAX(25,CEILING(Calcs!L383,_xlfn.IFS(Calcs!L383&lt;100,25,Calcs!L383&lt;250,50,Calcs!L383&lt;1000,250,Calcs!L383&gt;=1000,1000))))</f>
        <v>5000</v>
      </c>
      <c r="F383">
        <f>ROUNDUP('Ammo Input'!G383^(3/4),0)</f>
        <v>167</v>
      </c>
      <c r="G383">
        <f>ROUND((0.5*((IF(OR(B383="HEAT",B383="HEDP"),'Ammo Input'!N383,'Ammo Input'!H383)/1000)*(IF(B383="HEAT",9000,IF(B383="HEDP",1500,'Ammo Input'!G383))^2))),0)</f>
        <v>1917</v>
      </c>
      <c r="H383" s="25" t="str">
        <f>CONCATENATE(IF((B383="Foam")+(B383="Smoke"),"-",ROUND(Calcs!D383,0))," ",VLOOKUP(B383,AmmoTypeFactors,5,FALSE))</f>
        <v>7 Bullet</v>
      </c>
      <c r="I383" s="25" t="str">
        <f>IF(Calcs!E383=0,"None",CONCATENATE(ROUND(Calcs!E383,0)," ",VLOOKUP(B383,AmmoTypeFactors,6,FALSE)))</f>
        <v>None</v>
      </c>
      <c r="J383">
        <f>MROUND(2.42*'Ammo Input'!M383^(1/3)*VLOOKUP(B383,AmmoTypeFactors,3,FALSE),0.5)</f>
        <v>0</v>
      </c>
      <c r="K383" s="25" t="str">
        <f>IF(VLOOKUP(B383,AmmoTypeFactors,12,FALSE),MROUND(J383/3,0.5),"None")</f>
        <v>None</v>
      </c>
      <c r="L383" s="25">
        <f>IF(VLOOKUP(B383,AmmoTypeFactors,8,FALSE),"None",ROUNDUP(IF(Calcs!I383&gt;0,Calcs!I383,Calcs!H383),3))</f>
        <v>38.34</v>
      </c>
      <c r="M383" s="25">
        <f>IF(VLOOKUP(B383,AmmoTypeFactors,8,FALSE),"None",'Ammo Input'!L383)</f>
        <v>15.75</v>
      </c>
      <c r="N383">
        <f>'Ammo Input'!O383</f>
        <v>500</v>
      </c>
      <c r="O383" t="e">
        <f>ROUND((P383*0.0036+SUMPRODUCT(Q383:AB383,VLOOKUP($Q$1:$AB$1,IngredientStats,2,FALSE)))/N383*IF('Ammo Input'!R383,0.5,1),2)</f>
        <v>#VALUE!</v>
      </c>
      <c r="P383" t="e">
        <f>(SUMPRODUCT(Q383:AB383,VLOOKUP($Q$1:$AB$1,IngredientStats,4,FALSE))*VLOOKUP(B383,AmmoTypeFactors,14,FALSE)*IF('Ammo Input'!R383,1.1,1))</f>
        <v>#VALUE!</v>
      </c>
      <c r="Q383">
        <f>IFERROR(__xludf.DUMMYFUNCTION("((IF(NOT(OR(REGEXMATCH(B379, ""Arrow""), B379 = ""Javelin"", B379 = ""Stick bomb"")), ROUNDUP(('Ammo Input'!E379 / 1000) * N379)) + IF(VLOOKUP(B379, AmmoTypeFactors, 9, FALSE) = ""Steel"", ROUNDUP(('Ammo Input'!H379 -'Ammo Input'!M379) * MAX(IF('Ammo Inpu"&amp;"t'!J379 &gt; 0, 'Ammo Input'!J379, 1), 1) * N379 / 1000))) / 'Ingredient stats'!$C$2) * IF(ISBLANK(VLOOKUP(B379,AmmoTypeFactors,15,False)),1,VLOOKUP(B379,AmmoTypeFactors,15,False))"),10)</f>
        <v>10</v>
      </c>
      <c r="R383">
        <f>IFERROR(__xludf.DUMMYFUNCTION("ROUNDUP((IF(REGEXMATCH(B379, ""Arrow"") + (B379 = ""Javelin""), 'Ammo Input'!E379) + IF(VLOOKUP(B379, AmmoTypeFactors, 9, FALSE) = ""Wood"", 'Ammo Input'!H379) + IF(B379 = ""Stick bomb"", 'Ammo Input'!E379)) * N379 / 'Ingredient stats'!$C$12 / 1000)"),0)</f>
        <v>0</v>
      </c>
      <c r="S383">
        <v>3</v>
      </c>
      <c r="T383">
        <v>3</v>
      </c>
      <c r="U383">
        <f>IF(VLOOKUP(B383,AmmoTypeFactors,9,FALSE)="Plasteel",ROUNDUP(('Ammo Input'!H383*MAX(IF('Ammo Input'!J383&gt;0,'Ammo Input'!J383,1)*N383/1000/'Ingredient stats'!$C$4)),0),0)</f>
        <v>0</v>
      </c>
      <c r="V383">
        <f>IFERROR(__xludf.DUMMYFUNCTION("ROUNDUP(IF(ISBLANK(VLOOKUP(B379,AmmoTypeFactors,16,False)),1,VLOOKUP(B379,AmmoTypeFactors,16,False)) * (IFS(REGEXMATCH(B379, ""EMP""), 'Ammo Input'!M379 * N379 / 'Ingredient stats'!$C$5, REGEXMATCH(B379, ""Charge""), (U379^0.75), true, 0) + (IF(VLOOKUP(B3"&amp;"79, AmmoTypeFactors, 10, false), 2,0) + IF('Ammo Input'!P379, 2,0) + IF('Ammo Input'!Q379,MIN(ROUNDUP(0.2*('Ammo Input'!H379/1000)*'Ammo Input'!O379,0),20),0))))"),0)</f>
        <v>0</v>
      </c>
      <c r="W383">
        <v>0</v>
      </c>
      <c r="X383">
        <v>0</v>
      </c>
      <c r="Y383">
        <v>0</v>
      </c>
      <c r="Z383">
        <v>0</v>
      </c>
      <c r="AA383">
        <v>0</v>
      </c>
      <c r="AB383" s="30">
        <f>IF(B383="Sling Bullet (Stone)",ROUNDUP(D383*0.02*E383/'Ingredient stats'!$C$8,0),0)</f>
        <v>0</v>
      </c>
      <c r="AC383" t="str">
        <f t="shared" si="20"/>
        <v>None</v>
      </c>
      <c r="AD383" t="str">
        <f>IF(OR(B383="Buck",B383="Bird",B383="Charge (Scatter)"),'Ammo Input'!J383,"None")</f>
        <v>None</v>
      </c>
      <c r="AE383" t="str">
        <f>_xlfn.IFS(ISTEXT(Calcs!N383),Calcs!N383,Calcs!N383&lt;=40,Calcs!N383,Calcs!N383&gt;41,"40")</f>
        <v>None</v>
      </c>
      <c r="AF383" t="str">
        <f>_xlfn.IFS(ISTEXT(Calcs!O383),Calcs!O383,Calcs!O383&lt;=80,Calcs!O383,Calcs!O383&gt;=81,"80")</f>
        <v>None</v>
      </c>
      <c r="AG383" s="25">
        <f t="shared" si="21"/>
        <v>1</v>
      </c>
      <c r="AH383" s="25">
        <f t="shared" si="22"/>
        <v>2.74</v>
      </c>
      <c r="AI383" s="25">
        <f t="shared" si="23"/>
        <v>1</v>
      </c>
    </row>
    <row r="384" ht="14.4" spans="1:35">
      <c r="A384" s="24" t="str">
        <f>'Ammo Input'!A384</f>
        <v>4.85x49mm</v>
      </c>
      <c r="B384" t="str">
        <f>'Ammo Input'!B384</f>
        <v>FMJ</v>
      </c>
      <c r="C384">
        <f>ROUNDUP(('Ammo Input'!C384*(MAX('Ammo Input'!D384,'Ammo Input'!F384)*0.5)^2*PI())*3/1000000,2)</f>
        <v>0.02</v>
      </c>
      <c r="D384">
        <f>ROUNDUP(('Ammo Input'!E384+'Ammo Input'!H384*IF('Ammo Input'!J384&lt;&gt;"",MAX('Ammo Input'!J384,1),1))/1000,3)</f>
        <v>0.012</v>
      </c>
      <c r="E384">
        <f>MIN(5000,MAX(25,CEILING(Calcs!L384,_xlfn.IFS(Calcs!L384&lt;100,25,Calcs!L384&lt;250,50,Calcs!L384&lt;1000,250,Calcs!L384&gt;=1000,1000))))</f>
        <v>5000</v>
      </c>
      <c r="F384">
        <f>ROUNDUP('Ammo Input'!G384^(3/4),0)</f>
        <v>171</v>
      </c>
      <c r="G384">
        <f>ROUND((0.5*((IF(OR(B384="HEAT",B384="HEDP"),'Ammo Input'!N384,'Ammo Input'!H384)/1000)*(IF(B384="HEAT",9000,IF(B384="HEDP",1500,'Ammo Input'!G384))^2))),0)</f>
        <v>1603</v>
      </c>
      <c r="H384" s="25" t="str">
        <f>CONCATENATE(IF((B384="Foam")+(B384="Smoke"),"-",ROUND(Calcs!D384,0))," ",VLOOKUP(B384,AmmoTypeFactors,5,FALSE))</f>
        <v>13 Bullet</v>
      </c>
      <c r="I384" s="25" t="str">
        <f>IF(Calcs!E384=0,"None",CONCATENATE(ROUND(Calcs!E384,0)," ",VLOOKUP(B384,AmmoTypeFactors,6,FALSE)))</f>
        <v>None</v>
      </c>
      <c r="J384">
        <f>MROUND(2.42*'Ammo Input'!M384^(1/3)*VLOOKUP(B384,AmmoTypeFactors,3,FALSE),0.5)</f>
        <v>0</v>
      </c>
      <c r="K384" s="25" t="str">
        <f>IF(VLOOKUP(B384,AmmoTypeFactors,12,FALSE),MROUND(J384/3,0.5),"None")</f>
        <v>None</v>
      </c>
      <c r="L384" s="25">
        <f>IF(VLOOKUP(B384,AmmoTypeFactors,8,FALSE),"None",ROUNDUP(IF(Calcs!I384&gt;0,Calcs!I384,Calcs!H384),3))</f>
        <v>32.06</v>
      </c>
      <c r="M384" s="25">
        <f>IF(VLOOKUP(B384,AmmoTypeFactors,8,FALSE),"None",'Ammo Input'!L384)</f>
        <v>6</v>
      </c>
      <c r="N384">
        <f>'Ammo Input'!O384</f>
        <v>500</v>
      </c>
      <c r="O384" t="e">
        <f>ROUND((P384*0.0036+SUMPRODUCT(Q384:AB384,VLOOKUP($Q$1:$AB$1,IngredientStats,2,FALSE)))/N384*IF('Ammo Input'!R384,0.5,1),2)</f>
        <v>#VALUE!</v>
      </c>
      <c r="P384" t="e">
        <f>(SUMPRODUCT(Q384:AB384,VLOOKUP($Q$1:$AB$1,IngredientStats,4,FALSE))*VLOOKUP(B384,AmmoTypeFactors,14,FALSE)*IF('Ammo Input'!R384,1.1,1))</f>
        <v>#VALUE!</v>
      </c>
      <c r="Q384">
        <f>IFERROR(__xludf.DUMMYFUNCTION("((IF(NOT(OR(REGEXMATCH(B380, ""Arrow""), B380 = ""Javelin"", B380 = ""Stick bomb"")), ROUNDUP(('Ammo Input'!E380 / 1000) * N380)) + IF(VLOOKUP(B380, AmmoTypeFactors, 9, FALSE) = ""Steel"", ROUNDUP(('Ammo Input'!H380 -'Ammo Input'!M380) * MAX(IF('Ammo Inpu"&amp;"t'!J380 &gt; 0, 'Ammo Input'!J380, 1), 1) * N380 / 1000))) / 'Ingredient stats'!$C$2) * IF(ISBLANK(VLOOKUP(B380,AmmoTypeFactors,15,False)),1,VLOOKUP(B380,AmmoTypeFactors,15,False))"),12)</f>
        <v>12</v>
      </c>
      <c r="R384">
        <f>IFERROR(__xludf.DUMMYFUNCTION("ROUNDUP((IF(REGEXMATCH(B380, ""Arrow"") + (B380 = ""Javelin""), 'Ammo Input'!E380) + IF(VLOOKUP(B380, AmmoTypeFactors, 9, FALSE) = ""Wood"", 'Ammo Input'!H380) + IF(B380 = ""Stick bomb"", 'Ammo Input'!E380)) * N380 / 'Ingredient stats'!$C$12 / 1000)"),0)</f>
        <v>0</v>
      </c>
      <c r="S384">
        <v>0</v>
      </c>
      <c r="T384">
        <v>0</v>
      </c>
      <c r="U384">
        <f>IF(VLOOKUP(B384,AmmoTypeFactors,9,FALSE)="Plasteel",ROUNDUP(('Ammo Input'!H384*MAX(IF('Ammo Input'!J384&gt;0,'Ammo Input'!J384,1)*N384/1000/'Ingredient stats'!$C$4)),0),0)</f>
        <v>0</v>
      </c>
      <c r="V384">
        <f>IFERROR(__xludf.DUMMYFUNCTION("ROUNDUP(IF(ISBLANK(VLOOKUP(B380,AmmoTypeFactors,16,False)),1,VLOOKUP(B380,AmmoTypeFactors,16,False)) * (IFS(REGEXMATCH(B380, ""EMP""), 'Ammo Input'!M380 * N380 / 'Ingredient stats'!$C$5, REGEXMATCH(B380, ""Charge""), (U380^0.75), true, 0) + (IF(VLOOKUP(B3"&amp;"80, AmmoTypeFactors, 10, false), 2,0) + IF('Ammo Input'!P380, 2,0) + IF('Ammo Input'!Q380,MIN(ROUNDUP(0.2*('Ammo Input'!H380/1000)*'Ammo Input'!O380,0),20),0))))"),0)</f>
        <v>0</v>
      </c>
      <c r="W384">
        <v>0</v>
      </c>
      <c r="X384">
        <v>0</v>
      </c>
      <c r="Y384">
        <v>0</v>
      </c>
      <c r="Z384">
        <v>0</v>
      </c>
      <c r="AA384">
        <v>0</v>
      </c>
      <c r="AB384" s="30">
        <f>IF(B384="Sling Bullet (Stone)",ROUNDUP(D384*0.02*E384/'Ingredient stats'!$C$8,0),0)</f>
        <v>0</v>
      </c>
      <c r="AC384" t="str">
        <f t="shared" si="20"/>
        <v>None</v>
      </c>
      <c r="AD384" t="str">
        <f>IF(OR(B384="Buck",B384="Bird",B384="Charge (Scatter)"),'Ammo Input'!J384,"None")</f>
        <v>None</v>
      </c>
      <c r="AE384" t="str">
        <f>_xlfn.IFS(ISTEXT(Calcs!N384),Calcs!N384,Calcs!N384&lt;=40,Calcs!N384,Calcs!N384&gt;41,"40")</f>
        <v>None</v>
      </c>
      <c r="AF384" t="str">
        <f>_xlfn.IFS(ISTEXT(Calcs!O384),Calcs!O384,Calcs!O384&lt;=80,Calcs!O384,Calcs!O384&gt;=81,"80")</f>
        <v>None</v>
      </c>
      <c r="AG384" s="25">
        <f t="shared" si="21"/>
        <v>1</v>
      </c>
      <c r="AH384" s="25">
        <f t="shared" si="22"/>
        <v>2.78</v>
      </c>
      <c r="AI384" s="25">
        <f t="shared" si="23"/>
        <v>1</v>
      </c>
    </row>
    <row r="385" ht="14.4" spans="1:35">
      <c r="A385" s="24" t="str">
        <f>'Ammo Input'!A385</f>
        <v>4.85x49mm</v>
      </c>
      <c r="B385" t="str">
        <f>'Ammo Input'!B385</f>
        <v>AP</v>
      </c>
      <c r="C385">
        <f>ROUNDUP(('Ammo Input'!C385*(MAX('Ammo Input'!D385,'Ammo Input'!F385)*0.5)^2*PI())*3/1000000,2)</f>
        <v>0.02</v>
      </c>
      <c r="D385">
        <f>ROUNDUP(('Ammo Input'!E385+'Ammo Input'!H385*IF('Ammo Input'!J385&lt;&gt;"",MAX('Ammo Input'!J385,1),1))/1000,3)</f>
        <v>0.012</v>
      </c>
      <c r="E385">
        <f>MIN(5000,MAX(25,CEILING(Calcs!L385,_xlfn.IFS(Calcs!L385&lt;100,25,Calcs!L385&lt;250,50,Calcs!L385&lt;1000,250,Calcs!L385&gt;=1000,1000))))</f>
        <v>5000</v>
      </c>
      <c r="F385">
        <f>ROUNDUP('Ammo Input'!G385^(3/4),0)</f>
        <v>171</v>
      </c>
      <c r="G385">
        <f>ROUND((0.5*((IF(OR(B385="HEAT",B385="HEDP"),'Ammo Input'!N385,'Ammo Input'!H385)/1000)*(IF(B385="HEAT",9000,IF(B385="HEDP",1500,'Ammo Input'!G385))^2))),0)</f>
        <v>1603</v>
      </c>
      <c r="H385" s="25" t="str">
        <f>CONCATENATE(IF((B385="Foam")+(B385="Smoke"),"-",ROUND(Calcs!D385,0))," ",VLOOKUP(B385,AmmoTypeFactors,5,FALSE))</f>
        <v>8 Bullet</v>
      </c>
      <c r="I385" s="25" t="str">
        <f>IF(Calcs!E385=0,"None",CONCATENATE(ROUND(Calcs!E385,0)," ",VLOOKUP(B385,AmmoTypeFactors,6,FALSE)))</f>
        <v>None</v>
      </c>
      <c r="J385">
        <f>MROUND(2.42*'Ammo Input'!M385^(1/3)*VLOOKUP(B385,AmmoTypeFactors,3,FALSE),0.5)</f>
        <v>0</v>
      </c>
      <c r="K385" s="25" t="str">
        <f>IF(VLOOKUP(B385,AmmoTypeFactors,12,FALSE),MROUND(J385/3,0.5),"None")</f>
        <v>None</v>
      </c>
      <c r="L385" s="25">
        <f>IF(VLOOKUP(B385,AmmoTypeFactors,8,FALSE),"None",ROUNDUP(IF(Calcs!I385&gt;0,Calcs!I385,Calcs!H385),3))</f>
        <v>32.06</v>
      </c>
      <c r="M385" s="25">
        <f>IF(VLOOKUP(B385,AmmoTypeFactors,8,FALSE),"None",'Ammo Input'!L385)</f>
        <v>12</v>
      </c>
      <c r="N385">
        <f>'Ammo Input'!O385</f>
        <v>500</v>
      </c>
      <c r="O385" t="e">
        <f>ROUND((P385*0.0036+SUMPRODUCT(Q385:AB385,VLOOKUP($Q$1:$AB$1,IngredientStats,2,FALSE)))/N385*IF('Ammo Input'!R385,0.5,1),2)</f>
        <v>#VALUE!</v>
      </c>
      <c r="P385" t="e">
        <f>(SUMPRODUCT(Q385:AB385,VLOOKUP($Q$1:$AB$1,IngredientStats,4,FALSE))*VLOOKUP(B385,AmmoTypeFactors,14,FALSE)*IF('Ammo Input'!R385,1.1,1))</f>
        <v>#VALUE!</v>
      </c>
      <c r="Q385">
        <f>IFERROR(__xludf.DUMMYFUNCTION("((IF(NOT(OR(REGEXMATCH(B381, ""Arrow""), B381 = ""Javelin"", B381 = ""Stick bomb"")), ROUNDUP(('Ammo Input'!E381 / 1000) * N381)) + IF(VLOOKUP(B381, AmmoTypeFactors, 9, FALSE) = ""Steel"", ROUNDUP(('Ammo Input'!H381 -'Ammo Input'!M381) * MAX(IF('Ammo Inpu"&amp;"t'!J381 &gt; 0, 'Ammo Input'!J381, 1), 1) * N381 / 1000))) / 'Ingredient stats'!$C$2) * IF(ISBLANK(VLOOKUP(B381,AmmoTypeFactors,15,False)),1,VLOOKUP(B381,AmmoTypeFactors,15,False))"),12)</f>
        <v>12</v>
      </c>
      <c r="R385">
        <f>IFERROR(__xludf.DUMMYFUNCTION("ROUNDUP((IF(REGEXMATCH(B381, ""Arrow"") + (B381 = ""Javelin""), 'Ammo Input'!E381) + IF(VLOOKUP(B381, AmmoTypeFactors, 9, FALSE) = ""Wood"", 'Ammo Input'!H381) + IF(B381 = ""Stick bomb"", 'Ammo Input'!E381)) * N381 / 'Ingredient stats'!$C$12 / 1000)"),0)</f>
        <v>0</v>
      </c>
      <c r="S385">
        <v>0</v>
      </c>
      <c r="T385">
        <v>0</v>
      </c>
      <c r="U385">
        <f>IF(VLOOKUP(B385,AmmoTypeFactors,9,FALSE)="Plasteel",ROUNDUP(('Ammo Input'!H385*MAX(IF('Ammo Input'!J385&gt;0,'Ammo Input'!J385,1)*N385/1000/'Ingredient stats'!$C$4)),0),0)</f>
        <v>0</v>
      </c>
      <c r="V385">
        <f>IFERROR(__xludf.DUMMYFUNCTION("ROUNDUP(IF(ISBLANK(VLOOKUP(B381,AmmoTypeFactors,16,False)),1,VLOOKUP(B381,AmmoTypeFactors,16,False)) * (IFS(REGEXMATCH(B381, ""EMP""), 'Ammo Input'!M381 * N381 / 'Ingredient stats'!$C$5, REGEXMATCH(B381, ""Charge""), (U381^0.75), true, 0) + (IF(VLOOKUP(B3"&amp;"81, AmmoTypeFactors, 10, false), 2,0) + IF('Ammo Input'!P381, 2,0) + IF('Ammo Input'!Q381,MIN(ROUNDUP(0.2*('Ammo Input'!H381/1000)*'Ammo Input'!O381,0),20),0))))"),0)</f>
        <v>0</v>
      </c>
      <c r="W385">
        <v>0</v>
      </c>
      <c r="X385">
        <v>0</v>
      </c>
      <c r="Y385">
        <v>0</v>
      </c>
      <c r="Z385">
        <v>0</v>
      </c>
      <c r="AA385">
        <v>0</v>
      </c>
      <c r="AB385" s="30">
        <f>IF(B385="Sling Bullet (Stone)",ROUNDUP(D385*0.02*E385/'Ingredient stats'!$C$8,0),0)</f>
        <v>0</v>
      </c>
      <c r="AC385" t="str">
        <f t="shared" si="20"/>
        <v>None</v>
      </c>
      <c r="AD385" t="str">
        <f>IF(OR(B385="Buck",B385="Bird",B385="Charge (Scatter)"),'Ammo Input'!J385,"None")</f>
        <v>None</v>
      </c>
      <c r="AE385" t="str">
        <f>_xlfn.IFS(ISTEXT(Calcs!N385),Calcs!N385,Calcs!N385&lt;=40,Calcs!N385,Calcs!N385&gt;41,"40")</f>
        <v>None</v>
      </c>
      <c r="AF385" t="str">
        <f>_xlfn.IFS(ISTEXT(Calcs!O385),Calcs!O385,Calcs!O385&lt;=80,Calcs!O385,Calcs!O385&gt;=81,"80")</f>
        <v>None</v>
      </c>
      <c r="AG385" s="25">
        <f t="shared" si="21"/>
        <v>1</v>
      </c>
      <c r="AH385" s="25">
        <f t="shared" si="22"/>
        <v>2.78</v>
      </c>
      <c r="AI385" s="25">
        <f t="shared" si="23"/>
        <v>1</v>
      </c>
    </row>
    <row r="386" ht="14.4" spans="1:35">
      <c r="A386" s="24" t="str">
        <f>'Ammo Input'!A386</f>
        <v>4.85x49mm</v>
      </c>
      <c r="B386" t="str">
        <f>'Ammo Input'!B386</f>
        <v>HP</v>
      </c>
      <c r="C386">
        <f>ROUNDUP(('Ammo Input'!C386*(MAX('Ammo Input'!D386,'Ammo Input'!F386)*0.5)^2*PI())*3/1000000,2)</f>
        <v>0.02</v>
      </c>
      <c r="D386">
        <f>ROUNDUP(('Ammo Input'!E386+'Ammo Input'!H386*IF('Ammo Input'!J386&lt;&gt;"",MAX('Ammo Input'!J386,1),1))/1000,3)</f>
        <v>0.012</v>
      </c>
      <c r="E386">
        <f>MIN(5000,MAX(25,CEILING(Calcs!L386,_xlfn.IFS(Calcs!L386&lt;100,25,Calcs!L386&lt;250,50,Calcs!L386&lt;1000,250,Calcs!L386&gt;=1000,1000))))</f>
        <v>5000</v>
      </c>
      <c r="F386">
        <f>ROUNDUP('Ammo Input'!G386^(3/4),0)</f>
        <v>171</v>
      </c>
      <c r="G386">
        <f>ROUND((0.5*((IF(OR(B386="HEAT",B386="HEDP"),'Ammo Input'!N386,'Ammo Input'!H386)/1000)*(IF(B386="HEAT",9000,IF(B386="HEDP",1500,'Ammo Input'!G386))^2))),0)</f>
        <v>1603</v>
      </c>
      <c r="H386" s="25" t="str">
        <f>CONCATENATE(IF((B386="Foam")+(B386="Smoke"),"-",ROUND(Calcs!D386,0))," ",VLOOKUP(B386,AmmoTypeFactors,5,FALSE))</f>
        <v>17 Bullet</v>
      </c>
      <c r="I386" s="25" t="str">
        <f>IF(Calcs!E386=0,"None",CONCATENATE(ROUND(Calcs!E386,0)," ",VLOOKUP(B386,AmmoTypeFactors,6,FALSE)))</f>
        <v>None</v>
      </c>
      <c r="J386">
        <f>MROUND(2.42*'Ammo Input'!M386^(1/3)*VLOOKUP(B386,AmmoTypeFactors,3,FALSE),0.5)</f>
        <v>0</v>
      </c>
      <c r="K386" s="25" t="str">
        <f>IF(VLOOKUP(B386,AmmoTypeFactors,12,FALSE),MROUND(J386/3,0.5),"None")</f>
        <v>None</v>
      </c>
      <c r="L386" s="25">
        <f>IF(VLOOKUP(B386,AmmoTypeFactors,8,FALSE),"None",ROUNDUP(IF(Calcs!I386&gt;0,Calcs!I386,Calcs!H386),3))</f>
        <v>32.06</v>
      </c>
      <c r="M386" s="25">
        <f>IF(VLOOKUP(B386,AmmoTypeFactors,8,FALSE),"None",'Ammo Input'!L386)</f>
        <v>3</v>
      </c>
      <c r="N386">
        <f>'Ammo Input'!O386</f>
        <v>500</v>
      </c>
      <c r="O386" t="e">
        <f>ROUND((P386*0.0036+SUMPRODUCT(Q386:AB386,VLOOKUP($Q$1:$AB$1,IngredientStats,2,FALSE)))/N386*IF('Ammo Input'!R386,0.5,1),2)</f>
        <v>#VALUE!</v>
      </c>
      <c r="P386" t="e">
        <f>(SUMPRODUCT(Q386:AB386,VLOOKUP($Q$1:$AB$1,IngredientStats,4,FALSE))*VLOOKUP(B386,AmmoTypeFactors,14,FALSE)*IF('Ammo Input'!R386,1.1,1))</f>
        <v>#VALUE!</v>
      </c>
      <c r="Q386">
        <f>IFERROR(__xludf.DUMMYFUNCTION("((IF(NOT(OR(REGEXMATCH(B382, ""Arrow""), B382 = ""Javelin"", B382 = ""Stick bomb"")), ROUNDUP(('Ammo Input'!E382 / 1000) * N382)) + IF(VLOOKUP(B382, AmmoTypeFactors, 9, FALSE) = ""Steel"", ROUNDUP(('Ammo Input'!H382 -'Ammo Input'!M382) * MAX(IF('Ammo Inpu"&amp;"t'!J382 &gt; 0, 'Ammo Input'!J382, 1), 1) * N382 / 1000))) / 'Ingredient stats'!$C$2) * IF(ISBLANK(VLOOKUP(B382,AmmoTypeFactors,15,False)),1,VLOOKUP(B382,AmmoTypeFactors,15,False))"),12)</f>
        <v>12</v>
      </c>
      <c r="R386">
        <f>IFERROR(__xludf.DUMMYFUNCTION("ROUNDUP((IF(REGEXMATCH(B382, ""Arrow"") + (B382 = ""Javelin""), 'Ammo Input'!E382) + IF(VLOOKUP(B382, AmmoTypeFactors, 9, FALSE) = ""Wood"", 'Ammo Input'!H382) + IF(B382 = ""Stick bomb"", 'Ammo Input'!E382)) * N382 / 'Ingredient stats'!$C$12 / 1000)"),0)</f>
        <v>0</v>
      </c>
      <c r="S386">
        <v>0</v>
      </c>
      <c r="T386">
        <v>0</v>
      </c>
      <c r="U386">
        <f>IF(VLOOKUP(B386,AmmoTypeFactors,9,FALSE)="Plasteel",ROUNDUP(('Ammo Input'!H386*MAX(IF('Ammo Input'!J386&gt;0,'Ammo Input'!J386,1)*N386/1000/'Ingredient stats'!$C$4)),0),0)</f>
        <v>0</v>
      </c>
      <c r="V386">
        <f>IFERROR(__xludf.DUMMYFUNCTION("ROUNDUP(IF(ISBLANK(VLOOKUP(B382,AmmoTypeFactors,16,False)),1,VLOOKUP(B382,AmmoTypeFactors,16,False)) * (IFS(REGEXMATCH(B382, ""EMP""), 'Ammo Input'!M382 * N382 / 'Ingredient stats'!$C$5, REGEXMATCH(B382, ""Charge""), (U382^0.75), true, 0) + (IF(VLOOKUP(B3"&amp;"82, AmmoTypeFactors, 10, false), 2,0) + IF('Ammo Input'!P382, 2,0) + IF('Ammo Input'!Q382,MIN(ROUNDUP(0.2*('Ammo Input'!H382/1000)*'Ammo Input'!O382,0),20),0))))"),0)</f>
        <v>0</v>
      </c>
      <c r="W386">
        <v>0</v>
      </c>
      <c r="X386">
        <v>0</v>
      </c>
      <c r="Y386">
        <v>0</v>
      </c>
      <c r="Z386">
        <v>0</v>
      </c>
      <c r="AA386">
        <v>0</v>
      </c>
      <c r="AB386" s="30">
        <f>IF(B386="Sling Bullet (Stone)",ROUNDUP(D386*0.02*E386/'Ingredient stats'!$C$8,0),0)</f>
        <v>0</v>
      </c>
      <c r="AC386" t="str">
        <f t="shared" si="20"/>
        <v>None</v>
      </c>
      <c r="AD386" t="str">
        <f>IF(OR(B386="Buck",B386="Bird",B386="Charge (Scatter)"),'Ammo Input'!J386,"None")</f>
        <v>None</v>
      </c>
      <c r="AE386" t="str">
        <f>_xlfn.IFS(ISTEXT(Calcs!N386),Calcs!N386,Calcs!N386&lt;=40,Calcs!N386,Calcs!N386&gt;41,"40")</f>
        <v>None</v>
      </c>
      <c r="AF386" t="str">
        <f>_xlfn.IFS(ISTEXT(Calcs!O386),Calcs!O386,Calcs!O386&lt;=80,Calcs!O386,Calcs!O386&gt;=81,"80")</f>
        <v>None</v>
      </c>
      <c r="AG386" s="25">
        <f t="shared" si="21"/>
        <v>1</v>
      </c>
      <c r="AH386" s="25">
        <f t="shared" si="22"/>
        <v>2.78</v>
      </c>
      <c r="AI386" s="25">
        <f t="shared" si="23"/>
        <v>1</v>
      </c>
    </row>
    <row r="387" ht="14.4" spans="1:35">
      <c r="A387" s="24" t="str">
        <f>'Ammo Input'!A387</f>
        <v>4.85x49mm</v>
      </c>
      <c r="B387" t="str">
        <f>'Ammo Input'!B387</f>
        <v>AP-I</v>
      </c>
      <c r="C387">
        <f>ROUNDUP(('Ammo Input'!C387*(MAX('Ammo Input'!D387,'Ammo Input'!F387)*0.5)^2*PI())*3/1000000,2)</f>
        <v>0.02</v>
      </c>
      <c r="D387">
        <f>ROUNDUP(('Ammo Input'!E387+'Ammo Input'!H387*IF('Ammo Input'!J387&lt;&gt;"",MAX('Ammo Input'!J387,1),1))/1000,3)</f>
        <v>0.012</v>
      </c>
      <c r="E387">
        <f>MIN(5000,MAX(25,CEILING(Calcs!L387,_xlfn.IFS(Calcs!L387&lt;100,25,Calcs!L387&lt;250,50,Calcs!L387&lt;1000,250,Calcs!L387&gt;=1000,1000))))</f>
        <v>5000</v>
      </c>
      <c r="F387">
        <f>ROUNDUP('Ammo Input'!G387^(3/4),0)</f>
        <v>171</v>
      </c>
      <c r="G387">
        <f>ROUND((0.5*((IF(OR(B387="HEAT",B387="HEDP"),'Ammo Input'!N387,'Ammo Input'!H387)/1000)*(IF(B387="HEAT",9000,IF(B387="HEDP",1500,'Ammo Input'!G387))^2))),0)</f>
        <v>1603</v>
      </c>
      <c r="H387" s="25" t="str">
        <f>CONCATENATE(IF((B387="Foam")+(B387="Smoke"),"-",ROUND(Calcs!D387,0))," ",VLOOKUP(B387,AmmoTypeFactors,5,FALSE))</f>
        <v>8 Bullet</v>
      </c>
      <c r="I387" s="25" t="str">
        <f>IF(Calcs!E387=0,"None",CONCATENATE(ROUND(Calcs!E387,0)," ",VLOOKUP(B387,AmmoTypeFactors,6,FALSE)))</f>
        <v>3 Flame_Secondary</v>
      </c>
      <c r="J387">
        <f>MROUND(2.42*'Ammo Input'!M387^(1/3)*VLOOKUP(B387,AmmoTypeFactors,3,FALSE),0.5)</f>
        <v>0</v>
      </c>
      <c r="K387" s="25" t="str">
        <f>IF(VLOOKUP(B387,AmmoTypeFactors,12,FALSE),MROUND(J387/3,0.5),"None")</f>
        <v>None</v>
      </c>
      <c r="L387" s="25">
        <f>IF(VLOOKUP(B387,AmmoTypeFactors,8,FALSE),"None",ROUNDUP(IF(Calcs!I387&gt;0,Calcs!I387,Calcs!H387),3))</f>
        <v>32.06</v>
      </c>
      <c r="M387" s="25">
        <f>IF(VLOOKUP(B387,AmmoTypeFactors,8,FALSE),"None",'Ammo Input'!L387)</f>
        <v>12</v>
      </c>
      <c r="N387">
        <f>'Ammo Input'!O387</f>
        <v>500</v>
      </c>
      <c r="O387" t="e">
        <f>ROUND((P387*0.0036+SUMPRODUCT(Q387:AB387,VLOOKUP($Q$1:$AB$1,IngredientStats,2,FALSE)))/N387*IF('Ammo Input'!R387,0.5,1),2)</f>
        <v>#VALUE!</v>
      </c>
      <c r="P387" t="e">
        <f>(SUMPRODUCT(Q387:AB387,VLOOKUP($Q$1:$AB$1,IngredientStats,4,FALSE))*VLOOKUP(B387,AmmoTypeFactors,14,FALSE)*IF('Ammo Input'!R387,1.1,1))</f>
        <v>#VALUE!</v>
      </c>
      <c r="Q387">
        <f>IFERROR(__xludf.DUMMYFUNCTION("((IF(NOT(OR(REGEXMATCH(B383, ""Arrow""), B383 = ""Javelin"", B383 = ""Stick bomb"")), ROUNDUP(('Ammo Input'!E383 / 1000) * N383)) + IF(VLOOKUP(B383, AmmoTypeFactors, 9, FALSE) = ""Steel"", ROUNDUP(('Ammo Input'!H383 -'Ammo Input'!M383) * MAX(IF('Ammo Inpu"&amp;"t'!J383 &gt; 0, 'Ammo Input'!J383, 1), 1) * N383 / 1000))) / 'Ingredient stats'!$C$2) * IF(ISBLANK(VLOOKUP(B383,AmmoTypeFactors,15,False)),1,VLOOKUP(B383,AmmoTypeFactors,15,False))"),12)</f>
        <v>12</v>
      </c>
      <c r="R387">
        <f>IFERROR(__xludf.DUMMYFUNCTION("ROUNDUP((IF(REGEXMATCH(B383, ""Arrow"") + (B383 = ""Javelin""), 'Ammo Input'!E383) + IF(VLOOKUP(B383, AmmoTypeFactors, 9, FALSE) = ""Wood"", 'Ammo Input'!H383) + IF(B383 = ""Stick bomb"", 'Ammo Input'!E383)) * N383 / 'Ingredient stats'!$C$12 / 1000)"),0)</f>
        <v>0</v>
      </c>
      <c r="S387">
        <v>0</v>
      </c>
      <c r="T387">
        <v>0</v>
      </c>
      <c r="U387">
        <f>IF(VLOOKUP(B387,AmmoTypeFactors,9,FALSE)="Plasteel",ROUNDUP(('Ammo Input'!H387*MAX(IF('Ammo Input'!J387&gt;0,'Ammo Input'!J387,1)*N387/1000/'Ingredient stats'!$C$4)),0),0)</f>
        <v>0</v>
      </c>
      <c r="V387">
        <f>IFERROR(__xludf.DUMMYFUNCTION("ROUNDUP(IF(ISBLANK(VLOOKUP(B383,AmmoTypeFactors,16,False)),1,VLOOKUP(B383,AmmoTypeFactors,16,False)) * (IFS(REGEXMATCH(B383, ""EMP""), 'Ammo Input'!M383 * N383 / 'Ingredient stats'!$C$5, REGEXMATCH(B383, ""Charge""), (U383^0.75), true, 0) + (IF(VLOOKUP(B3"&amp;"83, AmmoTypeFactors, 10, false), 2,0) + IF('Ammo Input'!P383, 2,0) + IF('Ammo Input'!Q383,MIN(ROUNDUP(0.2*('Ammo Input'!H383/1000)*'Ammo Input'!O383,0),20),0))))"),0)</f>
        <v>0</v>
      </c>
      <c r="W387">
        <v>1</v>
      </c>
      <c r="X387">
        <v>0</v>
      </c>
      <c r="Y387">
        <v>0</v>
      </c>
      <c r="Z387">
        <v>0</v>
      </c>
      <c r="AA387">
        <v>0</v>
      </c>
      <c r="AB387" s="30">
        <f>IF(B387="Sling Bullet (Stone)",ROUNDUP(D387*0.02*E387/'Ingredient stats'!$C$8,0),0)</f>
        <v>0</v>
      </c>
      <c r="AC387" t="str">
        <f t="shared" si="20"/>
        <v>None</v>
      </c>
      <c r="AD387" t="str">
        <f>IF(OR(B387="Buck",B387="Bird",B387="Charge (Scatter)"),'Ammo Input'!J387,"None")</f>
        <v>None</v>
      </c>
      <c r="AE387" t="str">
        <f>_xlfn.IFS(ISTEXT(Calcs!N387),Calcs!N387,Calcs!N387&lt;=40,Calcs!N387,Calcs!N387&gt;41,"40")</f>
        <v>None</v>
      </c>
      <c r="AF387" t="str">
        <f>_xlfn.IFS(ISTEXT(Calcs!O387),Calcs!O387,Calcs!O387&lt;=80,Calcs!O387,Calcs!O387&gt;=81,"80")</f>
        <v>None</v>
      </c>
      <c r="AG387" s="25">
        <f t="shared" si="21"/>
        <v>1</v>
      </c>
      <c r="AH387" s="25">
        <f t="shared" si="22"/>
        <v>2.78</v>
      </c>
      <c r="AI387" s="25">
        <f t="shared" si="23"/>
        <v>1</v>
      </c>
    </row>
    <row r="388" ht="14.4" spans="1:35">
      <c r="A388" s="24" t="str">
        <f>'Ammo Input'!A388</f>
        <v>4.85x49mm</v>
      </c>
      <c r="B388" t="str">
        <f>'Ammo Input'!B388</f>
        <v>AP-HE</v>
      </c>
      <c r="C388">
        <f>ROUNDUP(('Ammo Input'!C388*(MAX('Ammo Input'!D388,'Ammo Input'!F388)*0.5)^2*PI())*3/1000000,2)</f>
        <v>0.02</v>
      </c>
      <c r="D388">
        <f>ROUNDUP(('Ammo Input'!E388+'Ammo Input'!H388*IF('Ammo Input'!J388&lt;&gt;"",MAX('Ammo Input'!J388,1),1))/1000,3)</f>
        <v>0.012</v>
      </c>
      <c r="E388">
        <f>MIN(5000,MAX(25,CEILING(Calcs!L388,_xlfn.IFS(Calcs!L388&lt;100,25,Calcs!L388&lt;250,50,Calcs!L388&lt;1000,250,Calcs!L388&gt;=1000,1000))))</f>
        <v>5000</v>
      </c>
      <c r="F388">
        <f>ROUNDUP('Ammo Input'!G388^(3/4),0)</f>
        <v>171</v>
      </c>
      <c r="G388">
        <f>ROUND((0.5*((IF(OR(B388="HEAT",B388="HEDP"),'Ammo Input'!N388,'Ammo Input'!H388)/1000)*(IF(B388="HEAT",9000,IF(B388="HEDP",1500,'Ammo Input'!G388))^2))),0)</f>
        <v>1603</v>
      </c>
      <c r="H388" s="25" t="str">
        <f>CONCATENATE(IF((B388="Foam")+(B388="Smoke"),"-",ROUND(Calcs!D388,0))," ",VLOOKUP(B388,AmmoTypeFactors,5,FALSE))</f>
        <v>13 Bullet</v>
      </c>
      <c r="I388" s="25" t="str">
        <f>IF(Calcs!E388=0,"None",CONCATENATE(ROUND(Calcs!E388,0)," ",VLOOKUP(B388,AmmoTypeFactors,6,FALSE)))</f>
        <v>4 Bomb_Secondary</v>
      </c>
      <c r="J388">
        <f>MROUND(2.42*'Ammo Input'!M388^(1/3)*VLOOKUP(B388,AmmoTypeFactors,3,FALSE),0.5)</f>
        <v>0</v>
      </c>
      <c r="K388" s="25" t="str">
        <f>IF(VLOOKUP(B388,AmmoTypeFactors,12,FALSE),MROUND(J388/3,0.5),"None")</f>
        <v>None</v>
      </c>
      <c r="L388" s="25">
        <f>IF(VLOOKUP(B388,AmmoTypeFactors,8,FALSE),"None",ROUNDUP(IF(Calcs!I388&gt;0,Calcs!I388,Calcs!H388),3))</f>
        <v>32.06</v>
      </c>
      <c r="M388" s="25">
        <f>IF(VLOOKUP(B388,AmmoTypeFactors,8,FALSE),"None",'Ammo Input'!L388)</f>
        <v>6</v>
      </c>
      <c r="N388">
        <f>'Ammo Input'!O388</f>
        <v>500</v>
      </c>
      <c r="O388" t="e">
        <f>ROUND((P388*0.0036+SUMPRODUCT(Q388:AB388,VLOOKUP($Q$1:$AB$1,IngredientStats,2,FALSE)))/N388*IF('Ammo Input'!R388,0.5,1),2)</f>
        <v>#VALUE!</v>
      </c>
      <c r="P388" t="e">
        <f>(SUMPRODUCT(Q388:AB388,VLOOKUP($Q$1:$AB$1,IngredientStats,4,FALSE))*VLOOKUP(B388,AmmoTypeFactors,14,FALSE)*IF('Ammo Input'!R388,1.1,1))</f>
        <v>#VALUE!</v>
      </c>
      <c r="Q388">
        <f>IFERROR(__xludf.DUMMYFUNCTION("((IF(NOT(OR(REGEXMATCH(B384, ""Arrow""), B384 = ""Javelin"", B384 = ""Stick bomb"")), ROUNDUP(('Ammo Input'!E384 / 1000) * N384)) + IF(VLOOKUP(B384, AmmoTypeFactors, 9, FALSE) = ""Steel"", ROUNDUP(('Ammo Input'!H384 -'Ammo Input'!M384) * MAX(IF('Ammo Inpu"&amp;"t'!J384 &gt; 0, 'Ammo Input'!J384, 1), 1) * N384 / 1000))) / 'Ingredient stats'!$C$2) * IF(ISBLANK(VLOOKUP(B384,AmmoTypeFactors,15,False)),1,VLOOKUP(B384,AmmoTypeFactors,15,False))"),12)</f>
        <v>12</v>
      </c>
      <c r="R388">
        <f>IFERROR(__xludf.DUMMYFUNCTION("ROUNDUP((IF(REGEXMATCH(B384, ""Arrow"") + (B384 = ""Javelin""), 'Ammo Input'!E384) + IF(VLOOKUP(B384, AmmoTypeFactors, 9, FALSE) = ""Wood"", 'Ammo Input'!H384) + IF(B384 = ""Stick bomb"", 'Ammo Input'!E384)) * N384 / 'Ingredient stats'!$C$12 / 1000)"),0)</f>
        <v>0</v>
      </c>
      <c r="S388">
        <v>0</v>
      </c>
      <c r="T388">
        <v>0</v>
      </c>
      <c r="U388">
        <f>IF(VLOOKUP(B388,AmmoTypeFactors,9,FALSE)="Plasteel",ROUNDUP(('Ammo Input'!H388*MAX(IF('Ammo Input'!J388&gt;0,'Ammo Input'!J388,1)*N388/1000/'Ingredient stats'!$C$4)),0),0)</f>
        <v>0</v>
      </c>
      <c r="V388">
        <f>IFERROR(__xludf.DUMMYFUNCTION("ROUNDUP(IF(ISBLANK(VLOOKUP(B384,AmmoTypeFactors,16,False)),1,VLOOKUP(B384,AmmoTypeFactors,16,False)) * (IFS(REGEXMATCH(B384, ""EMP""), 'Ammo Input'!M384 * N384 / 'Ingredient stats'!$C$5, REGEXMATCH(B384, ""Charge""), (U384^0.75), true, 0) + (IF(VLOOKUP(B3"&amp;"84, AmmoTypeFactors, 10, false), 2,0) + IF('Ammo Input'!P384, 2,0) + IF('Ammo Input'!Q384,MIN(ROUNDUP(0.2*('Ammo Input'!H384/1000)*'Ammo Input'!O384,0),20),0))))"),0)</f>
        <v>0</v>
      </c>
      <c r="W388">
        <v>0</v>
      </c>
      <c r="X388">
        <v>4</v>
      </c>
      <c r="Y388">
        <v>0</v>
      </c>
      <c r="Z388">
        <v>0</v>
      </c>
      <c r="AA388">
        <v>0</v>
      </c>
      <c r="AB388" s="30">
        <f>IF(B388="Sling Bullet (Stone)",ROUNDUP(D388*0.02*E388/'Ingredient stats'!$C$8,0),0)</f>
        <v>0</v>
      </c>
      <c r="AC388" t="str">
        <f t="shared" si="20"/>
        <v>None</v>
      </c>
      <c r="AD388" t="str">
        <f>IF(OR(B388="Buck",B388="Bird",B388="Charge (Scatter)"),'Ammo Input'!J388,"None")</f>
        <v>None</v>
      </c>
      <c r="AE388" t="str">
        <f>_xlfn.IFS(ISTEXT(Calcs!N388),Calcs!N388,Calcs!N388&lt;=40,Calcs!N388,Calcs!N388&gt;41,"40")</f>
        <v>None</v>
      </c>
      <c r="AF388" t="str">
        <f>_xlfn.IFS(ISTEXT(Calcs!O388),Calcs!O388,Calcs!O388&lt;=80,Calcs!O388,Calcs!O388&gt;=81,"80")</f>
        <v>None</v>
      </c>
      <c r="AG388" s="25">
        <f t="shared" si="21"/>
        <v>1</v>
      </c>
      <c r="AH388" s="25">
        <f t="shared" si="22"/>
        <v>2.78</v>
      </c>
      <c r="AI388" s="25">
        <f t="shared" si="23"/>
        <v>1</v>
      </c>
    </row>
    <row r="389" ht="14.4" spans="1:35">
      <c r="A389" s="24" t="str">
        <f>'Ammo Input'!A389</f>
        <v>4.85x49mm</v>
      </c>
      <c r="B389" t="str">
        <f>'Ammo Input'!B389</f>
        <v>Sabot</v>
      </c>
      <c r="C389">
        <f>ROUNDUP(('Ammo Input'!C389*(MAX('Ammo Input'!D389,'Ammo Input'!F389)*0.5)^2*PI())*3/1000000,2)</f>
        <v>0.02</v>
      </c>
      <c r="D389">
        <f>ROUNDUP(('Ammo Input'!E389+'Ammo Input'!H389*IF('Ammo Input'!J389&lt;&gt;"",MAX('Ammo Input'!J389,1),1))/1000,3)</f>
        <v>0.01</v>
      </c>
      <c r="E389">
        <f>MIN(5000,MAX(25,CEILING(Calcs!L389,_xlfn.IFS(Calcs!L389&lt;100,25,Calcs!L389&lt;250,50,Calcs!L389&lt;1000,250,Calcs!L389&gt;=1000,1000))))</f>
        <v>5000</v>
      </c>
      <c r="F389">
        <f>ROUNDUP('Ammo Input'!G389^(3/4),0)</f>
        <v>232</v>
      </c>
      <c r="G389">
        <f>ROUND((0.5*((IF(OR(B389="HEAT",B389="HEDP"),'Ammo Input'!N389,'Ammo Input'!H389)/1000)*(IF(B389="HEAT",9000,IF(B389="HEDP",1500,'Ammo Input'!G389))^2))),0)</f>
        <v>2058</v>
      </c>
      <c r="H389" s="25" t="str">
        <f>CONCATENATE(IF((B389="Foam")+(B389="Smoke"),"-",ROUND(Calcs!D389,0))," ",VLOOKUP(B389,AmmoTypeFactors,5,FALSE))</f>
        <v>7 Bullet</v>
      </c>
      <c r="I389" s="25" t="str">
        <f>IF(Calcs!E389=0,"None",CONCATENATE(ROUND(Calcs!E389,0)," ",VLOOKUP(B389,AmmoTypeFactors,6,FALSE)))</f>
        <v>None</v>
      </c>
      <c r="J389">
        <f>MROUND(2.42*'Ammo Input'!M389^(1/3)*VLOOKUP(B389,AmmoTypeFactors,3,FALSE),0.5)</f>
        <v>0</v>
      </c>
      <c r="K389" s="25" t="str">
        <f>IF(VLOOKUP(B389,AmmoTypeFactors,12,FALSE),MROUND(J389/3,0.5),"None")</f>
        <v>None</v>
      </c>
      <c r="L389" s="25">
        <f>IF(VLOOKUP(B389,AmmoTypeFactors,8,FALSE),"None",ROUNDUP(IF(Calcs!I389&gt;0,Calcs!I389,Calcs!H389),3))</f>
        <v>41.16</v>
      </c>
      <c r="M389" s="25">
        <f>IF(VLOOKUP(B389,AmmoTypeFactors,8,FALSE),"None",'Ammo Input'!L389)</f>
        <v>21</v>
      </c>
      <c r="N389">
        <f>'Ammo Input'!O389</f>
        <v>500</v>
      </c>
      <c r="O389" t="e">
        <f>ROUND((P389*0.0036+SUMPRODUCT(Q389:AB389,VLOOKUP($Q$1:$AB$1,IngredientStats,2,FALSE)))/N389*IF('Ammo Input'!R389,0.5,1),2)</f>
        <v>#VALUE!</v>
      </c>
      <c r="P389" t="e">
        <f>(SUMPRODUCT(Q389:AB389,VLOOKUP($Q$1:$AB$1,IngredientStats,4,FALSE))*VLOOKUP(B389,AmmoTypeFactors,14,FALSE)*IF('Ammo Input'!R389,1.1,1))</f>
        <v>#VALUE!</v>
      </c>
      <c r="Q389">
        <f>IFERROR(__xludf.DUMMYFUNCTION("((IF(NOT(OR(REGEXMATCH(B385, ""Arrow""), B385 = ""Javelin"", B385 = ""Stick bomb"")), ROUNDUP(('Ammo Input'!E385 / 1000) * N385)) + IF(VLOOKUP(B385, AmmoTypeFactors, 9, FALSE) = ""Steel"", ROUNDUP(('Ammo Input'!H385 -'Ammo Input'!M385) * MAX(IF('Ammo Inpu"&amp;"t'!J385 &gt; 0, 'Ammo Input'!J385, 1), 1) * N385 / 1000))) / 'Ingredient stats'!$C$2) * IF(ISBLANK(VLOOKUP(B385,AmmoTypeFactors,15,False)),1,VLOOKUP(B385,AmmoTypeFactors,15,False))"),8)</f>
        <v>8</v>
      </c>
      <c r="R389">
        <f>IFERROR(__xludf.DUMMYFUNCTION("ROUNDUP((IF(REGEXMATCH(B385, ""Arrow"") + (B385 = ""Javelin""), 'Ammo Input'!E385) + IF(VLOOKUP(B385, AmmoTypeFactors, 9, FALSE) = ""Wood"", 'Ammo Input'!H385) + IF(B385 = ""Stick bomb"", 'Ammo Input'!E385)) * N385 / 'Ingredient stats'!$C$12 / 1000)"),0)</f>
        <v>0</v>
      </c>
      <c r="S389">
        <v>2</v>
      </c>
      <c r="T389">
        <v>2</v>
      </c>
      <c r="U389">
        <f>IF(VLOOKUP(B389,AmmoTypeFactors,9,FALSE)="Plasteel",ROUNDUP(('Ammo Input'!H389*MAX(IF('Ammo Input'!J389&gt;0,'Ammo Input'!J389,1)*N389/1000/'Ingredient stats'!$C$4)),0),0)</f>
        <v>0</v>
      </c>
      <c r="V389">
        <f>IFERROR(__xludf.DUMMYFUNCTION("ROUNDUP(IF(ISBLANK(VLOOKUP(B385,AmmoTypeFactors,16,False)),1,VLOOKUP(B385,AmmoTypeFactors,16,False)) * (IFS(REGEXMATCH(B385, ""EMP""), 'Ammo Input'!M385 * N385 / 'Ingredient stats'!$C$5, REGEXMATCH(B385, ""Charge""), (U385^0.75), true, 0) + (IF(VLOOKUP(B3"&amp;"85, AmmoTypeFactors, 10, false), 2,0) + IF('Ammo Input'!P385, 2,0) + IF('Ammo Input'!Q385,MIN(ROUNDUP(0.2*('Ammo Input'!H385/1000)*'Ammo Input'!O385,0),20),0))))"),0)</f>
        <v>0</v>
      </c>
      <c r="W389">
        <v>0</v>
      </c>
      <c r="X389">
        <v>0</v>
      </c>
      <c r="Y389">
        <v>0</v>
      </c>
      <c r="Z389">
        <v>0</v>
      </c>
      <c r="AA389">
        <v>0</v>
      </c>
      <c r="AB389" s="30">
        <f>IF(B389="Sling Bullet (Stone)",ROUNDUP(D389*0.02*E389/'Ingredient stats'!$C$8,0),0)</f>
        <v>0</v>
      </c>
      <c r="AC389" t="str">
        <f t="shared" si="20"/>
        <v>None</v>
      </c>
      <c r="AD389" t="str">
        <f>IF(OR(B389="Buck",B389="Bird",B389="Charge (Scatter)"),'Ammo Input'!J389,"None")</f>
        <v>None</v>
      </c>
      <c r="AE389" t="str">
        <f>_xlfn.IFS(ISTEXT(Calcs!N389),Calcs!N389,Calcs!N389&lt;=40,Calcs!N389,Calcs!N389&gt;41,"40")</f>
        <v>None</v>
      </c>
      <c r="AF389" t="str">
        <f>_xlfn.IFS(ISTEXT(Calcs!O389),Calcs!O389,Calcs!O389&lt;=80,Calcs!O389,Calcs!O389&gt;=81,"80")</f>
        <v>None</v>
      </c>
      <c r="AG389" s="25">
        <f t="shared" si="21"/>
        <v>1</v>
      </c>
      <c r="AH389" s="25">
        <f t="shared" si="22"/>
        <v>3.77</v>
      </c>
      <c r="AI389" s="25">
        <f t="shared" si="23"/>
        <v>1</v>
      </c>
    </row>
    <row r="390" ht="14.4" spans="1:35">
      <c r="A390" s="24" t="str">
        <f>'Ammo Input'!A390</f>
        <v>.280 British</v>
      </c>
      <c r="B390" t="str">
        <f>'Ammo Input'!B390</f>
        <v>FMJ</v>
      </c>
      <c r="C390">
        <f>ROUNDUP(('Ammo Input'!C390*(MAX('Ammo Input'!D390,'Ammo Input'!F390)*0.5)^2*PI())*3/1000000,2)</f>
        <v>0.03</v>
      </c>
      <c r="D390">
        <f>ROUNDUP(('Ammo Input'!E390+'Ammo Input'!H390*IF('Ammo Input'!J390&lt;&gt;"",MAX('Ammo Input'!J390,1),1))/1000,3)</f>
        <v>0.023</v>
      </c>
      <c r="E390">
        <f>MIN(5000,MAX(25,CEILING(Calcs!L390,_xlfn.IFS(Calcs!L390&lt;100,25,Calcs!L390&lt;250,50,Calcs!L390&lt;1000,250,Calcs!L390&gt;=1000,1000))))</f>
        <v>5000</v>
      </c>
      <c r="F390">
        <f>ROUNDUP('Ammo Input'!G390^(3/4),0)</f>
        <v>148</v>
      </c>
      <c r="G390">
        <f>ROUND((0.5*((IF(OR(B390="HEAT",B390="HEDP"),'Ammo Input'!N390,'Ammo Input'!H390)/1000)*(IF(B390="HEAT",9000,IF(B390="HEDP",1500,'Ammo Input'!G390))^2))),0)</f>
        <v>2738</v>
      </c>
      <c r="H390" s="25" t="str">
        <f>CONCATENATE(IF((B390="Foam")+(B390="Smoke"),"-",ROUND(Calcs!D390,0))," ",VLOOKUP(B390,AmmoTypeFactors,5,FALSE))</f>
        <v>18 Bullet</v>
      </c>
      <c r="I390" s="25" t="str">
        <f>IF(Calcs!E390=0,"None",CONCATENATE(ROUND(Calcs!E390,0)," ",VLOOKUP(B390,AmmoTypeFactors,6,FALSE)))</f>
        <v>None</v>
      </c>
      <c r="J390">
        <f>MROUND(2.42*'Ammo Input'!M390^(1/3)*VLOOKUP(B390,AmmoTypeFactors,3,FALSE),0.5)</f>
        <v>0</v>
      </c>
      <c r="K390" s="25" t="str">
        <f>IF(VLOOKUP(B390,AmmoTypeFactors,12,FALSE),MROUND(J390/3,0.5),"None")</f>
        <v>None</v>
      </c>
      <c r="L390" s="25">
        <f>IF(VLOOKUP(B390,AmmoTypeFactors,8,FALSE),"None",ROUNDUP(IF(Calcs!I390&gt;0,Calcs!I390,Calcs!H390),3))</f>
        <v>54.76</v>
      </c>
      <c r="M390" s="25">
        <f>IF(VLOOKUP(B390,AmmoTypeFactors,8,FALSE),"None",'Ammo Input'!L390)</f>
        <v>6</v>
      </c>
      <c r="N390">
        <f>'Ammo Input'!O390</f>
        <v>500</v>
      </c>
      <c r="O390" t="e">
        <f>ROUND((P390*0.0036+SUMPRODUCT(Q390:AB390,VLOOKUP($Q$1:$AB$1,IngredientStats,2,FALSE)))/N390*IF('Ammo Input'!R390,0.5,1),2)</f>
        <v>#VALUE!</v>
      </c>
      <c r="P390" t="e">
        <f>(SUMPRODUCT(Q390:AB390,VLOOKUP($Q$1:$AB$1,IngredientStats,4,FALSE))*VLOOKUP(B390,AmmoTypeFactors,14,FALSE)*IF('Ammo Input'!R390,1.1,1))</f>
        <v>#VALUE!</v>
      </c>
      <c r="Q390">
        <f>IFERROR(__xludf.DUMMYFUNCTION("((IF(NOT(OR(REGEXMATCH(B386, ""Arrow""), B386 = ""Javelin"", B386 = ""Stick bomb"")), ROUNDUP(('Ammo Input'!E386 / 1000) * N386)) + IF(VLOOKUP(B386, AmmoTypeFactors, 9, FALSE) = ""Steel"", ROUNDUP(('Ammo Input'!H386 -'Ammo Input'!M386) * MAX(IF('Ammo Inpu"&amp;"t'!J386 &gt; 0, 'Ammo Input'!J386, 1), 1) * N386 / 1000))) / 'Ingredient stats'!$C$2) * IF(ISBLANK(VLOOKUP(B386,AmmoTypeFactors,15,False)),1,VLOOKUP(B386,AmmoTypeFactors,15,False))"),24)</f>
        <v>24</v>
      </c>
      <c r="R390">
        <f>IFERROR(__xludf.DUMMYFUNCTION("ROUNDUP((IF(REGEXMATCH(B386, ""Arrow"") + (B386 = ""Javelin""), 'Ammo Input'!E386) + IF(VLOOKUP(B386, AmmoTypeFactors, 9, FALSE) = ""Wood"", 'Ammo Input'!H386) + IF(B386 = ""Stick bomb"", 'Ammo Input'!E386)) * N386 / 'Ingredient stats'!$C$12 / 1000)"),0)</f>
        <v>0</v>
      </c>
      <c r="S390">
        <v>0</v>
      </c>
      <c r="T390">
        <v>0</v>
      </c>
      <c r="U390">
        <f>IF(VLOOKUP(B390,AmmoTypeFactors,9,FALSE)="Plasteel",ROUNDUP(('Ammo Input'!H390*MAX(IF('Ammo Input'!J390&gt;0,'Ammo Input'!J390,1)*N390/1000/'Ingredient stats'!$C$4)),0),0)</f>
        <v>0</v>
      </c>
      <c r="V390">
        <f>IFERROR(__xludf.DUMMYFUNCTION("ROUNDUP(IF(ISBLANK(VLOOKUP(B386,AmmoTypeFactors,16,False)),1,VLOOKUP(B386,AmmoTypeFactors,16,False)) * (IFS(REGEXMATCH(B386, ""EMP""), 'Ammo Input'!M386 * N386 / 'Ingredient stats'!$C$5, REGEXMATCH(B386, ""Charge""), (U386^0.75), true, 0) + (IF(VLOOKUP(B3"&amp;"86, AmmoTypeFactors, 10, false), 2,0) + IF('Ammo Input'!P386, 2,0) + IF('Ammo Input'!Q386,MIN(ROUNDUP(0.2*('Ammo Input'!H386/1000)*'Ammo Input'!O386,0),20),0))))"),0)</f>
        <v>0</v>
      </c>
      <c r="W390">
        <v>0</v>
      </c>
      <c r="X390">
        <v>0</v>
      </c>
      <c r="Y390">
        <v>0</v>
      </c>
      <c r="Z390">
        <v>0</v>
      </c>
      <c r="AA390">
        <v>0</v>
      </c>
      <c r="AB390" s="30">
        <f>IF(B390="Sling Bullet (Stone)",ROUNDUP(D390*0.02*E390/'Ingredient stats'!$C$8,0),0)</f>
        <v>0</v>
      </c>
      <c r="AC390" t="str">
        <f t="shared" si="20"/>
        <v>None</v>
      </c>
      <c r="AD390" t="str">
        <f>IF(OR(B390="Buck",B390="Bird",B390="Charge (Scatter)"),'Ammo Input'!J390,"None")</f>
        <v>None</v>
      </c>
      <c r="AE390" t="str">
        <f>_xlfn.IFS(ISTEXT(Calcs!N390),Calcs!N390,Calcs!N390&lt;=40,Calcs!N390,Calcs!N390&gt;41,"40")</f>
        <v>None</v>
      </c>
      <c r="AF390" t="str">
        <f>_xlfn.IFS(ISTEXT(Calcs!O390),Calcs!O390,Calcs!O390&lt;=80,Calcs!O390,Calcs!O390&gt;=81,"80")</f>
        <v>None</v>
      </c>
      <c r="AG390" s="25">
        <f t="shared" si="21"/>
        <v>1</v>
      </c>
      <c r="AH390" s="25">
        <f t="shared" si="22"/>
        <v>2.41</v>
      </c>
      <c r="AI390" s="25">
        <f t="shared" si="23"/>
        <v>1</v>
      </c>
    </row>
    <row r="391" ht="14.4" spans="1:35">
      <c r="A391" s="24" t="str">
        <f>'Ammo Input'!A391</f>
        <v>.280 British</v>
      </c>
      <c r="B391" t="str">
        <f>'Ammo Input'!B391</f>
        <v>AP</v>
      </c>
      <c r="C391">
        <f>ROUNDUP(('Ammo Input'!C391*(MAX('Ammo Input'!D391,'Ammo Input'!F391)*0.5)^2*PI())*3/1000000,2)</f>
        <v>0.03</v>
      </c>
      <c r="D391">
        <f>ROUNDUP(('Ammo Input'!E391+'Ammo Input'!H391*IF('Ammo Input'!J391&lt;&gt;"",MAX('Ammo Input'!J391,1),1))/1000,3)</f>
        <v>0.023</v>
      </c>
      <c r="E391">
        <f>MIN(5000,MAX(25,CEILING(Calcs!L391,_xlfn.IFS(Calcs!L391&lt;100,25,Calcs!L391&lt;250,50,Calcs!L391&lt;1000,250,Calcs!L391&gt;=1000,1000))))</f>
        <v>5000</v>
      </c>
      <c r="F391">
        <f>ROUNDUP('Ammo Input'!G391^(3/4),0)</f>
        <v>148</v>
      </c>
      <c r="G391">
        <f>ROUND((0.5*((IF(OR(B391="HEAT",B391="HEDP"),'Ammo Input'!N391,'Ammo Input'!H391)/1000)*(IF(B391="HEAT",9000,IF(B391="HEDP",1500,'Ammo Input'!G391))^2))),0)</f>
        <v>2738</v>
      </c>
      <c r="H391" s="25" t="str">
        <f>CONCATENATE(IF((B391="Foam")+(B391="Smoke"),"-",ROUND(Calcs!D391,0))," ",VLOOKUP(B391,AmmoTypeFactors,5,FALSE))</f>
        <v>11 Bullet</v>
      </c>
      <c r="I391" s="25" t="str">
        <f>IF(Calcs!E391=0,"None",CONCATENATE(ROUND(Calcs!E391,0)," ",VLOOKUP(B391,AmmoTypeFactors,6,FALSE)))</f>
        <v>None</v>
      </c>
      <c r="J391">
        <f>MROUND(2.42*'Ammo Input'!M391^(1/3)*VLOOKUP(B391,AmmoTypeFactors,3,FALSE),0.5)</f>
        <v>0</v>
      </c>
      <c r="K391" s="25" t="str">
        <f>IF(VLOOKUP(B391,AmmoTypeFactors,12,FALSE),MROUND(J391/3,0.5),"None")</f>
        <v>None</v>
      </c>
      <c r="L391" s="25">
        <f>IF(VLOOKUP(B391,AmmoTypeFactors,8,FALSE),"None",ROUNDUP(IF(Calcs!I391&gt;0,Calcs!I391,Calcs!H391),3))</f>
        <v>54.76</v>
      </c>
      <c r="M391" s="25">
        <f>IF(VLOOKUP(B391,AmmoTypeFactors,8,FALSE),"None",'Ammo Input'!L391)</f>
        <v>12</v>
      </c>
      <c r="N391">
        <f>'Ammo Input'!O391</f>
        <v>500</v>
      </c>
      <c r="O391" t="e">
        <f>ROUND((P391*0.0036+SUMPRODUCT(Q391:AB391,VLOOKUP($Q$1:$AB$1,IngredientStats,2,FALSE)))/N391*IF('Ammo Input'!R391,0.5,1),2)</f>
        <v>#VALUE!</v>
      </c>
      <c r="P391" t="e">
        <f>(SUMPRODUCT(Q391:AB391,VLOOKUP($Q$1:$AB$1,IngredientStats,4,FALSE))*VLOOKUP(B391,AmmoTypeFactors,14,FALSE)*IF('Ammo Input'!R391,1.1,1))</f>
        <v>#VALUE!</v>
      </c>
      <c r="Q391">
        <f>IFERROR(__xludf.DUMMYFUNCTION("((IF(NOT(OR(REGEXMATCH(B387, ""Arrow""), B387 = ""Javelin"", B387 = ""Stick bomb"")), ROUNDUP(('Ammo Input'!E387 / 1000) * N387)) + IF(VLOOKUP(B387, AmmoTypeFactors, 9, FALSE) = ""Steel"", ROUNDUP(('Ammo Input'!H387 -'Ammo Input'!M387) * MAX(IF('Ammo Inpu"&amp;"t'!J387 &gt; 0, 'Ammo Input'!J387, 1), 1) * N387 / 1000))) / 'Ingredient stats'!$C$2) * IF(ISBLANK(VLOOKUP(B387,AmmoTypeFactors,15,False)),1,VLOOKUP(B387,AmmoTypeFactors,15,False))"),24)</f>
        <v>24</v>
      </c>
      <c r="R391">
        <f>IFERROR(__xludf.DUMMYFUNCTION("ROUNDUP((IF(REGEXMATCH(B387, ""Arrow"") + (B387 = ""Javelin""), 'Ammo Input'!E387) + IF(VLOOKUP(B387, AmmoTypeFactors, 9, FALSE) = ""Wood"", 'Ammo Input'!H387) + IF(B387 = ""Stick bomb"", 'Ammo Input'!E387)) * N387 / 'Ingredient stats'!$C$12 / 1000)"),0)</f>
        <v>0</v>
      </c>
      <c r="S391">
        <v>0</v>
      </c>
      <c r="T391">
        <v>0</v>
      </c>
      <c r="U391">
        <f>IF(VLOOKUP(B391,AmmoTypeFactors,9,FALSE)="Plasteel",ROUNDUP(('Ammo Input'!H391*MAX(IF('Ammo Input'!J391&gt;0,'Ammo Input'!J391,1)*N391/1000/'Ingredient stats'!$C$4)),0),0)</f>
        <v>0</v>
      </c>
      <c r="V391">
        <f>IFERROR(__xludf.DUMMYFUNCTION("ROUNDUP(IF(ISBLANK(VLOOKUP(B387,AmmoTypeFactors,16,False)),1,VLOOKUP(B387,AmmoTypeFactors,16,False)) * (IFS(REGEXMATCH(B387, ""EMP""), 'Ammo Input'!M387 * N387 / 'Ingredient stats'!$C$5, REGEXMATCH(B387, ""Charge""), (U387^0.75), true, 0) + (IF(VLOOKUP(B3"&amp;"87, AmmoTypeFactors, 10, false), 2,0) + IF('Ammo Input'!P387, 2,0) + IF('Ammo Input'!Q387,MIN(ROUNDUP(0.2*('Ammo Input'!H387/1000)*'Ammo Input'!O387,0),20),0))))"),0)</f>
        <v>0</v>
      </c>
      <c r="W391">
        <v>0</v>
      </c>
      <c r="X391">
        <v>0</v>
      </c>
      <c r="Y391">
        <v>0</v>
      </c>
      <c r="Z391">
        <v>0</v>
      </c>
      <c r="AA391">
        <v>0</v>
      </c>
      <c r="AB391" s="30">
        <f>IF(B391="Sling Bullet (Stone)",ROUNDUP(D391*0.02*E391/'Ingredient stats'!$C$8,0),0)</f>
        <v>0</v>
      </c>
      <c r="AC391" t="str">
        <f t="shared" si="20"/>
        <v>None</v>
      </c>
      <c r="AD391" t="str">
        <f>IF(OR(B391="Buck",B391="Bird",B391="Charge (Scatter)"),'Ammo Input'!J391,"None")</f>
        <v>None</v>
      </c>
      <c r="AE391" t="str">
        <f>_xlfn.IFS(ISTEXT(Calcs!N391),Calcs!N391,Calcs!N391&lt;=40,Calcs!N391,Calcs!N391&gt;41,"40")</f>
        <v>None</v>
      </c>
      <c r="AF391" t="str">
        <f>_xlfn.IFS(ISTEXT(Calcs!O391),Calcs!O391,Calcs!O391&lt;=80,Calcs!O391,Calcs!O391&gt;=81,"80")</f>
        <v>None</v>
      </c>
      <c r="AG391" s="25">
        <f t="shared" si="21"/>
        <v>1</v>
      </c>
      <c r="AH391" s="25">
        <f t="shared" si="22"/>
        <v>2.41</v>
      </c>
      <c r="AI391" s="25">
        <f t="shared" si="23"/>
        <v>1</v>
      </c>
    </row>
    <row r="392" ht="14.4" spans="1:35">
      <c r="A392" s="24" t="str">
        <f>'Ammo Input'!A392</f>
        <v>.280 British</v>
      </c>
      <c r="B392" t="str">
        <f>'Ammo Input'!B392</f>
        <v>HP</v>
      </c>
      <c r="C392">
        <f>ROUNDUP(('Ammo Input'!C392*(MAX('Ammo Input'!D392,'Ammo Input'!F392)*0.5)^2*PI())*3/1000000,2)</f>
        <v>0.03</v>
      </c>
      <c r="D392">
        <f>ROUNDUP(('Ammo Input'!E392+'Ammo Input'!H392*IF('Ammo Input'!J392&lt;&gt;"",MAX('Ammo Input'!J392,1),1))/1000,3)</f>
        <v>0.023</v>
      </c>
      <c r="E392">
        <f>MIN(5000,MAX(25,CEILING(Calcs!L392,_xlfn.IFS(Calcs!L392&lt;100,25,Calcs!L392&lt;250,50,Calcs!L392&lt;1000,250,Calcs!L392&gt;=1000,1000))))</f>
        <v>5000</v>
      </c>
      <c r="F392">
        <f>ROUNDUP('Ammo Input'!G392^(3/4),0)</f>
        <v>148</v>
      </c>
      <c r="G392">
        <f>ROUND((0.5*((IF(OR(B392="HEAT",B392="HEDP"),'Ammo Input'!N392,'Ammo Input'!H392)/1000)*(IF(B392="HEAT",9000,IF(B392="HEDP",1500,'Ammo Input'!G392))^2))),0)</f>
        <v>2738</v>
      </c>
      <c r="H392" s="25" t="str">
        <f>CONCATENATE(IF((B392="Foam")+(B392="Smoke"),"-",ROUND(Calcs!D392,0))," ",VLOOKUP(B392,AmmoTypeFactors,5,FALSE))</f>
        <v>23 Bullet</v>
      </c>
      <c r="I392" s="25" t="str">
        <f>IF(Calcs!E392=0,"None",CONCATENATE(ROUND(Calcs!E392,0)," ",VLOOKUP(B392,AmmoTypeFactors,6,FALSE)))</f>
        <v>None</v>
      </c>
      <c r="J392">
        <f>MROUND(2.42*'Ammo Input'!M392^(1/3)*VLOOKUP(B392,AmmoTypeFactors,3,FALSE),0.5)</f>
        <v>0</v>
      </c>
      <c r="K392" s="25" t="str">
        <f>IF(VLOOKUP(B392,AmmoTypeFactors,12,FALSE),MROUND(J392/3,0.5),"None")</f>
        <v>None</v>
      </c>
      <c r="L392" s="25">
        <f>IF(VLOOKUP(B392,AmmoTypeFactors,8,FALSE),"None",ROUNDUP(IF(Calcs!I392&gt;0,Calcs!I392,Calcs!H392),3))</f>
        <v>54.76</v>
      </c>
      <c r="M392" s="25">
        <f>IF(VLOOKUP(B392,AmmoTypeFactors,8,FALSE),"None",'Ammo Input'!L392)</f>
        <v>3</v>
      </c>
      <c r="N392">
        <f>'Ammo Input'!O392</f>
        <v>500</v>
      </c>
      <c r="O392" t="e">
        <f>ROUND((P392*0.0036+SUMPRODUCT(Q392:AB392,VLOOKUP($Q$1:$AB$1,IngredientStats,2,FALSE)))/N392*IF('Ammo Input'!R392,0.5,1),2)</f>
        <v>#VALUE!</v>
      </c>
      <c r="P392" t="e">
        <f>(SUMPRODUCT(Q392:AB392,VLOOKUP($Q$1:$AB$1,IngredientStats,4,FALSE))*VLOOKUP(B392,AmmoTypeFactors,14,FALSE)*IF('Ammo Input'!R392,1.1,1))</f>
        <v>#VALUE!</v>
      </c>
      <c r="Q392">
        <f>IFERROR(__xludf.DUMMYFUNCTION("((IF(NOT(OR(REGEXMATCH(B388, ""Arrow""), B388 = ""Javelin"", B388 = ""Stick bomb"")), ROUNDUP(('Ammo Input'!E388 / 1000) * N388)) + IF(VLOOKUP(B388, AmmoTypeFactors, 9, FALSE) = ""Steel"", ROUNDUP(('Ammo Input'!H388 -'Ammo Input'!M388) * MAX(IF('Ammo Inpu"&amp;"t'!J388 &gt; 0, 'Ammo Input'!J388, 1), 1) * N388 / 1000))) / 'Ingredient stats'!$C$2) * IF(ISBLANK(VLOOKUP(B388,AmmoTypeFactors,15,False)),1,VLOOKUP(B388,AmmoTypeFactors,15,False))"),24)</f>
        <v>24</v>
      </c>
      <c r="R392">
        <f>IFERROR(__xludf.DUMMYFUNCTION("ROUNDUP((IF(REGEXMATCH(B388, ""Arrow"") + (B388 = ""Javelin""), 'Ammo Input'!E388) + IF(VLOOKUP(B388, AmmoTypeFactors, 9, FALSE) = ""Wood"", 'Ammo Input'!H388) + IF(B388 = ""Stick bomb"", 'Ammo Input'!E388)) * N388 / 'Ingredient stats'!$C$12 / 1000)"),0)</f>
        <v>0</v>
      </c>
      <c r="S392">
        <v>0</v>
      </c>
      <c r="T392">
        <v>0</v>
      </c>
      <c r="U392">
        <f>IF(VLOOKUP(B392,AmmoTypeFactors,9,FALSE)="Plasteel",ROUNDUP(('Ammo Input'!H392*MAX(IF('Ammo Input'!J392&gt;0,'Ammo Input'!J392,1)*N392/1000/'Ingredient stats'!$C$4)),0),0)</f>
        <v>0</v>
      </c>
      <c r="V392">
        <f>IFERROR(__xludf.DUMMYFUNCTION("ROUNDUP(IF(ISBLANK(VLOOKUP(B388,AmmoTypeFactors,16,False)),1,VLOOKUP(B388,AmmoTypeFactors,16,False)) * (IFS(REGEXMATCH(B388, ""EMP""), 'Ammo Input'!M388 * N388 / 'Ingredient stats'!$C$5, REGEXMATCH(B388, ""Charge""), (U388^0.75), true, 0) + (IF(VLOOKUP(B3"&amp;"88, AmmoTypeFactors, 10, false), 2,0) + IF('Ammo Input'!P388, 2,0) + IF('Ammo Input'!Q388,MIN(ROUNDUP(0.2*('Ammo Input'!H388/1000)*'Ammo Input'!O388,0),20),0))))"),0)</f>
        <v>0</v>
      </c>
      <c r="W392">
        <v>0</v>
      </c>
      <c r="X392">
        <v>0</v>
      </c>
      <c r="Y392">
        <v>0</v>
      </c>
      <c r="Z392">
        <v>0</v>
      </c>
      <c r="AA392">
        <v>0</v>
      </c>
      <c r="AB392" s="30">
        <f>IF(B392="Sling Bullet (Stone)",ROUNDUP(D392*0.02*E392/'Ingredient stats'!$C$8,0),0)</f>
        <v>0</v>
      </c>
      <c r="AC392" t="str">
        <f t="shared" si="20"/>
        <v>None</v>
      </c>
      <c r="AD392" t="str">
        <f>IF(OR(B392="Buck",B392="Bird",B392="Charge (Scatter)"),'Ammo Input'!J392,"None")</f>
        <v>None</v>
      </c>
      <c r="AE392" t="str">
        <f>_xlfn.IFS(ISTEXT(Calcs!N392),Calcs!N392,Calcs!N392&lt;=40,Calcs!N392,Calcs!N392&gt;41,"40")</f>
        <v>None</v>
      </c>
      <c r="AF392" t="str">
        <f>_xlfn.IFS(ISTEXT(Calcs!O392),Calcs!O392,Calcs!O392&lt;=80,Calcs!O392,Calcs!O392&gt;=81,"80")</f>
        <v>None</v>
      </c>
      <c r="AG392" s="25">
        <f t="shared" si="21"/>
        <v>1</v>
      </c>
      <c r="AH392" s="25">
        <f t="shared" si="22"/>
        <v>2.41</v>
      </c>
      <c r="AI392" s="25">
        <f t="shared" si="23"/>
        <v>1</v>
      </c>
    </row>
    <row r="393" ht="14.4" spans="1:35">
      <c r="A393" s="24" t="str">
        <f>'Ammo Input'!A393</f>
        <v>.280 British</v>
      </c>
      <c r="B393" t="str">
        <f>'Ammo Input'!B393</f>
        <v>AP-I</v>
      </c>
      <c r="C393">
        <f>ROUNDUP(('Ammo Input'!C393*(MAX('Ammo Input'!D393,'Ammo Input'!F393)*0.5)^2*PI())*3/1000000,2)</f>
        <v>0.03</v>
      </c>
      <c r="D393">
        <f>ROUNDUP(('Ammo Input'!E393+'Ammo Input'!H393*IF('Ammo Input'!J393&lt;&gt;"",MAX('Ammo Input'!J393,1),1))/1000,3)</f>
        <v>0.023</v>
      </c>
      <c r="E393">
        <f>MIN(5000,MAX(25,CEILING(Calcs!L393,_xlfn.IFS(Calcs!L393&lt;100,25,Calcs!L393&lt;250,50,Calcs!L393&lt;1000,250,Calcs!L393&gt;=1000,1000))))</f>
        <v>5000</v>
      </c>
      <c r="F393">
        <f>ROUNDUP('Ammo Input'!G393^(3/4),0)</f>
        <v>148</v>
      </c>
      <c r="G393">
        <f>ROUND((0.5*((IF(OR(B393="HEAT",B393="HEDP"),'Ammo Input'!N393,'Ammo Input'!H393)/1000)*(IF(B393="HEAT",9000,IF(B393="HEDP",1500,'Ammo Input'!G393))^2))),0)</f>
        <v>2738</v>
      </c>
      <c r="H393" s="25" t="str">
        <f>CONCATENATE(IF((B393="Foam")+(B393="Smoke"),"-",ROUND(Calcs!D393,0))," ",VLOOKUP(B393,AmmoTypeFactors,5,FALSE))</f>
        <v>11 Bullet</v>
      </c>
      <c r="I393" s="25" t="str">
        <f>IF(Calcs!E393=0,"None",CONCATENATE(ROUND(Calcs!E393,0)," ",VLOOKUP(B393,AmmoTypeFactors,6,FALSE)))</f>
        <v>5 Flame_Secondary</v>
      </c>
      <c r="J393">
        <f>MROUND(2.42*'Ammo Input'!M393^(1/3)*VLOOKUP(B393,AmmoTypeFactors,3,FALSE),0.5)</f>
        <v>0</v>
      </c>
      <c r="K393" s="25" t="str">
        <f>IF(VLOOKUP(B393,AmmoTypeFactors,12,FALSE),MROUND(J393/3,0.5),"None")</f>
        <v>None</v>
      </c>
      <c r="L393" s="25">
        <f>IF(VLOOKUP(B393,AmmoTypeFactors,8,FALSE),"None",ROUNDUP(IF(Calcs!I393&gt;0,Calcs!I393,Calcs!H393),3))</f>
        <v>54.76</v>
      </c>
      <c r="M393" s="25">
        <f>IF(VLOOKUP(B393,AmmoTypeFactors,8,FALSE),"None",'Ammo Input'!L393)</f>
        <v>12</v>
      </c>
      <c r="N393">
        <f>'Ammo Input'!O393</f>
        <v>500</v>
      </c>
      <c r="O393" t="e">
        <f>ROUND((P393*0.0036+SUMPRODUCT(Q393:AB393,VLOOKUP($Q$1:$AB$1,IngredientStats,2,FALSE)))/N393*IF('Ammo Input'!R393,0.5,1),2)</f>
        <v>#VALUE!</v>
      </c>
      <c r="P393" t="e">
        <f>(SUMPRODUCT(Q393:AB393,VLOOKUP($Q$1:$AB$1,IngredientStats,4,FALSE))*VLOOKUP(B393,AmmoTypeFactors,14,FALSE)*IF('Ammo Input'!R393,1.1,1))</f>
        <v>#VALUE!</v>
      </c>
      <c r="Q393">
        <f>IFERROR(__xludf.DUMMYFUNCTION("((IF(NOT(OR(REGEXMATCH(B389, ""Arrow""), B389 = ""Javelin"", B389 = ""Stick bomb"")), ROUNDUP(('Ammo Input'!E389 / 1000) * N389)) + IF(VLOOKUP(B389, AmmoTypeFactors, 9, FALSE) = ""Steel"", ROUNDUP(('Ammo Input'!H389 -'Ammo Input'!M389) * MAX(IF('Ammo Inpu"&amp;"t'!J389 &gt; 0, 'Ammo Input'!J389, 1), 1) * N389 / 1000))) / 'Ingredient stats'!$C$2) * IF(ISBLANK(VLOOKUP(B389,AmmoTypeFactors,15,False)),1,VLOOKUP(B389,AmmoTypeFactors,15,False))"),24)</f>
        <v>24</v>
      </c>
      <c r="R393">
        <f>IFERROR(__xludf.DUMMYFUNCTION("ROUNDUP((IF(REGEXMATCH(B389, ""Arrow"") + (B389 = ""Javelin""), 'Ammo Input'!E389) + IF(VLOOKUP(B389, AmmoTypeFactors, 9, FALSE) = ""Wood"", 'Ammo Input'!H389) + IF(B389 = ""Stick bomb"", 'Ammo Input'!E389)) * N389 / 'Ingredient stats'!$C$12 / 1000)"),0)</f>
        <v>0</v>
      </c>
      <c r="S393">
        <v>0</v>
      </c>
      <c r="T393">
        <v>0</v>
      </c>
      <c r="U393">
        <f>IF(VLOOKUP(B393,AmmoTypeFactors,9,FALSE)="Plasteel",ROUNDUP(('Ammo Input'!H393*MAX(IF('Ammo Input'!J393&gt;0,'Ammo Input'!J393,1)*N393/1000/'Ingredient stats'!$C$4)),0),0)</f>
        <v>0</v>
      </c>
      <c r="V393">
        <f>IFERROR(__xludf.DUMMYFUNCTION("ROUNDUP(IF(ISBLANK(VLOOKUP(B389,AmmoTypeFactors,16,False)),1,VLOOKUP(B389,AmmoTypeFactors,16,False)) * (IFS(REGEXMATCH(B389, ""EMP""), 'Ammo Input'!M389 * N389 / 'Ingredient stats'!$C$5, REGEXMATCH(B389, ""Charge""), (U389^0.75), true, 0) + (IF(VLOOKUP(B3"&amp;"89, AmmoTypeFactors, 10, false), 2,0) + IF('Ammo Input'!P389, 2,0) + IF('Ammo Input'!Q389,MIN(ROUNDUP(0.2*('Ammo Input'!H389/1000)*'Ammo Input'!O389,0),20),0))))"),0)</f>
        <v>0</v>
      </c>
      <c r="W393">
        <v>3</v>
      </c>
      <c r="X393">
        <v>0</v>
      </c>
      <c r="Y393">
        <v>0</v>
      </c>
      <c r="Z393">
        <v>0</v>
      </c>
      <c r="AA393">
        <v>0</v>
      </c>
      <c r="AB393" s="30">
        <f>IF(B393="Sling Bullet (Stone)",ROUNDUP(D393*0.02*E393/'Ingredient stats'!$C$8,0),0)</f>
        <v>0</v>
      </c>
      <c r="AC393" t="str">
        <f t="shared" si="20"/>
        <v>None</v>
      </c>
      <c r="AD393" t="str">
        <f>IF(OR(B393="Buck",B393="Bird",B393="Charge (Scatter)"),'Ammo Input'!J393,"None")</f>
        <v>None</v>
      </c>
      <c r="AE393" t="str">
        <f>_xlfn.IFS(ISTEXT(Calcs!N393),Calcs!N393,Calcs!N393&lt;=40,Calcs!N393,Calcs!N393&gt;41,"40")</f>
        <v>None</v>
      </c>
      <c r="AF393" t="str">
        <f>_xlfn.IFS(ISTEXT(Calcs!O393),Calcs!O393,Calcs!O393&lt;=80,Calcs!O393,Calcs!O393&gt;=81,"80")</f>
        <v>None</v>
      </c>
      <c r="AG393" s="25">
        <f t="shared" si="21"/>
        <v>1</v>
      </c>
      <c r="AH393" s="25">
        <f t="shared" si="22"/>
        <v>2.41</v>
      </c>
      <c r="AI393" s="25">
        <f t="shared" si="23"/>
        <v>1</v>
      </c>
    </row>
    <row r="394" ht="14.4" spans="1:35">
      <c r="A394" s="24" t="str">
        <f>'Ammo Input'!A394</f>
        <v>.280 British</v>
      </c>
      <c r="B394" t="str">
        <f>'Ammo Input'!B394</f>
        <v>AP-HE</v>
      </c>
      <c r="C394">
        <f>ROUNDUP(('Ammo Input'!C394*(MAX('Ammo Input'!D394,'Ammo Input'!F394)*0.5)^2*PI())*3/1000000,2)</f>
        <v>0.03</v>
      </c>
      <c r="D394">
        <f>ROUNDUP(('Ammo Input'!E394+'Ammo Input'!H394*IF('Ammo Input'!J394&lt;&gt;"",MAX('Ammo Input'!J394,1),1))/1000,3)</f>
        <v>0.023</v>
      </c>
      <c r="E394">
        <f>MIN(5000,MAX(25,CEILING(Calcs!L394,_xlfn.IFS(Calcs!L394&lt;100,25,Calcs!L394&lt;250,50,Calcs!L394&lt;1000,250,Calcs!L394&gt;=1000,1000))))</f>
        <v>5000</v>
      </c>
      <c r="F394">
        <f>ROUNDUP('Ammo Input'!G394^(3/4),0)</f>
        <v>148</v>
      </c>
      <c r="G394">
        <f>ROUND((0.5*((IF(OR(B394="HEAT",B394="HEDP"),'Ammo Input'!N394,'Ammo Input'!H394)/1000)*(IF(B394="HEAT",9000,IF(B394="HEDP",1500,'Ammo Input'!G394))^2))),0)</f>
        <v>2738</v>
      </c>
      <c r="H394" s="25" t="str">
        <f>CONCATENATE(IF((B394="Foam")+(B394="Smoke"),"-",ROUND(Calcs!D394,0))," ",VLOOKUP(B394,AmmoTypeFactors,5,FALSE))</f>
        <v>18 Bullet</v>
      </c>
      <c r="I394" s="25" t="str">
        <f>IF(Calcs!E394=0,"None",CONCATENATE(ROUND(Calcs!E394,0)," ",VLOOKUP(B394,AmmoTypeFactors,6,FALSE)))</f>
        <v>7 Bomb_Secondary</v>
      </c>
      <c r="J394">
        <f>MROUND(2.42*'Ammo Input'!M394^(1/3)*VLOOKUP(B394,AmmoTypeFactors,3,FALSE),0.5)</f>
        <v>0</v>
      </c>
      <c r="K394" s="25" t="str">
        <f>IF(VLOOKUP(B394,AmmoTypeFactors,12,FALSE),MROUND(J394/3,0.5),"None")</f>
        <v>None</v>
      </c>
      <c r="L394" s="25">
        <f>IF(VLOOKUP(B394,AmmoTypeFactors,8,FALSE),"None",ROUNDUP(IF(Calcs!I394&gt;0,Calcs!I394,Calcs!H394),3))</f>
        <v>54.76</v>
      </c>
      <c r="M394" s="25">
        <f>IF(VLOOKUP(B394,AmmoTypeFactors,8,FALSE),"None",'Ammo Input'!L394)</f>
        <v>6</v>
      </c>
      <c r="N394">
        <f>'Ammo Input'!O394</f>
        <v>500</v>
      </c>
      <c r="O394" t="e">
        <f>ROUND((P394*0.0036+SUMPRODUCT(Q394:AB394,VLOOKUP($Q$1:$AB$1,IngredientStats,2,FALSE)))/N394*IF('Ammo Input'!R394,0.5,1),2)</f>
        <v>#VALUE!</v>
      </c>
      <c r="P394" t="e">
        <f>(SUMPRODUCT(Q394:AB394,VLOOKUP($Q$1:$AB$1,IngredientStats,4,FALSE))*VLOOKUP(B394,AmmoTypeFactors,14,FALSE)*IF('Ammo Input'!R394,1.1,1))</f>
        <v>#VALUE!</v>
      </c>
      <c r="Q394">
        <f>IFERROR(__xludf.DUMMYFUNCTION("((IF(NOT(OR(REGEXMATCH(B390, ""Arrow""), B390 = ""Javelin"", B390 = ""Stick bomb"")), ROUNDUP(('Ammo Input'!E390 / 1000) * N390)) + IF(VLOOKUP(B390, AmmoTypeFactors, 9, FALSE) = ""Steel"", ROUNDUP(('Ammo Input'!H390 -'Ammo Input'!M390) * MAX(IF('Ammo Inpu"&amp;"t'!J390 &gt; 0, 'Ammo Input'!J390, 1), 1) * N390 / 1000))) / 'Ingredient stats'!$C$2) * IF(ISBLANK(VLOOKUP(B390,AmmoTypeFactors,15,False)),1,VLOOKUP(B390,AmmoTypeFactors,15,False))"),24)</f>
        <v>24</v>
      </c>
      <c r="R394">
        <f>IFERROR(__xludf.DUMMYFUNCTION("ROUNDUP((IF(REGEXMATCH(B390, ""Arrow"") + (B390 = ""Javelin""), 'Ammo Input'!E390) + IF(VLOOKUP(B390, AmmoTypeFactors, 9, FALSE) = ""Wood"", 'Ammo Input'!H390) + IF(B390 = ""Stick bomb"", 'Ammo Input'!E390)) * N390 / 'Ingredient stats'!$C$12 / 1000)"),0)</f>
        <v>0</v>
      </c>
      <c r="S394">
        <v>0</v>
      </c>
      <c r="T394">
        <v>0</v>
      </c>
      <c r="U394">
        <f>IF(VLOOKUP(B394,AmmoTypeFactors,9,FALSE)="Plasteel",ROUNDUP(('Ammo Input'!H394*MAX(IF('Ammo Input'!J394&gt;0,'Ammo Input'!J394,1)*N394/1000/'Ingredient stats'!$C$4)),0),0)</f>
        <v>0</v>
      </c>
      <c r="V394">
        <f>IFERROR(__xludf.DUMMYFUNCTION("ROUNDUP(IF(ISBLANK(VLOOKUP(B390,AmmoTypeFactors,16,False)),1,VLOOKUP(B390,AmmoTypeFactors,16,False)) * (IFS(REGEXMATCH(B390, ""EMP""), 'Ammo Input'!M390 * N390 / 'Ingredient stats'!$C$5, REGEXMATCH(B390, ""Charge""), (U390^0.75), true, 0) + (IF(VLOOKUP(B3"&amp;"90, AmmoTypeFactors, 10, false), 2,0) + IF('Ammo Input'!P390, 2,0) + IF('Ammo Input'!Q390,MIN(ROUNDUP(0.2*('Ammo Input'!H390/1000)*'Ammo Input'!O390,0),20),0))))"),0)</f>
        <v>0</v>
      </c>
      <c r="W394">
        <v>0</v>
      </c>
      <c r="X394">
        <v>5</v>
      </c>
      <c r="Y394">
        <v>0</v>
      </c>
      <c r="Z394">
        <v>0</v>
      </c>
      <c r="AA394">
        <v>0</v>
      </c>
      <c r="AB394" s="30">
        <f>IF(B394="Sling Bullet (Stone)",ROUNDUP(D394*0.02*E394/'Ingredient stats'!$C$8,0),0)</f>
        <v>0</v>
      </c>
      <c r="AC394" t="str">
        <f t="shared" si="20"/>
        <v>None</v>
      </c>
      <c r="AD394" t="str">
        <f>IF(OR(B394="Buck",B394="Bird",B394="Charge (Scatter)"),'Ammo Input'!J394,"None")</f>
        <v>None</v>
      </c>
      <c r="AE394" t="str">
        <f>_xlfn.IFS(ISTEXT(Calcs!N394),Calcs!N394,Calcs!N394&lt;=40,Calcs!N394,Calcs!N394&gt;41,"40")</f>
        <v>None</v>
      </c>
      <c r="AF394" t="str">
        <f>_xlfn.IFS(ISTEXT(Calcs!O394),Calcs!O394,Calcs!O394&lt;=80,Calcs!O394,Calcs!O394&gt;=81,"80")</f>
        <v>None</v>
      </c>
      <c r="AG394" s="25">
        <f t="shared" si="21"/>
        <v>1</v>
      </c>
      <c r="AH394" s="25">
        <f t="shared" si="22"/>
        <v>2.41</v>
      </c>
      <c r="AI394" s="25">
        <f t="shared" si="23"/>
        <v>1</v>
      </c>
    </row>
    <row r="395" ht="14.4" spans="1:35">
      <c r="A395" s="24" t="str">
        <f>'Ammo Input'!A395</f>
        <v>.280 British</v>
      </c>
      <c r="B395" t="str">
        <f>'Ammo Input'!B395</f>
        <v>Sabot</v>
      </c>
      <c r="C395">
        <f>ROUNDUP(('Ammo Input'!C395*(MAX('Ammo Input'!D395,'Ammo Input'!F395)*0.5)^2*PI())*3/1000000,2)</f>
        <v>0.03</v>
      </c>
      <c r="D395">
        <f>ROUNDUP(('Ammo Input'!E395+'Ammo Input'!H395*IF('Ammo Input'!J395&lt;&gt;"",MAX('Ammo Input'!J395,1),1))/1000,3)</f>
        <v>0.019</v>
      </c>
      <c r="E395">
        <f>MIN(5000,MAX(25,CEILING(Calcs!L395,_xlfn.IFS(Calcs!L395&lt;100,25,Calcs!L395&lt;250,50,Calcs!L395&lt;1000,250,Calcs!L395&gt;=1000,1000))))</f>
        <v>5000</v>
      </c>
      <c r="F395">
        <f>ROUNDUP('Ammo Input'!G395^(3/4),0)</f>
        <v>200</v>
      </c>
      <c r="G395">
        <f>ROUND((0.5*((IF(OR(B395="HEAT",B395="HEDP"),'Ammo Input'!N395,'Ammo Input'!H395)/1000)*(IF(B395="HEAT",9000,IF(B395="HEDP",1500,'Ammo Input'!G395))^2))),0)</f>
        <v>3515</v>
      </c>
      <c r="H395" s="25" t="str">
        <f>CONCATENATE(IF((B395="Foam")+(B395="Smoke"),"-",ROUND(Calcs!D395,0))," ",VLOOKUP(B395,AmmoTypeFactors,5,FALSE))</f>
        <v>9 Bullet</v>
      </c>
      <c r="I395" s="25" t="str">
        <f>IF(Calcs!E395=0,"None",CONCATENATE(ROUND(Calcs!E395,0)," ",VLOOKUP(B395,AmmoTypeFactors,6,FALSE)))</f>
        <v>None</v>
      </c>
      <c r="J395">
        <f>MROUND(2.42*'Ammo Input'!M395^(1/3)*VLOOKUP(B395,AmmoTypeFactors,3,FALSE),0.5)</f>
        <v>0</v>
      </c>
      <c r="K395" s="25" t="str">
        <f>IF(VLOOKUP(B395,AmmoTypeFactors,12,FALSE),MROUND(J395/3,0.5),"None")</f>
        <v>None</v>
      </c>
      <c r="L395" s="25">
        <f>IF(VLOOKUP(B395,AmmoTypeFactors,8,FALSE),"None",ROUNDUP(IF(Calcs!I395&gt;0,Calcs!I395,Calcs!H395),3))</f>
        <v>70.3</v>
      </c>
      <c r="M395" s="25">
        <f>IF(VLOOKUP(B395,AmmoTypeFactors,8,FALSE),"None",'Ammo Input'!L395)</f>
        <v>21</v>
      </c>
      <c r="N395">
        <f>'Ammo Input'!O395</f>
        <v>500</v>
      </c>
      <c r="O395" t="e">
        <f>ROUND((P395*0.0036+SUMPRODUCT(Q395:AB395,VLOOKUP($Q$1:$AB$1,IngredientStats,2,FALSE)))/N395*IF('Ammo Input'!R395,0.5,1),2)</f>
        <v>#VALUE!</v>
      </c>
      <c r="P395" t="e">
        <f>(SUMPRODUCT(Q395:AB395,VLOOKUP($Q$1:$AB$1,IngredientStats,4,FALSE))*VLOOKUP(B395,AmmoTypeFactors,14,FALSE)*IF('Ammo Input'!R395,1.1,1))</f>
        <v>#VALUE!</v>
      </c>
      <c r="Q395">
        <f>IFERROR(__xludf.DUMMYFUNCTION("((IF(NOT(OR(REGEXMATCH(B391, ""Arrow""), B391 = ""Javelin"", B391 = ""Stick bomb"")), ROUNDUP(('Ammo Input'!E391 / 1000) * N391)) + IF(VLOOKUP(B391, AmmoTypeFactors, 9, FALSE) = ""Steel"", ROUNDUP(('Ammo Input'!H391 -'Ammo Input'!M391) * MAX(IF('Ammo Inpu"&amp;"t'!J391 &gt; 0, 'Ammo Input'!J391, 1), 1) * N391 / 1000))) / 'Ingredient stats'!$C$2) * IF(ISBLANK(VLOOKUP(B391,AmmoTypeFactors,15,False)),1,VLOOKUP(B391,AmmoTypeFactors,15,False))"),14)</f>
        <v>14</v>
      </c>
      <c r="R395">
        <f>IFERROR(__xludf.DUMMYFUNCTION("ROUNDUP((IF(REGEXMATCH(B391, ""Arrow"") + (B391 = ""Javelin""), 'Ammo Input'!E391) + IF(VLOOKUP(B391, AmmoTypeFactors, 9, FALSE) = ""Wood"", 'Ammo Input'!H391) + IF(B391 = ""Stick bomb"", 'Ammo Input'!E391)) * N391 / 'Ingredient stats'!$C$12 / 1000)"),0)</f>
        <v>0</v>
      </c>
      <c r="S395">
        <v>3</v>
      </c>
      <c r="T395">
        <v>3</v>
      </c>
      <c r="U395">
        <f>IF(VLOOKUP(B395,AmmoTypeFactors,9,FALSE)="Plasteel",ROUNDUP(('Ammo Input'!H395*MAX(IF('Ammo Input'!J395&gt;0,'Ammo Input'!J395,1)*N395/1000/'Ingredient stats'!$C$4)),0),0)</f>
        <v>0</v>
      </c>
      <c r="V395">
        <f>IFERROR(__xludf.DUMMYFUNCTION("ROUNDUP(IF(ISBLANK(VLOOKUP(B391,AmmoTypeFactors,16,False)),1,VLOOKUP(B391,AmmoTypeFactors,16,False)) * (IFS(REGEXMATCH(B391, ""EMP""), 'Ammo Input'!M391 * N391 / 'Ingredient stats'!$C$5, REGEXMATCH(B391, ""Charge""), (U391^0.75), true, 0) + (IF(VLOOKUP(B3"&amp;"91, AmmoTypeFactors, 10, false), 2,0) + IF('Ammo Input'!P391, 2,0) + IF('Ammo Input'!Q391,MIN(ROUNDUP(0.2*('Ammo Input'!H391/1000)*'Ammo Input'!O391,0),20),0))))"),0)</f>
        <v>0</v>
      </c>
      <c r="W395">
        <v>0</v>
      </c>
      <c r="X395">
        <v>0</v>
      </c>
      <c r="Y395">
        <v>0</v>
      </c>
      <c r="Z395">
        <v>0</v>
      </c>
      <c r="AA395">
        <v>0</v>
      </c>
      <c r="AB395" s="30">
        <f>IF(B395="Sling Bullet (Stone)",ROUNDUP(D395*0.02*E395/'Ingredient stats'!$C$8,0),0)</f>
        <v>0</v>
      </c>
      <c r="AC395" t="str">
        <f t="shared" si="20"/>
        <v>None</v>
      </c>
      <c r="AD395" t="str">
        <f>IF(OR(B395="Buck",B395="Bird",B395="Charge (Scatter)"),'Ammo Input'!J395,"None")</f>
        <v>None</v>
      </c>
      <c r="AE395" t="str">
        <f>_xlfn.IFS(ISTEXT(Calcs!N395),Calcs!N395,Calcs!N395&lt;=40,Calcs!N395,Calcs!N395&gt;41,"40")</f>
        <v>None</v>
      </c>
      <c r="AF395" t="str">
        <f>_xlfn.IFS(ISTEXT(Calcs!O395),Calcs!O395,Calcs!O395&lt;=80,Calcs!O395,Calcs!O395&gt;=81,"80")</f>
        <v>None</v>
      </c>
      <c r="AG395" s="25">
        <f t="shared" si="21"/>
        <v>1</v>
      </c>
      <c r="AH395" s="25">
        <f t="shared" si="22"/>
        <v>3.28</v>
      </c>
      <c r="AI395" s="25">
        <f t="shared" si="23"/>
        <v>1</v>
      </c>
    </row>
    <row r="396" ht="14.4" spans="1:35">
      <c r="A396" s="24" t="str">
        <f>'Ammo Input'!A396</f>
        <v>.303 British</v>
      </c>
      <c r="B396" t="str">
        <f>'Ammo Input'!B396</f>
        <v>FMJ</v>
      </c>
      <c r="C396">
        <f>ROUNDUP(('Ammo Input'!C396*(MAX('Ammo Input'!D396,'Ammo Input'!F396)*0.5)^2*PI())*3/1000000,2)</f>
        <v>0.03</v>
      </c>
      <c r="D396">
        <f>ROUNDUP(('Ammo Input'!E396+'Ammo Input'!H396*IF('Ammo Input'!J396&lt;&gt;"",MAX('Ammo Input'!J396,1),1))/1000,3)</f>
        <v>0.026</v>
      </c>
      <c r="E396">
        <f>MIN(5000,MAX(25,CEILING(Calcs!L396,_xlfn.IFS(Calcs!L396&lt;100,25,Calcs!L396&lt;250,50,Calcs!L396&lt;1000,250,Calcs!L396&gt;=1000,1000))))</f>
        <v>5000</v>
      </c>
      <c r="F396">
        <f>ROUNDUP('Ammo Input'!G396^(3/4),0)</f>
        <v>147</v>
      </c>
      <c r="G396">
        <f>ROUND((0.5*((IF(OR(B396="HEAT",B396="HEDP"),'Ammo Input'!N396,'Ammo Input'!H396)/1000)*(IF(B396="HEAT",9000,IF(B396="HEDP",1500,'Ammo Input'!G396))^2))),0)</f>
        <v>3350</v>
      </c>
      <c r="H396" s="25" t="str">
        <f>CONCATENATE(IF((B396="Foam")+(B396="Smoke"),"-",ROUND(Calcs!D396,0))," ",VLOOKUP(B396,AmmoTypeFactors,5,FALSE))</f>
        <v>20 Bullet</v>
      </c>
      <c r="I396" s="25" t="str">
        <f>IF(Calcs!E396=0,"None",CONCATENATE(ROUND(Calcs!E396,0)," ",VLOOKUP(B396,AmmoTypeFactors,6,FALSE)))</f>
        <v>None</v>
      </c>
      <c r="J396">
        <f>MROUND(2.42*'Ammo Input'!M396^(1/3)*VLOOKUP(B396,AmmoTypeFactors,3,FALSE),0.5)</f>
        <v>0</v>
      </c>
      <c r="K396" s="25" t="str">
        <f>IF(VLOOKUP(B396,AmmoTypeFactors,12,FALSE),MROUND(J396/3,0.5),"None")</f>
        <v>None</v>
      </c>
      <c r="L396" s="25">
        <f>IF(VLOOKUP(B396,AmmoTypeFactors,8,FALSE),"None",ROUNDUP(IF(Calcs!I396&gt;0,Calcs!I396,Calcs!H396),3))</f>
        <v>67</v>
      </c>
      <c r="M396" s="25">
        <f>IF(VLOOKUP(B396,AmmoTypeFactors,8,FALSE),"None",'Ammo Input'!L396)</f>
        <v>7</v>
      </c>
      <c r="N396">
        <f>'Ammo Input'!O396</f>
        <v>500</v>
      </c>
      <c r="O396" t="e">
        <f>ROUND((P396*0.0036+SUMPRODUCT(Q396:AB396,VLOOKUP($Q$1:$AB$1,IngredientStats,2,FALSE)))/N396*IF('Ammo Input'!R396,0.5,1),2)</f>
        <v>#VALUE!</v>
      </c>
      <c r="P396" t="e">
        <f>(SUMPRODUCT(Q396:AB396,VLOOKUP($Q$1:$AB$1,IngredientStats,4,FALSE))*VLOOKUP(B396,AmmoTypeFactors,14,FALSE)*IF('Ammo Input'!R396,1.1,1))</f>
        <v>#VALUE!</v>
      </c>
      <c r="Q396">
        <f>IFERROR(__xludf.DUMMYFUNCTION("((IF(NOT(OR(REGEXMATCH(B392, ""Arrow""), B392 = ""Javelin"", B392 = ""Stick bomb"")), ROUNDUP(('Ammo Input'!E392 / 1000) * N392)) + IF(VLOOKUP(B392, AmmoTypeFactors, 9, FALSE) = ""Steel"", ROUNDUP(('Ammo Input'!H392 -'Ammo Input'!M392) * MAX(IF('Ammo Inpu"&amp;"t'!J392 &gt; 0, 'Ammo Input'!J392, 1), 1) * N392 / 1000))) / 'Ingredient stats'!$C$2) * IF(ISBLANK(VLOOKUP(B392,AmmoTypeFactors,15,False)),1,VLOOKUP(B392,AmmoTypeFactors,15,False))"),28)</f>
        <v>28</v>
      </c>
      <c r="R396">
        <f>IFERROR(__xludf.DUMMYFUNCTION("ROUNDUP((IF(REGEXMATCH(B392, ""Arrow"") + (B392 = ""Javelin""), 'Ammo Input'!E392) + IF(VLOOKUP(B392, AmmoTypeFactors, 9, FALSE) = ""Wood"", 'Ammo Input'!H392) + IF(B392 = ""Stick bomb"", 'Ammo Input'!E392)) * N392 / 'Ingredient stats'!$C$12 / 1000)"),0)</f>
        <v>0</v>
      </c>
      <c r="S396">
        <v>0</v>
      </c>
      <c r="T396">
        <v>0</v>
      </c>
      <c r="U396">
        <f>IF(VLOOKUP(B396,AmmoTypeFactors,9,FALSE)="Plasteel",ROUNDUP(('Ammo Input'!H396*MAX(IF('Ammo Input'!J396&gt;0,'Ammo Input'!J396,1)*N396/1000/'Ingredient stats'!$C$4)),0),0)</f>
        <v>0</v>
      </c>
      <c r="V396">
        <f>IFERROR(__xludf.DUMMYFUNCTION("ROUNDUP(IF(ISBLANK(VLOOKUP(B392,AmmoTypeFactors,16,False)),1,VLOOKUP(B392,AmmoTypeFactors,16,False)) * (IFS(REGEXMATCH(B392, ""EMP""), 'Ammo Input'!M392 * N392 / 'Ingredient stats'!$C$5, REGEXMATCH(B392, ""Charge""), (U392^0.75), true, 0) + (IF(VLOOKUP(B3"&amp;"92, AmmoTypeFactors, 10, false), 2,0) + IF('Ammo Input'!P392, 2,0) + IF('Ammo Input'!Q392,MIN(ROUNDUP(0.2*('Ammo Input'!H392/1000)*'Ammo Input'!O392,0),20),0))))"),0)</f>
        <v>0</v>
      </c>
      <c r="W396">
        <v>0</v>
      </c>
      <c r="X396">
        <v>0</v>
      </c>
      <c r="Y396">
        <v>0</v>
      </c>
      <c r="Z396">
        <v>0</v>
      </c>
      <c r="AA396">
        <v>0</v>
      </c>
      <c r="AB396" s="30">
        <f>IF(B396="Sling Bullet (Stone)",ROUNDUP(D396*0.02*E396/'Ingredient stats'!$C$8,0),0)</f>
        <v>0</v>
      </c>
      <c r="AC396" t="str">
        <f t="shared" si="20"/>
        <v>None</v>
      </c>
      <c r="AD396" t="str">
        <f>IF(OR(B396="Buck",B396="Bird",B396="Charge (Scatter)"),'Ammo Input'!J396,"None")</f>
        <v>None</v>
      </c>
      <c r="AE396" t="str">
        <f>_xlfn.IFS(ISTEXT(Calcs!N396),Calcs!N396,Calcs!N396&lt;=40,Calcs!N396,Calcs!N396&gt;41,"40")</f>
        <v>None</v>
      </c>
      <c r="AF396" t="str">
        <f>_xlfn.IFS(ISTEXT(Calcs!O396),Calcs!O396,Calcs!O396&lt;=80,Calcs!O396,Calcs!O396&gt;=81,"80")</f>
        <v>None</v>
      </c>
      <c r="AG396" s="25">
        <f t="shared" si="21"/>
        <v>1</v>
      </c>
      <c r="AH396" s="25">
        <f t="shared" si="22"/>
        <v>2.41</v>
      </c>
      <c r="AI396" s="25">
        <f t="shared" si="23"/>
        <v>1</v>
      </c>
    </row>
    <row r="397" ht="14.4" spans="1:35">
      <c r="A397" s="24" t="str">
        <f>'Ammo Input'!A397</f>
        <v>.303 British</v>
      </c>
      <c r="B397" t="str">
        <f>'Ammo Input'!B397</f>
        <v>AP</v>
      </c>
      <c r="C397">
        <f>ROUNDUP(('Ammo Input'!C397*(MAX('Ammo Input'!D397,'Ammo Input'!F397)*0.5)^2*PI())*3/1000000,2)</f>
        <v>0.03</v>
      </c>
      <c r="D397">
        <f>ROUNDUP(('Ammo Input'!E397+'Ammo Input'!H397*IF('Ammo Input'!J397&lt;&gt;"",MAX('Ammo Input'!J397,1),1))/1000,3)</f>
        <v>0.026</v>
      </c>
      <c r="E397">
        <f>MIN(5000,MAX(25,CEILING(Calcs!L397,_xlfn.IFS(Calcs!L397&lt;100,25,Calcs!L397&lt;250,50,Calcs!L397&lt;1000,250,Calcs!L397&gt;=1000,1000))))</f>
        <v>5000</v>
      </c>
      <c r="F397">
        <f>ROUNDUP('Ammo Input'!G397^(3/4),0)</f>
        <v>147</v>
      </c>
      <c r="G397">
        <f>ROUND((0.5*((IF(OR(B397="HEAT",B397="HEDP"),'Ammo Input'!N397,'Ammo Input'!H397)/1000)*(IF(B397="HEAT",9000,IF(B397="HEDP",1500,'Ammo Input'!G397))^2))),0)</f>
        <v>3350</v>
      </c>
      <c r="H397" s="25" t="str">
        <f>CONCATENATE(IF((B397="Foam")+(B397="Smoke"),"-",ROUND(Calcs!D397,0))," ",VLOOKUP(B397,AmmoTypeFactors,5,FALSE))</f>
        <v>12 Bullet</v>
      </c>
      <c r="I397" s="25" t="str">
        <f>IF(Calcs!E397=0,"None",CONCATENATE(ROUND(Calcs!E397,0)," ",VLOOKUP(B397,AmmoTypeFactors,6,FALSE)))</f>
        <v>None</v>
      </c>
      <c r="J397">
        <f>MROUND(2.42*'Ammo Input'!M397^(1/3)*VLOOKUP(B397,AmmoTypeFactors,3,FALSE),0.5)</f>
        <v>0</v>
      </c>
      <c r="K397" s="25" t="str">
        <f>IF(VLOOKUP(B397,AmmoTypeFactors,12,FALSE),MROUND(J397/3,0.5),"None")</f>
        <v>None</v>
      </c>
      <c r="L397" s="25">
        <f>IF(VLOOKUP(B397,AmmoTypeFactors,8,FALSE),"None",ROUNDUP(IF(Calcs!I397&gt;0,Calcs!I397,Calcs!H397),3))</f>
        <v>67</v>
      </c>
      <c r="M397" s="25">
        <f>IF(VLOOKUP(B397,AmmoTypeFactors,8,FALSE),"None",'Ammo Input'!L397)</f>
        <v>14</v>
      </c>
      <c r="N397">
        <f>'Ammo Input'!O397</f>
        <v>500</v>
      </c>
      <c r="O397" t="e">
        <f>ROUND((P397*0.0036+SUMPRODUCT(Q397:AB397,VLOOKUP($Q$1:$AB$1,IngredientStats,2,FALSE)))/N397*IF('Ammo Input'!R397,0.5,1),2)</f>
        <v>#VALUE!</v>
      </c>
      <c r="P397" t="e">
        <f>(SUMPRODUCT(Q397:AB397,VLOOKUP($Q$1:$AB$1,IngredientStats,4,FALSE))*VLOOKUP(B397,AmmoTypeFactors,14,FALSE)*IF('Ammo Input'!R397,1.1,1))</f>
        <v>#VALUE!</v>
      </c>
      <c r="Q397">
        <f>IFERROR(__xludf.DUMMYFUNCTION("((IF(NOT(OR(REGEXMATCH(B393, ""Arrow""), B393 = ""Javelin"", B393 = ""Stick bomb"")), ROUNDUP(('Ammo Input'!E393 / 1000) * N393)) + IF(VLOOKUP(B393, AmmoTypeFactors, 9, FALSE) = ""Steel"", ROUNDUP(('Ammo Input'!H393 -'Ammo Input'!M393) * MAX(IF('Ammo Inpu"&amp;"t'!J393 &gt; 0, 'Ammo Input'!J393, 1), 1) * N393 / 1000))) / 'Ingredient stats'!$C$2) * IF(ISBLANK(VLOOKUP(B393,AmmoTypeFactors,15,False)),1,VLOOKUP(B393,AmmoTypeFactors,15,False))"),28)</f>
        <v>28</v>
      </c>
      <c r="R397">
        <f>IFERROR(__xludf.DUMMYFUNCTION("ROUNDUP((IF(REGEXMATCH(B393, ""Arrow"") + (B393 = ""Javelin""), 'Ammo Input'!E393) + IF(VLOOKUP(B393, AmmoTypeFactors, 9, FALSE) = ""Wood"", 'Ammo Input'!H393) + IF(B393 = ""Stick bomb"", 'Ammo Input'!E393)) * N393 / 'Ingredient stats'!$C$12 / 1000)"),0)</f>
        <v>0</v>
      </c>
      <c r="S397">
        <v>0</v>
      </c>
      <c r="T397">
        <v>0</v>
      </c>
      <c r="U397">
        <f>IF(VLOOKUP(B397,AmmoTypeFactors,9,FALSE)="Plasteel",ROUNDUP(('Ammo Input'!H397*MAX(IF('Ammo Input'!J397&gt;0,'Ammo Input'!J397,1)*N397/1000/'Ingredient stats'!$C$4)),0),0)</f>
        <v>0</v>
      </c>
      <c r="V397">
        <f>IFERROR(__xludf.DUMMYFUNCTION("ROUNDUP(IF(ISBLANK(VLOOKUP(B393,AmmoTypeFactors,16,False)),1,VLOOKUP(B393,AmmoTypeFactors,16,False)) * (IFS(REGEXMATCH(B393, ""EMP""), 'Ammo Input'!M393 * N393 / 'Ingredient stats'!$C$5, REGEXMATCH(B393, ""Charge""), (U393^0.75), true, 0) + (IF(VLOOKUP(B3"&amp;"93, AmmoTypeFactors, 10, false), 2,0) + IF('Ammo Input'!P393, 2,0) + IF('Ammo Input'!Q393,MIN(ROUNDUP(0.2*('Ammo Input'!H393/1000)*'Ammo Input'!O393,0),20),0))))"),0)</f>
        <v>0</v>
      </c>
      <c r="W397">
        <v>0</v>
      </c>
      <c r="X397">
        <v>0</v>
      </c>
      <c r="Y397">
        <v>0</v>
      </c>
      <c r="Z397">
        <v>0</v>
      </c>
      <c r="AA397">
        <v>0</v>
      </c>
      <c r="AB397" s="30">
        <f>IF(B397="Sling Bullet (Stone)",ROUNDUP(D397*0.02*E397/'Ingredient stats'!$C$8,0),0)</f>
        <v>0</v>
      </c>
      <c r="AC397" t="str">
        <f t="shared" si="20"/>
        <v>None</v>
      </c>
      <c r="AD397" t="str">
        <f>IF(OR(B397="Buck",B397="Bird",B397="Charge (Scatter)"),'Ammo Input'!J397,"None")</f>
        <v>None</v>
      </c>
      <c r="AE397" t="str">
        <f>_xlfn.IFS(ISTEXT(Calcs!N397),Calcs!N397,Calcs!N397&lt;=40,Calcs!N397,Calcs!N397&gt;41,"40")</f>
        <v>None</v>
      </c>
      <c r="AF397" t="str">
        <f>_xlfn.IFS(ISTEXT(Calcs!O397),Calcs!O397,Calcs!O397&lt;=80,Calcs!O397,Calcs!O397&gt;=81,"80")</f>
        <v>None</v>
      </c>
      <c r="AG397" s="25">
        <f t="shared" si="21"/>
        <v>1</v>
      </c>
      <c r="AH397" s="25">
        <f t="shared" si="22"/>
        <v>2.41</v>
      </c>
      <c r="AI397" s="25">
        <f t="shared" si="23"/>
        <v>1</v>
      </c>
    </row>
    <row r="398" ht="14.4" spans="1:35">
      <c r="A398" s="24" t="str">
        <f>'Ammo Input'!A398</f>
        <v>.303 British</v>
      </c>
      <c r="B398" t="str">
        <f>'Ammo Input'!B398</f>
        <v>HP</v>
      </c>
      <c r="C398">
        <f>ROUNDUP(('Ammo Input'!C398*(MAX('Ammo Input'!D398,'Ammo Input'!F398)*0.5)^2*PI())*3/1000000,2)</f>
        <v>0.03</v>
      </c>
      <c r="D398">
        <f>ROUNDUP(('Ammo Input'!E398+'Ammo Input'!H398*IF('Ammo Input'!J398&lt;&gt;"",MAX('Ammo Input'!J398,1),1))/1000,3)</f>
        <v>0.026</v>
      </c>
      <c r="E398">
        <f>MIN(5000,MAX(25,CEILING(Calcs!L398,_xlfn.IFS(Calcs!L398&lt;100,25,Calcs!L398&lt;250,50,Calcs!L398&lt;1000,250,Calcs!L398&gt;=1000,1000))))</f>
        <v>5000</v>
      </c>
      <c r="F398">
        <f>ROUNDUP('Ammo Input'!G398^(3/4),0)</f>
        <v>147</v>
      </c>
      <c r="G398">
        <f>ROUND((0.5*((IF(OR(B398="HEAT",B398="HEDP"),'Ammo Input'!N398,'Ammo Input'!H398)/1000)*(IF(B398="HEAT",9000,IF(B398="HEDP",1500,'Ammo Input'!G398))^2))),0)</f>
        <v>3350</v>
      </c>
      <c r="H398" s="25" t="str">
        <f>CONCATENATE(IF((B398="Foam")+(B398="Smoke"),"-",ROUND(Calcs!D398,0))," ",VLOOKUP(B398,AmmoTypeFactors,5,FALSE))</f>
        <v>25 Bullet</v>
      </c>
      <c r="I398" s="25" t="str">
        <f>IF(Calcs!E398=0,"None",CONCATENATE(ROUND(Calcs!E398,0)," ",VLOOKUP(B398,AmmoTypeFactors,6,FALSE)))</f>
        <v>None</v>
      </c>
      <c r="J398">
        <f>MROUND(2.42*'Ammo Input'!M398^(1/3)*VLOOKUP(B398,AmmoTypeFactors,3,FALSE),0.5)</f>
        <v>0</v>
      </c>
      <c r="K398" s="25" t="str">
        <f>IF(VLOOKUP(B398,AmmoTypeFactors,12,FALSE),MROUND(J398/3,0.5),"None")</f>
        <v>None</v>
      </c>
      <c r="L398" s="25">
        <f>IF(VLOOKUP(B398,AmmoTypeFactors,8,FALSE),"None",ROUNDUP(IF(Calcs!I398&gt;0,Calcs!I398,Calcs!H398),3))</f>
        <v>67</v>
      </c>
      <c r="M398" s="25">
        <f>IF(VLOOKUP(B398,AmmoTypeFactors,8,FALSE),"None",'Ammo Input'!L398)</f>
        <v>4</v>
      </c>
      <c r="N398">
        <f>'Ammo Input'!O398</f>
        <v>500</v>
      </c>
      <c r="O398" t="e">
        <f>ROUND((P398*0.0036+SUMPRODUCT(Q398:AB398,VLOOKUP($Q$1:$AB$1,IngredientStats,2,FALSE)))/N398*IF('Ammo Input'!R398,0.5,1),2)</f>
        <v>#VALUE!</v>
      </c>
      <c r="P398" t="e">
        <f>(SUMPRODUCT(Q398:AB398,VLOOKUP($Q$1:$AB$1,IngredientStats,4,FALSE))*VLOOKUP(B398,AmmoTypeFactors,14,FALSE)*IF('Ammo Input'!R398,1.1,1))</f>
        <v>#VALUE!</v>
      </c>
      <c r="Q398">
        <f>IFERROR(__xludf.DUMMYFUNCTION("((IF(NOT(OR(REGEXMATCH(B394, ""Arrow""), B394 = ""Javelin"", B394 = ""Stick bomb"")), ROUNDUP(('Ammo Input'!E394 / 1000) * N394)) + IF(VLOOKUP(B394, AmmoTypeFactors, 9, FALSE) = ""Steel"", ROUNDUP(('Ammo Input'!H394 -'Ammo Input'!M394) * MAX(IF('Ammo Inpu"&amp;"t'!J394 &gt; 0, 'Ammo Input'!J394, 1), 1) * N394 / 1000))) / 'Ingredient stats'!$C$2) * IF(ISBLANK(VLOOKUP(B394,AmmoTypeFactors,15,False)),1,VLOOKUP(B394,AmmoTypeFactors,15,False))"),28)</f>
        <v>28</v>
      </c>
      <c r="R398">
        <f>IFERROR(__xludf.DUMMYFUNCTION("ROUNDUP((IF(REGEXMATCH(B394, ""Arrow"") + (B394 = ""Javelin""), 'Ammo Input'!E394) + IF(VLOOKUP(B394, AmmoTypeFactors, 9, FALSE) = ""Wood"", 'Ammo Input'!H394) + IF(B394 = ""Stick bomb"", 'Ammo Input'!E394)) * N394 / 'Ingredient stats'!$C$12 / 1000)"),0)</f>
        <v>0</v>
      </c>
      <c r="S398">
        <v>0</v>
      </c>
      <c r="T398">
        <v>0</v>
      </c>
      <c r="U398">
        <f>IF(VLOOKUP(B398,AmmoTypeFactors,9,FALSE)="Plasteel",ROUNDUP(('Ammo Input'!H398*MAX(IF('Ammo Input'!J398&gt;0,'Ammo Input'!J398,1)*N398/1000/'Ingredient stats'!$C$4)),0),0)</f>
        <v>0</v>
      </c>
      <c r="V398">
        <f>IFERROR(__xludf.DUMMYFUNCTION("ROUNDUP(IF(ISBLANK(VLOOKUP(B394,AmmoTypeFactors,16,False)),1,VLOOKUP(B394,AmmoTypeFactors,16,False)) * (IFS(REGEXMATCH(B394, ""EMP""), 'Ammo Input'!M394 * N394 / 'Ingredient stats'!$C$5, REGEXMATCH(B394, ""Charge""), (U394^0.75), true, 0) + (IF(VLOOKUP(B3"&amp;"94, AmmoTypeFactors, 10, false), 2,0) + IF('Ammo Input'!P394, 2,0) + IF('Ammo Input'!Q394,MIN(ROUNDUP(0.2*('Ammo Input'!H394/1000)*'Ammo Input'!O394,0),20),0))))"),0)</f>
        <v>0</v>
      </c>
      <c r="W398">
        <v>0</v>
      </c>
      <c r="X398">
        <v>0</v>
      </c>
      <c r="Y398">
        <v>0</v>
      </c>
      <c r="Z398">
        <v>0</v>
      </c>
      <c r="AA398">
        <v>0</v>
      </c>
      <c r="AB398" s="30">
        <f>IF(B398="Sling Bullet (Stone)",ROUNDUP(D398*0.02*E398/'Ingredient stats'!$C$8,0),0)</f>
        <v>0</v>
      </c>
      <c r="AC398" t="str">
        <f t="shared" si="20"/>
        <v>None</v>
      </c>
      <c r="AD398" t="str">
        <f>IF(OR(B398="Buck",B398="Bird",B398="Charge (Scatter)"),'Ammo Input'!J398,"None")</f>
        <v>None</v>
      </c>
      <c r="AE398" t="str">
        <f>_xlfn.IFS(ISTEXT(Calcs!N398),Calcs!N398,Calcs!N398&lt;=40,Calcs!N398,Calcs!N398&gt;41,"40")</f>
        <v>None</v>
      </c>
      <c r="AF398" t="str">
        <f>_xlfn.IFS(ISTEXT(Calcs!O398),Calcs!O398,Calcs!O398&lt;=80,Calcs!O398,Calcs!O398&gt;=81,"80")</f>
        <v>None</v>
      </c>
      <c r="AG398" s="25">
        <f t="shared" si="21"/>
        <v>1</v>
      </c>
      <c r="AH398" s="25">
        <f t="shared" si="22"/>
        <v>2.41</v>
      </c>
      <c r="AI398" s="25">
        <f t="shared" si="23"/>
        <v>1</v>
      </c>
    </row>
    <row r="399" ht="14.4" spans="1:35">
      <c r="A399" s="24" t="str">
        <f>'Ammo Input'!A399</f>
        <v>.303 British</v>
      </c>
      <c r="B399" t="str">
        <f>'Ammo Input'!B399</f>
        <v>AP-I</v>
      </c>
      <c r="C399">
        <f>ROUNDUP(('Ammo Input'!C399*(MAX('Ammo Input'!D399,'Ammo Input'!F399)*0.5)^2*PI())*3/1000000,2)</f>
        <v>0.03</v>
      </c>
      <c r="D399">
        <f>ROUNDUP(('Ammo Input'!E399+'Ammo Input'!H399*IF('Ammo Input'!J399&lt;&gt;"",MAX('Ammo Input'!J399,1),1))/1000,3)</f>
        <v>0.026</v>
      </c>
      <c r="E399">
        <f>MIN(5000,MAX(25,CEILING(Calcs!L399,_xlfn.IFS(Calcs!L399&lt;100,25,Calcs!L399&lt;250,50,Calcs!L399&lt;1000,250,Calcs!L399&gt;=1000,1000))))</f>
        <v>5000</v>
      </c>
      <c r="F399">
        <f>ROUNDUP('Ammo Input'!G399^(3/4),0)</f>
        <v>147</v>
      </c>
      <c r="G399">
        <f>ROUND((0.5*((IF(OR(B399="HEAT",B399="HEDP"),'Ammo Input'!N399,'Ammo Input'!H399)/1000)*(IF(B399="HEAT",9000,IF(B399="HEDP",1500,'Ammo Input'!G399))^2))),0)</f>
        <v>3350</v>
      </c>
      <c r="H399" s="25" t="str">
        <f>CONCATENATE(IF((B399="Foam")+(B399="Smoke"),"-",ROUND(Calcs!D399,0))," ",VLOOKUP(B399,AmmoTypeFactors,5,FALSE))</f>
        <v>12 Bullet</v>
      </c>
      <c r="I399" s="25" t="str">
        <f>IF(Calcs!E399=0,"None",CONCATENATE(ROUND(Calcs!E399,0)," ",VLOOKUP(B399,AmmoTypeFactors,6,FALSE)))</f>
        <v>6 Flame_Secondary</v>
      </c>
      <c r="J399">
        <f>MROUND(2.42*'Ammo Input'!M399^(1/3)*VLOOKUP(B399,AmmoTypeFactors,3,FALSE),0.5)</f>
        <v>0</v>
      </c>
      <c r="K399" s="25" t="str">
        <f>IF(VLOOKUP(B399,AmmoTypeFactors,12,FALSE),MROUND(J399/3,0.5),"None")</f>
        <v>None</v>
      </c>
      <c r="L399" s="25">
        <f>IF(VLOOKUP(B399,AmmoTypeFactors,8,FALSE),"None",ROUNDUP(IF(Calcs!I399&gt;0,Calcs!I399,Calcs!H399),3))</f>
        <v>67</v>
      </c>
      <c r="M399" s="25">
        <f>IF(VLOOKUP(B399,AmmoTypeFactors,8,FALSE),"None",'Ammo Input'!L399)</f>
        <v>14</v>
      </c>
      <c r="N399">
        <f>'Ammo Input'!O399</f>
        <v>500</v>
      </c>
      <c r="O399" t="e">
        <f>ROUND((P399*0.0036+SUMPRODUCT(Q399:AB399,VLOOKUP($Q$1:$AB$1,IngredientStats,2,FALSE)))/N399*IF('Ammo Input'!R399,0.5,1),2)</f>
        <v>#VALUE!</v>
      </c>
      <c r="P399" t="e">
        <f>(SUMPRODUCT(Q399:AB399,VLOOKUP($Q$1:$AB$1,IngredientStats,4,FALSE))*VLOOKUP(B399,AmmoTypeFactors,14,FALSE)*IF('Ammo Input'!R399,1.1,1))</f>
        <v>#VALUE!</v>
      </c>
      <c r="Q399">
        <f>IFERROR(__xludf.DUMMYFUNCTION("((IF(NOT(OR(REGEXMATCH(B395, ""Arrow""), B395 = ""Javelin"", B395 = ""Stick bomb"")), ROUNDUP(('Ammo Input'!E395 / 1000) * N395)) + IF(VLOOKUP(B395, AmmoTypeFactors, 9, FALSE) = ""Steel"", ROUNDUP(('Ammo Input'!H395 -'Ammo Input'!M395) * MAX(IF('Ammo Inpu"&amp;"t'!J395 &gt; 0, 'Ammo Input'!J395, 1), 1) * N395 / 1000))) / 'Ingredient stats'!$C$2) * IF(ISBLANK(VLOOKUP(B395,AmmoTypeFactors,15,False)),1,VLOOKUP(B395,AmmoTypeFactors,15,False))"),28)</f>
        <v>28</v>
      </c>
      <c r="R399">
        <f>IFERROR(__xludf.DUMMYFUNCTION("ROUNDUP((IF(REGEXMATCH(B395, ""Arrow"") + (B395 = ""Javelin""), 'Ammo Input'!E395) + IF(VLOOKUP(B395, AmmoTypeFactors, 9, FALSE) = ""Wood"", 'Ammo Input'!H395) + IF(B395 = ""Stick bomb"", 'Ammo Input'!E395)) * N395 / 'Ingredient stats'!$C$12 / 1000)"),0)</f>
        <v>0</v>
      </c>
      <c r="S399">
        <v>0</v>
      </c>
      <c r="T399">
        <v>0</v>
      </c>
      <c r="U399">
        <f>IF(VLOOKUP(B399,AmmoTypeFactors,9,FALSE)="Plasteel",ROUNDUP(('Ammo Input'!H399*MAX(IF('Ammo Input'!J399&gt;0,'Ammo Input'!J399,1)*N399/1000/'Ingredient stats'!$C$4)),0),0)</f>
        <v>0</v>
      </c>
      <c r="V399">
        <f>IFERROR(__xludf.DUMMYFUNCTION("ROUNDUP(IF(ISBLANK(VLOOKUP(B395,AmmoTypeFactors,16,False)),1,VLOOKUP(B395,AmmoTypeFactors,16,False)) * (IFS(REGEXMATCH(B395, ""EMP""), 'Ammo Input'!M395 * N395 / 'Ingredient stats'!$C$5, REGEXMATCH(B395, ""Charge""), (U395^0.75), true, 0) + (IF(VLOOKUP(B3"&amp;"95, AmmoTypeFactors, 10, false), 2,0) + IF('Ammo Input'!P395, 2,0) + IF('Ammo Input'!Q395,MIN(ROUNDUP(0.2*('Ammo Input'!H395/1000)*'Ammo Input'!O395,0),20),0))))"),0)</f>
        <v>0</v>
      </c>
      <c r="W399">
        <v>3</v>
      </c>
      <c r="X399">
        <v>0</v>
      </c>
      <c r="Y399">
        <v>0</v>
      </c>
      <c r="Z399">
        <v>0</v>
      </c>
      <c r="AA399">
        <v>0</v>
      </c>
      <c r="AB399" s="30">
        <f>IF(B399="Sling Bullet (Stone)",ROUNDUP(D399*0.02*E399/'Ingredient stats'!$C$8,0),0)</f>
        <v>0</v>
      </c>
      <c r="AC399" t="str">
        <f t="shared" si="20"/>
        <v>None</v>
      </c>
      <c r="AD399" t="str">
        <f>IF(OR(B399="Buck",B399="Bird",B399="Charge (Scatter)"),'Ammo Input'!J399,"None")</f>
        <v>None</v>
      </c>
      <c r="AE399" t="str">
        <f>_xlfn.IFS(ISTEXT(Calcs!N399),Calcs!N399,Calcs!N399&lt;=40,Calcs!N399,Calcs!N399&gt;41,"40")</f>
        <v>None</v>
      </c>
      <c r="AF399" t="str">
        <f>_xlfn.IFS(ISTEXT(Calcs!O399),Calcs!O399,Calcs!O399&lt;=80,Calcs!O399,Calcs!O399&gt;=81,"80")</f>
        <v>None</v>
      </c>
      <c r="AG399" s="25">
        <f t="shared" si="21"/>
        <v>1</v>
      </c>
      <c r="AH399" s="25">
        <f t="shared" si="22"/>
        <v>2.41</v>
      </c>
      <c r="AI399" s="25">
        <f t="shared" si="23"/>
        <v>1</v>
      </c>
    </row>
    <row r="400" ht="14.4" spans="1:35">
      <c r="A400" s="24" t="str">
        <f>'Ammo Input'!A400</f>
        <v>.303 British</v>
      </c>
      <c r="B400" t="str">
        <f>'Ammo Input'!B400</f>
        <v>AP-HE</v>
      </c>
      <c r="C400">
        <f>ROUNDUP(('Ammo Input'!C400*(MAX('Ammo Input'!D400,'Ammo Input'!F400)*0.5)^2*PI())*3/1000000,2)</f>
        <v>0.03</v>
      </c>
      <c r="D400">
        <f>ROUNDUP(('Ammo Input'!E400+'Ammo Input'!H400*IF('Ammo Input'!J400&lt;&gt;"",MAX('Ammo Input'!J400,1),1))/1000,3)</f>
        <v>0.026</v>
      </c>
      <c r="E400">
        <f>MIN(5000,MAX(25,CEILING(Calcs!L400,_xlfn.IFS(Calcs!L400&lt;100,25,Calcs!L400&lt;250,50,Calcs!L400&lt;1000,250,Calcs!L400&gt;=1000,1000))))</f>
        <v>5000</v>
      </c>
      <c r="F400">
        <f>ROUNDUP('Ammo Input'!G400^(3/4),0)</f>
        <v>147</v>
      </c>
      <c r="G400">
        <f>ROUND((0.5*((IF(OR(B400="HEAT",B400="HEDP"),'Ammo Input'!N400,'Ammo Input'!H400)/1000)*(IF(B400="HEAT",9000,IF(B400="HEDP",1500,'Ammo Input'!G400))^2))),0)</f>
        <v>3350</v>
      </c>
      <c r="H400" s="25" t="str">
        <f>CONCATENATE(IF((B400="Foam")+(B400="Smoke"),"-",ROUND(Calcs!D400,0))," ",VLOOKUP(B400,AmmoTypeFactors,5,FALSE))</f>
        <v>20 Bullet</v>
      </c>
      <c r="I400" s="25" t="str">
        <f>IF(Calcs!E400=0,"None",CONCATENATE(ROUND(Calcs!E400,0)," ",VLOOKUP(B400,AmmoTypeFactors,6,FALSE)))</f>
        <v>8 Bomb_Secondary</v>
      </c>
      <c r="J400">
        <f>MROUND(2.42*'Ammo Input'!M400^(1/3)*VLOOKUP(B400,AmmoTypeFactors,3,FALSE),0.5)</f>
        <v>0</v>
      </c>
      <c r="K400" s="25" t="str">
        <f>IF(VLOOKUP(B400,AmmoTypeFactors,12,FALSE),MROUND(J400/3,0.5),"None")</f>
        <v>None</v>
      </c>
      <c r="L400" s="25">
        <f>IF(VLOOKUP(B400,AmmoTypeFactors,8,FALSE),"None",ROUNDUP(IF(Calcs!I400&gt;0,Calcs!I400,Calcs!H400),3))</f>
        <v>67</v>
      </c>
      <c r="M400" s="25">
        <f>IF(VLOOKUP(B400,AmmoTypeFactors,8,FALSE),"None",'Ammo Input'!L400)</f>
        <v>6</v>
      </c>
      <c r="N400">
        <f>'Ammo Input'!O400</f>
        <v>500</v>
      </c>
      <c r="O400" t="e">
        <f>ROUND((P400*0.0036+SUMPRODUCT(Q400:AB400,VLOOKUP($Q$1:$AB$1,IngredientStats,2,FALSE)))/N400*IF('Ammo Input'!R400,0.5,1),2)</f>
        <v>#VALUE!</v>
      </c>
      <c r="P400" t="e">
        <f>(SUMPRODUCT(Q400:AB400,VLOOKUP($Q$1:$AB$1,IngredientStats,4,FALSE))*VLOOKUP(B400,AmmoTypeFactors,14,FALSE)*IF('Ammo Input'!R400,1.1,1))</f>
        <v>#VALUE!</v>
      </c>
      <c r="Q400">
        <f>IFERROR(__xludf.DUMMYFUNCTION("((IF(NOT(OR(REGEXMATCH(B396, ""Arrow""), B396 = ""Javelin"", B396 = ""Stick bomb"")), ROUNDUP(('Ammo Input'!E396 / 1000) * N396)) + IF(VLOOKUP(B396, AmmoTypeFactors, 9, FALSE) = ""Steel"", ROUNDUP(('Ammo Input'!H396 -'Ammo Input'!M396) * MAX(IF('Ammo Inpu"&amp;"t'!J396 &gt; 0, 'Ammo Input'!J396, 1), 1) * N396 / 1000))) / 'Ingredient stats'!$C$2) * IF(ISBLANK(VLOOKUP(B396,AmmoTypeFactors,15,False)),1,VLOOKUP(B396,AmmoTypeFactors,15,False))"),28)</f>
        <v>28</v>
      </c>
      <c r="R400">
        <f>IFERROR(__xludf.DUMMYFUNCTION("ROUNDUP((IF(REGEXMATCH(B396, ""Arrow"") + (B396 = ""Javelin""), 'Ammo Input'!E396) + IF(VLOOKUP(B396, AmmoTypeFactors, 9, FALSE) = ""Wood"", 'Ammo Input'!H396) + IF(B396 = ""Stick bomb"", 'Ammo Input'!E396)) * N396 / 'Ingredient stats'!$C$12 / 1000)"),0)</f>
        <v>0</v>
      </c>
      <c r="S400">
        <v>0</v>
      </c>
      <c r="T400">
        <v>0</v>
      </c>
      <c r="U400">
        <f>IF(VLOOKUP(B400,AmmoTypeFactors,9,FALSE)="Plasteel",ROUNDUP(('Ammo Input'!H400*MAX(IF('Ammo Input'!J400&gt;0,'Ammo Input'!J400,1)*N400/1000/'Ingredient stats'!$C$4)),0),0)</f>
        <v>0</v>
      </c>
      <c r="V400">
        <f>IFERROR(__xludf.DUMMYFUNCTION("ROUNDUP(IF(ISBLANK(VLOOKUP(B396,AmmoTypeFactors,16,False)),1,VLOOKUP(B396,AmmoTypeFactors,16,False)) * (IFS(REGEXMATCH(B396, ""EMP""), 'Ammo Input'!M396 * N396 / 'Ingredient stats'!$C$5, REGEXMATCH(B396, ""Charge""), (U396^0.75), true, 0) + (IF(VLOOKUP(B3"&amp;"96, AmmoTypeFactors, 10, false), 2,0) + IF('Ammo Input'!P396, 2,0) + IF('Ammo Input'!Q396,MIN(ROUNDUP(0.2*('Ammo Input'!H396/1000)*'Ammo Input'!O396,0),20),0))))"),0)</f>
        <v>0</v>
      </c>
      <c r="W400">
        <v>0</v>
      </c>
      <c r="X400">
        <v>7</v>
      </c>
      <c r="Y400">
        <v>0</v>
      </c>
      <c r="Z400">
        <v>0</v>
      </c>
      <c r="AA400">
        <v>0</v>
      </c>
      <c r="AB400" s="30">
        <f>IF(B400="Sling Bullet (Stone)",ROUNDUP(D400*0.02*E400/'Ingredient stats'!$C$8,0),0)</f>
        <v>0</v>
      </c>
      <c r="AC400" t="str">
        <f t="shared" si="20"/>
        <v>None</v>
      </c>
      <c r="AD400" t="str">
        <f>IF(OR(B400="Buck",B400="Bird",B400="Charge (Scatter)"),'Ammo Input'!J400,"None")</f>
        <v>None</v>
      </c>
      <c r="AE400" t="str">
        <f>_xlfn.IFS(ISTEXT(Calcs!N400),Calcs!N400,Calcs!N400&lt;=40,Calcs!N400,Calcs!N400&gt;41,"40")</f>
        <v>None</v>
      </c>
      <c r="AF400" t="str">
        <f>_xlfn.IFS(ISTEXT(Calcs!O400),Calcs!O400,Calcs!O400&lt;=80,Calcs!O400,Calcs!O400&gt;=81,"80")</f>
        <v>None</v>
      </c>
      <c r="AG400" s="25">
        <f t="shared" si="21"/>
        <v>1</v>
      </c>
      <c r="AH400" s="25">
        <f t="shared" si="22"/>
        <v>2.41</v>
      </c>
      <c r="AI400" s="25">
        <f t="shared" si="23"/>
        <v>1</v>
      </c>
    </row>
    <row r="401" ht="14.4" spans="1:35">
      <c r="A401" s="24" t="str">
        <f>'Ammo Input'!A401</f>
        <v>.303 British</v>
      </c>
      <c r="B401" t="str">
        <f>'Ammo Input'!B401</f>
        <v>Sabot</v>
      </c>
      <c r="C401">
        <f>ROUNDUP(('Ammo Input'!C401*(MAX('Ammo Input'!D401,'Ammo Input'!F401)*0.5)^2*PI())*3/1000000,2)</f>
        <v>0.03</v>
      </c>
      <c r="D401">
        <f>ROUNDUP(('Ammo Input'!E401+'Ammo Input'!H401*IF('Ammo Input'!J401&lt;&gt;"",MAX('Ammo Input'!J401,1),1))/1000,3)</f>
        <v>0.022</v>
      </c>
      <c r="E401">
        <f>MIN(5000,MAX(25,CEILING(Calcs!L401,_xlfn.IFS(Calcs!L401&lt;100,25,Calcs!L401&lt;250,50,Calcs!L401&lt;1000,250,Calcs!L401&gt;=1000,1000))))</f>
        <v>5000</v>
      </c>
      <c r="F401">
        <f>ROUNDUP('Ammo Input'!G401^(3/4),0)</f>
        <v>199</v>
      </c>
      <c r="G401">
        <f>ROUND((0.5*((IF(OR(B401="HEAT",B401="HEDP"),'Ammo Input'!N401,'Ammo Input'!H401)/1000)*(IF(B401="HEAT",9000,IF(B401="HEDP",1500,'Ammo Input'!G401))^2))),0)</f>
        <v>4336</v>
      </c>
      <c r="H401" s="25" t="str">
        <f>CONCATENATE(IF((B401="Foam")+(B401="Smoke"),"-",ROUND(Calcs!D401,0))," ",VLOOKUP(B401,AmmoTypeFactors,5,FALSE))</f>
        <v>10 Bullet</v>
      </c>
      <c r="I401" s="25" t="str">
        <f>IF(Calcs!E401=0,"None",CONCATENATE(ROUND(Calcs!E401,0)," ",VLOOKUP(B401,AmmoTypeFactors,6,FALSE)))</f>
        <v>None</v>
      </c>
      <c r="J401">
        <f>MROUND(2.42*'Ammo Input'!M401^(1/3)*VLOOKUP(B401,AmmoTypeFactors,3,FALSE),0.5)</f>
        <v>0</v>
      </c>
      <c r="K401" s="25" t="str">
        <f>IF(VLOOKUP(B401,AmmoTypeFactors,12,FALSE),MROUND(J401/3,0.5),"None")</f>
        <v>None</v>
      </c>
      <c r="L401" s="25">
        <f>IF(VLOOKUP(B401,AmmoTypeFactors,8,FALSE),"None",ROUNDUP(IF(Calcs!I401&gt;0,Calcs!I401,Calcs!H401),3))</f>
        <v>86.72</v>
      </c>
      <c r="M401" s="25">
        <f>IF(VLOOKUP(B401,AmmoTypeFactors,8,FALSE),"None",'Ammo Input'!L401)</f>
        <v>21</v>
      </c>
      <c r="N401">
        <f>'Ammo Input'!O401</f>
        <v>500</v>
      </c>
      <c r="O401" t="e">
        <f>ROUND((P401*0.0036+SUMPRODUCT(Q401:AB401,VLOOKUP($Q$1:$AB$1,IngredientStats,2,FALSE)))/N401*IF('Ammo Input'!R401,0.5,1),2)</f>
        <v>#VALUE!</v>
      </c>
      <c r="P401" t="e">
        <f>(SUMPRODUCT(Q401:AB401,VLOOKUP($Q$1:$AB$1,IngredientStats,4,FALSE))*VLOOKUP(B401,AmmoTypeFactors,14,FALSE)*IF('Ammo Input'!R401,1.1,1))</f>
        <v>#VALUE!</v>
      </c>
      <c r="Q401">
        <f>IFERROR(__xludf.DUMMYFUNCTION("((IF(NOT(OR(REGEXMATCH(B397, ""Arrow""), B397 = ""Javelin"", B397 = ""Stick bomb"")), ROUNDUP(('Ammo Input'!E397 / 1000) * N397)) + IF(VLOOKUP(B397, AmmoTypeFactors, 9, FALSE) = ""Steel"", ROUNDUP(('Ammo Input'!H397 -'Ammo Input'!M397) * MAX(IF('Ammo Inpu"&amp;"t'!J397 &gt; 0, 'Ammo Input'!J397, 1), 1) * N397 / 1000))) / 'Ingredient stats'!$C$2) * IF(ISBLANK(VLOOKUP(B397,AmmoTypeFactors,15,False)),1,VLOOKUP(B397,AmmoTypeFactors,15,False))"),16)</f>
        <v>16</v>
      </c>
      <c r="R401">
        <f>IFERROR(__xludf.DUMMYFUNCTION("ROUNDUP((IF(REGEXMATCH(B397, ""Arrow"") + (B397 = ""Javelin""), 'Ammo Input'!E397) + IF(VLOOKUP(B397, AmmoTypeFactors, 9, FALSE) = ""Wood"", 'Ammo Input'!H397) + IF(B397 = ""Stick bomb"", 'Ammo Input'!E397)) * N397 / 'Ingredient stats'!$C$12 / 1000)"),0)</f>
        <v>0</v>
      </c>
      <c r="S401">
        <v>4</v>
      </c>
      <c r="T401">
        <v>4</v>
      </c>
      <c r="U401">
        <f>IF(VLOOKUP(B401,AmmoTypeFactors,9,FALSE)="Plasteel",ROUNDUP(('Ammo Input'!H401*MAX(IF('Ammo Input'!J401&gt;0,'Ammo Input'!J401,1)*N401/1000/'Ingredient stats'!$C$4)),0),0)</f>
        <v>0</v>
      </c>
      <c r="V401">
        <f>IFERROR(__xludf.DUMMYFUNCTION("ROUNDUP(IF(ISBLANK(VLOOKUP(B397,AmmoTypeFactors,16,False)),1,VLOOKUP(B397,AmmoTypeFactors,16,False)) * (IFS(REGEXMATCH(B397, ""EMP""), 'Ammo Input'!M397 * N397 / 'Ingredient stats'!$C$5, REGEXMATCH(B397, ""Charge""), (U397^0.75), true, 0) + (IF(VLOOKUP(B3"&amp;"97, AmmoTypeFactors, 10, false), 2,0) + IF('Ammo Input'!P397, 2,0) + IF('Ammo Input'!Q397,MIN(ROUNDUP(0.2*('Ammo Input'!H397/1000)*'Ammo Input'!O397,0),20),0))))"),0)</f>
        <v>0</v>
      </c>
      <c r="W401">
        <v>0</v>
      </c>
      <c r="X401">
        <v>0</v>
      </c>
      <c r="Y401">
        <v>0</v>
      </c>
      <c r="Z401">
        <v>0</v>
      </c>
      <c r="AA401">
        <v>0</v>
      </c>
      <c r="AB401" s="30">
        <f>IF(B401="Sling Bullet (Stone)",ROUNDUP(D401*0.02*E401/'Ingredient stats'!$C$8,0),0)</f>
        <v>0</v>
      </c>
      <c r="AC401" t="str">
        <f t="shared" si="20"/>
        <v>None</v>
      </c>
      <c r="AD401" t="str">
        <f>IF(OR(B401="Buck",B401="Bird",B401="Charge (Scatter)"),'Ammo Input'!J401,"None")</f>
        <v>None</v>
      </c>
      <c r="AE401" t="str">
        <f>_xlfn.IFS(ISTEXT(Calcs!N401),Calcs!N401,Calcs!N401&lt;=40,Calcs!N401,Calcs!N401&gt;41,"40")</f>
        <v>None</v>
      </c>
      <c r="AF401" t="str">
        <f>_xlfn.IFS(ISTEXT(Calcs!O401),Calcs!O401,Calcs!O401&lt;=80,Calcs!O401,Calcs!O401&gt;=81,"80")</f>
        <v>None</v>
      </c>
      <c r="AG401" s="25">
        <f t="shared" si="21"/>
        <v>1</v>
      </c>
      <c r="AH401" s="25">
        <f t="shared" si="22"/>
        <v>3.23</v>
      </c>
      <c r="AI401" s="25">
        <f t="shared" si="23"/>
        <v>1</v>
      </c>
    </row>
    <row r="402" ht="14.4" spans="1:35">
      <c r="A402" s="24" t="str">
        <f>'Ammo Input'!A402</f>
        <v>.277 Fury</v>
      </c>
      <c r="B402" t="str">
        <f>'Ammo Input'!B402</f>
        <v>FMJ</v>
      </c>
      <c r="C402">
        <f>ROUNDUP(('Ammo Input'!C402*(MAX('Ammo Input'!D402,'Ammo Input'!F402)*0.5)^2*PI())*3/1000000,2)</f>
        <v>0.03</v>
      </c>
      <c r="D402">
        <f>ROUNDUP(('Ammo Input'!E402+'Ammo Input'!H402*IF('Ammo Input'!J402&lt;&gt;"",MAX('Ammo Input'!J402,1),1))/1000,3)</f>
        <v>0.024</v>
      </c>
      <c r="E402">
        <f>MIN(5000,MAX(25,CEILING(Calcs!L402,_xlfn.IFS(Calcs!L402&lt;100,25,Calcs!L402&lt;250,50,Calcs!L402&lt;1000,250,Calcs!L402&gt;=1000,1000))))</f>
        <v>5000</v>
      </c>
      <c r="F402">
        <f>ROUNDUP('Ammo Input'!G402^(3/4),0)</f>
        <v>167</v>
      </c>
      <c r="G402">
        <f>ROUND((0.5*((IF(OR(B402="HEAT",B402="HEDP"),'Ammo Input'!N402,'Ammo Input'!H402)/1000)*(IF(B402="HEAT",9000,IF(B402="HEDP",1500,'Ammo Input'!G402))^2))),0)</f>
        <v>3655</v>
      </c>
      <c r="H402" s="25" t="str">
        <f>CONCATENATE(IF((B402="Foam")+(B402="Smoke"),"-",ROUND(Calcs!D402,0))," ",VLOOKUP(B402,AmmoTypeFactors,5,FALSE))</f>
        <v>19 Bullet</v>
      </c>
      <c r="I402" s="25" t="str">
        <f>IF(Calcs!E402=0,"None",CONCATENATE(ROUND(Calcs!E402,0)," ",VLOOKUP(B402,AmmoTypeFactors,6,FALSE)))</f>
        <v>None</v>
      </c>
      <c r="J402">
        <f>MROUND(2.42*'Ammo Input'!M402^(1/3)*VLOOKUP(B402,AmmoTypeFactors,3,FALSE),0.5)</f>
        <v>0</v>
      </c>
      <c r="K402" s="25" t="str">
        <f>IF(VLOOKUP(B402,AmmoTypeFactors,12,FALSE),MROUND(J402/3,0.5),"None")</f>
        <v>None</v>
      </c>
      <c r="L402" s="25">
        <f>IF(VLOOKUP(B402,AmmoTypeFactors,8,FALSE),"None",ROUNDUP(IF(Calcs!I402&gt;0,Calcs!I402,Calcs!H402),3))</f>
        <v>73.1</v>
      </c>
      <c r="M402" s="25">
        <f>IF(VLOOKUP(B402,AmmoTypeFactors,8,FALSE),"None",'Ammo Input'!L402)</f>
        <v>8</v>
      </c>
      <c r="N402">
        <f>'Ammo Input'!O402</f>
        <v>500</v>
      </c>
      <c r="O402" t="e">
        <f>ROUND((P402*0.0036+SUMPRODUCT(Q402:AB402,VLOOKUP($Q$1:$AB$1,IngredientStats,2,FALSE)))/N402*IF('Ammo Input'!R402,0.5,1),2)</f>
        <v>#VALUE!</v>
      </c>
      <c r="P402" t="e">
        <f>(SUMPRODUCT(Q402:AB402,VLOOKUP($Q$1:$AB$1,IngredientStats,4,FALSE))*VLOOKUP(B402,AmmoTypeFactors,14,FALSE)*IF('Ammo Input'!R402,1.1,1))</f>
        <v>#VALUE!</v>
      </c>
      <c r="Q402">
        <f>IFERROR(__xludf.DUMMYFUNCTION("((IF(NOT(OR(REGEXMATCH(B398, ""Arrow""), B398 = ""Javelin"", B398 = ""Stick bomb"")), ROUNDUP(('Ammo Input'!E398 / 1000) * N398)) + IF(VLOOKUP(B398, AmmoTypeFactors, 9, FALSE) = ""Steel"", ROUNDUP(('Ammo Input'!H398 -'Ammo Input'!M398) * MAX(IF('Ammo Inpu"&amp;"t'!J398 &gt; 0, 'Ammo Input'!J398, 1), 1) * N398 / 1000))) / 'Ingredient stats'!$C$2) * IF(ISBLANK(VLOOKUP(B398,AmmoTypeFactors,15,False)),1,VLOOKUP(B398,AmmoTypeFactors,15,False))"),26)</f>
        <v>26</v>
      </c>
      <c r="R402">
        <f>IFERROR(__xludf.DUMMYFUNCTION("ROUNDUP((IF(REGEXMATCH(B398, ""Arrow"") + (B398 = ""Javelin""), 'Ammo Input'!E398) + IF(VLOOKUP(B398, AmmoTypeFactors, 9, FALSE) = ""Wood"", 'Ammo Input'!H398) + IF(B398 = ""Stick bomb"", 'Ammo Input'!E398)) * N398 / 'Ingredient stats'!$C$12 / 1000)"),0)</f>
        <v>0</v>
      </c>
      <c r="S402">
        <v>0</v>
      </c>
      <c r="T402">
        <v>0</v>
      </c>
      <c r="U402">
        <f>IF(VLOOKUP(B402,AmmoTypeFactors,9,FALSE)="Plasteel",ROUNDUP(('Ammo Input'!H402*MAX(IF('Ammo Input'!J402&gt;0,'Ammo Input'!J402,1)*N402/1000/'Ingredient stats'!$C$4)),0),0)</f>
        <v>0</v>
      </c>
      <c r="V402">
        <f>IFERROR(__xludf.DUMMYFUNCTION("ROUNDUP(IF(ISBLANK(VLOOKUP(B398,AmmoTypeFactors,16,False)),1,VLOOKUP(B398,AmmoTypeFactors,16,False)) * (IFS(REGEXMATCH(B398, ""EMP""), 'Ammo Input'!M398 * N398 / 'Ingredient stats'!$C$5, REGEXMATCH(B398, ""Charge""), (U398^0.75), true, 0) + (IF(VLOOKUP(B3"&amp;"98, AmmoTypeFactors, 10, false), 2,0) + IF('Ammo Input'!P398, 2,0) + IF('Ammo Input'!Q398,MIN(ROUNDUP(0.2*('Ammo Input'!H398/1000)*'Ammo Input'!O398,0),20),0))))"),0)</f>
        <v>0</v>
      </c>
      <c r="W402">
        <v>0</v>
      </c>
      <c r="X402">
        <v>0</v>
      </c>
      <c r="Y402">
        <v>0</v>
      </c>
      <c r="Z402">
        <v>0</v>
      </c>
      <c r="AA402">
        <v>0</v>
      </c>
      <c r="AB402" s="30">
        <f>IF(B402="Sling Bullet (Stone)",ROUNDUP(D402*0.02*E402/'Ingredient stats'!$C$8,0),0)</f>
        <v>0</v>
      </c>
      <c r="AC402" t="str">
        <f t="shared" si="20"/>
        <v>None</v>
      </c>
      <c r="AD402" t="str">
        <f>IF(OR(B402="Buck",B402="Bird",B402="Charge (Scatter)"),'Ammo Input'!J402,"None")</f>
        <v>None</v>
      </c>
      <c r="AE402" t="str">
        <f>_xlfn.IFS(ISTEXT(Calcs!N402),Calcs!N402,Calcs!N402&lt;=40,Calcs!N402,Calcs!N402&gt;41,"40")</f>
        <v>None</v>
      </c>
      <c r="AF402" t="str">
        <f>_xlfn.IFS(ISTEXT(Calcs!O402),Calcs!O402,Calcs!O402&lt;=80,Calcs!O402,Calcs!O402&gt;=81,"80")</f>
        <v>None</v>
      </c>
      <c r="AG402" s="25">
        <f t="shared" si="21"/>
        <v>1</v>
      </c>
      <c r="AH402" s="25">
        <f t="shared" si="22"/>
        <v>2.74</v>
      </c>
      <c r="AI402" s="25">
        <f t="shared" si="23"/>
        <v>1</v>
      </c>
    </row>
    <row r="403" ht="14.4" spans="1:35">
      <c r="A403" s="24" t="str">
        <f>'Ammo Input'!A403</f>
        <v>.277 Fury</v>
      </c>
      <c r="B403" t="str">
        <f>'Ammo Input'!B403</f>
        <v>AP</v>
      </c>
      <c r="C403">
        <f>ROUNDUP(('Ammo Input'!C403*(MAX('Ammo Input'!D403,'Ammo Input'!F403)*0.5)^2*PI())*3/1000000,2)</f>
        <v>0.03</v>
      </c>
      <c r="D403">
        <f>ROUNDUP(('Ammo Input'!E403+'Ammo Input'!H403*IF('Ammo Input'!J403&lt;&gt;"",MAX('Ammo Input'!J403,1),1))/1000,3)</f>
        <v>0.024</v>
      </c>
      <c r="E403">
        <f>MIN(5000,MAX(25,CEILING(Calcs!L403,_xlfn.IFS(Calcs!L403&lt;100,25,Calcs!L403&lt;250,50,Calcs!L403&lt;1000,250,Calcs!L403&gt;=1000,1000))))</f>
        <v>5000</v>
      </c>
      <c r="F403">
        <f>ROUNDUP('Ammo Input'!G403^(3/4),0)</f>
        <v>167</v>
      </c>
      <c r="G403">
        <f>ROUND((0.5*((IF(OR(B403="HEAT",B403="HEDP"),'Ammo Input'!N403,'Ammo Input'!H403)/1000)*(IF(B403="HEAT",9000,IF(B403="HEDP",1500,'Ammo Input'!G403))^2))),0)</f>
        <v>3655</v>
      </c>
      <c r="H403" s="25" t="str">
        <f>CONCATENATE(IF((B403="Foam")+(B403="Smoke"),"-",ROUND(Calcs!D403,0))," ",VLOOKUP(B403,AmmoTypeFactors,5,FALSE))</f>
        <v>12 Bullet</v>
      </c>
      <c r="I403" s="25" t="str">
        <f>IF(Calcs!E403=0,"None",CONCATENATE(ROUND(Calcs!E403,0)," ",VLOOKUP(B403,AmmoTypeFactors,6,FALSE)))</f>
        <v>None</v>
      </c>
      <c r="J403">
        <f>MROUND(2.42*'Ammo Input'!M403^(1/3)*VLOOKUP(B403,AmmoTypeFactors,3,FALSE),0.5)</f>
        <v>0</v>
      </c>
      <c r="K403" s="25" t="str">
        <f>IF(VLOOKUP(B403,AmmoTypeFactors,12,FALSE),MROUND(J403/3,0.5),"None")</f>
        <v>None</v>
      </c>
      <c r="L403" s="25">
        <f>IF(VLOOKUP(B403,AmmoTypeFactors,8,FALSE),"None",ROUNDUP(IF(Calcs!I403&gt;0,Calcs!I403,Calcs!H403),3))</f>
        <v>73.1</v>
      </c>
      <c r="M403" s="25">
        <f>IF(VLOOKUP(B403,AmmoTypeFactors,8,FALSE),"None",'Ammo Input'!L403)</f>
        <v>16</v>
      </c>
      <c r="N403">
        <f>'Ammo Input'!O403</f>
        <v>500</v>
      </c>
      <c r="O403" t="e">
        <f>ROUND((P403*0.0036+SUMPRODUCT(Q403:AB403,VLOOKUP($Q$1:$AB$1,IngredientStats,2,FALSE)))/N403*IF('Ammo Input'!R403,0.5,1),2)</f>
        <v>#VALUE!</v>
      </c>
      <c r="P403" t="e">
        <f>(SUMPRODUCT(Q403:AB403,VLOOKUP($Q$1:$AB$1,IngredientStats,4,FALSE))*VLOOKUP(B403,AmmoTypeFactors,14,FALSE)*IF('Ammo Input'!R403,1.1,1))</f>
        <v>#VALUE!</v>
      </c>
      <c r="Q403">
        <f>IFERROR(__xludf.DUMMYFUNCTION("((IF(NOT(OR(REGEXMATCH(B399, ""Arrow""), B399 = ""Javelin"", B399 = ""Stick bomb"")), ROUNDUP(('Ammo Input'!E399 / 1000) * N399)) + IF(VLOOKUP(B399, AmmoTypeFactors, 9, FALSE) = ""Steel"", ROUNDUP(('Ammo Input'!H399 -'Ammo Input'!M399) * MAX(IF('Ammo Inpu"&amp;"t'!J399 &gt; 0, 'Ammo Input'!J399, 1), 1) * N399 / 1000))) / 'Ingredient stats'!$C$2) * IF(ISBLANK(VLOOKUP(B399,AmmoTypeFactors,15,False)),1,VLOOKUP(B399,AmmoTypeFactors,15,False))"),26)</f>
        <v>26</v>
      </c>
      <c r="R403">
        <f>IFERROR(__xludf.DUMMYFUNCTION("ROUNDUP((IF(REGEXMATCH(B399, ""Arrow"") + (B399 = ""Javelin""), 'Ammo Input'!E399) + IF(VLOOKUP(B399, AmmoTypeFactors, 9, FALSE) = ""Wood"", 'Ammo Input'!H399) + IF(B399 = ""Stick bomb"", 'Ammo Input'!E399)) * N399 / 'Ingredient stats'!$C$12 / 1000)"),0)</f>
        <v>0</v>
      </c>
      <c r="S403">
        <v>0</v>
      </c>
      <c r="T403">
        <v>0</v>
      </c>
      <c r="U403">
        <f>IF(VLOOKUP(B403,AmmoTypeFactors,9,FALSE)="Plasteel",ROUNDUP(('Ammo Input'!H403*MAX(IF('Ammo Input'!J403&gt;0,'Ammo Input'!J403,1)*N403/1000/'Ingredient stats'!$C$4)),0),0)</f>
        <v>0</v>
      </c>
      <c r="V403">
        <f>IFERROR(__xludf.DUMMYFUNCTION("ROUNDUP(IF(ISBLANK(VLOOKUP(B399,AmmoTypeFactors,16,False)),1,VLOOKUP(B399,AmmoTypeFactors,16,False)) * (IFS(REGEXMATCH(B399, ""EMP""), 'Ammo Input'!M399 * N399 / 'Ingredient stats'!$C$5, REGEXMATCH(B399, ""Charge""), (U399^0.75), true, 0) + (IF(VLOOKUP(B3"&amp;"99, AmmoTypeFactors, 10, false), 2,0) + IF('Ammo Input'!P399, 2,0) + IF('Ammo Input'!Q399,MIN(ROUNDUP(0.2*('Ammo Input'!H399/1000)*'Ammo Input'!O399,0),20),0))))"),0)</f>
        <v>0</v>
      </c>
      <c r="W403">
        <v>0</v>
      </c>
      <c r="X403">
        <v>0</v>
      </c>
      <c r="Y403">
        <v>0</v>
      </c>
      <c r="Z403">
        <v>0</v>
      </c>
      <c r="AA403">
        <v>0</v>
      </c>
      <c r="AB403" s="30">
        <f>IF(B403="Sling Bullet (Stone)",ROUNDUP(D403*0.02*E403/'Ingredient stats'!$C$8,0),0)</f>
        <v>0</v>
      </c>
      <c r="AC403" t="str">
        <f t="shared" si="20"/>
        <v>None</v>
      </c>
      <c r="AD403" t="str">
        <f>IF(OR(B403="Buck",B403="Bird",B403="Charge (Scatter)"),'Ammo Input'!J403,"None")</f>
        <v>None</v>
      </c>
      <c r="AE403" t="str">
        <f>_xlfn.IFS(ISTEXT(Calcs!N403),Calcs!N403,Calcs!N403&lt;=40,Calcs!N403,Calcs!N403&gt;41,"40")</f>
        <v>None</v>
      </c>
      <c r="AF403" t="str">
        <f>_xlfn.IFS(ISTEXT(Calcs!O403),Calcs!O403,Calcs!O403&lt;=80,Calcs!O403,Calcs!O403&gt;=81,"80")</f>
        <v>None</v>
      </c>
      <c r="AG403" s="25">
        <f t="shared" si="21"/>
        <v>1</v>
      </c>
      <c r="AH403" s="25">
        <f t="shared" si="22"/>
        <v>2.74</v>
      </c>
      <c r="AI403" s="25">
        <f t="shared" si="23"/>
        <v>1</v>
      </c>
    </row>
    <row r="404" ht="14.4" spans="1:35">
      <c r="A404" s="24" t="str">
        <f>'Ammo Input'!A404</f>
        <v>.277 Fury</v>
      </c>
      <c r="B404" t="str">
        <f>'Ammo Input'!B404</f>
        <v>HP</v>
      </c>
      <c r="C404">
        <f>ROUNDUP(('Ammo Input'!C404*(MAX('Ammo Input'!D404,'Ammo Input'!F404)*0.5)^2*PI())*3/1000000,2)</f>
        <v>0.03</v>
      </c>
      <c r="D404">
        <f>ROUNDUP(('Ammo Input'!E404+'Ammo Input'!H404*IF('Ammo Input'!J404&lt;&gt;"",MAX('Ammo Input'!J404,1),1))/1000,3)</f>
        <v>0.024</v>
      </c>
      <c r="E404">
        <f>MIN(5000,MAX(25,CEILING(Calcs!L404,_xlfn.IFS(Calcs!L404&lt;100,25,Calcs!L404&lt;250,50,Calcs!L404&lt;1000,250,Calcs!L404&gt;=1000,1000))))</f>
        <v>5000</v>
      </c>
      <c r="F404">
        <f>ROUNDUP('Ammo Input'!G404^(3/4),0)</f>
        <v>167</v>
      </c>
      <c r="G404">
        <f>ROUND((0.5*((IF(OR(B404="HEAT",B404="HEDP"),'Ammo Input'!N404,'Ammo Input'!H404)/1000)*(IF(B404="HEAT",9000,IF(B404="HEDP",1500,'Ammo Input'!G404))^2))),0)</f>
        <v>3655</v>
      </c>
      <c r="H404" s="25" t="str">
        <f>CONCATENATE(IF((B404="Foam")+(B404="Smoke"),"-",ROUND(Calcs!D404,0))," ",VLOOKUP(B404,AmmoTypeFactors,5,FALSE))</f>
        <v>25 Bullet</v>
      </c>
      <c r="I404" s="25" t="str">
        <f>IF(Calcs!E404=0,"None",CONCATENATE(ROUND(Calcs!E404,0)," ",VLOOKUP(B404,AmmoTypeFactors,6,FALSE)))</f>
        <v>None</v>
      </c>
      <c r="J404">
        <f>MROUND(2.42*'Ammo Input'!M404^(1/3)*VLOOKUP(B404,AmmoTypeFactors,3,FALSE),0.5)</f>
        <v>0</v>
      </c>
      <c r="K404" s="25" t="str">
        <f>IF(VLOOKUP(B404,AmmoTypeFactors,12,FALSE),MROUND(J404/3,0.5),"None")</f>
        <v>None</v>
      </c>
      <c r="L404" s="25">
        <f>IF(VLOOKUP(B404,AmmoTypeFactors,8,FALSE),"None",ROUNDUP(IF(Calcs!I404&gt;0,Calcs!I404,Calcs!H404),3))</f>
        <v>73.1</v>
      </c>
      <c r="M404" s="25">
        <f>IF(VLOOKUP(B404,AmmoTypeFactors,8,FALSE),"None",'Ammo Input'!L404)</f>
        <v>4</v>
      </c>
      <c r="N404">
        <f>'Ammo Input'!O404</f>
        <v>500</v>
      </c>
      <c r="O404" t="e">
        <f>ROUND((P404*0.0036+SUMPRODUCT(Q404:AB404,VLOOKUP($Q$1:$AB$1,IngredientStats,2,FALSE)))/N404*IF('Ammo Input'!R404,0.5,1),2)</f>
        <v>#VALUE!</v>
      </c>
      <c r="P404" t="e">
        <f>(SUMPRODUCT(Q404:AB404,VLOOKUP($Q$1:$AB$1,IngredientStats,4,FALSE))*VLOOKUP(B404,AmmoTypeFactors,14,FALSE)*IF('Ammo Input'!R404,1.1,1))</f>
        <v>#VALUE!</v>
      </c>
      <c r="Q404">
        <f>IFERROR(__xludf.DUMMYFUNCTION("((IF(NOT(OR(REGEXMATCH(B400, ""Arrow""), B400 = ""Javelin"", B400 = ""Stick bomb"")), ROUNDUP(('Ammo Input'!E400 / 1000) * N400)) + IF(VLOOKUP(B400, AmmoTypeFactors, 9, FALSE) = ""Steel"", ROUNDUP(('Ammo Input'!H400 -'Ammo Input'!M400) * MAX(IF('Ammo Inpu"&amp;"t'!J400 &gt; 0, 'Ammo Input'!J400, 1), 1) * N400 / 1000))) / 'Ingredient stats'!$C$2) * IF(ISBLANK(VLOOKUP(B400,AmmoTypeFactors,15,False)),1,VLOOKUP(B400,AmmoTypeFactors,15,False))"),26)</f>
        <v>26</v>
      </c>
      <c r="R404">
        <f>IFERROR(__xludf.DUMMYFUNCTION("ROUNDUP((IF(REGEXMATCH(B400, ""Arrow"") + (B400 = ""Javelin""), 'Ammo Input'!E400) + IF(VLOOKUP(B400, AmmoTypeFactors, 9, FALSE) = ""Wood"", 'Ammo Input'!H400) + IF(B400 = ""Stick bomb"", 'Ammo Input'!E400)) * N400 / 'Ingredient stats'!$C$12 / 1000)"),0)</f>
        <v>0</v>
      </c>
      <c r="S404">
        <v>0</v>
      </c>
      <c r="T404">
        <v>0</v>
      </c>
      <c r="U404">
        <f>IF(VLOOKUP(B404,AmmoTypeFactors,9,FALSE)="Plasteel",ROUNDUP(('Ammo Input'!H404*MAX(IF('Ammo Input'!J404&gt;0,'Ammo Input'!J404,1)*N404/1000/'Ingredient stats'!$C$4)),0),0)</f>
        <v>0</v>
      </c>
      <c r="V404">
        <f>IFERROR(__xludf.DUMMYFUNCTION("ROUNDUP(IF(ISBLANK(VLOOKUP(B400,AmmoTypeFactors,16,False)),1,VLOOKUP(B400,AmmoTypeFactors,16,False)) * (IFS(REGEXMATCH(B400, ""EMP""), 'Ammo Input'!M400 * N400 / 'Ingredient stats'!$C$5, REGEXMATCH(B400, ""Charge""), (U400^0.75), true, 0) + (IF(VLOOKUP(B4"&amp;"00, AmmoTypeFactors, 10, false), 2,0) + IF('Ammo Input'!P400, 2,0) + IF('Ammo Input'!Q400,MIN(ROUNDUP(0.2*('Ammo Input'!H400/1000)*'Ammo Input'!O400,0),20),0))))"),0)</f>
        <v>0</v>
      </c>
      <c r="W404">
        <v>0</v>
      </c>
      <c r="X404">
        <v>0</v>
      </c>
      <c r="Y404">
        <v>0</v>
      </c>
      <c r="Z404">
        <v>0</v>
      </c>
      <c r="AA404">
        <v>0</v>
      </c>
      <c r="AB404" s="30">
        <f>IF(B404="Sling Bullet (Stone)",ROUNDUP(D404*0.02*E404/'Ingredient stats'!$C$8,0),0)</f>
        <v>0</v>
      </c>
      <c r="AC404" t="str">
        <f t="shared" si="20"/>
        <v>None</v>
      </c>
      <c r="AD404" t="str">
        <f>IF(OR(B404="Buck",B404="Bird",B404="Charge (Scatter)"),'Ammo Input'!J404,"None")</f>
        <v>None</v>
      </c>
      <c r="AE404" t="str">
        <f>_xlfn.IFS(ISTEXT(Calcs!N404),Calcs!N404,Calcs!N404&lt;=40,Calcs!N404,Calcs!N404&gt;41,"40")</f>
        <v>None</v>
      </c>
      <c r="AF404" t="str">
        <f>_xlfn.IFS(ISTEXT(Calcs!O404),Calcs!O404,Calcs!O404&lt;=80,Calcs!O404,Calcs!O404&gt;=81,"80")</f>
        <v>None</v>
      </c>
      <c r="AG404" s="25">
        <f t="shared" si="21"/>
        <v>1</v>
      </c>
      <c r="AH404" s="25">
        <f t="shared" si="22"/>
        <v>2.74</v>
      </c>
      <c r="AI404" s="25">
        <f t="shared" si="23"/>
        <v>1</v>
      </c>
    </row>
    <row r="405" ht="14.4" spans="1:35">
      <c r="A405" s="24" t="str">
        <f>'Ammo Input'!A405</f>
        <v>.277 Fury</v>
      </c>
      <c r="B405" t="str">
        <f>'Ammo Input'!B405</f>
        <v>AP-I</v>
      </c>
      <c r="C405">
        <f>ROUNDUP(('Ammo Input'!C405*(MAX('Ammo Input'!D405,'Ammo Input'!F405)*0.5)^2*PI())*3/1000000,2)</f>
        <v>0.03</v>
      </c>
      <c r="D405">
        <f>ROUNDUP(('Ammo Input'!E405+'Ammo Input'!H405*IF('Ammo Input'!J405&lt;&gt;"",MAX('Ammo Input'!J405,1),1))/1000,3)</f>
        <v>0.024</v>
      </c>
      <c r="E405">
        <f>MIN(5000,MAX(25,CEILING(Calcs!L405,_xlfn.IFS(Calcs!L405&lt;100,25,Calcs!L405&lt;250,50,Calcs!L405&lt;1000,250,Calcs!L405&gt;=1000,1000))))</f>
        <v>5000</v>
      </c>
      <c r="F405">
        <f>ROUNDUP('Ammo Input'!G405^(3/4),0)</f>
        <v>167</v>
      </c>
      <c r="G405">
        <f>ROUND((0.5*((IF(OR(B405="HEAT",B405="HEDP"),'Ammo Input'!N405,'Ammo Input'!H405)/1000)*(IF(B405="HEAT",9000,IF(B405="HEDP",1500,'Ammo Input'!G405))^2))),0)</f>
        <v>3655</v>
      </c>
      <c r="H405" s="25" t="str">
        <f>CONCATENATE(IF((B405="Foam")+(B405="Smoke"),"-",ROUND(Calcs!D405,0))," ",VLOOKUP(B405,AmmoTypeFactors,5,FALSE))</f>
        <v>12 Bullet</v>
      </c>
      <c r="I405" s="25" t="str">
        <f>IF(Calcs!E405=0,"None",CONCATENATE(ROUND(Calcs!E405,0)," ",VLOOKUP(B405,AmmoTypeFactors,6,FALSE)))</f>
        <v>5 Flame_Secondary</v>
      </c>
      <c r="J405">
        <f>MROUND(2.42*'Ammo Input'!M405^(1/3)*VLOOKUP(B405,AmmoTypeFactors,3,FALSE),0.5)</f>
        <v>0</v>
      </c>
      <c r="K405" s="25" t="str">
        <f>IF(VLOOKUP(B405,AmmoTypeFactors,12,FALSE),MROUND(J405/3,0.5),"None")</f>
        <v>None</v>
      </c>
      <c r="L405" s="25">
        <f>IF(VLOOKUP(B405,AmmoTypeFactors,8,FALSE),"None",ROUNDUP(IF(Calcs!I405&gt;0,Calcs!I405,Calcs!H405),3))</f>
        <v>73.1</v>
      </c>
      <c r="M405" s="25">
        <f>IF(VLOOKUP(B405,AmmoTypeFactors,8,FALSE),"None",'Ammo Input'!L405)</f>
        <v>16</v>
      </c>
      <c r="N405">
        <f>'Ammo Input'!O405</f>
        <v>500</v>
      </c>
      <c r="O405" t="e">
        <f>ROUND((P405*0.0036+SUMPRODUCT(Q405:AB405,VLOOKUP($Q$1:$AB$1,IngredientStats,2,FALSE)))/N405*IF('Ammo Input'!R405,0.5,1),2)</f>
        <v>#VALUE!</v>
      </c>
      <c r="P405" t="e">
        <f>(SUMPRODUCT(Q405:AB405,VLOOKUP($Q$1:$AB$1,IngredientStats,4,FALSE))*VLOOKUP(B405,AmmoTypeFactors,14,FALSE)*IF('Ammo Input'!R405,1.1,1))</f>
        <v>#VALUE!</v>
      </c>
      <c r="Q405">
        <f>IFERROR(__xludf.DUMMYFUNCTION("((IF(NOT(OR(REGEXMATCH(B401, ""Arrow""), B401 = ""Javelin"", B401 = ""Stick bomb"")), ROUNDUP(('Ammo Input'!E401 / 1000) * N401)) + IF(VLOOKUP(B401, AmmoTypeFactors, 9, FALSE) = ""Steel"", ROUNDUP(('Ammo Input'!H401 -'Ammo Input'!M401) * MAX(IF('Ammo Inpu"&amp;"t'!J401 &gt; 0, 'Ammo Input'!J401, 1), 1) * N401 / 1000))) / 'Ingredient stats'!$C$2) * IF(ISBLANK(VLOOKUP(B401,AmmoTypeFactors,15,False)),1,VLOOKUP(B401,AmmoTypeFactors,15,False))"),26)</f>
        <v>26</v>
      </c>
      <c r="R405">
        <f>IFERROR(__xludf.DUMMYFUNCTION("ROUNDUP((IF(REGEXMATCH(B401, ""Arrow"") + (B401 = ""Javelin""), 'Ammo Input'!E401) + IF(VLOOKUP(B401, AmmoTypeFactors, 9, FALSE) = ""Wood"", 'Ammo Input'!H401) + IF(B401 = ""Stick bomb"", 'Ammo Input'!E401)) * N401 / 'Ingredient stats'!$C$12 / 1000)"),0)</f>
        <v>0</v>
      </c>
      <c r="S405">
        <v>0</v>
      </c>
      <c r="T405">
        <v>0</v>
      </c>
      <c r="U405">
        <f>IF(VLOOKUP(B405,AmmoTypeFactors,9,FALSE)="Plasteel",ROUNDUP(('Ammo Input'!H405*MAX(IF('Ammo Input'!J405&gt;0,'Ammo Input'!J405,1)*N405/1000/'Ingredient stats'!$C$4)),0),0)</f>
        <v>0</v>
      </c>
      <c r="V405">
        <f>IFERROR(__xludf.DUMMYFUNCTION("ROUNDUP(IF(ISBLANK(VLOOKUP(B401,AmmoTypeFactors,16,False)),1,VLOOKUP(B401,AmmoTypeFactors,16,False)) * (IFS(REGEXMATCH(B401, ""EMP""), 'Ammo Input'!M401 * N401 / 'Ingredient stats'!$C$5, REGEXMATCH(B401, ""Charge""), (U401^0.75), true, 0) + (IF(VLOOKUP(B4"&amp;"01, AmmoTypeFactors, 10, false), 2,0) + IF('Ammo Input'!P401, 2,0) + IF('Ammo Input'!Q401,MIN(ROUNDUP(0.2*('Ammo Input'!H401/1000)*'Ammo Input'!O401,0),20),0))))"),0)</f>
        <v>0</v>
      </c>
      <c r="W405">
        <v>3</v>
      </c>
      <c r="X405">
        <v>0</v>
      </c>
      <c r="Y405">
        <v>0</v>
      </c>
      <c r="Z405">
        <v>0</v>
      </c>
      <c r="AA405">
        <v>0</v>
      </c>
      <c r="AB405" s="30">
        <f>IF(B405="Sling Bullet (Stone)",ROUNDUP(D405*0.02*E405/'Ingredient stats'!$C$8,0),0)</f>
        <v>0</v>
      </c>
      <c r="AC405" t="str">
        <f t="shared" si="20"/>
        <v>None</v>
      </c>
      <c r="AD405" t="str">
        <f>IF(OR(B405="Buck",B405="Bird",B405="Charge (Scatter)"),'Ammo Input'!J405,"None")</f>
        <v>None</v>
      </c>
      <c r="AE405" t="str">
        <f>_xlfn.IFS(ISTEXT(Calcs!N405),Calcs!N405,Calcs!N405&lt;=40,Calcs!N405,Calcs!N405&gt;41,"40")</f>
        <v>None</v>
      </c>
      <c r="AF405" t="str">
        <f>_xlfn.IFS(ISTEXT(Calcs!O405),Calcs!O405,Calcs!O405&lt;=80,Calcs!O405,Calcs!O405&gt;=81,"80")</f>
        <v>None</v>
      </c>
      <c r="AG405" s="25">
        <f t="shared" si="21"/>
        <v>1</v>
      </c>
      <c r="AH405" s="25">
        <f t="shared" si="22"/>
        <v>2.74</v>
      </c>
      <c r="AI405" s="25">
        <f t="shared" si="23"/>
        <v>1</v>
      </c>
    </row>
    <row r="406" ht="14.4" spans="1:35">
      <c r="A406" s="24" t="str">
        <f>'Ammo Input'!A406</f>
        <v>.277 Fury</v>
      </c>
      <c r="B406" t="str">
        <f>'Ammo Input'!B406</f>
        <v>AP-HE</v>
      </c>
      <c r="C406">
        <f>ROUNDUP(('Ammo Input'!C406*(MAX('Ammo Input'!D406,'Ammo Input'!F406)*0.5)^2*PI())*3/1000000,2)</f>
        <v>0.03</v>
      </c>
      <c r="D406">
        <f>ROUNDUP(('Ammo Input'!E406+'Ammo Input'!H406*IF('Ammo Input'!J406&lt;&gt;"",MAX('Ammo Input'!J406,1),1))/1000,3)</f>
        <v>0.024</v>
      </c>
      <c r="E406">
        <f>MIN(5000,MAX(25,CEILING(Calcs!L406,_xlfn.IFS(Calcs!L406&lt;100,25,Calcs!L406&lt;250,50,Calcs!L406&lt;1000,250,Calcs!L406&gt;=1000,1000))))</f>
        <v>5000</v>
      </c>
      <c r="F406">
        <f>ROUNDUP('Ammo Input'!G406^(3/4),0)</f>
        <v>167</v>
      </c>
      <c r="G406">
        <f>ROUND((0.5*((IF(OR(B406="HEAT",B406="HEDP"),'Ammo Input'!N406,'Ammo Input'!H406)/1000)*(IF(B406="HEAT",9000,IF(B406="HEDP",1500,'Ammo Input'!G406))^2))),0)</f>
        <v>3655</v>
      </c>
      <c r="H406" s="25" t="str">
        <f>CONCATENATE(IF((B406="Foam")+(B406="Smoke"),"-",ROUND(Calcs!D406,0))," ",VLOOKUP(B406,AmmoTypeFactors,5,FALSE))</f>
        <v>19 Bullet</v>
      </c>
      <c r="I406" s="25" t="str">
        <f>IF(Calcs!E406=0,"None",CONCATENATE(ROUND(Calcs!E406,0)," ",VLOOKUP(B406,AmmoTypeFactors,6,FALSE)))</f>
        <v>7 Bomb_Secondary</v>
      </c>
      <c r="J406">
        <f>MROUND(2.42*'Ammo Input'!M406^(1/3)*VLOOKUP(B406,AmmoTypeFactors,3,FALSE),0.5)</f>
        <v>0</v>
      </c>
      <c r="K406" s="25" t="str">
        <f>IF(VLOOKUP(B406,AmmoTypeFactors,12,FALSE),MROUND(J406/3,0.5),"None")</f>
        <v>None</v>
      </c>
      <c r="L406" s="25">
        <f>IF(VLOOKUP(B406,AmmoTypeFactors,8,FALSE),"None",ROUNDUP(IF(Calcs!I406&gt;0,Calcs!I406,Calcs!H406),3))</f>
        <v>73.1</v>
      </c>
      <c r="M406" s="25">
        <f>IF(VLOOKUP(B406,AmmoTypeFactors,8,FALSE),"None",'Ammo Input'!L406)</f>
        <v>8</v>
      </c>
      <c r="N406">
        <f>'Ammo Input'!O406</f>
        <v>500</v>
      </c>
      <c r="O406" t="e">
        <f>ROUND((P406*0.0036+SUMPRODUCT(Q406:AB406,VLOOKUP($Q$1:$AB$1,IngredientStats,2,FALSE)))/N406*IF('Ammo Input'!R406,0.5,1),2)</f>
        <v>#VALUE!</v>
      </c>
      <c r="P406" t="e">
        <f>(SUMPRODUCT(Q406:AB406,VLOOKUP($Q$1:$AB$1,IngredientStats,4,FALSE))*VLOOKUP(B406,AmmoTypeFactors,14,FALSE)*IF('Ammo Input'!R406,1.1,1))</f>
        <v>#VALUE!</v>
      </c>
      <c r="Q406">
        <f>IFERROR(__xludf.DUMMYFUNCTION("((IF(NOT(OR(REGEXMATCH(B402, ""Arrow""), B402 = ""Javelin"", B402 = ""Stick bomb"")), ROUNDUP(('Ammo Input'!E402 / 1000) * N402)) + IF(VLOOKUP(B402, AmmoTypeFactors, 9, FALSE) = ""Steel"", ROUNDUP(('Ammo Input'!H402 -'Ammo Input'!M402) * MAX(IF('Ammo Inpu"&amp;"t'!J402 &gt; 0, 'Ammo Input'!J402, 1), 1) * N402 / 1000))) / 'Ingredient stats'!$C$2) * IF(ISBLANK(VLOOKUP(B402,AmmoTypeFactors,15,False)),1,VLOOKUP(B402,AmmoTypeFactors,15,False))"),26)</f>
        <v>26</v>
      </c>
      <c r="R406">
        <f>IFERROR(__xludf.DUMMYFUNCTION("ROUNDUP((IF(REGEXMATCH(B402, ""Arrow"") + (B402 = ""Javelin""), 'Ammo Input'!E402) + IF(VLOOKUP(B402, AmmoTypeFactors, 9, FALSE) = ""Wood"", 'Ammo Input'!H402) + IF(B402 = ""Stick bomb"", 'Ammo Input'!E402)) * N402 / 'Ingredient stats'!$C$12 / 1000)"),0)</f>
        <v>0</v>
      </c>
      <c r="S406">
        <v>0</v>
      </c>
      <c r="T406">
        <v>0</v>
      </c>
      <c r="U406">
        <f>IF(VLOOKUP(B406,AmmoTypeFactors,9,FALSE)="Plasteel",ROUNDUP(('Ammo Input'!H406*MAX(IF('Ammo Input'!J406&gt;0,'Ammo Input'!J406,1)*N406/1000/'Ingredient stats'!$C$4)),0),0)</f>
        <v>0</v>
      </c>
      <c r="V406">
        <f>IFERROR(__xludf.DUMMYFUNCTION("ROUNDUP(IF(ISBLANK(VLOOKUP(B402,AmmoTypeFactors,16,False)),1,VLOOKUP(B402,AmmoTypeFactors,16,False)) * (IFS(REGEXMATCH(B402, ""EMP""), 'Ammo Input'!M402 * N402 / 'Ingredient stats'!$C$5, REGEXMATCH(B402, ""Charge""), (U402^0.75), true, 0) + (IF(VLOOKUP(B4"&amp;"02, AmmoTypeFactors, 10, false), 2,0) + IF('Ammo Input'!P402, 2,0) + IF('Ammo Input'!Q402,MIN(ROUNDUP(0.2*('Ammo Input'!H402/1000)*'Ammo Input'!O402,0),20),0))))"),0)</f>
        <v>0</v>
      </c>
      <c r="W406">
        <v>0</v>
      </c>
      <c r="X406">
        <v>5</v>
      </c>
      <c r="Y406">
        <v>0</v>
      </c>
      <c r="Z406">
        <v>0</v>
      </c>
      <c r="AA406">
        <v>0</v>
      </c>
      <c r="AB406" s="30">
        <f>IF(B406="Sling Bullet (Stone)",ROUNDUP(D406*0.02*E406/'Ingredient stats'!$C$8,0),0)</f>
        <v>0</v>
      </c>
      <c r="AC406" t="str">
        <f t="shared" si="20"/>
        <v>None</v>
      </c>
      <c r="AD406" t="str">
        <f>IF(OR(B406="Buck",B406="Bird",B406="Charge (Scatter)"),'Ammo Input'!J406,"None")</f>
        <v>None</v>
      </c>
      <c r="AE406" t="str">
        <f>_xlfn.IFS(ISTEXT(Calcs!N406),Calcs!N406,Calcs!N406&lt;=40,Calcs!N406,Calcs!N406&gt;41,"40")</f>
        <v>None</v>
      </c>
      <c r="AF406" t="str">
        <f>_xlfn.IFS(ISTEXT(Calcs!O406),Calcs!O406,Calcs!O406&lt;=80,Calcs!O406,Calcs!O406&gt;=81,"80")</f>
        <v>None</v>
      </c>
      <c r="AG406" s="25">
        <f t="shared" si="21"/>
        <v>1</v>
      </c>
      <c r="AH406" s="25">
        <f t="shared" si="22"/>
        <v>2.74</v>
      </c>
      <c r="AI406" s="25">
        <f t="shared" si="23"/>
        <v>1</v>
      </c>
    </row>
    <row r="407" ht="14.4" spans="1:35">
      <c r="A407" s="24" t="str">
        <f>'Ammo Input'!A407</f>
        <v>.277 Fury</v>
      </c>
      <c r="B407" t="str">
        <f>'Ammo Input'!B407</f>
        <v>Sabot</v>
      </c>
      <c r="C407">
        <f>ROUNDUP(('Ammo Input'!C407*(MAX('Ammo Input'!D407,'Ammo Input'!F407)*0.5)^2*PI())*3/1000000,2)</f>
        <v>0.03</v>
      </c>
      <c r="D407">
        <f>ROUNDUP(('Ammo Input'!E407+'Ammo Input'!H407*IF('Ammo Input'!J407&lt;&gt;"",MAX('Ammo Input'!J407,1),1))/1000,3)</f>
        <v>0.02</v>
      </c>
      <c r="E407">
        <f>MIN(5000,MAX(25,CEILING(Calcs!L407,_xlfn.IFS(Calcs!L407&lt;100,25,Calcs!L407&lt;250,50,Calcs!L407&lt;1000,250,Calcs!L407&gt;=1000,1000))))</f>
        <v>5000</v>
      </c>
      <c r="F407">
        <f>ROUNDUP('Ammo Input'!G407^(3/4),0)</f>
        <v>226</v>
      </c>
      <c r="G407">
        <f>ROUND((0.5*((IF(OR(B407="HEAT",B407="HEDP"),'Ammo Input'!N407,'Ammo Input'!H407)/1000)*(IF(B407="HEAT",9000,IF(B407="HEDP",1500,'Ammo Input'!G407))^2))),0)</f>
        <v>4699</v>
      </c>
      <c r="H407" s="25" t="str">
        <f>CONCATENATE(IF((B407="Foam")+(B407="Smoke"),"-",ROUND(Calcs!D407,0))," ",VLOOKUP(B407,AmmoTypeFactors,5,FALSE))</f>
        <v>10 Bullet</v>
      </c>
      <c r="I407" s="25" t="str">
        <f>IF(Calcs!E407=0,"None",CONCATENATE(ROUND(Calcs!E407,0)," ",VLOOKUP(B407,AmmoTypeFactors,6,FALSE)))</f>
        <v>None</v>
      </c>
      <c r="J407">
        <f>MROUND(2.42*'Ammo Input'!M407^(1/3)*VLOOKUP(B407,AmmoTypeFactors,3,FALSE),0.5)</f>
        <v>0</v>
      </c>
      <c r="K407" s="25" t="str">
        <f>IF(VLOOKUP(B407,AmmoTypeFactors,12,FALSE),MROUND(J407/3,0.5),"None")</f>
        <v>None</v>
      </c>
      <c r="L407" s="25">
        <f>IF(VLOOKUP(B407,AmmoTypeFactors,8,FALSE),"None",ROUNDUP(IF(Calcs!I407&gt;0,Calcs!I407,Calcs!H407),3))</f>
        <v>93.98</v>
      </c>
      <c r="M407" s="25">
        <f>IF(VLOOKUP(B407,AmmoTypeFactors,8,FALSE),"None",'Ammo Input'!L407)</f>
        <v>28</v>
      </c>
      <c r="N407">
        <f>'Ammo Input'!O407</f>
        <v>500</v>
      </c>
      <c r="O407" t="e">
        <f>ROUND((P407*0.0036+SUMPRODUCT(Q407:AB407,VLOOKUP($Q$1:$AB$1,IngredientStats,2,FALSE)))/N407*IF('Ammo Input'!R407,0.5,1),2)</f>
        <v>#VALUE!</v>
      </c>
      <c r="P407" t="e">
        <f>(SUMPRODUCT(Q407:AB407,VLOOKUP($Q$1:$AB$1,IngredientStats,4,FALSE))*VLOOKUP(B407,AmmoTypeFactors,14,FALSE)*IF('Ammo Input'!R407,1.1,1))</f>
        <v>#VALUE!</v>
      </c>
      <c r="Q407">
        <f>IFERROR(__xludf.DUMMYFUNCTION("((IF(NOT(OR(REGEXMATCH(B403, ""Arrow""), B403 = ""Javelin"", B403 = ""Stick bomb"")), ROUNDUP(('Ammo Input'!E403 / 1000) * N403)) + IF(VLOOKUP(B403, AmmoTypeFactors, 9, FALSE) = ""Steel"", ROUNDUP(('Ammo Input'!H403 -'Ammo Input'!M403) * MAX(IF('Ammo Inpu"&amp;"t'!J403 &gt; 0, 'Ammo Input'!J403, 1), 1) * N403 / 1000))) / 'Ingredient stats'!$C$2) * IF(ISBLANK(VLOOKUP(B403,AmmoTypeFactors,15,False)),1,VLOOKUP(B403,AmmoTypeFactors,15,False))"),16)</f>
        <v>16</v>
      </c>
      <c r="R407">
        <f>IFERROR(__xludf.DUMMYFUNCTION("ROUNDUP((IF(REGEXMATCH(B403, ""Arrow"") + (B403 = ""Javelin""), 'Ammo Input'!E403) + IF(VLOOKUP(B403, AmmoTypeFactors, 9, FALSE) = ""Wood"", 'Ammo Input'!H403) + IF(B403 = ""Stick bomb"", 'Ammo Input'!E403)) * N403 / 'Ingredient stats'!$C$12 / 1000)"),0)</f>
        <v>0</v>
      </c>
      <c r="S407">
        <v>3</v>
      </c>
      <c r="T407">
        <v>3</v>
      </c>
      <c r="U407">
        <f>IF(VLOOKUP(B407,AmmoTypeFactors,9,FALSE)="Plasteel",ROUNDUP(('Ammo Input'!H407*MAX(IF('Ammo Input'!J407&gt;0,'Ammo Input'!J407,1)*N407/1000/'Ingredient stats'!$C$4)),0),0)</f>
        <v>0</v>
      </c>
      <c r="V407">
        <f>IFERROR(__xludf.DUMMYFUNCTION("ROUNDUP(IF(ISBLANK(VLOOKUP(B403,AmmoTypeFactors,16,False)),1,VLOOKUP(B403,AmmoTypeFactors,16,False)) * (IFS(REGEXMATCH(B403, ""EMP""), 'Ammo Input'!M403 * N403 / 'Ingredient stats'!$C$5, REGEXMATCH(B403, ""Charge""), (U403^0.75), true, 0) + (IF(VLOOKUP(B4"&amp;"03, AmmoTypeFactors, 10, false), 2,0) + IF('Ammo Input'!P403, 2,0) + IF('Ammo Input'!Q403,MIN(ROUNDUP(0.2*('Ammo Input'!H403/1000)*'Ammo Input'!O403,0),20),0))))"),0)</f>
        <v>0</v>
      </c>
      <c r="W407">
        <v>0</v>
      </c>
      <c r="X407">
        <v>0</v>
      </c>
      <c r="Y407">
        <v>0</v>
      </c>
      <c r="Z407">
        <v>0</v>
      </c>
      <c r="AA407">
        <v>0</v>
      </c>
      <c r="AB407" s="30">
        <f>IF(B407="Sling Bullet (Stone)",ROUNDUP(D407*0.02*E407/'Ingredient stats'!$C$8,0),0)</f>
        <v>0</v>
      </c>
      <c r="AC407" t="str">
        <f t="shared" si="20"/>
        <v>None</v>
      </c>
      <c r="AD407" t="str">
        <f>IF(OR(B407="Buck",B407="Bird",B407="Charge (Scatter)"),'Ammo Input'!J407,"None")</f>
        <v>None</v>
      </c>
      <c r="AE407" t="str">
        <f>_xlfn.IFS(ISTEXT(Calcs!N407),Calcs!N407,Calcs!N407&lt;=40,Calcs!N407,Calcs!N407&gt;41,"40")</f>
        <v>None</v>
      </c>
      <c r="AF407" t="str">
        <f>_xlfn.IFS(ISTEXT(Calcs!O407),Calcs!O407,Calcs!O407&lt;=80,Calcs!O407,Calcs!O407&gt;=81,"80")</f>
        <v>None</v>
      </c>
      <c r="AG407" s="25">
        <f t="shared" si="21"/>
        <v>1</v>
      </c>
      <c r="AH407" s="25">
        <f t="shared" si="22"/>
        <v>3.64</v>
      </c>
      <c r="AI407" s="25">
        <f t="shared" si="23"/>
        <v>1</v>
      </c>
    </row>
    <row r="408" ht="14.4" spans="1:35">
      <c r="A408" s="24" t="str">
        <f>'Ammo Input'!A408</f>
        <v>7.62x51mm NATO</v>
      </c>
      <c r="B408" t="str">
        <f>'Ammo Input'!B408</f>
        <v>FMJ</v>
      </c>
      <c r="C408">
        <f>ROUNDUP(('Ammo Input'!C408*(MAX('Ammo Input'!D408,'Ammo Input'!F408)*0.5)^2*PI())*3/1000000,2)</f>
        <v>0.03</v>
      </c>
      <c r="D408">
        <f>ROUNDUP(('Ammo Input'!E408+'Ammo Input'!H408*IF('Ammo Input'!J408&lt;&gt;"",MAX('Ammo Input'!J408,1),1))/1000,3)</f>
        <v>0.025</v>
      </c>
      <c r="E408">
        <f>MIN(5000,MAX(25,CEILING(Calcs!L408,_xlfn.IFS(Calcs!L408&lt;100,25,Calcs!L408&lt;250,50,Calcs!L408&lt;1000,250,Calcs!L408&gt;=1000,1000))))</f>
        <v>5000</v>
      </c>
      <c r="F408">
        <f>ROUNDUP('Ammo Input'!G408^(3/4),0)</f>
        <v>156</v>
      </c>
      <c r="G408">
        <f>ROUND((0.5*((IF(OR(B408="HEAT",B408="HEDP"),'Ammo Input'!N408,'Ammo Input'!H408)/1000)*(IF(B408="HEAT",9000,IF(B408="HEDP",1500,'Ammo Input'!G408))^2))),0)</f>
        <v>3336</v>
      </c>
      <c r="H408" s="25" t="str">
        <f>CONCATENATE(IF((B408="Foam")+(B408="Smoke"),"-",ROUND(Calcs!D408,0))," ",VLOOKUP(B408,AmmoTypeFactors,5,FALSE))</f>
        <v>20 Bullet</v>
      </c>
      <c r="I408" s="25" t="str">
        <f>IF(Calcs!E408=0,"None",CONCATENATE(ROUND(Calcs!E408,0)," ",VLOOKUP(B408,AmmoTypeFactors,6,FALSE)))</f>
        <v>None</v>
      </c>
      <c r="J408">
        <f>MROUND(2.42*'Ammo Input'!M408^(1/3)*VLOOKUP(B408,AmmoTypeFactors,3,FALSE),0.5)</f>
        <v>0</v>
      </c>
      <c r="K408" s="25" t="str">
        <f>IF(VLOOKUP(B408,AmmoTypeFactors,12,FALSE),MROUND(J408/3,0.5),"None")</f>
        <v>None</v>
      </c>
      <c r="L408" s="25">
        <f>IF(VLOOKUP(B408,AmmoTypeFactors,8,FALSE),"None",ROUNDUP(IF(Calcs!I408&gt;0,Calcs!I408,Calcs!H408),3))</f>
        <v>66.72</v>
      </c>
      <c r="M408" s="25">
        <f>IF(VLOOKUP(B408,AmmoTypeFactors,8,FALSE),"None",'Ammo Input'!L408)</f>
        <v>7</v>
      </c>
      <c r="N408">
        <f>'Ammo Input'!O408</f>
        <v>500</v>
      </c>
      <c r="O408" t="e">
        <f>ROUND((P408*0.0036+SUMPRODUCT(Q408:AB408,VLOOKUP($Q$1:$AB$1,IngredientStats,2,FALSE)))/N408*IF('Ammo Input'!R408,0.5,1),2)</f>
        <v>#VALUE!</v>
      </c>
      <c r="P408" t="e">
        <f>(SUMPRODUCT(Q408:AB408,VLOOKUP($Q$1:$AB$1,IngredientStats,4,FALSE))*VLOOKUP(B408,AmmoTypeFactors,14,FALSE)*IF('Ammo Input'!R408,1.1,1))</f>
        <v>#VALUE!</v>
      </c>
      <c r="Q408">
        <f>IFERROR(__xludf.DUMMYFUNCTION("((IF(NOT(OR(REGEXMATCH(B404, ""Arrow""), B404 = ""Javelin"", B404 = ""Stick bomb"")), ROUNDUP(('Ammo Input'!E404 / 1000) * N404)) + IF(VLOOKUP(B404, AmmoTypeFactors, 9, FALSE) = ""Steel"", ROUNDUP(('Ammo Input'!H404 -'Ammo Input'!M404) * MAX(IF('Ammo Inpu"&amp;"t'!J404 &gt; 0, 'Ammo Input'!J404, 1), 1) * N404 / 1000))) / 'Ingredient stats'!$C$2) * IF(ISBLANK(VLOOKUP(B404,AmmoTypeFactors,15,False)),1,VLOOKUP(B404,AmmoTypeFactors,15,False))"),26)</f>
        <v>26</v>
      </c>
      <c r="R408">
        <f>IFERROR(__xludf.DUMMYFUNCTION("ROUNDUP((IF(REGEXMATCH(B404, ""Arrow"") + (B404 = ""Javelin""), 'Ammo Input'!E404) + IF(VLOOKUP(B404, AmmoTypeFactors, 9, FALSE) = ""Wood"", 'Ammo Input'!H404) + IF(B404 = ""Stick bomb"", 'Ammo Input'!E404)) * N404 / 'Ingredient stats'!$C$12 / 1000)"),0)</f>
        <v>0</v>
      </c>
      <c r="S408">
        <v>0</v>
      </c>
      <c r="T408">
        <v>0</v>
      </c>
      <c r="U408">
        <f>IF(VLOOKUP(B408,AmmoTypeFactors,9,FALSE)="Plasteel",ROUNDUP(('Ammo Input'!H408*MAX(IF('Ammo Input'!J408&gt;0,'Ammo Input'!J408,1)*N408/1000/'Ingredient stats'!$C$4)),0),0)</f>
        <v>0</v>
      </c>
      <c r="V408">
        <f>IFERROR(__xludf.DUMMYFUNCTION("ROUNDUP(IF(ISBLANK(VLOOKUP(B404,AmmoTypeFactors,16,False)),1,VLOOKUP(B404,AmmoTypeFactors,16,False)) * (IFS(REGEXMATCH(B404, ""EMP""), 'Ammo Input'!M404 * N404 / 'Ingredient stats'!$C$5, REGEXMATCH(B404, ""Charge""), (U404^0.75), true, 0) + (IF(VLOOKUP(B4"&amp;"04, AmmoTypeFactors, 10, false), 2,0) + IF('Ammo Input'!P404, 2,0) + IF('Ammo Input'!Q404,MIN(ROUNDUP(0.2*('Ammo Input'!H404/1000)*'Ammo Input'!O404,0),20),0))))"),0)</f>
        <v>0</v>
      </c>
      <c r="W408">
        <v>0</v>
      </c>
      <c r="X408">
        <v>0</v>
      </c>
      <c r="Y408">
        <v>0</v>
      </c>
      <c r="Z408">
        <v>0</v>
      </c>
      <c r="AA408">
        <v>0</v>
      </c>
      <c r="AB408" s="30">
        <f>IF(B408="Sling Bullet (Stone)",ROUNDUP(D408*0.02*E408/'Ingredient stats'!$C$8,0),0)</f>
        <v>0</v>
      </c>
      <c r="AC408" t="str">
        <f t="shared" si="20"/>
        <v>None</v>
      </c>
      <c r="AD408" t="str">
        <f>IF(OR(B408="Buck",B408="Bird",B408="Charge (Scatter)"),'Ammo Input'!J408,"None")</f>
        <v>None</v>
      </c>
      <c r="AE408" t="str">
        <f>_xlfn.IFS(ISTEXT(Calcs!N408),Calcs!N408,Calcs!N408&lt;=40,Calcs!N408,Calcs!N408&gt;41,"40")</f>
        <v>None</v>
      </c>
      <c r="AF408" t="str">
        <f>_xlfn.IFS(ISTEXT(Calcs!O408),Calcs!O408,Calcs!O408&lt;=80,Calcs!O408,Calcs!O408&gt;=81,"80")</f>
        <v>None</v>
      </c>
      <c r="AG408" s="25">
        <f t="shared" si="21"/>
        <v>1</v>
      </c>
      <c r="AH408" s="25">
        <f t="shared" si="22"/>
        <v>2.56</v>
      </c>
      <c r="AI408" s="25">
        <f t="shared" si="23"/>
        <v>1</v>
      </c>
    </row>
    <row r="409" ht="14.4" spans="1:35">
      <c r="A409" s="24" t="str">
        <f>'Ammo Input'!A409</f>
        <v>7.62x51mm NATO</v>
      </c>
      <c r="B409" t="str">
        <f>'Ammo Input'!B409</f>
        <v>AP</v>
      </c>
      <c r="C409">
        <f>ROUNDUP(('Ammo Input'!C409*(MAX('Ammo Input'!D409,'Ammo Input'!F409)*0.5)^2*PI())*3/1000000,2)</f>
        <v>0.03</v>
      </c>
      <c r="D409">
        <f>ROUNDUP(('Ammo Input'!E409+'Ammo Input'!H409*IF('Ammo Input'!J409&lt;&gt;"",MAX('Ammo Input'!J409,1),1))/1000,3)</f>
        <v>0.025</v>
      </c>
      <c r="E409">
        <f>MIN(5000,MAX(25,CEILING(Calcs!L409,_xlfn.IFS(Calcs!L409&lt;100,25,Calcs!L409&lt;250,50,Calcs!L409&lt;1000,250,Calcs!L409&gt;=1000,1000))))</f>
        <v>5000</v>
      </c>
      <c r="F409">
        <f>ROUNDUP('Ammo Input'!G409^(3/4),0)</f>
        <v>156</v>
      </c>
      <c r="G409">
        <f>ROUND((0.5*((IF(OR(B409="HEAT",B409="HEDP"),'Ammo Input'!N409,'Ammo Input'!H409)/1000)*(IF(B409="HEAT",9000,IF(B409="HEDP",1500,'Ammo Input'!G409))^2))),0)</f>
        <v>3336</v>
      </c>
      <c r="H409" s="25" t="str">
        <f>CONCATENATE(IF((B409="Foam")+(B409="Smoke"),"-",ROUND(Calcs!D409,0))," ",VLOOKUP(B409,AmmoTypeFactors,5,FALSE))</f>
        <v>12 Bullet</v>
      </c>
      <c r="I409" s="25" t="str">
        <f>IF(Calcs!E409=0,"None",CONCATENATE(ROUND(Calcs!E409,0)," ",VLOOKUP(B409,AmmoTypeFactors,6,FALSE)))</f>
        <v>None</v>
      </c>
      <c r="J409">
        <f>MROUND(2.42*'Ammo Input'!M409^(1/3)*VLOOKUP(B409,AmmoTypeFactors,3,FALSE),0.5)</f>
        <v>0</v>
      </c>
      <c r="K409" s="25" t="str">
        <f>IF(VLOOKUP(B409,AmmoTypeFactors,12,FALSE),MROUND(J409/3,0.5),"None")</f>
        <v>None</v>
      </c>
      <c r="L409" s="25">
        <f>IF(VLOOKUP(B409,AmmoTypeFactors,8,FALSE),"None",ROUNDUP(IF(Calcs!I409&gt;0,Calcs!I409,Calcs!H409),3))</f>
        <v>66.72</v>
      </c>
      <c r="M409" s="25">
        <f>IF(VLOOKUP(B409,AmmoTypeFactors,8,FALSE),"None",'Ammo Input'!L409)</f>
        <v>14</v>
      </c>
      <c r="N409">
        <f>'Ammo Input'!O409</f>
        <v>500</v>
      </c>
      <c r="O409" t="e">
        <f>ROUND((P409*0.0036+SUMPRODUCT(Q409:AB409,VLOOKUP($Q$1:$AB$1,IngredientStats,2,FALSE)))/N409*IF('Ammo Input'!R409,0.5,1),2)</f>
        <v>#VALUE!</v>
      </c>
      <c r="P409" t="e">
        <f>(SUMPRODUCT(Q409:AB409,VLOOKUP($Q$1:$AB$1,IngredientStats,4,FALSE))*VLOOKUP(B409,AmmoTypeFactors,14,FALSE)*IF('Ammo Input'!R409,1.1,1))</f>
        <v>#VALUE!</v>
      </c>
      <c r="Q409">
        <f>IFERROR(__xludf.DUMMYFUNCTION("((IF(NOT(OR(REGEXMATCH(B405, ""Arrow""), B405 = ""Javelin"", B405 = ""Stick bomb"")), ROUNDUP(('Ammo Input'!E405 / 1000) * N405)) + IF(VLOOKUP(B405, AmmoTypeFactors, 9, FALSE) = ""Steel"", ROUNDUP(('Ammo Input'!H405 -'Ammo Input'!M405) * MAX(IF('Ammo Inpu"&amp;"t'!J405 &gt; 0, 'Ammo Input'!J405, 1), 1) * N405 / 1000))) / 'Ingredient stats'!$C$2) * IF(ISBLANK(VLOOKUP(B405,AmmoTypeFactors,15,False)),1,VLOOKUP(B405,AmmoTypeFactors,15,False))"),26)</f>
        <v>26</v>
      </c>
      <c r="R409">
        <f>IFERROR(__xludf.DUMMYFUNCTION("ROUNDUP((IF(REGEXMATCH(B405, ""Arrow"") + (B405 = ""Javelin""), 'Ammo Input'!E405) + IF(VLOOKUP(B405, AmmoTypeFactors, 9, FALSE) = ""Wood"", 'Ammo Input'!H405) + IF(B405 = ""Stick bomb"", 'Ammo Input'!E405)) * N405 / 'Ingredient stats'!$C$12 / 1000)"),0)</f>
        <v>0</v>
      </c>
      <c r="S409">
        <v>0</v>
      </c>
      <c r="T409">
        <v>0</v>
      </c>
      <c r="U409">
        <f>IF(VLOOKUP(B409,AmmoTypeFactors,9,FALSE)="Plasteel",ROUNDUP(('Ammo Input'!H409*MAX(IF('Ammo Input'!J409&gt;0,'Ammo Input'!J409,1)*N409/1000/'Ingredient stats'!$C$4)),0),0)</f>
        <v>0</v>
      </c>
      <c r="V409">
        <f>IFERROR(__xludf.DUMMYFUNCTION("ROUNDUP(IF(ISBLANK(VLOOKUP(B405,AmmoTypeFactors,16,False)),1,VLOOKUP(B405,AmmoTypeFactors,16,False)) * (IFS(REGEXMATCH(B405, ""EMP""), 'Ammo Input'!M405 * N405 / 'Ingredient stats'!$C$5, REGEXMATCH(B405, ""Charge""), (U405^0.75), true, 0) + (IF(VLOOKUP(B4"&amp;"05, AmmoTypeFactors, 10, false), 2,0) + IF('Ammo Input'!P405, 2,0) + IF('Ammo Input'!Q405,MIN(ROUNDUP(0.2*('Ammo Input'!H405/1000)*'Ammo Input'!O405,0),20),0))))"),0)</f>
        <v>0</v>
      </c>
      <c r="W409">
        <v>0</v>
      </c>
      <c r="X409">
        <v>0</v>
      </c>
      <c r="Y409">
        <v>0</v>
      </c>
      <c r="Z409">
        <v>0</v>
      </c>
      <c r="AA409">
        <v>0</v>
      </c>
      <c r="AB409" s="30">
        <f>IF(B409="Sling Bullet (Stone)",ROUNDUP(D409*0.02*E409/'Ingredient stats'!$C$8,0),0)</f>
        <v>0</v>
      </c>
      <c r="AC409" t="str">
        <f t="shared" si="20"/>
        <v>None</v>
      </c>
      <c r="AD409" t="str">
        <f>IF(OR(B409="Buck",B409="Bird",B409="Charge (Scatter)"),'Ammo Input'!J409,"None")</f>
        <v>None</v>
      </c>
      <c r="AE409" t="str">
        <f>_xlfn.IFS(ISTEXT(Calcs!N409),Calcs!N409,Calcs!N409&lt;=40,Calcs!N409,Calcs!N409&gt;41,"40")</f>
        <v>None</v>
      </c>
      <c r="AF409" t="str">
        <f>_xlfn.IFS(ISTEXT(Calcs!O409),Calcs!O409,Calcs!O409&lt;=80,Calcs!O409,Calcs!O409&gt;=81,"80")</f>
        <v>None</v>
      </c>
      <c r="AG409" s="25">
        <f t="shared" si="21"/>
        <v>1</v>
      </c>
      <c r="AH409" s="25">
        <f t="shared" si="22"/>
        <v>2.56</v>
      </c>
      <c r="AI409" s="25">
        <f t="shared" si="23"/>
        <v>1</v>
      </c>
    </row>
    <row r="410" ht="14.4" spans="1:35">
      <c r="A410" s="24" t="str">
        <f>'Ammo Input'!A410</f>
        <v>7.62x51mm NATO</v>
      </c>
      <c r="B410" t="str">
        <f>'Ammo Input'!B410</f>
        <v>HP</v>
      </c>
      <c r="C410">
        <f>ROUNDUP(('Ammo Input'!C410*(MAX('Ammo Input'!D410,'Ammo Input'!F410)*0.5)^2*PI())*3/1000000,2)</f>
        <v>0.03</v>
      </c>
      <c r="D410">
        <f>ROUNDUP(('Ammo Input'!E410+'Ammo Input'!H410*IF('Ammo Input'!J410&lt;&gt;"",MAX('Ammo Input'!J410,1),1))/1000,3)</f>
        <v>0.025</v>
      </c>
      <c r="E410">
        <f>MIN(5000,MAX(25,CEILING(Calcs!L410,_xlfn.IFS(Calcs!L410&lt;100,25,Calcs!L410&lt;250,50,Calcs!L410&lt;1000,250,Calcs!L410&gt;=1000,1000))))</f>
        <v>5000</v>
      </c>
      <c r="F410">
        <f>ROUNDUP('Ammo Input'!G410^(3/4),0)</f>
        <v>156</v>
      </c>
      <c r="G410">
        <f>ROUND((0.5*((IF(OR(B410="HEAT",B410="HEDP"),'Ammo Input'!N410,'Ammo Input'!H410)/1000)*(IF(B410="HEAT",9000,IF(B410="HEDP",1500,'Ammo Input'!G410))^2))),0)</f>
        <v>3336</v>
      </c>
      <c r="H410" s="25" t="str">
        <f>CONCATENATE(IF((B410="Foam")+(B410="Smoke"),"-",ROUND(Calcs!D410,0))," ",VLOOKUP(B410,AmmoTypeFactors,5,FALSE))</f>
        <v>25 Bullet</v>
      </c>
      <c r="I410" s="25" t="str">
        <f>IF(Calcs!E410=0,"None",CONCATENATE(ROUND(Calcs!E410,0)," ",VLOOKUP(B410,AmmoTypeFactors,6,FALSE)))</f>
        <v>None</v>
      </c>
      <c r="J410">
        <f>MROUND(2.42*'Ammo Input'!M410^(1/3)*VLOOKUP(B410,AmmoTypeFactors,3,FALSE),0.5)</f>
        <v>0</v>
      </c>
      <c r="K410" s="25" t="str">
        <f>IF(VLOOKUP(B410,AmmoTypeFactors,12,FALSE),MROUND(J410/3,0.5),"None")</f>
        <v>None</v>
      </c>
      <c r="L410" s="25">
        <f>IF(VLOOKUP(B410,AmmoTypeFactors,8,FALSE),"None",ROUNDUP(IF(Calcs!I410&gt;0,Calcs!I410,Calcs!H410),3))</f>
        <v>66.72</v>
      </c>
      <c r="M410" s="25">
        <f>IF(VLOOKUP(B410,AmmoTypeFactors,8,FALSE),"None",'Ammo Input'!L410)</f>
        <v>4</v>
      </c>
      <c r="N410">
        <f>'Ammo Input'!O410</f>
        <v>500</v>
      </c>
      <c r="O410" t="e">
        <f>ROUND((P410*0.0036+SUMPRODUCT(Q410:AB410,VLOOKUP($Q$1:$AB$1,IngredientStats,2,FALSE)))/N410*IF('Ammo Input'!R410,0.5,1),2)</f>
        <v>#VALUE!</v>
      </c>
      <c r="P410" t="e">
        <f>(SUMPRODUCT(Q410:AB410,VLOOKUP($Q$1:$AB$1,IngredientStats,4,FALSE))*VLOOKUP(B410,AmmoTypeFactors,14,FALSE)*IF('Ammo Input'!R410,1.1,1))</f>
        <v>#VALUE!</v>
      </c>
      <c r="Q410">
        <f>IFERROR(__xludf.DUMMYFUNCTION("((IF(NOT(OR(REGEXMATCH(B406, ""Arrow""), B406 = ""Javelin"", B406 = ""Stick bomb"")), ROUNDUP(('Ammo Input'!E406 / 1000) * N406)) + IF(VLOOKUP(B406, AmmoTypeFactors, 9, FALSE) = ""Steel"", ROUNDUP(('Ammo Input'!H406 -'Ammo Input'!M406) * MAX(IF('Ammo Inpu"&amp;"t'!J406 &gt; 0, 'Ammo Input'!J406, 1), 1) * N406 / 1000))) / 'Ingredient stats'!$C$2) * IF(ISBLANK(VLOOKUP(B406,AmmoTypeFactors,15,False)),1,VLOOKUP(B406,AmmoTypeFactors,15,False))"),26)</f>
        <v>26</v>
      </c>
      <c r="R410">
        <f>IFERROR(__xludf.DUMMYFUNCTION("ROUNDUP((IF(REGEXMATCH(B406, ""Arrow"") + (B406 = ""Javelin""), 'Ammo Input'!E406) + IF(VLOOKUP(B406, AmmoTypeFactors, 9, FALSE) = ""Wood"", 'Ammo Input'!H406) + IF(B406 = ""Stick bomb"", 'Ammo Input'!E406)) * N406 / 'Ingredient stats'!$C$12 / 1000)"),0)</f>
        <v>0</v>
      </c>
      <c r="S410">
        <v>0</v>
      </c>
      <c r="T410">
        <v>0</v>
      </c>
      <c r="U410">
        <f>IF(VLOOKUP(B410,AmmoTypeFactors,9,FALSE)="Plasteel",ROUNDUP(('Ammo Input'!H410*MAX(IF('Ammo Input'!J410&gt;0,'Ammo Input'!J410,1)*N410/1000/'Ingredient stats'!$C$4)),0),0)</f>
        <v>0</v>
      </c>
      <c r="V410">
        <f>IFERROR(__xludf.DUMMYFUNCTION("ROUNDUP(IF(ISBLANK(VLOOKUP(B406,AmmoTypeFactors,16,False)),1,VLOOKUP(B406,AmmoTypeFactors,16,False)) * (IFS(REGEXMATCH(B406, ""EMP""), 'Ammo Input'!M406 * N406 / 'Ingredient stats'!$C$5, REGEXMATCH(B406, ""Charge""), (U406^0.75), true, 0) + (IF(VLOOKUP(B4"&amp;"06, AmmoTypeFactors, 10, false), 2,0) + IF('Ammo Input'!P406, 2,0) + IF('Ammo Input'!Q406,MIN(ROUNDUP(0.2*('Ammo Input'!H406/1000)*'Ammo Input'!O406,0),20),0))))"),0)</f>
        <v>0</v>
      </c>
      <c r="W410">
        <v>0</v>
      </c>
      <c r="X410">
        <v>0</v>
      </c>
      <c r="Y410">
        <v>0</v>
      </c>
      <c r="Z410">
        <v>0</v>
      </c>
      <c r="AA410">
        <v>0</v>
      </c>
      <c r="AB410" s="30">
        <f>IF(B410="Sling Bullet (Stone)",ROUNDUP(D410*0.02*E410/'Ingredient stats'!$C$8,0),0)</f>
        <v>0</v>
      </c>
      <c r="AC410" t="str">
        <f t="shared" si="20"/>
        <v>None</v>
      </c>
      <c r="AD410" t="str">
        <f>IF(OR(B410="Buck",B410="Bird",B410="Charge (Scatter)"),'Ammo Input'!J410,"None")</f>
        <v>None</v>
      </c>
      <c r="AE410" t="str">
        <f>_xlfn.IFS(ISTEXT(Calcs!N410),Calcs!N410,Calcs!N410&lt;=40,Calcs!N410,Calcs!N410&gt;41,"40")</f>
        <v>None</v>
      </c>
      <c r="AF410" t="str">
        <f>_xlfn.IFS(ISTEXT(Calcs!O410),Calcs!O410,Calcs!O410&lt;=80,Calcs!O410,Calcs!O410&gt;=81,"80")</f>
        <v>None</v>
      </c>
      <c r="AG410" s="25">
        <f t="shared" si="21"/>
        <v>1</v>
      </c>
      <c r="AH410" s="25">
        <f t="shared" si="22"/>
        <v>2.56</v>
      </c>
      <c r="AI410" s="25">
        <f t="shared" si="23"/>
        <v>1</v>
      </c>
    </row>
    <row r="411" ht="14.4" spans="1:35">
      <c r="A411" s="24" t="str">
        <f>'Ammo Input'!A411</f>
        <v>7.62x51mm NATO</v>
      </c>
      <c r="B411" t="str">
        <f>'Ammo Input'!B411</f>
        <v>AP-I</v>
      </c>
      <c r="C411">
        <f>ROUNDUP(('Ammo Input'!C411*(MAX('Ammo Input'!D411,'Ammo Input'!F411)*0.5)^2*PI())*3/1000000,2)</f>
        <v>0.03</v>
      </c>
      <c r="D411">
        <f>ROUNDUP(('Ammo Input'!E411+'Ammo Input'!H411*IF('Ammo Input'!J411&lt;&gt;"",MAX('Ammo Input'!J411,1),1))/1000,3)</f>
        <v>0.025</v>
      </c>
      <c r="E411">
        <f>MIN(5000,MAX(25,CEILING(Calcs!L411,_xlfn.IFS(Calcs!L411&lt;100,25,Calcs!L411&lt;250,50,Calcs!L411&lt;1000,250,Calcs!L411&gt;=1000,1000))))</f>
        <v>5000</v>
      </c>
      <c r="F411">
        <f>ROUNDUP('Ammo Input'!G411^(3/4),0)</f>
        <v>156</v>
      </c>
      <c r="G411">
        <f>ROUND((0.5*((IF(OR(B411="HEAT",B411="HEDP"),'Ammo Input'!N411,'Ammo Input'!H411)/1000)*(IF(B411="HEAT",9000,IF(B411="HEDP",1500,'Ammo Input'!G411))^2))),0)</f>
        <v>3336</v>
      </c>
      <c r="H411" s="25" t="str">
        <f>CONCATENATE(IF((B411="Foam")+(B411="Smoke"),"-",ROUND(Calcs!D411,0))," ",VLOOKUP(B411,AmmoTypeFactors,5,FALSE))</f>
        <v>12 Bullet</v>
      </c>
      <c r="I411" s="25" t="str">
        <f>IF(Calcs!E411=0,"None",CONCATENATE(ROUND(Calcs!E411,0)," ",VLOOKUP(B411,AmmoTypeFactors,6,FALSE)))</f>
        <v>6 Flame_Secondary</v>
      </c>
      <c r="J411">
        <f>MROUND(2.42*'Ammo Input'!M411^(1/3)*VLOOKUP(B411,AmmoTypeFactors,3,FALSE),0.5)</f>
        <v>0</v>
      </c>
      <c r="K411" s="25" t="str">
        <f>IF(VLOOKUP(B411,AmmoTypeFactors,12,FALSE),MROUND(J411/3,0.5),"None")</f>
        <v>None</v>
      </c>
      <c r="L411" s="25">
        <f>IF(VLOOKUP(B411,AmmoTypeFactors,8,FALSE),"None",ROUNDUP(IF(Calcs!I411&gt;0,Calcs!I411,Calcs!H411),3))</f>
        <v>66.72</v>
      </c>
      <c r="M411" s="25">
        <f>IF(VLOOKUP(B411,AmmoTypeFactors,8,FALSE),"None",'Ammo Input'!L411)</f>
        <v>14</v>
      </c>
      <c r="N411">
        <f>'Ammo Input'!O411</f>
        <v>500</v>
      </c>
      <c r="O411" t="e">
        <f>ROUND((P411*0.0036+SUMPRODUCT(Q411:AB411,VLOOKUP($Q$1:$AB$1,IngredientStats,2,FALSE)))/N411*IF('Ammo Input'!R411,0.5,1),2)</f>
        <v>#VALUE!</v>
      </c>
      <c r="P411" t="e">
        <f>(SUMPRODUCT(Q411:AB411,VLOOKUP($Q$1:$AB$1,IngredientStats,4,FALSE))*VLOOKUP(B411,AmmoTypeFactors,14,FALSE)*IF('Ammo Input'!R411,1.1,1))</f>
        <v>#VALUE!</v>
      </c>
      <c r="Q411">
        <f>IFERROR(__xludf.DUMMYFUNCTION("((IF(NOT(OR(REGEXMATCH(B407, ""Arrow""), B407 = ""Javelin"", B407 = ""Stick bomb"")), ROUNDUP(('Ammo Input'!E407 / 1000) * N407)) + IF(VLOOKUP(B407, AmmoTypeFactors, 9, FALSE) = ""Steel"", ROUNDUP(('Ammo Input'!H407 -'Ammo Input'!M407) * MAX(IF('Ammo Inpu"&amp;"t'!J407 &gt; 0, 'Ammo Input'!J407, 1), 1) * N407 / 1000))) / 'Ingredient stats'!$C$2) * IF(ISBLANK(VLOOKUP(B407,AmmoTypeFactors,15,False)),1,VLOOKUP(B407,AmmoTypeFactors,15,False))"),26)</f>
        <v>26</v>
      </c>
      <c r="R411">
        <f>IFERROR(__xludf.DUMMYFUNCTION("ROUNDUP((IF(REGEXMATCH(B407, ""Arrow"") + (B407 = ""Javelin""), 'Ammo Input'!E407) + IF(VLOOKUP(B407, AmmoTypeFactors, 9, FALSE) = ""Wood"", 'Ammo Input'!H407) + IF(B407 = ""Stick bomb"", 'Ammo Input'!E407)) * N407 / 'Ingredient stats'!$C$12 / 1000)"),0)</f>
        <v>0</v>
      </c>
      <c r="S411">
        <v>0</v>
      </c>
      <c r="T411">
        <v>0</v>
      </c>
      <c r="U411">
        <f>IF(VLOOKUP(B411,AmmoTypeFactors,9,FALSE)="Plasteel",ROUNDUP(('Ammo Input'!H411*MAX(IF('Ammo Input'!J411&gt;0,'Ammo Input'!J411,1)*N411/1000/'Ingredient stats'!$C$4)),0),0)</f>
        <v>0</v>
      </c>
      <c r="V411">
        <f>IFERROR(__xludf.DUMMYFUNCTION("ROUNDUP(IF(ISBLANK(VLOOKUP(B407,AmmoTypeFactors,16,False)),1,VLOOKUP(B407,AmmoTypeFactors,16,False)) * (IFS(REGEXMATCH(B407, ""EMP""), 'Ammo Input'!M407 * N407 / 'Ingredient stats'!$C$5, REGEXMATCH(B407, ""Charge""), (U407^0.75), true, 0) + (IF(VLOOKUP(B4"&amp;"07, AmmoTypeFactors, 10, false), 2,0) + IF('Ammo Input'!P407, 2,0) + IF('Ammo Input'!Q407,MIN(ROUNDUP(0.2*('Ammo Input'!H407/1000)*'Ammo Input'!O407,0),20),0))))"),0)</f>
        <v>0</v>
      </c>
      <c r="W411">
        <v>3</v>
      </c>
      <c r="X411">
        <v>0</v>
      </c>
      <c r="Y411">
        <v>0</v>
      </c>
      <c r="Z411">
        <v>0</v>
      </c>
      <c r="AA411">
        <v>0</v>
      </c>
      <c r="AB411" s="30">
        <f>IF(B411="Sling Bullet (Stone)",ROUNDUP(D411*0.02*E411/'Ingredient stats'!$C$8,0),0)</f>
        <v>0</v>
      </c>
      <c r="AC411" t="str">
        <f t="shared" si="20"/>
        <v>None</v>
      </c>
      <c r="AD411" t="str">
        <f>IF(OR(B411="Buck",B411="Bird",B411="Charge (Scatter)"),'Ammo Input'!J411,"None")</f>
        <v>None</v>
      </c>
      <c r="AE411" t="str">
        <f>_xlfn.IFS(ISTEXT(Calcs!N411),Calcs!N411,Calcs!N411&lt;=40,Calcs!N411,Calcs!N411&gt;41,"40")</f>
        <v>None</v>
      </c>
      <c r="AF411" t="str">
        <f>_xlfn.IFS(ISTEXT(Calcs!O411),Calcs!O411,Calcs!O411&lt;=80,Calcs!O411,Calcs!O411&gt;=81,"80")</f>
        <v>None</v>
      </c>
      <c r="AG411" s="25">
        <f t="shared" si="21"/>
        <v>1</v>
      </c>
      <c r="AH411" s="25">
        <f t="shared" si="22"/>
        <v>2.56</v>
      </c>
      <c r="AI411" s="25">
        <f t="shared" si="23"/>
        <v>1</v>
      </c>
    </row>
    <row r="412" ht="14.4" spans="1:35">
      <c r="A412" s="24" t="str">
        <f>'Ammo Input'!A412</f>
        <v>7.62x51mm NATO</v>
      </c>
      <c r="B412" t="str">
        <f>'Ammo Input'!B412</f>
        <v>AP-HE</v>
      </c>
      <c r="C412">
        <f>ROUNDUP(('Ammo Input'!C412*(MAX('Ammo Input'!D412,'Ammo Input'!F412)*0.5)^2*PI())*3/1000000,2)</f>
        <v>0.03</v>
      </c>
      <c r="D412">
        <f>ROUNDUP(('Ammo Input'!E412+'Ammo Input'!H412*IF('Ammo Input'!J412&lt;&gt;"",MAX('Ammo Input'!J412,1),1))/1000,3)</f>
        <v>0.025</v>
      </c>
      <c r="E412">
        <f>MIN(5000,MAX(25,CEILING(Calcs!L412,_xlfn.IFS(Calcs!L412&lt;100,25,Calcs!L412&lt;250,50,Calcs!L412&lt;1000,250,Calcs!L412&gt;=1000,1000))))</f>
        <v>5000</v>
      </c>
      <c r="F412">
        <f>ROUNDUP('Ammo Input'!G412^(3/4),0)</f>
        <v>156</v>
      </c>
      <c r="G412">
        <f>ROUND((0.5*((IF(OR(B412="HEAT",B412="HEDP"),'Ammo Input'!N412,'Ammo Input'!H412)/1000)*(IF(B412="HEAT",9000,IF(B412="HEDP",1500,'Ammo Input'!G412))^2))),0)</f>
        <v>3336</v>
      </c>
      <c r="H412" s="25" t="str">
        <f>CONCATENATE(IF((B412="Foam")+(B412="Smoke"),"-",ROUND(Calcs!D412,0))," ",VLOOKUP(B412,AmmoTypeFactors,5,FALSE))</f>
        <v>20 Bullet</v>
      </c>
      <c r="I412" s="25" t="str">
        <f>IF(Calcs!E412=0,"None",CONCATENATE(ROUND(Calcs!E412,0)," ",VLOOKUP(B412,AmmoTypeFactors,6,FALSE)))</f>
        <v>8 Bomb_Secondary</v>
      </c>
      <c r="J412">
        <f>MROUND(2.42*'Ammo Input'!M412^(1/3)*VLOOKUP(B412,AmmoTypeFactors,3,FALSE),0.5)</f>
        <v>0</v>
      </c>
      <c r="K412" s="25" t="str">
        <f>IF(VLOOKUP(B412,AmmoTypeFactors,12,FALSE),MROUND(J412/3,0.5),"None")</f>
        <v>None</v>
      </c>
      <c r="L412" s="25">
        <f>IF(VLOOKUP(B412,AmmoTypeFactors,8,FALSE),"None",ROUNDUP(IF(Calcs!I412&gt;0,Calcs!I412,Calcs!H412),3))</f>
        <v>66.72</v>
      </c>
      <c r="M412" s="25">
        <f>IF(VLOOKUP(B412,AmmoTypeFactors,8,FALSE),"None",'Ammo Input'!L412)</f>
        <v>7</v>
      </c>
      <c r="N412">
        <f>'Ammo Input'!O412</f>
        <v>500</v>
      </c>
      <c r="O412" t="e">
        <f>ROUND((P412*0.0036+SUMPRODUCT(Q412:AB412,VLOOKUP($Q$1:$AB$1,IngredientStats,2,FALSE)))/N412*IF('Ammo Input'!R412,0.5,1),2)</f>
        <v>#VALUE!</v>
      </c>
      <c r="P412" t="e">
        <f>(SUMPRODUCT(Q412:AB412,VLOOKUP($Q$1:$AB$1,IngredientStats,4,FALSE))*VLOOKUP(B412,AmmoTypeFactors,14,FALSE)*IF('Ammo Input'!R412,1.1,1))</f>
        <v>#VALUE!</v>
      </c>
      <c r="Q412">
        <f>IFERROR(__xludf.DUMMYFUNCTION("((IF(NOT(OR(REGEXMATCH(B408, ""Arrow""), B408 = ""Javelin"", B408 = ""Stick bomb"")), ROUNDUP(('Ammo Input'!E408 / 1000) * N408)) + IF(VLOOKUP(B408, AmmoTypeFactors, 9, FALSE) = ""Steel"", ROUNDUP(('Ammo Input'!H408 -'Ammo Input'!M408) * MAX(IF('Ammo Inpu"&amp;"t'!J408 &gt; 0, 'Ammo Input'!J408, 1), 1) * N408 / 1000))) / 'Ingredient stats'!$C$2) * IF(ISBLANK(VLOOKUP(B408,AmmoTypeFactors,15,False)),1,VLOOKUP(B408,AmmoTypeFactors,15,False))"),26)</f>
        <v>26</v>
      </c>
      <c r="R412">
        <f>IFERROR(__xludf.DUMMYFUNCTION("ROUNDUP((IF(REGEXMATCH(B408, ""Arrow"") + (B408 = ""Javelin""), 'Ammo Input'!E408) + IF(VLOOKUP(B408, AmmoTypeFactors, 9, FALSE) = ""Wood"", 'Ammo Input'!H408) + IF(B408 = ""Stick bomb"", 'Ammo Input'!E408)) * N408 / 'Ingredient stats'!$C$12 / 1000)"),0)</f>
        <v>0</v>
      </c>
      <c r="S412">
        <v>0</v>
      </c>
      <c r="T412">
        <v>0</v>
      </c>
      <c r="U412">
        <f>IF(VLOOKUP(B412,AmmoTypeFactors,9,FALSE)="Plasteel",ROUNDUP(('Ammo Input'!H412*MAX(IF('Ammo Input'!J412&gt;0,'Ammo Input'!J412,1)*N412/1000/'Ingredient stats'!$C$4)),0),0)</f>
        <v>0</v>
      </c>
      <c r="V412">
        <f>IFERROR(__xludf.DUMMYFUNCTION("ROUNDUP(IF(ISBLANK(VLOOKUP(B408,AmmoTypeFactors,16,False)),1,VLOOKUP(B408,AmmoTypeFactors,16,False)) * (IFS(REGEXMATCH(B408, ""EMP""), 'Ammo Input'!M408 * N408 / 'Ingredient stats'!$C$5, REGEXMATCH(B408, ""Charge""), (U408^0.75), true, 0) + (IF(VLOOKUP(B4"&amp;"08, AmmoTypeFactors, 10, false), 2,0) + IF('Ammo Input'!P408, 2,0) + IF('Ammo Input'!Q408,MIN(ROUNDUP(0.2*('Ammo Input'!H408/1000)*'Ammo Input'!O408,0),20),0))))"),0)</f>
        <v>0</v>
      </c>
      <c r="W412">
        <v>0</v>
      </c>
      <c r="X412">
        <v>5</v>
      </c>
      <c r="Y412">
        <v>0</v>
      </c>
      <c r="Z412">
        <v>0</v>
      </c>
      <c r="AA412">
        <v>0</v>
      </c>
      <c r="AB412" s="30">
        <f>IF(B412="Sling Bullet (Stone)",ROUNDUP(D412*0.02*E412/'Ingredient stats'!$C$8,0),0)</f>
        <v>0</v>
      </c>
      <c r="AC412" t="str">
        <f t="shared" si="20"/>
        <v>None</v>
      </c>
      <c r="AD412" t="str">
        <f>IF(OR(B412="Buck",B412="Bird",B412="Charge (Scatter)"),'Ammo Input'!J412,"None")</f>
        <v>None</v>
      </c>
      <c r="AE412" t="str">
        <f>_xlfn.IFS(ISTEXT(Calcs!N412),Calcs!N412,Calcs!N412&lt;=40,Calcs!N412,Calcs!N412&gt;41,"40")</f>
        <v>None</v>
      </c>
      <c r="AF412" t="str">
        <f>_xlfn.IFS(ISTEXT(Calcs!O412),Calcs!O412,Calcs!O412&lt;=80,Calcs!O412,Calcs!O412&gt;=81,"80")</f>
        <v>None</v>
      </c>
      <c r="AG412" s="25">
        <f t="shared" si="21"/>
        <v>1</v>
      </c>
      <c r="AH412" s="25">
        <f t="shared" si="22"/>
        <v>2.56</v>
      </c>
      <c r="AI412" s="25">
        <f t="shared" si="23"/>
        <v>1</v>
      </c>
    </row>
    <row r="413" ht="14.4" spans="1:35">
      <c r="A413" s="24" t="str">
        <f>'Ammo Input'!A413</f>
        <v>7.62x51mm NATO</v>
      </c>
      <c r="B413" t="str">
        <f>'Ammo Input'!B413</f>
        <v>Sabot</v>
      </c>
      <c r="C413">
        <f>ROUNDUP(('Ammo Input'!C413*(MAX('Ammo Input'!D413,'Ammo Input'!F413)*0.5)^2*PI())*3/1000000,2)</f>
        <v>0.03</v>
      </c>
      <c r="D413">
        <f>ROUNDUP(('Ammo Input'!E413+'Ammo Input'!H413*IF('Ammo Input'!J413&lt;&gt;"",MAX('Ammo Input'!J413,1),1))/1000,3)</f>
        <v>0.02</v>
      </c>
      <c r="E413">
        <f>MIN(5000,MAX(25,CEILING(Calcs!L413,_xlfn.IFS(Calcs!L413&lt;100,25,Calcs!L413&lt;250,50,Calcs!L413&lt;1000,250,Calcs!L413&gt;=1000,1000))))</f>
        <v>5000</v>
      </c>
      <c r="F413">
        <f>ROUNDUP('Ammo Input'!G413^(3/4),0)</f>
        <v>212</v>
      </c>
      <c r="G413">
        <f>ROUND((0.5*((IF(OR(B413="HEAT",B413="HEDP"),'Ammo Input'!N413,'Ammo Input'!H413)/1000)*(IF(B413="HEAT",9000,IF(B413="HEDP",1500,'Ammo Input'!G413))^2))),0)</f>
        <v>4314</v>
      </c>
      <c r="H413" s="25" t="str">
        <f>CONCATENATE(IF((B413="Foam")+(B413="Smoke"),"-",ROUND(Calcs!D413,0))," ",VLOOKUP(B413,AmmoTypeFactors,5,FALSE))</f>
        <v>10 Bullet</v>
      </c>
      <c r="I413" s="25" t="str">
        <f>IF(Calcs!E413=0,"None",CONCATENATE(ROUND(Calcs!E413,0)," ",VLOOKUP(B413,AmmoTypeFactors,6,FALSE)))</f>
        <v>None</v>
      </c>
      <c r="J413">
        <f>MROUND(2.42*'Ammo Input'!M413^(1/3)*VLOOKUP(B413,AmmoTypeFactors,3,FALSE),0.5)</f>
        <v>0</v>
      </c>
      <c r="K413" s="25" t="str">
        <f>IF(VLOOKUP(B413,AmmoTypeFactors,12,FALSE),MROUND(J413/3,0.5),"None")</f>
        <v>None</v>
      </c>
      <c r="L413" s="25">
        <f>IF(VLOOKUP(B413,AmmoTypeFactors,8,FALSE),"None",ROUNDUP(IF(Calcs!I413&gt;0,Calcs!I413,Calcs!H413),3))</f>
        <v>86.28</v>
      </c>
      <c r="M413" s="25">
        <f>IF(VLOOKUP(B413,AmmoTypeFactors,8,FALSE),"None",'Ammo Input'!L413)</f>
        <v>25</v>
      </c>
      <c r="N413">
        <f>'Ammo Input'!O413</f>
        <v>500</v>
      </c>
      <c r="O413" t="e">
        <f>ROUND((P413*0.0036+SUMPRODUCT(Q413:AB413,VLOOKUP($Q$1:$AB$1,IngredientStats,2,FALSE)))/N413*IF('Ammo Input'!R413,0.5,1),2)</f>
        <v>#VALUE!</v>
      </c>
      <c r="P413" t="e">
        <f>(SUMPRODUCT(Q413:AB413,VLOOKUP($Q$1:$AB$1,IngredientStats,4,FALSE))*VLOOKUP(B413,AmmoTypeFactors,14,FALSE)*IF('Ammo Input'!R413,1.1,1))</f>
        <v>#VALUE!</v>
      </c>
      <c r="Q413">
        <f>IFERROR(__xludf.DUMMYFUNCTION("((IF(NOT(OR(REGEXMATCH(B409, ""Arrow""), B409 = ""Javelin"", B409 = ""Stick bomb"")), ROUNDUP(('Ammo Input'!E409 / 1000) * N409)) + IF(VLOOKUP(B409, AmmoTypeFactors, 9, FALSE) = ""Steel"", ROUNDUP(('Ammo Input'!H409 -'Ammo Input'!M409) * MAX(IF('Ammo Inpu"&amp;"t'!J409 &gt; 0, 'Ammo Input'!J409, 1), 1) * N409 / 1000))) / 'Ingredient stats'!$C$2) * IF(ISBLANK(VLOOKUP(B409,AmmoTypeFactors,15,False)),1,VLOOKUP(B409,AmmoTypeFactors,15,False))"),16)</f>
        <v>16</v>
      </c>
      <c r="R413">
        <f>IFERROR(__xludf.DUMMYFUNCTION("ROUNDUP((IF(REGEXMATCH(B409, ""Arrow"") + (B409 = ""Javelin""), 'Ammo Input'!E409) + IF(VLOOKUP(B409, AmmoTypeFactors, 9, FALSE) = ""Wood"", 'Ammo Input'!H409) + IF(B409 = ""Stick bomb"", 'Ammo Input'!E409)) * N409 / 'Ingredient stats'!$C$12 / 1000)"),0)</f>
        <v>0</v>
      </c>
      <c r="S413">
        <v>3</v>
      </c>
      <c r="T413">
        <v>3</v>
      </c>
      <c r="U413">
        <f>IF(VLOOKUP(B413,AmmoTypeFactors,9,FALSE)="Plasteel",ROUNDUP(('Ammo Input'!H413*MAX(IF('Ammo Input'!J413&gt;0,'Ammo Input'!J413,1)*N413/1000/'Ingredient stats'!$C$4)),0),0)</f>
        <v>0</v>
      </c>
      <c r="V413">
        <f>IFERROR(__xludf.DUMMYFUNCTION("ROUNDUP(IF(ISBLANK(VLOOKUP(B409,AmmoTypeFactors,16,False)),1,VLOOKUP(B409,AmmoTypeFactors,16,False)) * (IFS(REGEXMATCH(B409, ""EMP""), 'Ammo Input'!M409 * N409 / 'Ingredient stats'!$C$5, REGEXMATCH(B409, ""Charge""), (U409^0.75), true, 0) + (IF(VLOOKUP(B4"&amp;"09, AmmoTypeFactors, 10, false), 2,0) + IF('Ammo Input'!P409, 2,0) + IF('Ammo Input'!Q409,MIN(ROUNDUP(0.2*('Ammo Input'!H409/1000)*'Ammo Input'!O409,0),20),0))))"),0)</f>
        <v>0</v>
      </c>
      <c r="W413">
        <v>0</v>
      </c>
      <c r="X413">
        <v>0</v>
      </c>
      <c r="Y413">
        <v>0</v>
      </c>
      <c r="Z413">
        <v>0</v>
      </c>
      <c r="AA413">
        <v>0</v>
      </c>
      <c r="AB413" s="30">
        <f>IF(B413="Sling Bullet (Stone)",ROUNDUP(D413*0.02*E413/'Ingredient stats'!$C$8,0),0)</f>
        <v>0</v>
      </c>
      <c r="AC413" t="str">
        <f t="shared" si="20"/>
        <v>None</v>
      </c>
      <c r="AD413" t="str">
        <f>IF(OR(B413="Buck",B413="Bird",B413="Charge (Scatter)"),'Ammo Input'!J413,"None")</f>
        <v>None</v>
      </c>
      <c r="AE413" t="str">
        <f>_xlfn.IFS(ISTEXT(Calcs!N413),Calcs!N413,Calcs!N413&lt;=40,Calcs!N413,Calcs!N413&gt;41,"40")</f>
        <v>None</v>
      </c>
      <c r="AF413" t="str">
        <f>_xlfn.IFS(ISTEXT(Calcs!O413),Calcs!O413,Calcs!O413&lt;=80,Calcs!O413,Calcs!O413&gt;=81,"80")</f>
        <v>None</v>
      </c>
      <c r="AG413" s="25">
        <f t="shared" si="21"/>
        <v>1</v>
      </c>
      <c r="AH413" s="25">
        <f t="shared" si="22"/>
        <v>3.45</v>
      </c>
      <c r="AI413" s="25">
        <f t="shared" si="23"/>
        <v>1</v>
      </c>
    </row>
    <row r="414" ht="14.4" spans="1:35">
      <c r="A414" s="24" t="str">
        <f>'Ammo Input'!A414</f>
        <v>7.62x54mmR</v>
      </c>
      <c r="B414" t="str">
        <f>'Ammo Input'!B414</f>
        <v>FMJ</v>
      </c>
      <c r="C414">
        <f>ROUNDUP(('Ammo Input'!C414*(MAX('Ammo Input'!D414,'Ammo Input'!F414)*0.5)^2*PI())*3/1000000,2)</f>
        <v>0.03</v>
      </c>
      <c r="D414">
        <f>ROUNDUP(('Ammo Input'!E414+'Ammo Input'!H414*IF('Ammo Input'!J414&lt;&gt;"",MAX('Ammo Input'!J414,1),1))/1000,3)</f>
        <v>0.026</v>
      </c>
      <c r="E414">
        <f>MIN(5000,MAX(25,CEILING(Calcs!L414,_xlfn.IFS(Calcs!L414&lt;100,25,Calcs!L414&lt;250,50,Calcs!L414&lt;1000,250,Calcs!L414&gt;=1000,1000))))</f>
        <v>5000</v>
      </c>
      <c r="F414">
        <f>ROUNDUP('Ammo Input'!G414^(3/4),0)</f>
        <v>155</v>
      </c>
      <c r="G414">
        <f>ROUND((0.5*((IF(OR(B414="HEAT",B414="HEDP"),'Ammo Input'!N414,'Ammo Input'!H414)/1000)*(IF(B414="HEAT",9000,IF(B414="HEDP",1500,'Ammo Input'!G414))^2))),0)</f>
        <v>3367</v>
      </c>
      <c r="H414" s="25" t="str">
        <f>CONCATENATE(IF((B414="Foam")+(B414="Smoke"),"-",ROUND(Calcs!D414,0))," ",VLOOKUP(B414,AmmoTypeFactors,5,FALSE))</f>
        <v>20 Bullet</v>
      </c>
      <c r="I414" s="25" t="str">
        <f>IF(Calcs!E414=0,"None",CONCATENATE(ROUND(Calcs!E414,0)," ",VLOOKUP(B414,AmmoTypeFactors,6,FALSE)))</f>
        <v>None</v>
      </c>
      <c r="J414">
        <f>MROUND(2.42*'Ammo Input'!M414^(1/3)*VLOOKUP(B414,AmmoTypeFactors,3,FALSE),0.5)</f>
        <v>0</v>
      </c>
      <c r="K414" s="25" t="str">
        <f>IF(VLOOKUP(B414,AmmoTypeFactors,12,FALSE),MROUND(J414/3,0.5),"None")</f>
        <v>None</v>
      </c>
      <c r="L414" s="25">
        <f>IF(VLOOKUP(B414,AmmoTypeFactors,8,FALSE),"None",ROUNDUP(IF(Calcs!I414&gt;0,Calcs!I414,Calcs!H414),3))</f>
        <v>67.34</v>
      </c>
      <c r="M414" s="25">
        <f>IF(VLOOKUP(B414,AmmoTypeFactors,8,FALSE),"None",'Ammo Input'!L414)</f>
        <v>7</v>
      </c>
      <c r="N414">
        <f>'Ammo Input'!O414</f>
        <v>500</v>
      </c>
      <c r="O414" t="e">
        <f>ROUND((P414*0.0036+SUMPRODUCT(Q414:AB414,VLOOKUP($Q$1:$AB$1,IngredientStats,2,FALSE)))/N414*IF('Ammo Input'!R414,0.5,1),2)</f>
        <v>#VALUE!</v>
      </c>
      <c r="P414" t="e">
        <f>(SUMPRODUCT(Q414:AB414,VLOOKUP($Q$1:$AB$1,IngredientStats,4,FALSE))*VLOOKUP(B414,AmmoTypeFactors,14,FALSE)*IF('Ammo Input'!R414,1.1,1))</f>
        <v>#VALUE!</v>
      </c>
      <c r="Q414">
        <f>IFERROR(__xludf.DUMMYFUNCTION("((IF(NOT(OR(REGEXMATCH(B410, ""Arrow""), B410 = ""Javelin"", B410 = ""Stick bomb"")), ROUNDUP(('Ammo Input'!E410 / 1000) * N410)) + IF(VLOOKUP(B410, AmmoTypeFactors, 9, FALSE) = ""Steel"", ROUNDUP(('Ammo Input'!H410 -'Ammo Input'!M410) * MAX(IF('Ammo Inpu"&amp;"t'!J410 &gt; 0, 'Ammo Input'!J410, 1), 1) * N410 / 1000))) / 'Ingredient stats'!$C$2) * IF(ISBLANK(VLOOKUP(B410,AmmoTypeFactors,15,False)),1,VLOOKUP(B410,AmmoTypeFactors,15,False))"),28)</f>
        <v>28</v>
      </c>
      <c r="R414">
        <f>IFERROR(__xludf.DUMMYFUNCTION("ROUNDUP((IF(REGEXMATCH(B410, ""Arrow"") + (B410 = ""Javelin""), 'Ammo Input'!E410) + IF(VLOOKUP(B410, AmmoTypeFactors, 9, FALSE) = ""Wood"", 'Ammo Input'!H410) + IF(B410 = ""Stick bomb"", 'Ammo Input'!E410)) * N410 / 'Ingredient stats'!$C$12 / 1000)"),0)</f>
        <v>0</v>
      </c>
      <c r="S414">
        <v>0</v>
      </c>
      <c r="T414">
        <v>0</v>
      </c>
      <c r="U414">
        <f>IF(VLOOKUP(B414,AmmoTypeFactors,9,FALSE)="Plasteel",ROUNDUP(('Ammo Input'!H414*MAX(IF('Ammo Input'!J414&gt;0,'Ammo Input'!J414,1)*N414/1000/'Ingredient stats'!$C$4)),0),0)</f>
        <v>0</v>
      </c>
      <c r="V414">
        <f>IFERROR(__xludf.DUMMYFUNCTION("ROUNDUP(IF(ISBLANK(VLOOKUP(B410,AmmoTypeFactors,16,False)),1,VLOOKUP(B410,AmmoTypeFactors,16,False)) * (IFS(REGEXMATCH(B410, ""EMP""), 'Ammo Input'!M410 * N410 / 'Ingredient stats'!$C$5, REGEXMATCH(B410, ""Charge""), (U410^0.75), true, 0) + (IF(VLOOKUP(B4"&amp;"10, AmmoTypeFactors, 10, false), 2,0) + IF('Ammo Input'!P410, 2,0) + IF('Ammo Input'!Q410,MIN(ROUNDUP(0.2*('Ammo Input'!H410/1000)*'Ammo Input'!O410,0),20),0))))"),0)</f>
        <v>0</v>
      </c>
      <c r="W414">
        <v>0</v>
      </c>
      <c r="X414">
        <v>0</v>
      </c>
      <c r="Y414">
        <v>0</v>
      </c>
      <c r="Z414">
        <v>0</v>
      </c>
      <c r="AA414">
        <v>0</v>
      </c>
      <c r="AB414" s="30">
        <f>IF(B414="Sling Bullet (Stone)",ROUNDUP(D414*0.02*E414/'Ingredient stats'!$C$8,0),0)</f>
        <v>0</v>
      </c>
      <c r="AC414" t="str">
        <f t="shared" si="20"/>
        <v>None</v>
      </c>
      <c r="AD414" t="str">
        <f>IF(OR(B414="Buck",B414="Bird",B414="Charge (Scatter)"),'Ammo Input'!J414,"None")</f>
        <v>None</v>
      </c>
      <c r="AE414" t="str">
        <f>_xlfn.IFS(ISTEXT(Calcs!N414),Calcs!N414,Calcs!N414&lt;=40,Calcs!N414,Calcs!N414&gt;41,"40")</f>
        <v>None</v>
      </c>
      <c r="AF414" t="str">
        <f>_xlfn.IFS(ISTEXT(Calcs!O414),Calcs!O414,Calcs!O414&lt;=80,Calcs!O414,Calcs!O414&gt;=81,"80")</f>
        <v>None</v>
      </c>
      <c r="AG414" s="25">
        <f t="shared" si="21"/>
        <v>1</v>
      </c>
      <c r="AH414" s="25">
        <f t="shared" si="22"/>
        <v>2.53</v>
      </c>
      <c r="AI414" s="25">
        <f t="shared" si="23"/>
        <v>1</v>
      </c>
    </row>
    <row r="415" ht="14.4" spans="1:35">
      <c r="A415" s="24" t="str">
        <f>'Ammo Input'!A415</f>
        <v>7.62x54mmR</v>
      </c>
      <c r="B415" t="str">
        <f>'Ammo Input'!B415</f>
        <v>AP</v>
      </c>
      <c r="C415">
        <f>ROUNDUP(('Ammo Input'!C415*(MAX('Ammo Input'!D415,'Ammo Input'!F415)*0.5)^2*PI())*3/1000000,2)</f>
        <v>0.03</v>
      </c>
      <c r="D415">
        <f>ROUNDUP(('Ammo Input'!E415+'Ammo Input'!H415*IF('Ammo Input'!J415&lt;&gt;"",MAX('Ammo Input'!J415,1),1))/1000,3)</f>
        <v>0.026</v>
      </c>
      <c r="E415">
        <f>MIN(5000,MAX(25,CEILING(Calcs!L415,_xlfn.IFS(Calcs!L415&lt;100,25,Calcs!L415&lt;250,50,Calcs!L415&lt;1000,250,Calcs!L415&gt;=1000,1000))))</f>
        <v>5000</v>
      </c>
      <c r="F415">
        <f>ROUNDUP('Ammo Input'!G415^(3/4),0)</f>
        <v>155</v>
      </c>
      <c r="G415">
        <f>ROUND((0.5*((IF(OR(B415="HEAT",B415="HEDP"),'Ammo Input'!N415,'Ammo Input'!H415)/1000)*(IF(B415="HEAT",9000,IF(B415="HEDP",1500,'Ammo Input'!G415))^2))),0)</f>
        <v>3367</v>
      </c>
      <c r="H415" s="25" t="str">
        <f>CONCATENATE(IF((B415="Foam")+(B415="Smoke"),"-",ROUND(Calcs!D415,0))," ",VLOOKUP(B415,AmmoTypeFactors,5,FALSE))</f>
        <v>12 Bullet</v>
      </c>
      <c r="I415" s="25" t="str">
        <f>IF(Calcs!E415=0,"None",CONCATENATE(ROUND(Calcs!E415,0)," ",VLOOKUP(B415,AmmoTypeFactors,6,FALSE)))</f>
        <v>None</v>
      </c>
      <c r="J415">
        <f>MROUND(2.42*'Ammo Input'!M415^(1/3)*VLOOKUP(B415,AmmoTypeFactors,3,FALSE),0.5)</f>
        <v>0</v>
      </c>
      <c r="K415" s="25" t="str">
        <f>IF(VLOOKUP(B415,AmmoTypeFactors,12,FALSE),MROUND(J415/3,0.5),"None")</f>
        <v>None</v>
      </c>
      <c r="L415" s="25">
        <f>IF(VLOOKUP(B415,AmmoTypeFactors,8,FALSE),"None",ROUNDUP(IF(Calcs!I415&gt;0,Calcs!I415,Calcs!H415),3))</f>
        <v>67.34</v>
      </c>
      <c r="M415" s="25">
        <f>IF(VLOOKUP(B415,AmmoTypeFactors,8,FALSE),"None",'Ammo Input'!L415)</f>
        <v>14</v>
      </c>
      <c r="N415">
        <f>'Ammo Input'!O415</f>
        <v>500</v>
      </c>
      <c r="O415" t="e">
        <f>ROUND((P415*0.0036+SUMPRODUCT(Q415:AB415,VLOOKUP($Q$1:$AB$1,IngredientStats,2,FALSE)))/N415*IF('Ammo Input'!R415,0.5,1),2)</f>
        <v>#VALUE!</v>
      </c>
      <c r="P415" t="e">
        <f>(SUMPRODUCT(Q415:AB415,VLOOKUP($Q$1:$AB$1,IngredientStats,4,FALSE))*VLOOKUP(B415,AmmoTypeFactors,14,FALSE)*IF('Ammo Input'!R415,1.1,1))</f>
        <v>#VALUE!</v>
      </c>
      <c r="Q415">
        <f>IFERROR(__xludf.DUMMYFUNCTION("((IF(NOT(OR(REGEXMATCH(B411, ""Arrow""), B411 = ""Javelin"", B411 = ""Stick bomb"")), ROUNDUP(('Ammo Input'!E411 / 1000) * N411)) + IF(VLOOKUP(B411, AmmoTypeFactors, 9, FALSE) = ""Steel"", ROUNDUP(('Ammo Input'!H411 -'Ammo Input'!M411) * MAX(IF('Ammo Inpu"&amp;"t'!J411 &gt; 0, 'Ammo Input'!J411, 1), 1) * N411 / 1000))) / 'Ingredient stats'!$C$2) * IF(ISBLANK(VLOOKUP(B411,AmmoTypeFactors,15,False)),1,VLOOKUP(B411,AmmoTypeFactors,15,False))"),28)</f>
        <v>28</v>
      </c>
      <c r="R415">
        <f>IFERROR(__xludf.DUMMYFUNCTION("ROUNDUP((IF(REGEXMATCH(B411, ""Arrow"") + (B411 = ""Javelin""), 'Ammo Input'!E411) + IF(VLOOKUP(B411, AmmoTypeFactors, 9, FALSE) = ""Wood"", 'Ammo Input'!H411) + IF(B411 = ""Stick bomb"", 'Ammo Input'!E411)) * N411 / 'Ingredient stats'!$C$12 / 1000)"),0)</f>
        <v>0</v>
      </c>
      <c r="S415">
        <v>0</v>
      </c>
      <c r="T415">
        <v>0</v>
      </c>
      <c r="U415">
        <f>IF(VLOOKUP(B415,AmmoTypeFactors,9,FALSE)="Plasteel",ROUNDUP(('Ammo Input'!H415*MAX(IF('Ammo Input'!J415&gt;0,'Ammo Input'!J415,1)*N415/1000/'Ingredient stats'!$C$4)),0),0)</f>
        <v>0</v>
      </c>
      <c r="V415">
        <f>IFERROR(__xludf.DUMMYFUNCTION("ROUNDUP(IF(ISBLANK(VLOOKUP(B411,AmmoTypeFactors,16,False)),1,VLOOKUP(B411,AmmoTypeFactors,16,False)) * (IFS(REGEXMATCH(B411, ""EMP""), 'Ammo Input'!M411 * N411 / 'Ingredient stats'!$C$5, REGEXMATCH(B411, ""Charge""), (U411^0.75), true, 0) + (IF(VLOOKUP(B4"&amp;"11, AmmoTypeFactors, 10, false), 2,0) + IF('Ammo Input'!P411, 2,0) + IF('Ammo Input'!Q411,MIN(ROUNDUP(0.2*('Ammo Input'!H411/1000)*'Ammo Input'!O411,0),20),0))))"),0)</f>
        <v>0</v>
      </c>
      <c r="W415">
        <v>0</v>
      </c>
      <c r="X415">
        <v>0</v>
      </c>
      <c r="Y415">
        <v>0</v>
      </c>
      <c r="Z415">
        <v>0</v>
      </c>
      <c r="AA415">
        <v>0</v>
      </c>
      <c r="AB415" s="30">
        <f>IF(B415="Sling Bullet (Stone)",ROUNDUP(D415*0.02*E415/'Ingredient stats'!$C$8,0),0)</f>
        <v>0</v>
      </c>
      <c r="AC415" t="str">
        <f t="shared" si="20"/>
        <v>None</v>
      </c>
      <c r="AD415" t="str">
        <f>IF(OR(B415="Buck",B415="Bird",B415="Charge (Scatter)"),'Ammo Input'!J415,"None")</f>
        <v>None</v>
      </c>
      <c r="AE415" t="str">
        <f>_xlfn.IFS(ISTEXT(Calcs!N415),Calcs!N415,Calcs!N415&lt;=40,Calcs!N415,Calcs!N415&gt;41,"40")</f>
        <v>None</v>
      </c>
      <c r="AF415" t="str">
        <f>_xlfn.IFS(ISTEXT(Calcs!O415),Calcs!O415,Calcs!O415&lt;=80,Calcs!O415,Calcs!O415&gt;=81,"80")</f>
        <v>None</v>
      </c>
      <c r="AG415" s="25">
        <f t="shared" si="21"/>
        <v>1</v>
      </c>
      <c r="AH415" s="25">
        <f t="shared" si="22"/>
        <v>2.53</v>
      </c>
      <c r="AI415" s="25">
        <f t="shared" si="23"/>
        <v>1</v>
      </c>
    </row>
    <row r="416" ht="14.4" spans="1:35">
      <c r="A416" s="24" t="str">
        <f>'Ammo Input'!A416</f>
        <v>7.62x54mmR</v>
      </c>
      <c r="B416" t="str">
        <f>'Ammo Input'!B416</f>
        <v>HP</v>
      </c>
      <c r="C416">
        <f>ROUNDUP(('Ammo Input'!C416*(MAX('Ammo Input'!D416,'Ammo Input'!F416)*0.5)^2*PI())*3/1000000,2)</f>
        <v>0.03</v>
      </c>
      <c r="D416">
        <f>ROUNDUP(('Ammo Input'!E416+'Ammo Input'!H416*IF('Ammo Input'!J416&lt;&gt;"",MAX('Ammo Input'!J416,1),1))/1000,3)</f>
        <v>0.026</v>
      </c>
      <c r="E416">
        <f>MIN(5000,MAX(25,CEILING(Calcs!L416,_xlfn.IFS(Calcs!L416&lt;100,25,Calcs!L416&lt;250,50,Calcs!L416&lt;1000,250,Calcs!L416&gt;=1000,1000))))</f>
        <v>5000</v>
      </c>
      <c r="F416">
        <f>ROUNDUP('Ammo Input'!G416^(3/4),0)</f>
        <v>155</v>
      </c>
      <c r="G416">
        <f>ROUND((0.5*((IF(OR(B416="HEAT",B416="HEDP"),'Ammo Input'!N416,'Ammo Input'!H416)/1000)*(IF(B416="HEAT",9000,IF(B416="HEDP",1500,'Ammo Input'!G416))^2))),0)</f>
        <v>3367</v>
      </c>
      <c r="H416" s="25" t="str">
        <f>CONCATENATE(IF((B416="Foam")+(B416="Smoke"),"-",ROUND(Calcs!D416,0))," ",VLOOKUP(B416,AmmoTypeFactors,5,FALSE))</f>
        <v>25 Bullet</v>
      </c>
      <c r="I416" s="25" t="str">
        <f>IF(Calcs!E416=0,"None",CONCATENATE(ROUND(Calcs!E416,0)," ",VLOOKUP(B416,AmmoTypeFactors,6,FALSE)))</f>
        <v>None</v>
      </c>
      <c r="J416">
        <f>MROUND(2.42*'Ammo Input'!M416^(1/3)*VLOOKUP(B416,AmmoTypeFactors,3,FALSE),0.5)</f>
        <v>0</v>
      </c>
      <c r="K416" s="25" t="str">
        <f>IF(VLOOKUP(B416,AmmoTypeFactors,12,FALSE),MROUND(J416/3,0.5),"None")</f>
        <v>None</v>
      </c>
      <c r="L416" s="25">
        <f>IF(VLOOKUP(B416,AmmoTypeFactors,8,FALSE),"None",ROUNDUP(IF(Calcs!I416&gt;0,Calcs!I416,Calcs!H416),3))</f>
        <v>67.34</v>
      </c>
      <c r="M416" s="25">
        <f>IF(VLOOKUP(B416,AmmoTypeFactors,8,FALSE),"None",'Ammo Input'!L416)</f>
        <v>4</v>
      </c>
      <c r="N416">
        <f>'Ammo Input'!O416</f>
        <v>500</v>
      </c>
      <c r="O416" t="e">
        <f>ROUND((P416*0.0036+SUMPRODUCT(Q416:AB416,VLOOKUP($Q$1:$AB$1,IngredientStats,2,FALSE)))/N416*IF('Ammo Input'!R416,0.5,1),2)</f>
        <v>#VALUE!</v>
      </c>
      <c r="P416" t="e">
        <f>(SUMPRODUCT(Q416:AB416,VLOOKUP($Q$1:$AB$1,IngredientStats,4,FALSE))*VLOOKUP(B416,AmmoTypeFactors,14,FALSE)*IF('Ammo Input'!R416,1.1,1))</f>
        <v>#VALUE!</v>
      </c>
      <c r="Q416">
        <f>IFERROR(__xludf.DUMMYFUNCTION("((IF(NOT(OR(REGEXMATCH(B412, ""Arrow""), B412 = ""Javelin"", B412 = ""Stick bomb"")), ROUNDUP(('Ammo Input'!E412 / 1000) * N412)) + IF(VLOOKUP(B412, AmmoTypeFactors, 9, FALSE) = ""Steel"", ROUNDUP(('Ammo Input'!H412 -'Ammo Input'!M412) * MAX(IF('Ammo Inpu"&amp;"t'!J412 &gt; 0, 'Ammo Input'!J412, 1), 1) * N412 / 1000))) / 'Ingredient stats'!$C$2) * IF(ISBLANK(VLOOKUP(B412,AmmoTypeFactors,15,False)),1,VLOOKUP(B412,AmmoTypeFactors,15,False))"),28)</f>
        <v>28</v>
      </c>
      <c r="R416">
        <f>IFERROR(__xludf.DUMMYFUNCTION("ROUNDUP((IF(REGEXMATCH(B412, ""Arrow"") + (B412 = ""Javelin""), 'Ammo Input'!E412) + IF(VLOOKUP(B412, AmmoTypeFactors, 9, FALSE) = ""Wood"", 'Ammo Input'!H412) + IF(B412 = ""Stick bomb"", 'Ammo Input'!E412)) * N412 / 'Ingredient stats'!$C$12 / 1000)"),0)</f>
        <v>0</v>
      </c>
      <c r="S416">
        <v>0</v>
      </c>
      <c r="T416">
        <v>0</v>
      </c>
      <c r="U416">
        <f>IF(VLOOKUP(B416,AmmoTypeFactors,9,FALSE)="Plasteel",ROUNDUP(('Ammo Input'!H416*MAX(IF('Ammo Input'!J416&gt;0,'Ammo Input'!J416,1)*N416/1000/'Ingredient stats'!$C$4)),0),0)</f>
        <v>0</v>
      </c>
      <c r="V416">
        <f>IFERROR(__xludf.DUMMYFUNCTION("ROUNDUP(IF(ISBLANK(VLOOKUP(B412,AmmoTypeFactors,16,False)),1,VLOOKUP(B412,AmmoTypeFactors,16,False)) * (IFS(REGEXMATCH(B412, ""EMP""), 'Ammo Input'!M412 * N412 / 'Ingredient stats'!$C$5, REGEXMATCH(B412, ""Charge""), (U412^0.75), true, 0) + (IF(VLOOKUP(B4"&amp;"12, AmmoTypeFactors, 10, false), 2,0) + IF('Ammo Input'!P412, 2,0) + IF('Ammo Input'!Q412,MIN(ROUNDUP(0.2*('Ammo Input'!H412/1000)*'Ammo Input'!O412,0),20),0))))"),0)</f>
        <v>0</v>
      </c>
      <c r="W416">
        <v>0</v>
      </c>
      <c r="X416">
        <v>0</v>
      </c>
      <c r="Y416">
        <v>0</v>
      </c>
      <c r="Z416">
        <v>0</v>
      </c>
      <c r="AA416">
        <v>0</v>
      </c>
      <c r="AB416" s="30">
        <f>IF(B416="Sling Bullet (Stone)",ROUNDUP(D416*0.02*E416/'Ingredient stats'!$C$8,0),0)</f>
        <v>0</v>
      </c>
      <c r="AC416" t="str">
        <f t="shared" si="20"/>
        <v>None</v>
      </c>
      <c r="AD416" t="str">
        <f>IF(OR(B416="Buck",B416="Bird",B416="Charge (Scatter)"),'Ammo Input'!J416,"None")</f>
        <v>None</v>
      </c>
      <c r="AE416" t="str">
        <f>_xlfn.IFS(ISTEXT(Calcs!N416),Calcs!N416,Calcs!N416&lt;=40,Calcs!N416,Calcs!N416&gt;41,"40")</f>
        <v>None</v>
      </c>
      <c r="AF416" t="str">
        <f>_xlfn.IFS(ISTEXT(Calcs!O416),Calcs!O416,Calcs!O416&lt;=80,Calcs!O416,Calcs!O416&gt;=81,"80")</f>
        <v>None</v>
      </c>
      <c r="AG416" s="25">
        <f t="shared" si="21"/>
        <v>1</v>
      </c>
      <c r="AH416" s="25">
        <f t="shared" si="22"/>
        <v>2.53</v>
      </c>
      <c r="AI416" s="25">
        <f t="shared" si="23"/>
        <v>1</v>
      </c>
    </row>
    <row r="417" ht="14.4" spans="1:35">
      <c r="A417" s="24" t="str">
        <f>'Ammo Input'!A417</f>
        <v>7.62x54mmR</v>
      </c>
      <c r="B417" t="str">
        <f>'Ammo Input'!B417</f>
        <v>AP-I</v>
      </c>
      <c r="C417">
        <f>ROUNDUP(('Ammo Input'!C417*(MAX('Ammo Input'!D417,'Ammo Input'!F417)*0.5)^2*PI())*3/1000000,2)</f>
        <v>0.03</v>
      </c>
      <c r="D417">
        <f>ROUNDUP(('Ammo Input'!E417+'Ammo Input'!H417*IF('Ammo Input'!J417&lt;&gt;"",MAX('Ammo Input'!J417,1),1))/1000,3)</f>
        <v>0.026</v>
      </c>
      <c r="E417">
        <f>MIN(5000,MAX(25,CEILING(Calcs!L417,_xlfn.IFS(Calcs!L417&lt;100,25,Calcs!L417&lt;250,50,Calcs!L417&lt;1000,250,Calcs!L417&gt;=1000,1000))))</f>
        <v>5000</v>
      </c>
      <c r="F417">
        <f>ROUNDUP('Ammo Input'!G417^(3/4),0)</f>
        <v>155</v>
      </c>
      <c r="G417">
        <f>ROUND((0.5*((IF(OR(B417="HEAT",B417="HEDP"),'Ammo Input'!N417,'Ammo Input'!H417)/1000)*(IF(B417="HEAT",9000,IF(B417="HEDP",1500,'Ammo Input'!G417))^2))),0)</f>
        <v>3367</v>
      </c>
      <c r="H417" s="25" t="str">
        <f>CONCATENATE(IF((B417="Foam")+(B417="Smoke"),"-",ROUND(Calcs!D417,0))," ",VLOOKUP(B417,AmmoTypeFactors,5,FALSE))</f>
        <v>12 Bullet</v>
      </c>
      <c r="I417" s="25" t="str">
        <f>IF(Calcs!E417=0,"None",CONCATENATE(ROUND(Calcs!E417,0)," ",VLOOKUP(B417,AmmoTypeFactors,6,FALSE)))</f>
        <v>6 Flame_Secondary</v>
      </c>
      <c r="J417">
        <f>MROUND(2.42*'Ammo Input'!M417^(1/3)*VLOOKUP(B417,AmmoTypeFactors,3,FALSE),0.5)</f>
        <v>0</v>
      </c>
      <c r="K417" s="25" t="str">
        <f>IF(VLOOKUP(B417,AmmoTypeFactors,12,FALSE),MROUND(J417/3,0.5),"None")</f>
        <v>None</v>
      </c>
      <c r="L417" s="25">
        <f>IF(VLOOKUP(B417,AmmoTypeFactors,8,FALSE),"None",ROUNDUP(IF(Calcs!I417&gt;0,Calcs!I417,Calcs!H417),3))</f>
        <v>67.34</v>
      </c>
      <c r="M417" s="25">
        <f>IF(VLOOKUP(B417,AmmoTypeFactors,8,FALSE),"None",'Ammo Input'!L417)</f>
        <v>14</v>
      </c>
      <c r="N417">
        <f>'Ammo Input'!O417</f>
        <v>500</v>
      </c>
      <c r="O417" t="e">
        <f>ROUND((P417*0.0036+SUMPRODUCT(Q417:AB417,VLOOKUP($Q$1:$AB$1,IngredientStats,2,FALSE)))/N417*IF('Ammo Input'!R417,0.5,1),2)</f>
        <v>#VALUE!</v>
      </c>
      <c r="P417" t="e">
        <f>(SUMPRODUCT(Q417:AB417,VLOOKUP($Q$1:$AB$1,IngredientStats,4,FALSE))*VLOOKUP(B417,AmmoTypeFactors,14,FALSE)*IF('Ammo Input'!R417,1.1,1))</f>
        <v>#VALUE!</v>
      </c>
      <c r="Q417">
        <f>IFERROR(__xludf.DUMMYFUNCTION("((IF(NOT(OR(REGEXMATCH(B413, ""Arrow""), B413 = ""Javelin"", B413 = ""Stick bomb"")), ROUNDUP(('Ammo Input'!E413 / 1000) * N413)) + IF(VLOOKUP(B413, AmmoTypeFactors, 9, FALSE) = ""Steel"", ROUNDUP(('Ammo Input'!H413 -'Ammo Input'!M413) * MAX(IF('Ammo Inpu"&amp;"t'!J413 &gt; 0, 'Ammo Input'!J413, 1), 1) * N413 / 1000))) / 'Ingredient stats'!$C$2) * IF(ISBLANK(VLOOKUP(B413,AmmoTypeFactors,15,False)),1,VLOOKUP(B413,AmmoTypeFactors,15,False))"),28)</f>
        <v>28</v>
      </c>
      <c r="R417">
        <f>IFERROR(__xludf.DUMMYFUNCTION("ROUNDUP((IF(REGEXMATCH(B413, ""Arrow"") + (B413 = ""Javelin""), 'Ammo Input'!E413) + IF(VLOOKUP(B413, AmmoTypeFactors, 9, FALSE) = ""Wood"", 'Ammo Input'!H413) + IF(B413 = ""Stick bomb"", 'Ammo Input'!E413)) * N413 / 'Ingredient stats'!$C$12 / 1000)"),0)</f>
        <v>0</v>
      </c>
      <c r="S417">
        <v>0</v>
      </c>
      <c r="T417">
        <v>0</v>
      </c>
      <c r="U417">
        <f>IF(VLOOKUP(B417,AmmoTypeFactors,9,FALSE)="Plasteel",ROUNDUP(('Ammo Input'!H417*MAX(IF('Ammo Input'!J417&gt;0,'Ammo Input'!J417,1)*N417/1000/'Ingredient stats'!$C$4)),0),0)</f>
        <v>0</v>
      </c>
      <c r="V417">
        <f>IFERROR(__xludf.DUMMYFUNCTION("ROUNDUP(IF(ISBLANK(VLOOKUP(B413,AmmoTypeFactors,16,False)),1,VLOOKUP(B413,AmmoTypeFactors,16,False)) * (IFS(REGEXMATCH(B413, ""EMP""), 'Ammo Input'!M413 * N413 / 'Ingredient stats'!$C$5, REGEXMATCH(B413, ""Charge""), (U413^0.75), true, 0) + (IF(VLOOKUP(B4"&amp;"13, AmmoTypeFactors, 10, false), 2,0) + IF('Ammo Input'!P413, 2,0) + IF('Ammo Input'!Q413,MIN(ROUNDUP(0.2*('Ammo Input'!H413/1000)*'Ammo Input'!O413,0),20),0))))"),0)</f>
        <v>0</v>
      </c>
      <c r="W417">
        <v>3</v>
      </c>
      <c r="X417">
        <v>0</v>
      </c>
      <c r="Y417">
        <v>0</v>
      </c>
      <c r="Z417">
        <v>0</v>
      </c>
      <c r="AA417">
        <v>0</v>
      </c>
      <c r="AB417" s="30">
        <f>IF(B417="Sling Bullet (Stone)",ROUNDUP(D417*0.02*E417/'Ingredient stats'!$C$8,0),0)</f>
        <v>0</v>
      </c>
      <c r="AC417" t="str">
        <f t="shared" si="20"/>
        <v>None</v>
      </c>
      <c r="AD417" t="str">
        <f>IF(OR(B417="Buck",B417="Bird",B417="Charge (Scatter)"),'Ammo Input'!J417,"None")</f>
        <v>None</v>
      </c>
      <c r="AE417" t="str">
        <f>_xlfn.IFS(ISTEXT(Calcs!N417),Calcs!N417,Calcs!N417&lt;=40,Calcs!N417,Calcs!N417&gt;41,"40")</f>
        <v>None</v>
      </c>
      <c r="AF417" t="str">
        <f>_xlfn.IFS(ISTEXT(Calcs!O417),Calcs!O417,Calcs!O417&lt;=80,Calcs!O417,Calcs!O417&gt;=81,"80")</f>
        <v>None</v>
      </c>
      <c r="AG417" s="25">
        <f t="shared" si="21"/>
        <v>1</v>
      </c>
      <c r="AH417" s="25">
        <f t="shared" si="22"/>
        <v>2.53</v>
      </c>
      <c r="AI417" s="25">
        <f t="shared" si="23"/>
        <v>1</v>
      </c>
    </row>
    <row r="418" ht="14.4" spans="1:35">
      <c r="A418" s="24" t="str">
        <f>'Ammo Input'!A418</f>
        <v>7.62x54mmR</v>
      </c>
      <c r="B418" t="str">
        <f>'Ammo Input'!B418</f>
        <v>AP-HE</v>
      </c>
      <c r="C418">
        <f>ROUNDUP(('Ammo Input'!C418*(MAX('Ammo Input'!D418,'Ammo Input'!F418)*0.5)^2*PI())*3/1000000,2)</f>
        <v>0.03</v>
      </c>
      <c r="D418">
        <f>ROUNDUP(('Ammo Input'!E418+'Ammo Input'!H418*IF('Ammo Input'!J418&lt;&gt;"",MAX('Ammo Input'!J418,1),1))/1000,3)</f>
        <v>0.026</v>
      </c>
      <c r="E418">
        <f>MIN(5000,MAX(25,CEILING(Calcs!L418,_xlfn.IFS(Calcs!L418&lt;100,25,Calcs!L418&lt;250,50,Calcs!L418&lt;1000,250,Calcs!L418&gt;=1000,1000))))</f>
        <v>5000</v>
      </c>
      <c r="F418">
        <f>ROUNDUP('Ammo Input'!G418^(3/4),0)</f>
        <v>155</v>
      </c>
      <c r="G418">
        <f>ROUND((0.5*((IF(OR(B418="HEAT",B418="HEDP"),'Ammo Input'!N418,'Ammo Input'!H418)/1000)*(IF(B418="HEAT",9000,IF(B418="HEDP",1500,'Ammo Input'!G418))^2))),0)</f>
        <v>3367</v>
      </c>
      <c r="H418" s="25" t="str">
        <f>CONCATENATE(IF((B418="Foam")+(B418="Smoke"),"-",ROUND(Calcs!D418,0))," ",VLOOKUP(B418,AmmoTypeFactors,5,FALSE))</f>
        <v>20 Bullet</v>
      </c>
      <c r="I418" s="25" t="str">
        <f>IF(Calcs!E418=0,"None",CONCATENATE(ROUND(Calcs!E418,0)," ",VLOOKUP(B418,AmmoTypeFactors,6,FALSE)))</f>
        <v>8 Bomb_Secondary</v>
      </c>
      <c r="J418">
        <f>MROUND(2.42*'Ammo Input'!M418^(1/3)*VLOOKUP(B418,AmmoTypeFactors,3,FALSE),0.5)</f>
        <v>0</v>
      </c>
      <c r="K418" s="25" t="str">
        <f>IF(VLOOKUP(B418,AmmoTypeFactors,12,FALSE),MROUND(J418/3,0.5),"None")</f>
        <v>None</v>
      </c>
      <c r="L418" s="25">
        <f>IF(VLOOKUP(B418,AmmoTypeFactors,8,FALSE),"None",ROUNDUP(IF(Calcs!I418&gt;0,Calcs!I418,Calcs!H418),3))</f>
        <v>67.34</v>
      </c>
      <c r="M418" s="25">
        <f>IF(VLOOKUP(B418,AmmoTypeFactors,8,FALSE),"None",'Ammo Input'!L418)</f>
        <v>7</v>
      </c>
      <c r="N418">
        <f>'Ammo Input'!O418</f>
        <v>500</v>
      </c>
      <c r="O418" t="e">
        <f>ROUND((P418*0.0036+SUMPRODUCT(Q418:AB418,VLOOKUP($Q$1:$AB$1,IngredientStats,2,FALSE)))/N418*IF('Ammo Input'!R418,0.5,1),2)</f>
        <v>#VALUE!</v>
      </c>
      <c r="P418" t="e">
        <f>(SUMPRODUCT(Q418:AB418,VLOOKUP($Q$1:$AB$1,IngredientStats,4,FALSE))*VLOOKUP(B418,AmmoTypeFactors,14,FALSE)*IF('Ammo Input'!R418,1.1,1))</f>
        <v>#VALUE!</v>
      </c>
      <c r="Q418">
        <f>IFERROR(__xludf.DUMMYFUNCTION("((IF(NOT(OR(REGEXMATCH(B414, ""Arrow""), B414 = ""Javelin"", B414 = ""Stick bomb"")), ROUNDUP(('Ammo Input'!E414 / 1000) * N414)) + IF(VLOOKUP(B414, AmmoTypeFactors, 9, FALSE) = ""Steel"", ROUNDUP(('Ammo Input'!H414 -'Ammo Input'!M414) * MAX(IF('Ammo Inpu"&amp;"t'!J414 &gt; 0, 'Ammo Input'!J414, 1), 1) * N414 / 1000))) / 'Ingredient stats'!$C$2) * IF(ISBLANK(VLOOKUP(B414,AmmoTypeFactors,15,False)),1,VLOOKUP(B414,AmmoTypeFactors,15,False))"),28)</f>
        <v>28</v>
      </c>
      <c r="R418">
        <f>IFERROR(__xludf.DUMMYFUNCTION("ROUNDUP((IF(REGEXMATCH(B414, ""Arrow"") + (B414 = ""Javelin""), 'Ammo Input'!E414) + IF(VLOOKUP(B414, AmmoTypeFactors, 9, FALSE) = ""Wood"", 'Ammo Input'!H414) + IF(B414 = ""Stick bomb"", 'Ammo Input'!E414)) * N414 / 'Ingredient stats'!$C$12 / 1000)"),0)</f>
        <v>0</v>
      </c>
      <c r="S418">
        <v>0</v>
      </c>
      <c r="T418">
        <v>0</v>
      </c>
      <c r="U418">
        <f>IF(VLOOKUP(B418,AmmoTypeFactors,9,FALSE)="Plasteel",ROUNDUP(('Ammo Input'!H418*MAX(IF('Ammo Input'!J418&gt;0,'Ammo Input'!J418,1)*N418/1000/'Ingredient stats'!$C$4)),0),0)</f>
        <v>0</v>
      </c>
      <c r="V418">
        <f>IFERROR(__xludf.DUMMYFUNCTION("ROUNDUP(IF(ISBLANK(VLOOKUP(B414,AmmoTypeFactors,16,False)),1,VLOOKUP(B414,AmmoTypeFactors,16,False)) * (IFS(REGEXMATCH(B414, ""EMP""), 'Ammo Input'!M414 * N414 / 'Ingredient stats'!$C$5, REGEXMATCH(B414, ""Charge""), (U414^0.75), true, 0) + (IF(VLOOKUP(B4"&amp;"14, AmmoTypeFactors, 10, false), 2,0) + IF('Ammo Input'!P414, 2,0) + IF('Ammo Input'!Q414,MIN(ROUNDUP(0.2*('Ammo Input'!H414/1000)*'Ammo Input'!O414,0),20),0))))"),0)</f>
        <v>0</v>
      </c>
      <c r="W418">
        <v>0</v>
      </c>
      <c r="X418">
        <v>5</v>
      </c>
      <c r="Y418">
        <v>0</v>
      </c>
      <c r="Z418">
        <v>0</v>
      </c>
      <c r="AA418">
        <v>0</v>
      </c>
      <c r="AB418" s="30">
        <f>IF(B418="Sling Bullet (Stone)",ROUNDUP(D418*0.02*E418/'Ingredient stats'!$C$8,0),0)</f>
        <v>0</v>
      </c>
      <c r="AC418" t="str">
        <f t="shared" si="20"/>
        <v>None</v>
      </c>
      <c r="AD418" t="str">
        <f>IF(OR(B418="Buck",B418="Bird",B418="Charge (Scatter)"),'Ammo Input'!J418,"None")</f>
        <v>None</v>
      </c>
      <c r="AE418" t="str">
        <f>_xlfn.IFS(ISTEXT(Calcs!N418),Calcs!N418,Calcs!N418&lt;=40,Calcs!N418,Calcs!N418&gt;41,"40")</f>
        <v>None</v>
      </c>
      <c r="AF418" t="str">
        <f>_xlfn.IFS(ISTEXT(Calcs!O418),Calcs!O418,Calcs!O418&lt;=80,Calcs!O418,Calcs!O418&gt;=81,"80")</f>
        <v>None</v>
      </c>
      <c r="AG418" s="25">
        <f t="shared" si="21"/>
        <v>1</v>
      </c>
      <c r="AH418" s="25">
        <f t="shared" si="22"/>
        <v>2.53</v>
      </c>
      <c r="AI418" s="25">
        <f t="shared" si="23"/>
        <v>1</v>
      </c>
    </row>
    <row r="419" ht="14.4" spans="1:35">
      <c r="A419" s="24" t="str">
        <f>'Ammo Input'!A419</f>
        <v>7.62x54mmR</v>
      </c>
      <c r="B419" t="str">
        <f>'Ammo Input'!B419</f>
        <v>Sabot</v>
      </c>
      <c r="C419">
        <f>ROUNDUP(('Ammo Input'!C419*(MAX('Ammo Input'!D419,'Ammo Input'!F419)*0.5)^2*PI())*3/1000000,2)</f>
        <v>0.03</v>
      </c>
      <c r="D419">
        <f>ROUNDUP(('Ammo Input'!E419+'Ammo Input'!H419*IF('Ammo Input'!J419&lt;&gt;"",MAX('Ammo Input'!J419,1),1))/1000,3)</f>
        <v>0.022</v>
      </c>
      <c r="E419">
        <f>MIN(5000,MAX(25,CEILING(Calcs!L419,_xlfn.IFS(Calcs!L419&lt;100,25,Calcs!L419&lt;250,50,Calcs!L419&lt;1000,250,Calcs!L419&gt;=1000,1000))))</f>
        <v>5000</v>
      </c>
      <c r="F419">
        <f>ROUNDUP('Ammo Input'!G419^(3/4),0)</f>
        <v>210</v>
      </c>
      <c r="G419">
        <f>ROUND((0.5*((IF(OR(B419="HEAT",B419="HEDP"),'Ammo Input'!N419,'Ammo Input'!H419)/1000)*(IF(B419="HEAT",9000,IF(B419="HEDP",1500,'Ammo Input'!G419))^2))),0)</f>
        <v>4364</v>
      </c>
      <c r="H419" s="25" t="str">
        <f>CONCATENATE(IF((B419="Foam")+(B419="Smoke"),"-",ROUND(Calcs!D419,0))," ",VLOOKUP(B419,AmmoTypeFactors,5,FALSE))</f>
        <v>10 Bullet</v>
      </c>
      <c r="I419" s="25" t="str">
        <f>IF(Calcs!E419=0,"None",CONCATENATE(ROUND(Calcs!E419,0)," ",VLOOKUP(B419,AmmoTypeFactors,6,FALSE)))</f>
        <v>None</v>
      </c>
      <c r="J419">
        <f>MROUND(2.42*'Ammo Input'!M419^(1/3)*VLOOKUP(B419,AmmoTypeFactors,3,FALSE),0.5)</f>
        <v>0</v>
      </c>
      <c r="K419" s="25" t="str">
        <f>IF(VLOOKUP(B419,AmmoTypeFactors,12,FALSE),MROUND(J419/3,0.5),"None")</f>
        <v>None</v>
      </c>
      <c r="L419" s="25">
        <f>IF(VLOOKUP(B419,AmmoTypeFactors,8,FALSE),"None",ROUNDUP(IF(Calcs!I419&gt;0,Calcs!I419,Calcs!H419),3))</f>
        <v>87.28</v>
      </c>
      <c r="M419" s="25">
        <f>IF(VLOOKUP(B419,AmmoTypeFactors,8,FALSE),"None",'Ammo Input'!L419)</f>
        <v>25</v>
      </c>
      <c r="N419">
        <f>'Ammo Input'!O419</f>
        <v>500</v>
      </c>
      <c r="O419" t="e">
        <f>ROUND((P419*0.0036+SUMPRODUCT(Q419:AB419,VLOOKUP($Q$1:$AB$1,IngredientStats,2,FALSE)))/N419*IF('Ammo Input'!R419,0.5,1),2)</f>
        <v>#VALUE!</v>
      </c>
      <c r="P419" t="e">
        <f>(SUMPRODUCT(Q419:AB419,VLOOKUP($Q$1:$AB$1,IngredientStats,4,FALSE))*VLOOKUP(B419,AmmoTypeFactors,14,FALSE)*IF('Ammo Input'!R419,1.1,1))</f>
        <v>#VALUE!</v>
      </c>
      <c r="Q419">
        <f>IFERROR(__xludf.DUMMYFUNCTION("((IF(NOT(OR(REGEXMATCH(B415, ""Arrow""), B415 = ""Javelin"", B415 = ""Stick bomb"")), ROUNDUP(('Ammo Input'!E415 / 1000) * N415)) + IF(VLOOKUP(B415, AmmoTypeFactors, 9, FALSE) = ""Steel"", ROUNDUP(('Ammo Input'!H415 -'Ammo Input'!M415) * MAX(IF('Ammo Inpu"&amp;"t'!J415 &gt; 0, 'Ammo Input'!J415, 1), 1) * N415 / 1000))) / 'Ingredient stats'!$C$2) * IF(ISBLANK(VLOOKUP(B415,AmmoTypeFactors,15,False)),1,VLOOKUP(B415,AmmoTypeFactors,15,False))"),18)</f>
        <v>18</v>
      </c>
      <c r="R419">
        <f>IFERROR(__xludf.DUMMYFUNCTION("ROUNDUP((IF(REGEXMATCH(B415, ""Arrow"") + (B415 = ""Javelin""), 'Ammo Input'!E415) + IF(VLOOKUP(B415, AmmoTypeFactors, 9, FALSE) = ""Wood"", 'Ammo Input'!H415) + IF(B415 = ""Stick bomb"", 'Ammo Input'!E415)) * N415 / 'Ingredient stats'!$C$12 / 1000)"),0)</f>
        <v>0</v>
      </c>
      <c r="S419">
        <v>3</v>
      </c>
      <c r="T419">
        <v>3</v>
      </c>
      <c r="U419">
        <f>IF(VLOOKUP(B419,AmmoTypeFactors,9,FALSE)="Plasteel",ROUNDUP(('Ammo Input'!H419*MAX(IF('Ammo Input'!J419&gt;0,'Ammo Input'!J419,1)*N419/1000/'Ingredient stats'!$C$4)),0),0)</f>
        <v>0</v>
      </c>
      <c r="V419">
        <f>IFERROR(__xludf.DUMMYFUNCTION("ROUNDUP(IF(ISBLANK(VLOOKUP(B415,AmmoTypeFactors,16,False)),1,VLOOKUP(B415,AmmoTypeFactors,16,False)) * (IFS(REGEXMATCH(B415, ""EMP""), 'Ammo Input'!M415 * N415 / 'Ingredient stats'!$C$5, REGEXMATCH(B415, ""Charge""), (U415^0.75), true, 0) + (IF(VLOOKUP(B4"&amp;"15, AmmoTypeFactors, 10, false), 2,0) + IF('Ammo Input'!P415, 2,0) + IF('Ammo Input'!Q415,MIN(ROUNDUP(0.2*('Ammo Input'!H415/1000)*'Ammo Input'!O415,0),20),0))))"),0)</f>
        <v>0</v>
      </c>
      <c r="W419">
        <v>0</v>
      </c>
      <c r="X419">
        <v>0</v>
      </c>
      <c r="Y419">
        <v>0</v>
      </c>
      <c r="Z419">
        <v>0</v>
      </c>
      <c r="AA419">
        <v>0</v>
      </c>
      <c r="AB419" s="30">
        <f>IF(B419="Sling Bullet (Stone)",ROUNDUP(D419*0.02*E419/'Ingredient stats'!$C$8,0),0)</f>
        <v>0</v>
      </c>
      <c r="AC419" t="str">
        <f t="shared" si="20"/>
        <v>None</v>
      </c>
      <c r="AD419" t="str">
        <f>IF(OR(B419="Buck",B419="Bird",B419="Charge (Scatter)"),'Ammo Input'!J419,"None")</f>
        <v>None</v>
      </c>
      <c r="AE419" t="str">
        <f>_xlfn.IFS(ISTEXT(Calcs!N419),Calcs!N419,Calcs!N419&lt;=40,Calcs!N419,Calcs!N419&gt;41,"40")</f>
        <v>None</v>
      </c>
      <c r="AF419" t="str">
        <f>_xlfn.IFS(ISTEXT(Calcs!O419),Calcs!O419,Calcs!O419&lt;=80,Calcs!O419,Calcs!O419&gt;=81,"80")</f>
        <v>None</v>
      </c>
      <c r="AG419" s="25">
        <f t="shared" si="21"/>
        <v>1</v>
      </c>
      <c r="AH419" s="25">
        <f t="shared" si="22"/>
        <v>3.39</v>
      </c>
      <c r="AI419" s="25">
        <f t="shared" si="23"/>
        <v>1</v>
      </c>
    </row>
    <row r="420" ht="14.4" spans="1:35">
      <c r="A420" s="24" t="str">
        <f>'Ammo Input'!A420</f>
        <v>6.5mm Creedmoor</v>
      </c>
      <c r="B420" t="str">
        <f>'Ammo Input'!B420</f>
        <v>FMJ</v>
      </c>
      <c r="C420">
        <f>ROUNDUP(('Ammo Input'!C420*(MAX('Ammo Input'!D420,'Ammo Input'!F420)*0.5)^2*PI())*3/1000000,2)</f>
        <v>0.03</v>
      </c>
      <c r="D420">
        <f>ROUNDUP(('Ammo Input'!E420+'Ammo Input'!H420*IF('Ammo Input'!J420&lt;&gt;"",MAX('Ammo Input'!J420,1),1))/1000,3)</f>
        <v>0.023</v>
      </c>
      <c r="E420">
        <f>MIN(5000,MAX(25,CEILING(Calcs!L420,_xlfn.IFS(Calcs!L420&lt;100,25,Calcs!L420&lt;250,50,Calcs!L420&lt;1000,250,Calcs!L420&gt;=1000,1000))))</f>
        <v>5000</v>
      </c>
      <c r="F420">
        <f>ROUNDUP('Ammo Input'!G420^(3/4),0)</f>
        <v>155</v>
      </c>
      <c r="G420">
        <f>ROUND((0.5*((IF(OR(B420="HEAT",B420="HEDP"),'Ammo Input'!N420,'Ammo Input'!H420)/1000)*(IF(B420="HEAT",9000,IF(B420="HEDP",1500,'Ammo Input'!G420))^2))),0)</f>
        <v>3190</v>
      </c>
      <c r="H420" s="25" t="str">
        <f>CONCATENATE(IF((B420="Foam")+(B420="Smoke"),"-",ROUND(Calcs!D420,0))," ",VLOOKUP(B420,AmmoTypeFactors,5,FALSE))</f>
        <v>18 Bullet</v>
      </c>
      <c r="I420" s="25" t="str">
        <f>IF(Calcs!E420=0,"None",CONCATENATE(ROUND(Calcs!E420,0)," ",VLOOKUP(B420,AmmoTypeFactors,6,FALSE)))</f>
        <v>None</v>
      </c>
      <c r="J420">
        <f>MROUND(2.42*'Ammo Input'!M420^(1/3)*VLOOKUP(B420,AmmoTypeFactors,3,FALSE),0.5)</f>
        <v>0</v>
      </c>
      <c r="K420" s="25" t="str">
        <f>IF(VLOOKUP(B420,AmmoTypeFactors,12,FALSE),MROUND(J420/3,0.5),"None")</f>
        <v>None</v>
      </c>
      <c r="L420" s="25">
        <f>IF(VLOOKUP(B420,AmmoTypeFactors,8,FALSE),"None",ROUNDUP(IF(Calcs!I420&gt;0,Calcs!I420,Calcs!H420),3))</f>
        <v>63.8</v>
      </c>
      <c r="M420" s="25">
        <f>IF(VLOOKUP(B420,AmmoTypeFactors,8,FALSE),"None",'Ammo Input'!L420)</f>
        <v>6</v>
      </c>
      <c r="N420">
        <f>'Ammo Input'!O420</f>
        <v>500</v>
      </c>
      <c r="O420" t="e">
        <f>ROUND((P420*0.0036+SUMPRODUCT(Q420:AB420,VLOOKUP($Q$1:$AB$1,IngredientStats,2,FALSE)))/N420*IF('Ammo Input'!R420,0.5,1),2)</f>
        <v>#VALUE!</v>
      </c>
      <c r="P420" t="e">
        <f>(SUMPRODUCT(Q420:AB420,VLOOKUP($Q$1:$AB$1,IngredientStats,4,FALSE))*VLOOKUP(B420,AmmoTypeFactors,14,FALSE)*IF('Ammo Input'!R420,1.1,1))</f>
        <v>#VALUE!</v>
      </c>
      <c r="Q420">
        <f>IFERROR(__xludf.DUMMYFUNCTION("((IF(NOT(OR(REGEXMATCH(B416, ""Arrow""), B416 = ""Javelin"", B416 = ""Stick bomb"")), ROUNDUP(('Ammo Input'!E416 / 1000) * N416)) + IF(VLOOKUP(B416, AmmoTypeFactors, 9, FALSE) = ""Steel"", ROUNDUP(('Ammo Input'!H416 -'Ammo Input'!M416) * MAX(IF('Ammo Inpu"&amp;"t'!J416 &gt; 0, 'Ammo Input'!J416, 1), 1) * N416 / 1000))) / 'Ingredient stats'!$C$2) * IF(ISBLANK(VLOOKUP(B416,AmmoTypeFactors,15,False)),1,VLOOKUP(B416,AmmoTypeFactors,15,False))"),24)</f>
        <v>24</v>
      </c>
      <c r="R420">
        <f>IFERROR(__xludf.DUMMYFUNCTION("ROUNDUP((IF(REGEXMATCH(B416, ""Arrow"") + (B416 = ""Javelin""), 'Ammo Input'!E416) + IF(VLOOKUP(B416, AmmoTypeFactors, 9, FALSE) = ""Wood"", 'Ammo Input'!H416) + IF(B416 = ""Stick bomb"", 'Ammo Input'!E416)) * N416 / 'Ingredient stats'!$C$12 / 1000)"),0)</f>
        <v>0</v>
      </c>
      <c r="S420">
        <v>0</v>
      </c>
      <c r="T420">
        <v>0</v>
      </c>
      <c r="U420">
        <f>IF(VLOOKUP(B420,AmmoTypeFactors,9,FALSE)="Plasteel",ROUNDUP(('Ammo Input'!H420*MAX(IF('Ammo Input'!J420&gt;0,'Ammo Input'!J420,1)*N420/1000/'Ingredient stats'!$C$4)),0),0)</f>
        <v>0</v>
      </c>
      <c r="V420">
        <f>IFERROR(__xludf.DUMMYFUNCTION("ROUNDUP(IF(ISBLANK(VLOOKUP(B416,AmmoTypeFactors,16,False)),1,VLOOKUP(B416,AmmoTypeFactors,16,False)) * (IFS(REGEXMATCH(B416, ""EMP""), 'Ammo Input'!M416 * N416 / 'Ingredient stats'!$C$5, REGEXMATCH(B416, ""Charge""), (U416^0.75), true, 0) + (IF(VLOOKUP(B4"&amp;"16, AmmoTypeFactors, 10, false), 2,0) + IF('Ammo Input'!P416, 2,0) + IF('Ammo Input'!Q416,MIN(ROUNDUP(0.2*('Ammo Input'!H416/1000)*'Ammo Input'!O416,0),20),0))))"),0)</f>
        <v>0</v>
      </c>
      <c r="W420">
        <v>0</v>
      </c>
      <c r="X420">
        <v>0</v>
      </c>
      <c r="Y420">
        <v>0</v>
      </c>
      <c r="Z420">
        <v>0</v>
      </c>
      <c r="AA420">
        <v>0</v>
      </c>
      <c r="AB420" s="30">
        <f>IF(B420="Sling Bullet (Stone)",ROUNDUP(D420*0.02*E420/'Ingredient stats'!$C$8,0),0)</f>
        <v>0</v>
      </c>
      <c r="AC420" t="str">
        <f t="shared" si="20"/>
        <v>None</v>
      </c>
      <c r="AD420" t="str">
        <f>IF(OR(B420="Buck",B420="Bird",B420="Charge (Scatter)"),'Ammo Input'!J420,"None")</f>
        <v>None</v>
      </c>
      <c r="AE420" t="str">
        <f>_xlfn.IFS(ISTEXT(Calcs!N420),Calcs!N420,Calcs!N420&lt;=40,Calcs!N420,Calcs!N420&gt;41,"40")</f>
        <v>None</v>
      </c>
      <c r="AF420" t="str">
        <f>_xlfn.IFS(ISTEXT(Calcs!O420),Calcs!O420,Calcs!O420&lt;=80,Calcs!O420,Calcs!O420&gt;=81,"80")</f>
        <v>None</v>
      </c>
      <c r="AG420" s="25">
        <f t="shared" si="21"/>
        <v>1</v>
      </c>
      <c r="AH420" s="25">
        <f t="shared" si="22"/>
        <v>2.53</v>
      </c>
      <c r="AI420" s="25">
        <f t="shared" si="23"/>
        <v>1</v>
      </c>
    </row>
    <row r="421" ht="14.4" spans="1:35">
      <c r="A421" s="24" t="str">
        <f>'Ammo Input'!A421</f>
        <v>6.5mm Creedmoor</v>
      </c>
      <c r="B421" t="str">
        <f>'Ammo Input'!B421</f>
        <v>AP</v>
      </c>
      <c r="C421">
        <f>ROUNDUP(('Ammo Input'!C421*(MAX('Ammo Input'!D421,'Ammo Input'!F421)*0.5)^2*PI())*3/1000000,2)</f>
        <v>0.03</v>
      </c>
      <c r="D421">
        <f>ROUNDUP(('Ammo Input'!E421+'Ammo Input'!H421*IF('Ammo Input'!J421&lt;&gt;"",MAX('Ammo Input'!J421,1),1))/1000,3)</f>
        <v>0.023</v>
      </c>
      <c r="E421">
        <f>MIN(5000,MAX(25,CEILING(Calcs!L421,_xlfn.IFS(Calcs!L421&lt;100,25,Calcs!L421&lt;250,50,Calcs!L421&lt;1000,250,Calcs!L421&gt;=1000,1000))))</f>
        <v>5000</v>
      </c>
      <c r="F421">
        <f>ROUNDUP('Ammo Input'!G421^(3/4),0)</f>
        <v>155</v>
      </c>
      <c r="G421">
        <f>ROUND((0.5*((IF(OR(B421="HEAT",B421="HEDP"),'Ammo Input'!N421,'Ammo Input'!H421)/1000)*(IF(B421="HEAT",9000,IF(B421="HEDP",1500,'Ammo Input'!G421))^2))),0)</f>
        <v>3190</v>
      </c>
      <c r="H421" s="25" t="str">
        <f>CONCATENATE(IF((B421="Foam")+(B421="Smoke"),"-",ROUND(Calcs!D421,0))," ",VLOOKUP(B421,AmmoTypeFactors,5,FALSE))</f>
        <v>11 Bullet</v>
      </c>
      <c r="I421" s="25" t="str">
        <f>IF(Calcs!E421=0,"None",CONCATENATE(ROUND(Calcs!E421,0)," ",VLOOKUP(B421,AmmoTypeFactors,6,FALSE)))</f>
        <v>None</v>
      </c>
      <c r="J421">
        <f>MROUND(2.42*'Ammo Input'!M421^(1/3)*VLOOKUP(B421,AmmoTypeFactors,3,FALSE),0.5)</f>
        <v>0</v>
      </c>
      <c r="K421" s="25" t="str">
        <f>IF(VLOOKUP(B421,AmmoTypeFactors,12,FALSE),MROUND(J421/3,0.5),"None")</f>
        <v>None</v>
      </c>
      <c r="L421" s="25">
        <f>IF(VLOOKUP(B421,AmmoTypeFactors,8,FALSE),"None",ROUNDUP(IF(Calcs!I421&gt;0,Calcs!I421,Calcs!H421),3))</f>
        <v>63.8</v>
      </c>
      <c r="M421" s="25">
        <f>IF(VLOOKUP(B421,AmmoTypeFactors,8,FALSE),"None",'Ammo Input'!L421)</f>
        <v>12</v>
      </c>
      <c r="N421">
        <f>'Ammo Input'!O421</f>
        <v>500</v>
      </c>
      <c r="O421" t="e">
        <f>ROUND((P421*0.0036+SUMPRODUCT(Q421:AB421,VLOOKUP($Q$1:$AB$1,IngredientStats,2,FALSE)))/N421*IF('Ammo Input'!R421,0.5,1),2)</f>
        <v>#VALUE!</v>
      </c>
      <c r="P421" t="e">
        <f>(SUMPRODUCT(Q421:AB421,VLOOKUP($Q$1:$AB$1,IngredientStats,4,FALSE))*VLOOKUP(B421,AmmoTypeFactors,14,FALSE)*IF('Ammo Input'!R421,1.1,1))</f>
        <v>#VALUE!</v>
      </c>
      <c r="Q421">
        <f>IFERROR(__xludf.DUMMYFUNCTION("((IF(NOT(OR(REGEXMATCH(B417, ""Arrow""), B417 = ""Javelin"", B417 = ""Stick bomb"")), ROUNDUP(('Ammo Input'!E417 / 1000) * N417)) + IF(VLOOKUP(B417, AmmoTypeFactors, 9, FALSE) = ""Steel"", ROUNDUP(('Ammo Input'!H417 -'Ammo Input'!M417) * MAX(IF('Ammo Inpu"&amp;"t'!J417 &gt; 0, 'Ammo Input'!J417, 1), 1) * N417 / 1000))) / 'Ingredient stats'!$C$2) * IF(ISBLANK(VLOOKUP(B417,AmmoTypeFactors,15,False)),1,VLOOKUP(B417,AmmoTypeFactors,15,False))"),24)</f>
        <v>24</v>
      </c>
      <c r="R421">
        <f>IFERROR(__xludf.DUMMYFUNCTION("ROUNDUP((IF(REGEXMATCH(B417, ""Arrow"") + (B417 = ""Javelin""), 'Ammo Input'!E417) + IF(VLOOKUP(B417, AmmoTypeFactors, 9, FALSE) = ""Wood"", 'Ammo Input'!H417) + IF(B417 = ""Stick bomb"", 'Ammo Input'!E417)) * N417 / 'Ingredient stats'!$C$12 / 1000)"),0)</f>
        <v>0</v>
      </c>
      <c r="S421">
        <v>0</v>
      </c>
      <c r="T421">
        <v>0</v>
      </c>
      <c r="U421">
        <f>IF(VLOOKUP(B421,AmmoTypeFactors,9,FALSE)="Plasteel",ROUNDUP(('Ammo Input'!H421*MAX(IF('Ammo Input'!J421&gt;0,'Ammo Input'!J421,1)*N421/1000/'Ingredient stats'!$C$4)),0),0)</f>
        <v>0</v>
      </c>
      <c r="V421">
        <f>IFERROR(__xludf.DUMMYFUNCTION("ROUNDUP(IF(ISBLANK(VLOOKUP(B417,AmmoTypeFactors,16,False)),1,VLOOKUP(B417,AmmoTypeFactors,16,False)) * (IFS(REGEXMATCH(B417, ""EMP""), 'Ammo Input'!M417 * N417 / 'Ingredient stats'!$C$5, REGEXMATCH(B417, ""Charge""), (U417^0.75), true, 0) + (IF(VLOOKUP(B4"&amp;"17, AmmoTypeFactors, 10, false), 2,0) + IF('Ammo Input'!P417, 2,0) + IF('Ammo Input'!Q417,MIN(ROUNDUP(0.2*('Ammo Input'!H417/1000)*'Ammo Input'!O417,0),20),0))))"),0)</f>
        <v>0</v>
      </c>
      <c r="W421">
        <v>0</v>
      </c>
      <c r="X421">
        <v>0</v>
      </c>
      <c r="Y421">
        <v>0</v>
      </c>
      <c r="Z421">
        <v>0</v>
      </c>
      <c r="AA421">
        <v>0</v>
      </c>
      <c r="AB421" s="30">
        <f>IF(B421="Sling Bullet (Stone)",ROUNDUP(D421*0.02*E421/'Ingredient stats'!$C$8,0),0)</f>
        <v>0</v>
      </c>
      <c r="AC421" t="str">
        <f t="shared" si="20"/>
        <v>None</v>
      </c>
      <c r="AD421" t="str">
        <f>IF(OR(B421="Buck",B421="Bird",B421="Charge (Scatter)"),'Ammo Input'!J421,"None")</f>
        <v>None</v>
      </c>
      <c r="AE421" t="str">
        <f>_xlfn.IFS(ISTEXT(Calcs!N421),Calcs!N421,Calcs!N421&lt;=40,Calcs!N421,Calcs!N421&gt;41,"40")</f>
        <v>None</v>
      </c>
      <c r="AF421" t="str">
        <f>_xlfn.IFS(ISTEXT(Calcs!O421),Calcs!O421,Calcs!O421&lt;=80,Calcs!O421,Calcs!O421&gt;=81,"80")</f>
        <v>None</v>
      </c>
      <c r="AG421" s="25">
        <f t="shared" si="21"/>
        <v>1</v>
      </c>
      <c r="AH421" s="25">
        <f t="shared" si="22"/>
        <v>2.53</v>
      </c>
      <c r="AI421" s="25">
        <f t="shared" si="23"/>
        <v>1</v>
      </c>
    </row>
    <row r="422" ht="14.4" spans="1:35">
      <c r="A422" s="24" t="str">
        <f>'Ammo Input'!A422</f>
        <v>6.5mm Creedmoor</v>
      </c>
      <c r="B422" t="str">
        <f>'Ammo Input'!B422</f>
        <v>HP</v>
      </c>
      <c r="C422">
        <f>ROUNDUP(('Ammo Input'!C422*(MAX('Ammo Input'!D422,'Ammo Input'!F422)*0.5)^2*PI())*3/1000000,2)</f>
        <v>0.03</v>
      </c>
      <c r="D422">
        <f>ROUNDUP(('Ammo Input'!E422+'Ammo Input'!H422*IF('Ammo Input'!J422&lt;&gt;"",MAX('Ammo Input'!J422,1),1))/1000,3)</f>
        <v>0.023</v>
      </c>
      <c r="E422">
        <f>MIN(5000,MAX(25,CEILING(Calcs!L422,_xlfn.IFS(Calcs!L422&lt;100,25,Calcs!L422&lt;250,50,Calcs!L422&lt;1000,250,Calcs!L422&gt;=1000,1000))))</f>
        <v>5000</v>
      </c>
      <c r="F422">
        <f>ROUNDUP('Ammo Input'!G422^(3/4),0)</f>
        <v>155</v>
      </c>
      <c r="G422">
        <f>ROUND((0.5*((IF(OR(B422="HEAT",B422="HEDP"),'Ammo Input'!N422,'Ammo Input'!H422)/1000)*(IF(B422="HEAT",9000,IF(B422="HEDP",1500,'Ammo Input'!G422))^2))),0)</f>
        <v>3190</v>
      </c>
      <c r="H422" s="25" t="str">
        <f>CONCATENATE(IF((B422="Foam")+(B422="Smoke"),"-",ROUND(Calcs!D422,0))," ",VLOOKUP(B422,AmmoTypeFactors,5,FALSE))</f>
        <v>23 Bullet</v>
      </c>
      <c r="I422" s="25" t="str">
        <f>IF(Calcs!E422=0,"None",CONCATENATE(ROUND(Calcs!E422,0)," ",VLOOKUP(B422,AmmoTypeFactors,6,FALSE)))</f>
        <v>None</v>
      </c>
      <c r="J422">
        <f>MROUND(2.42*'Ammo Input'!M422^(1/3)*VLOOKUP(B422,AmmoTypeFactors,3,FALSE),0.5)</f>
        <v>0</v>
      </c>
      <c r="K422" s="25" t="str">
        <f>IF(VLOOKUP(B422,AmmoTypeFactors,12,FALSE),MROUND(J422/3,0.5),"None")</f>
        <v>None</v>
      </c>
      <c r="L422" s="25">
        <f>IF(VLOOKUP(B422,AmmoTypeFactors,8,FALSE),"None",ROUNDUP(IF(Calcs!I422&gt;0,Calcs!I422,Calcs!H422),3))</f>
        <v>63.8</v>
      </c>
      <c r="M422" s="25">
        <f>IF(VLOOKUP(B422,AmmoTypeFactors,8,FALSE),"None",'Ammo Input'!L422)</f>
        <v>3</v>
      </c>
      <c r="N422">
        <f>'Ammo Input'!O422</f>
        <v>500</v>
      </c>
      <c r="O422" t="e">
        <f>ROUND((P422*0.0036+SUMPRODUCT(Q422:AB422,VLOOKUP($Q$1:$AB$1,IngredientStats,2,FALSE)))/N422*IF('Ammo Input'!R422,0.5,1),2)</f>
        <v>#VALUE!</v>
      </c>
      <c r="P422" t="e">
        <f>(SUMPRODUCT(Q422:AB422,VLOOKUP($Q$1:$AB$1,IngredientStats,4,FALSE))*VLOOKUP(B422,AmmoTypeFactors,14,FALSE)*IF('Ammo Input'!R422,1.1,1))</f>
        <v>#VALUE!</v>
      </c>
      <c r="Q422">
        <f>IFERROR(__xludf.DUMMYFUNCTION("((IF(NOT(OR(REGEXMATCH(B418, ""Arrow""), B418 = ""Javelin"", B418 = ""Stick bomb"")), ROUNDUP(('Ammo Input'!E418 / 1000) * N418)) + IF(VLOOKUP(B418, AmmoTypeFactors, 9, FALSE) = ""Steel"", ROUNDUP(('Ammo Input'!H418 -'Ammo Input'!M418) * MAX(IF('Ammo Inpu"&amp;"t'!J418 &gt; 0, 'Ammo Input'!J418, 1), 1) * N418 / 1000))) / 'Ingredient stats'!$C$2) * IF(ISBLANK(VLOOKUP(B418,AmmoTypeFactors,15,False)),1,VLOOKUP(B418,AmmoTypeFactors,15,False))"),24)</f>
        <v>24</v>
      </c>
      <c r="R422">
        <f>IFERROR(__xludf.DUMMYFUNCTION("ROUNDUP((IF(REGEXMATCH(B418, ""Arrow"") + (B418 = ""Javelin""), 'Ammo Input'!E418) + IF(VLOOKUP(B418, AmmoTypeFactors, 9, FALSE) = ""Wood"", 'Ammo Input'!H418) + IF(B418 = ""Stick bomb"", 'Ammo Input'!E418)) * N418 / 'Ingredient stats'!$C$12 / 1000)"),0)</f>
        <v>0</v>
      </c>
      <c r="S422">
        <v>0</v>
      </c>
      <c r="T422">
        <v>0</v>
      </c>
      <c r="U422">
        <f>IF(VLOOKUP(B422,AmmoTypeFactors,9,FALSE)="Plasteel",ROUNDUP(('Ammo Input'!H422*MAX(IF('Ammo Input'!J422&gt;0,'Ammo Input'!J422,1)*N422/1000/'Ingredient stats'!$C$4)),0),0)</f>
        <v>0</v>
      </c>
      <c r="V422">
        <f>IFERROR(__xludf.DUMMYFUNCTION("ROUNDUP(IF(ISBLANK(VLOOKUP(B418,AmmoTypeFactors,16,False)),1,VLOOKUP(B418,AmmoTypeFactors,16,False)) * (IFS(REGEXMATCH(B418, ""EMP""), 'Ammo Input'!M418 * N418 / 'Ingredient stats'!$C$5, REGEXMATCH(B418, ""Charge""), (U418^0.75), true, 0) + (IF(VLOOKUP(B4"&amp;"18, AmmoTypeFactors, 10, false), 2,0) + IF('Ammo Input'!P418, 2,0) + IF('Ammo Input'!Q418,MIN(ROUNDUP(0.2*('Ammo Input'!H418/1000)*'Ammo Input'!O418,0),20),0))))"),0)</f>
        <v>0</v>
      </c>
      <c r="W422">
        <v>0</v>
      </c>
      <c r="X422">
        <v>0</v>
      </c>
      <c r="Y422">
        <v>0</v>
      </c>
      <c r="Z422">
        <v>0</v>
      </c>
      <c r="AA422">
        <v>0</v>
      </c>
      <c r="AB422" s="30">
        <f>IF(B422="Sling Bullet (Stone)",ROUNDUP(D422*0.02*E422/'Ingredient stats'!$C$8,0),0)</f>
        <v>0</v>
      </c>
      <c r="AC422" t="str">
        <f t="shared" si="20"/>
        <v>None</v>
      </c>
      <c r="AD422" t="str">
        <f>IF(OR(B422="Buck",B422="Bird",B422="Charge (Scatter)"),'Ammo Input'!J422,"None")</f>
        <v>None</v>
      </c>
      <c r="AE422" t="str">
        <f>_xlfn.IFS(ISTEXT(Calcs!N422),Calcs!N422,Calcs!N422&lt;=40,Calcs!N422,Calcs!N422&gt;41,"40")</f>
        <v>None</v>
      </c>
      <c r="AF422" t="str">
        <f>_xlfn.IFS(ISTEXT(Calcs!O422),Calcs!O422,Calcs!O422&lt;=80,Calcs!O422,Calcs!O422&gt;=81,"80")</f>
        <v>None</v>
      </c>
      <c r="AG422" s="25">
        <f t="shared" si="21"/>
        <v>1</v>
      </c>
      <c r="AH422" s="25">
        <f t="shared" si="22"/>
        <v>2.53</v>
      </c>
      <c r="AI422" s="25">
        <f t="shared" si="23"/>
        <v>1</v>
      </c>
    </row>
    <row r="423" ht="14.4" spans="1:35">
      <c r="A423" s="24" t="str">
        <f>'Ammo Input'!A423</f>
        <v>6.5mm Creedmoor</v>
      </c>
      <c r="B423" t="str">
        <f>'Ammo Input'!B423</f>
        <v>AP-I</v>
      </c>
      <c r="C423">
        <f>ROUNDUP(('Ammo Input'!C423*(MAX('Ammo Input'!D423,'Ammo Input'!F423)*0.5)^2*PI())*3/1000000,2)</f>
        <v>0.03</v>
      </c>
      <c r="D423">
        <f>ROUNDUP(('Ammo Input'!E423+'Ammo Input'!H423*IF('Ammo Input'!J423&lt;&gt;"",MAX('Ammo Input'!J423,1),1))/1000,3)</f>
        <v>0.023</v>
      </c>
      <c r="E423">
        <f>MIN(5000,MAX(25,CEILING(Calcs!L423,_xlfn.IFS(Calcs!L423&lt;100,25,Calcs!L423&lt;250,50,Calcs!L423&lt;1000,250,Calcs!L423&gt;=1000,1000))))</f>
        <v>5000</v>
      </c>
      <c r="F423">
        <f>ROUNDUP('Ammo Input'!G423^(3/4),0)</f>
        <v>155</v>
      </c>
      <c r="G423">
        <f>ROUND((0.5*((IF(OR(B423="HEAT",B423="HEDP"),'Ammo Input'!N423,'Ammo Input'!H423)/1000)*(IF(B423="HEAT",9000,IF(B423="HEDP",1500,'Ammo Input'!G423))^2))),0)</f>
        <v>3190</v>
      </c>
      <c r="H423" s="25" t="str">
        <f>CONCATENATE(IF((B423="Foam")+(B423="Smoke"),"-",ROUND(Calcs!D423,0))," ",VLOOKUP(B423,AmmoTypeFactors,5,FALSE))</f>
        <v>11 Bullet</v>
      </c>
      <c r="I423" s="25" t="str">
        <f>IF(Calcs!E423=0,"None",CONCATENATE(ROUND(Calcs!E423,0)," ",VLOOKUP(B423,AmmoTypeFactors,6,FALSE)))</f>
        <v>5 Flame_Secondary</v>
      </c>
      <c r="J423">
        <f>MROUND(2.42*'Ammo Input'!M423^(1/3)*VLOOKUP(B423,AmmoTypeFactors,3,FALSE),0.5)</f>
        <v>0</v>
      </c>
      <c r="K423" s="25" t="str">
        <f>IF(VLOOKUP(B423,AmmoTypeFactors,12,FALSE),MROUND(J423/3,0.5),"None")</f>
        <v>None</v>
      </c>
      <c r="L423" s="25">
        <f>IF(VLOOKUP(B423,AmmoTypeFactors,8,FALSE),"None",ROUNDUP(IF(Calcs!I423&gt;0,Calcs!I423,Calcs!H423),3))</f>
        <v>63.8</v>
      </c>
      <c r="M423" s="25">
        <f>IF(VLOOKUP(B423,AmmoTypeFactors,8,FALSE),"None",'Ammo Input'!L423)</f>
        <v>12</v>
      </c>
      <c r="N423">
        <f>'Ammo Input'!O423</f>
        <v>500</v>
      </c>
      <c r="O423" t="e">
        <f>ROUND((P423*0.0036+SUMPRODUCT(Q423:AB423,VLOOKUP($Q$1:$AB$1,IngredientStats,2,FALSE)))/N423*IF('Ammo Input'!R423,0.5,1),2)</f>
        <v>#VALUE!</v>
      </c>
      <c r="P423" t="e">
        <f>(SUMPRODUCT(Q423:AB423,VLOOKUP($Q$1:$AB$1,IngredientStats,4,FALSE))*VLOOKUP(B423,AmmoTypeFactors,14,FALSE)*IF('Ammo Input'!R423,1.1,1))</f>
        <v>#VALUE!</v>
      </c>
      <c r="Q423">
        <f>IFERROR(__xludf.DUMMYFUNCTION("((IF(NOT(OR(REGEXMATCH(B419, ""Arrow""), B419 = ""Javelin"", B419 = ""Stick bomb"")), ROUNDUP(('Ammo Input'!E419 / 1000) * N419)) + IF(VLOOKUP(B419, AmmoTypeFactors, 9, FALSE) = ""Steel"", ROUNDUP(('Ammo Input'!H419 -'Ammo Input'!M419) * MAX(IF('Ammo Inpu"&amp;"t'!J419 &gt; 0, 'Ammo Input'!J419, 1), 1) * N419 / 1000))) / 'Ingredient stats'!$C$2) * IF(ISBLANK(VLOOKUP(B419,AmmoTypeFactors,15,False)),1,VLOOKUP(B419,AmmoTypeFactors,15,False))"),24)</f>
        <v>24</v>
      </c>
      <c r="R423">
        <f>IFERROR(__xludf.DUMMYFUNCTION("ROUNDUP((IF(REGEXMATCH(B419, ""Arrow"") + (B419 = ""Javelin""), 'Ammo Input'!E419) + IF(VLOOKUP(B419, AmmoTypeFactors, 9, FALSE) = ""Wood"", 'Ammo Input'!H419) + IF(B419 = ""Stick bomb"", 'Ammo Input'!E419)) * N419 / 'Ingredient stats'!$C$12 / 1000)"),0)</f>
        <v>0</v>
      </c>
      <c r="S423">
        <v>0</v>
      </c>
      <c r="T423">
        <v>0</v>
      </c>
      <c r="U423">
        <f>IF(VLOOKUP(B423,AmmoTypeFactors,9,FALSE)="Plasteel",ROUNDUP(('Ammo Input'!H423*MAX(IF('Ammo Input'!J423&gt;0,'Ammo Input'!J423,1)*N423/1000/'Ingredient stats'!$C$4)),0),0)</f>
        <v>0</v>
      </c>
      <c r="V423">
        <f>IFERROR(__xludf.DUMMYFUNCTION("ROUNDUP(IF(ISBLANK(VLOOKUP(B419,AmmoTypeFactors,16,False)),1,VLOOKUP(B419,AmmoTypeFactors,16,False)) * (IFS(REGEXMATCH(B419, ""EMP""), 'Ammo Input'!M419 * N419 / 'Ingredient stats'!$C$5, REGEXMATCH(B419, ""Charge""), (U419^0.75), true, 0) + (IF(VLOOKUP(B4"&amp;"19, AmmoTypeFactors, 10, false), 2,0) + IF('Ammo Input'!P419, 2,0) + IF('Ammo Input'!Q419,MIN(ROUNDUP(0.2*('Ammo Input'!H419/1000)*'Ammo Input'!O419,0),20),0))))"),0)</f>
        <v>0</v>
      </c>
      <c r="W423">
        <v>3</v>
      </c>
      <c r="X423">
        <v>0</v>
      </c>
      <c r="Y423">
        <v>0</v>
      </c>
      <c r="Z423">
        <v>0</v>
      </c>
      <c r="AA423">
        <v>0</v>
      </c>
      <c r="AB423" s="30">
        <f>IF(B423="Sling Bullet (Stone)",ROUNDUP(D423*0.02*E423/'Ingredient stats'!$C$8,0),0)</f>
        <v>0</v>
      </c>
      <c r="AC423" t="str">
        <f t="shared" si="20"/>
        <v>None</v>
      </c>
      <c r="AD423" t="str">
        <f>IF(OR(B423="Buck",B423="Bird",B423="Charge (Scatter)"),'Ammo Input'!J423,"None")</f>
        <v>None</v>
      </c>
      <c r="AE423" t="str">
        <f>_xlfn.IFS(ISTEXT(Calcs!N423),Calcs!N423,Calcs!N423&lt;=40,Calcs!N423,Calcs!N423&gt;41,"40")</f>
        <v>None</v>
      </c>
      <c r="AF423" t="str">
        <f>_xlfn.IFS(ISTEXT(Calcs!O423),Calcs!O423,Calcs!O423&lt;=80,Calcs!O423,Calcs!O423&gt;=81,"80")</f>
        <v>None</v>
      </c>
      <c r="AG423" s="25">
        <f t="shared" si="21"/>
        <v>1</v>
      </c>
      <c r="AH423" s="25">
        <f t="shared" si="22"/>
        <v>2.53</v>
      </c>
      <c r="AI423" s="25">
        <f t="shared" si="23"/>
        <v>1</v>
      </c>
    </row>
    <row r="424" ht="14.4" spans="1:35">
      <c r="A424" s="24" t="str">
        <f>'Ammo Input'!A424</f>
        <v>6.5mm Creedmoor</v>
      </c>
      <c r="B424" t="str">
        <f>'Ammo Input'!B424</f>
        <v>AP-HE</v>
      </c>
      <c r="C424">
        <f>ROUNDUP(('Ammo Input'!C424*(MAX('Ammo Input'!D424,'Ammo Input'!F424)*0.5)^2*PI())*3/1000000,2)</f>
        <v>0.03</v>
      </c>
      <c r="D424">
        <f>ROUNDUP(('Ammo Input'!E424+'Ammo Input'!H424*IF('Ammo Input'!J424&lt;&gt;"",MAX('Ammo Input'!J424,1),1))/1000,3)</f>
        <v>0.023</v>
      </c>
      <c r="E424">
        <f>MIN(5000,MAX(25,CEILING(Calcs!L424,_xlfn.IFS(Calcs!L424&lt;100,25,Calcs!L424&lt;250,50,Calcs!L424&lt;1000,250,Calcs!L424&gt;=1000,1000))))</f>
        <v>5000</v>
      </c>
      <c r="F424">
        <f>ROUNDUP('Ammo Input'!G424^(3/4),0)</f>
        <v>155</v>
      </c>
      <c r="G424">
        <f>ROUND((0.5*((IF(OR(B424="HEAT",B424="HEDP"),'Ammo Input'!N424,'Ammo Input'!H424)/1000)*(IF(B424="HEAT",9000,IF(B424="HEDP",1500,'Ammo Input'!G424))^2))),0)</f>
        <v>3190</v>
      </c>
      <c r="H424" s="25" t="str">
        <f>CONCATENATE(IF((B424="Foam")+(B424="Smoke"),"-",ROUND(Calcs!D424,0))," ",VLOOKUP(B424,AmmoTypeFactors,5,FALSE))</f>
        <v>18 Bullet</v>
      </c>
      <c r="I424" s="25" t="str">
        <f>IF(Calcs!E424=0,"None",CONCATENATE(ROUND(Calcs!E424,0)," ",VLOOKUP(B424,AmmoTypeFactors,6,FALSE)))</f>
        <v>8 Bomb_Secondary</v>
      </c>
      <c r="J424">
        <f>MROUND(2.42*'Ammo Input'!M424^(1/3)*VLOOKUP(B424,AmmoTypeFactors,3,FALSE),0.5)</f>
        <v>0</v>
      </c>
      <c r="K424" s="25" t="str">
        <f>IF(VLOOKUP(B424,AmmoTypeFactors,12,FALSE),MROUND(J424/3,0.5),"None")</f>
        <v>None</v>
      </c>
      <c r="L424" s="25">
        <f>IF(VLOOKUP(B424,AmmoTypeFactors,8,FALSE),"None",ROUNDUP(IF(Calcs!I424&gt;0,Calcs!I424,Calcs!H424),3))</f>
        <v>63.8</v>
      </c>
      <c r="M424" s="25">
        <f>IF(VLOOKUP(B424,AmmoTypeFactors,8,FALSE),"None",'Ammo Input'!L424)</f>
        <v>6</v>
      </c>
      <c r="N424">
        <f>'Ammo Input'!O424</f>
        <v>500</v>
      </c>
      <c r="O424" t="e">
        <f>ROUND((P424*0.0036+SUMPRODUCT(Q424:AB424,VLOOKUP($Q$1:$AB$1,IngredientStats,2,FALSE)))/N424*IF('Ammo Input'!R424,0.5,1),2)</f>
        <v>#VALUE!</v>
      </c>
      <c r="P424" t="e">
        <f>(SUMPRODUCT(Q424:AB424,VLOOKUP($Q$1:$AB$1,IngredientStats,4,FALSE))*VLOOKUP(B424,AmmoTypeFactors,14,FALSE)*IF('Ammo Input'!R424,1.1,1))</f>
        <v>#VALUE!</v>
      </c>
      <c r="Q424">
        <f>IFERROR(__xludf.DUMMYFUNCTION("((IF(NOT(OR(REGEXMATCH(B420, ""Arrow""), B420 = ""Javelin"", B420 = ""Stick bomb"")), ROUNDUP(('Ammo Input'!E420 / 1000) * N420)) + IF(VLOOKUP(B420, AmmoTypeFactors, 9, FALSE) = ""Steel"", ROUNDUP(('Ammo Input'!H420 -'Ammo Input'!M420) * MAX(IF('Ammo Inpu"&amp;"t'!J420 &gt; 0, 'Ammo Input'!J420, 1), 1) * N420 / 1000))) / 'Ingredient stats'!$C$2) * IF(ISBLANK(VLOOKUP(B420,AmmoTypeFactors,15,False)),1,VLOOKUP(B420,AmmoTypeFactors,15,False))"),24)</f>
        <v>24</v>
      </c>
      <c r="R424">
        <f>IFERROR(__xludf.DUMMYFUNCTION("ROUNDUP((IF(REGEXMATCH(B420, ""Arrow"") + (B420 = ""Javelin""), 'Ammo Input'!E420) + IF(VLOOKUP(B420, AmmoTypeFactors, 9, FALSE) = ""Wood"", 'Ammo Input'!H420) + IF(B420 = ""Stick bomb"", 'Ammo Input'!E420)) * N420 / 'Ingredient stats'!$C$12 / 1000)"),0)</f>
        <v>0</v>
      </c>
      <c r="S424">
        <v>0</v>
      </c>
      <c r="T424">
        <v>0</v>
      </c>
      <c r="U424">
        <f>IF(VLOOKUP(B424,AmmoTypeFactors,9,FALSE)="Plasteel",ROUNDUP(('Ammo Input'!H424*MAX(IF('Ammo Input'!J424&gt;0,'Ammo Input'!J424,1)*N424/1000/'Ingredient stats'!$C$4)),0),0)</f>
        <v>0</v>
      </c>
      <c r="V424">
        <f>IFERROR(__xludf.DUMMYFUNCTION("ROUNDUP(IF(ISBLANK(VLOOKUP(B420,AmmoTypeFactors,16,False)),1,VLOOKUP(B420,AmmoTypeFactors,16,False)) * (IFS(REGEXMATCH(B420, ""EMP""), 'Ammo Input'!M420 * N420 / 'Ingredient stats'!$C$5, REGEXMATCH(B420, ""Charge""), (U420^0.75), true, 0) + (IF(VLOOKUP(B4"&amp;"20, AmmoTypeFactors, 10, false), 2,0) + IF('Ammo Input'!P420, 2,0) + IF('Ammo Input'!Q420,MIN(ROUNDUP(0.2*('Ammo Input'!H420/1000)*'Ammo Input'!O420,0),20),0))))"),0)</f>
        <v>0</v>
      </c>
      <c r="W424">
        <v>0</v>
      </c>
      <c r="X424">
        <v>5</v>
      </c>
      <c r="Y424">
        <v>0</v>
      </c>
      <c r="Z424">
        <v>0</v>
      </c>
      <c r="AA424">
        <v>0</v>
      </c>
      <c r="AB424" s="30">
        <f>IF(B424="Sling Bullet (Stone)",ROUNDUP(D424*0.02*E424/'Ingredient stats'!$C$8,0),0)</f>
        <v>0</v>
      </c>
      <c r="AC424" t="str">
        <f t="shared" si="20"/>
        <v>None</v>
      </c>
      <c r="AD424" t="str">
        <f>IF(OR(B424="Buck",B424="Bird",B424="Charge (Scatter)"),'Ammo Input'!J424,"None")</f>
        <v>None</v>
      </c>
      <c r="AE424" t="str">
        <f>_xlfn.IFS(ISTEXT(Calcs!N424),Calcs!N424,Calcs!N424&lt;=40,Calcs!N424,Calcs!N424&gt;41,"40")</f>
        <v>None</v>
      </c>
      <c r="AF424" t="str">
        <f>_xlfn.IFS(ISTEXT(Calcs!O424),Calcs!O424,Calcs!O424&lt;=80,Calcs!O424,Calcs!O424&gt;=81,"80")</f>
        <v>None</v>
      </c>
      <c r="AG424" s="25">
        <f t="shared" si="21"/>
        <v>1</v>
      </c>
      <c r="AH424" s="25">
        <f t="shared" si="22"/>
        <v>2.53</v>
      </c>
      <c r="AI424" s="25">
        <f t="shared" si="23"/>
        <v>1</v>
      </c>
    </row>
    <row r="425" ht="14.4" spans="1:35">
      <c r="A425" s="24" t="str">
        <f>'Ammo Input'!A425</f>
        <v>6.5mm Creedmoor</v>
      </c>
      <c r="B425" t="str">
        <f>'Ammo Input'!B425</f>
        <v>Sabot</v>
      </c>
      <c r="C425">
        <f>ROUNDUP(('Ammo Input'!C425*(MAX('Ammo Input'!D425,'Ammo Input'!F425)*0.5)^2*PI())*3/1000000,2)</f>
        <v>0.03</v>
      </c>
      <c r="D425">
        <f>ROUNDUP(('Ammo Input'!E425+'Ammo Input'!H425*IF('Ammo Input'!J425&lt;&gt;"",MAX('Ammo Input'!J425,1),1))/1000,3)</f>
        <v>0.019</v>
      </c>
      <c r="E425">
        <f>MIN(5000,MAX(25,CEILING(Calcs!L425,_xlfn.IFS(Calcs!L425&lt;100,25,Calcs!L425&lt;250,50,Calcs!L425&lt;1000,250,Calcs!L425&gt;=1000,1000))))</f>
        <v>5000</v>
      </c>
      <c r="F425">
        <f>ROUNDUP('Ammo Input'!G425^(3/4),0)</f>
        <v>210</v>
      </c>
      <c r="G425">
        <f>ROUND((0.5*((IF(OR(B425="HEAT",B425="HEDP"),'Ammo Input'!N425,'Ammo Input'!H425)/1000)*(IF(B425="HEAT",9000,IF(B425="HEDP",1500,'Ammo Input'!G425))^2))),0)</f>
        <v>4100</v>
      </c>
      <c r="H425" s="25" t="str">
        <f>CONCATENATE(IF((B425="Foam")+(B425="Smoke"),"-",ROUND(Calcs!D425,0))," ",VLOOKUP(B425,AmmoTypeFactors,5,FALSE))</f>
        <v>9 Bullet</v>
      </c>
      <c r="I425" s="25" t="str">
        <f>IF(Calcs!E425=0,"None",CONCATENATE(ROUND(Calcs!E425,0)," ",VLOOKUP(B425,AmmoTypeFactors,6,FALSE)))</f>
        <v>None</v>
      </c>
      <c r="J425">
        <f>MROUND(2.42*'Ammo Input'!M425^(1/3)*VLOOKUP(B425,AmmoTypeFactors,3,FALSE),0.5)</f>
        <v>0</v>
      </c>
      <c r="K425" s="25" t="str">
        <f>IF(VLOOKUP(B425,AmmoTypeFactors,12,FALSE),MROUND(J425/3,0.5),"None")</f>
        <v>None</v>
      </c>
      <c r="L425" s="25">
        <f>IF(VLOOKUP(B425,AmmoTypeFactors,8,FALSE),"None",ROUNDUP(IF(Calcs!I425&gt;0,Calcs!I425,Calcs!H425),3))</f>
        <v>82</v>
      </c>
      <c r="M425" s="25">
        <f>IF(VLOOKUP(B425,AmmoTypeFactors,8,FALSE),"None",'Ammo Input'!L425)</f>
        <v>21</v>
      </c>
      <c r="N425">
        <f>'Ammo Input'!O425</f>
        <v>500</v>
      </c>
      <c r="O425" t="e">
        <f>ROUND((P425*0.0036+SUMPRODUCT(Q425:AB425,VLOOKUP($Q$1:$AB$1,IngredientStats,2,FALSE)))/N425*IF('Ammo Input'!R425,0.5,1),2)</f>
        <v>#VALUE!</v>
      </c>
      <c r="P425" t="e">
        <f>(SUMPRODUCT(Q425:AB425,VLOOKUP($Q$1:$AB$1,IngredientStats,4,FALSE))*VLOOKUP(B425,AmmoTypeFactors,14,FALSE)*IF('Ammo Input'!R425,1.1,1))</f>
        <v>#VALUE!</v>
      </c>
      <c r="Q425">
        <f>IFERROR(__xludf.DUMMYFUNCTION("((IF(NOT(OR(REGEXMATCH(B421, ""Arrow""), B421 = ""Javelin"", B421 = ""Stick bomb"")), ROUNDUP(('Ammo Input'!E421 / 1000) * N421)) + IF(VLOOKUP(B421, AmmoTypeFactors, 9, FALSE) = ""Steel"", ROUNDUP(('Ammo Input'!H421 -'Ammo Input'!M421) * MAX(IF('Ammo Inpu"&amp;"t'!J421 &gt; 0, 'Ammo Input'!J421, 1), 1) * N421 / 1000))) / 'Ingredient stats'!$C$2) * IF(ISBLANK(VLOOKUP(B421,AmmoTypeFactors,15,False)),1,VLOOKUP(B421,AmmoTypeFactors,15,False))"),14)</f>
        <v>14</v>
      </c>
      <c r="R425">
        <f>IFERROR(__xludf.DUMMYFUNCTION("ROUNDUP((IF(REGEXMATCH(B421, ""Arrow"") + (B421 = ""Javelin""), 'Ammo Input'!E421) + IF(VLOOKUP(B421, AmmoTypeFactors, 9, FALSE) = ""Wood"", 'Ammo Input'!H421) + IF(B421 = ""Stick bomb"", 'Ammo Input'!E421)) * N421 / 'Ingredient stats'!$C$12 / 1000)"),0)</f>
        <v>0</v>
      </c>
      <c r="S425">
        <v>3</v>
      </c>
      <c r="T425">
        <v>3</v>
      </c>
      <c r="U425">
        <f>IF(VLOOKUP(B425,AmmoTypeFactors,9,FALSE)="Plasteel",ROUNDUP(('Ammo Input'!H425*MAX(IF('Ammo Input'!J425&gt;0,'Ammo Input'!J425,1)*N425/1000/'Ingredient stats'!$C$4)),0),0)</f>
        <v>0</v>
      </c>
      <c r="V425">
        <f>IFERROR(__xludf.DUMMYFUNCTION("ROUNDUP(IF(ISBLANK(VLOOKUP(B421,AmmoTypeFactors,16,False)),1,VLOOKUP(B421,AmmoTypeFactors,16,False)) * (IFS(REGEXMATCH(B421, ""EMP""), 'Ammo Input'!M421 * N421 / 'Ingredient stats'!$C$5, REGEXMATCH(B421, ""Charge""), (U421^0.75), true, 0) + (IF(VLOOKUP(B4"&amp;"21, AmmoTypeFactors, 10, false), 2,0) + IF('Ammo Input'!P421, 2,0) + IF('Ammo Input'!Q421,MIN(ROUNDUP(0.2*('Ammo Input'!H421/1000)*'Ammo Input'!O421,0),20),0))))"),0)</f>
        <v>0</v>
      </c>
      <c r="W425">
        <v>0</v>
      </c>
      <c r="X425">
        <v>0</v>
      </c>
      <c r="Y425">
        <v>0</v>
      </c>
      <c r="Z425">
        <v>0</v>
      </c>
      <c r="AA425">
        <v>0</v>
      </c>
      <c r="AB425" s="30">
        <f>IF(B425="Sling Bullet (Stone)",ROUNDUP(D425*0.02*E425/'Ingredient stats'!$C$8,0),0)</f>
        <v>0</v>
      </c>
      <c r="AC425" t="str">
        <f t="shared" si="20"/>
        <v>None</v>
      </c>
      <c r="AD425" t="str">
        <f>IF(OR(B425="Buck",B425="Bird",B425="Charge (Scatter)"),'Ammo Input'!J425,"None")</f>
        <v>None</v>
      </c>
      <c r="AE425" t="str">
        <f>_xlfn.IFS(ISTEXT(Calcs!N425),Calcs!N425,Calcs!N425&lt;=40,Calcs!N425,Calcs!N425&gt;41,"40")</f>
        <v>None</v>
      </c>
      <c r="AF425" t="str">
        <f>_xlfn.IFS(ISTEXT(Calcs!O425),Calcs!O425,Calcs!O425&lt;=80,Calcs!O425,Calcs!O425&gt;=81,"80")</f>
        <v>None</v>
      </c>
      <c r="AG425" s="25">
        <f t="shared" si="21"/>
        <v>1</v>
      </c>
      <c r="AH425" s="25">
        <f t="shared" si="22"/>
        <v>3.39</v>
      </c>
      <c r="AI425" s="25">
        <f t="shared" si="23"/>
        <v>1</v>
      </c>
    </row>
    <row r="426" ht="14.4" spans="1:35">
      <c r="A426" s="24" t="str">
        <f>'Ammo Input'!A426</f>
        <v>.243 Winchester</v>
      </c>
      <c r="B426" t="str">
        <f>'Ammo Input'!B426</f>
        <v>FMJ</v>
      </c>
      <c r="C426">
        <f>ROUNDUP(('Ammo Input'!C426*(MAX('Ammo Input'!D426,'Ammo Input'!F426)*0.5)^2*PI())*3/1000000,2)</f>
        <v>0.03</v>
      </c>
      <c r="D426">
        <f>ROUNDUP(('Ammo Input'!E426+'Ammo Input'!H426*IF('Ammo Input'!J426&lt;&gt;"",MAX('Ammo Input'!J426,1),1))/1000,3)</f>
        <v>0.019</v>
      </c>
      <c r="E426">
        <f>MIN(5000,MAX(25,CEILING(Calcs!L426,_xlfn.IFS(Calcs!L426&lt;100,25,Calcs!L426&lt;250,50,Calcs!L426&lt;1000,250,Calcs!L426&gt;=1000,1000))))</f>
        <v>5000</v>
      </c>
      <c r="F426">
        <f>ROUNDUP('Ammo Input'!G426^(3/4),0)</f>
        <v>166</v>
      </c>
      <c r="G426">
        <f>ROUND((0.5*((IF(OR(B426="HEAT",B426="HEDP"),'Ammo Input'!N426,'Ammo Input'!H426)/1000)*(IF(B426="HEAT",9000,IF(B426="HEDP",1500,'Ammo Input'!G426))^2))),0)</f>
        <v>2535</v>
      </c>
      <c r="H426" s="25" t="str">
        <f>CONCATENATE(IF((B426="Foam")+(B426="Smoke"),"-",ROUND(Calcs!D426,0))," ",VLOOKUP(B426,AmmoTypeFactors,5,FALSE))</f>
        <v>16 Bullet</v>
      </c>
      <c r="I426" s="25" t="str">
        <f>IF(Calcs!E426=0,"None",CONCATENATE(ROUND(Calcs!E426,0)," ",VLOOKUP(B426,AmmoTypeFactors,6,FALSE)))</f>
        <v>None</v>
      </c>
      <c r="J426">
        <f>MROUND(2.42*'Ammo Input'!M426^(1/3)*VLOOKUP(B426,AmmoTypeFactors,3,FALSE),0.5)</f>
        <v>0</v>
      </c>
      <c r="K426" s="25" t="str">
        <f>IF(VLOOKUP(B426,AmmoTypeFactors,12,FALSE),MROUND(J426/3,0.5),"None")</f>
        <v>None</v>
      </c>
      <c r="L426" s="25">
        <f>IF(VLOOKUP(B426,AmmoTypeFactors,8,FALSE),"None",ROUNDUP(IF(Calcs!I426&gt;0,Calcs!I426,Calcs!H426),3))</f>
        <v>50.7</v>
      </c>
      <c r="M426" s="25">
        <f>IF(VLOOKUP(B426,AmmoTypeFactors,8,FALSE),"None",'Ammo Input'!L426)</f>
        <v>6.5</v>
      </c>
      <c r="N426">
        <f>'Ammo Input'!O426</f>
        <v>500</v>
      </c>
      <c r="O426" t="e">
        <f>ROUND((P426*0.0036+SUMPRODUCT(Q426:AB426,VLOOKUP($Q$1:$AB$1,IngredientStats,2,FALSE)))/N426*IF('Ammo Input'!R426,0.5,1),2)</f>
        <v>#VALUE!</v>
      </c>
      <c r="P426" t="e">
        <f>(SUMPRODUCT(Q426:AB426,VLOOKUP($Q$1:$AB$1,IngredientStats,4,FALSE))*VLOOKUP(B426,AmmoTypeFactors,14,FALSE)*IF('Ammo Input'!R426,1.1,1))</f>
        <v>#VALUE!</v>
      </c>
      <c r="Q426">
        <f>IFERROR(__xludf.DUMMYFUNCTION("((IF(NOT(OR(REGEXMATCH(B422, ""Arrow""), B422 = ""Javelin"", B422 = ""Stick bomb"")), ROUNDUP(('Ammo Input'!E422 / 1000) * N422)) + IF(VLOOKUP(B422, AmmoTypeFactors, 9, FALSE) = ""Steel"", ROUNDUP(('Ammo Input'!H422 -'Ammo Input'!M422) * MAX(IF('Ammo Inpu"&amp;"t'!J422 &gt; 0, 'Ammo Input'!J422, 1), 1) * N422 / 1000))) / 'Ingredient stats'!$C$2) * IF(ISBLANK(VLOOKUP(B422,AmmoTypeFactors,15,False)),1,VLOOKUP(B422,AmmoTypeFactors,15,False))"),20)</f>
        <v>20</v>
      </c>
      <c r="R426">
        <f>IFERROR(__xludf.DUMMYFUNCTION("ROUNDUP((IF(REGEXMATCH(B422, ""Arrow"") + (B422 = ""Javelin""), 'Ammo Input'!E422) + IF(VLOOKUP(B422, AmmoTypeFactors, 9, FALSE) = ""Wood"", 'Ammo Input'!H422) + IF(B422 = ""Stick bomb"", 'Ammo Input'!E422)) * N422 / 'Ingredient stats'!$C$12 / 1000)"),0)</f>
        <v>0</v>
      </c>
      <c r="S426">
        <v>0</v>
      </c>
      <c r="T426">
        <v>0</v>
      </c>
      <c r="U426">
        <f>IF(VLOOKUP(B426,AmmoTypeFactors,9,FALSE)="Plasteel",ROUNDUP(('Ammo Input'!H426*MAX(IF('Ammo Input'!J426&gt;0,'Ammo Input'!J426,1)*N426/1000/'Ingredient stats'!$C$4)),0),0)</f>
        <v>0</v>
      </c>
      <c r="V426">
        <f>IFERROR(__xludf.DUMMYFUNCTION("ROUNDUP(IF(ISBLANK(VLOOKUP(B422,AmmoTypeFactors,16,False)),1,VLOOKUP(B422,AmmoTypeFactors,16,False)) * (IFS(REGEXMATCH(B422, ""EMP""), 'Ammo Input'!M422 * N422 / 'Ingredient stats'!$C$5, REGEXMATCH(B422, ""Charge""), (U422^0.75), true, 0) + (IF(VLOOKUP(B4"&amp;"22, AmmoTypeFactors, 10, false), 2,0) + IF('Ammo Input'!P422, 2,0) + IF('Ammo Input'!Q422,MIN(ROUNDUP(0.2*('Ammo Input'!H422/1000)*'Ammo Input'!O422,0),20),0))))"),0)</f>
        <v>0</v>
      </c>
      <c r="W426">
        <v>0</v>
      </c>
      <c r="X426">
        <v>0</v>
      </c>
      <c r="Y426">
        <v>0</v>
      </c>
      <c r="Z426">
        <v>0</v>
      </c>
      <c r="AA426">
        <v>0</v>
      </c>
      <c r="AB426" s="30">
        <f>IF(B426="Sling Bullet (Stone)",ROUNDUP(D426*0.02*E426/'Ingredient stats'!$C$8,0),0)</f>
        <v>0</v>
      </c>
      <c r="AC426" t="str">
        <f t="shared" si="20"/>
        <v>None</v>
      </c>
      <c r="AD426" t="str">
        <f>IF(OR(B426="Buck",B426="Bird",B426="Charge (Scatter)"),'Ammo Input'!J426,"None")</f>
        <v>None</v>
      </c>
      <c r="AE426" t="str">
        <f>_xlfn.IFS(ISTEXT(Calcs!N426),Calcs!N426,Calcs!N426&lt;=40,Calcs!N426,Calcs!N426&gt;41,"40")</f>
        <v>None</v>
      </c>
      <c r="AF426" t="str">
        <f>_xlfn.IFS(ISTEXT(Calcs!O426),Calcs!O426,Calcs!O426&lt;=80,Calcs!O426,Calcs!O426&gt;=81,"80")</f>
        <v>None</v>
      </c>
      <c r="AG426" s="25">
        <f t="shared" si="21"/>
        <v>1</v>
      </c>
      <c r="AH426" s="25">
        <f t="shared" si="22"/>
        <v>2.7</v>
      </c>
      <c r="AI426" s="25">
        <f t="shared" si="23"/>
        <v>1</v>
      </c>
    </row>
    <row r="427" ht="14.4" spans="1:35">
      <c r="A427" s="24" t="str">
        <f>'Ammo Input'!A427</f>
        <v>.243 Winchester</v>
      </c>
      <c r="B427" t="str">
        <f>'Ammo Input'!B427</f>
        <v>AP</v>
      </c>
      <c r="C427">
        <f>ROUNDUP(('Ammo Input'!C427*(MAX('Ammo Input'!D427,'Ammo Input'!F427)*0.5)^2*PI())*3/1000000,2)</f>
        <v>0.03</v>
      </c>
      <c r="D427">
        <f>ROUNDUP(('Ammo Input'!E427+'Ammo Input'!H427*IF('Ammo Input'!J427&lt;&gt;"",MAX('Ammo Input'!J427,1),1))/1000,3)</f>
        <v>0.019</v>
      </c>
      <c r="E427">
        <f>MIN(5000,MAX(25,CEILING(Calcs!L427,_xlfn.IFS(Calcs!L427&lt;100,25,Calcs!L427&lt;250,50,Calcs!L427&lt;1000,250,Calcs!L427&gt;=1000,1000))))</f>
        <v>5000</v>
      </c>
      <c r="F427">
        <f>ROUNDUP('Ammo Input'!G427^(3/4),0)</f>
        <v>166</v>
      </c>
      <c r="G427">
        <f>ROUND((0.5*((IF(OR(B427="HEAT",B427="HEDP"),'Ammo Input'!N427,'Ammo Input'!H427)/1000)*(IF(B427="HEAT",9000,IF(B427="HEDP",1500,'Ammo Input'!G427))^2))),0)</f>
        <v>2535</v>
      </c>
      <c r="H427" s="25" t="str">
        <f>CONCATENATE(IF((B427="Foam")+(B427="Smoke"),"-",ROUND(Calcs!D427,0))," ",VLOOKUP(B427,AmmoTypeFactors,5,FALSE))</f>
        <v>10 Bullet</v>
      </c>
      <c r="I427" s="25" t="str">
        <f>IF(Calcs!E427=0,"None",CONCATENATE(ROUND(Calcs!E427,0)," ",VLOOKUP(B427,AmmoTypeFactors,6,FALSE)))</f>
        <v>None</v>
      </c>
      <c r="J427">
        <f>MROUND(2.42*'Ammo Input'!M427^(1/3)*VLOOKUP(B427,AmmoTypeFactors,3,FALSE),0.5)</f>
        <v>0</v>
      </c>
      <c r="K427" s="25" t="str">
        <f>IF(VLOOKUP(B427,AmmoTypeFactors,12,FALSE),MROUND(J427/3,0.5),"None")</f>
        <v>None</v>
      </c>
      <c r="L427" s="25">
        <f>IF(VLOOKUP(B427,AmmoTypeFactors,8,FALSE),"None",ROUNDUP(IF(Calcs!I427&gt;0,Calcs!I427,Calcs!H427),3))</f>
        <v>50.7</v>
      </c>
      <c r="M427" s="25">
        <f>IF(VLOOKUP(B427,AmmoTypeFactors,8,FALSE),"None",'Ammo Input'!L427)</f>
        <v>13</v>
      </c>
      <c r="N427">
        <f>'Ammo Input'!O427</f>
        <v>500</v>
      </c>
      <c r="O427" t="e">
        <f>ROUND((P427*0.0036+SUMPRODUCT(Q427:AB427,VLOOKUP($Q$1:$AB$1,IngredientStats,2,FALSE)))/N427*IF('Ammo Input'!R427,0.5,1),2)</f>
        <v>#VALUE!</v>
      </c>
      <c r="P427" t="e">
        <f>(SUMPRODUCT(Q427:AB427,VLOOKUP($Q$1:$AB$1,IngredientStats,4,FALSE))*VLOOKUP(B427,AmmoTypeFactors,14,FALSE)*IF('Ammo Input'!R427,1.1,1))</f>
        <v>#VALUE!</v>
      </c>
      <c r="Q427">
        <f>IFERROR(__xludf.DUMMYFUNCTION("((IF(NOT(OR(REGEXMATCH(B423, ""Arrow""), B423 = ""Javelin"", B423 = ""Stick bomb"")), ROUNDUP(('Ammo Input'!E423 / 1000) * N423)) + IF(VLOOKUP(B423, AmmoTypeFactors, 9, FALSE) = ""Steel"", ROUNDUP(('Ammo Input'!H423 -'Ammo Input'!M423) * MAX(IF('Ammo Inpu"&amp;"t'!J423 &gt; 0, 'Ammo Input'!J423, 1), 1) * N423 / 1000))) / 'Ingredient stats'!$C$2) * IF(ISBLANK(VLOOKUP(B423,AmmoTypeFactors,15,False)),1,VLOOKUP(B423,AmmoTypeFactors,15,False))"),20)</f>
        <v>20</v>
      </c>
      <c r="R427">
        <f>IFERROR(__xludf.DUMMYFUNCTION("ROUNDUP((IF(REGEXMATCH(B423, ""Arrow"") + (B423 = ""Javelin""), 'Ammo Input'!E423) + IF(VLOOKUP(B423, AmmoTypeFactors, 9, FALSE) = ""Wood"", 'Ammo Input'!H423) + IF(B423 = ""Stick bomb"", 'Ammo Input'!E423)) * N423 / 'Ingredient stats'!$C$12 / 1000)"),0)</f>
        <v>0</v>
      </c>
      <c r="S427">
        <v>0</v>
      </c>
      <c r="T427">
        <v>0</v>
      </c>
      <c r="U427">
        <f>IF(VLOOKUP(B427,AmmoTypeFactors,9,FALSE)="Plasteel",ROUNDUP(('Ammo Input'!H427*MAX(IF('Ammo Input'!J427&gt;0,'Ammo Input'!J427,1)*N427/1000/'Ingredient stats'!$C$4)),0),0)</f>
        <v>0</v>
      </c>
      <c r="V427">
        <f>IFERROR(__xludf.DUMMYFUNCTION("ROUNDUP(IF(ISBLANK(VLOOKUP(B423,AmmoTypeFactors,16,False)),1,VLOOKUP(B423,AmmoTypeFactors,16,False)) * (IFS(REGEXMATCH(B423, ""EMP""), 'Ammo Input'!M423 * N423 / 'Ingredient stats'!$C$5, REGEXMATCH(B423, ""Charge""), (U423^0.75), true, 0) + (IF(VLOOKUP(B4"&amp;"23, AmmoTypeFactors, 10, false), 2,0) + IF('Ammo Input'!P423, 2,0) + IF('Ammo Input'!Q423,MIN(ROUNDUP(0.2*('Ammo Input'!H423/1000)*'Ammo Input'!O423,0),20),0))))"),0)</f>
        <v>0</v>
      </c>
      <c r="W427">
        <v>0</v>
      </c>
      <c r="X427">
        <v>0</v>
      </c>
      <c r="Y427">
        <v>0</v>
      </c>
      <c r="Z427">
        <v>0</v>
      </c>
      <c r="AA427">
        <v>0</v>
      </c>
      <c r="AB427" s="30">
        <f>IF(B427="Sling Bullet (Stone)",ROUNDUP(D427*0.02*E427/'Ingredient stats'!$C$8,0),0)</f>
        <v>0</v>
      </c>
      <c r="AC427" t="str">
        <f t="shared" si="20"/>
        <v>None</v>
      </c>
      <c r="AD427" t="str">
        <f>IF(OR(B427="Buck",B427="Bird",B427="Charge (Scatter)"),'Ammo Input'!J427,"None")</f>
        <v>None</v>
      </c>
      <c r="AE427" t="str">
        <f>_xlfn.IFS(ISTEXT(Calcs!N427),Calcs!N427,Calcs!N427&lt;=40,Calcs!N427,Calcs!N427&gt;41,"40")</f>
        <v>None</v>
      </c>
      <c r="AF427" t="str">
        <f>_xlfn.IFS(ISTEXT(Calcs!O427),Calcs!O427,Calcs!O427&lt;=80,Calcs!O427,Calcs!O427&gt;=81,"80")</f>
        <v>None</v>
      </c>
      <c r="AG427" s="25">
        <f t="shared" si="21"/>
        <v>1</v>
      </c>
      <c r="AH427" s="25">
        <f t="shared" si="22"/>
        <v>2.7</v>
      </c>
      <c r="AI427" s="25">
        <f t="shared" si="23"/>
        <v>1</v>
      </c>
    </row>
    <row r="428" ht="14.4" spans="1:35">
      <c r="A428" s="24" t="str">
        <f>'Ammo Input'!A428</f>
        <v>.243 Winchester</v>
      </c>
      <c r="B428" t="str">
        <f>'Ammo Input'!B428</f>
        <v>HP</v>
      </c>
      <c r="C428">
        <f>ROUNDUP(('Ammo Input'!C428*(MAX('Ammo Input'!D428,'Ammo Input'!F428)*0.5)^2*PI())*3/1000000,2)</f>
        <v>0.03</v>
      </c>
      <c r="D428">
        <f>ROUNDUP(('Ammo Input'!E428+'Ammo Input'!H428*IF('Ammo Input'!J428&lt;&gt;"",MAX('Ammo Input'!J428,1),1))/1000,3)</f>
        <v>0.019</v>
      </c>
      <c r="E428">
        <f>MIN(5000,MAX(25,CEILING(Calcs!L428,_xlfn.IFS(Calcs!L428&lt;100,25,Calcs!L428&lt;250,50,Calcs!L428&lt;1000,250,Calcs!L428&gt;=1000,1000))))</f>
        <v>5000</v>
      </c>
      <c r="F428">
        <f>ROUNDUP('Ammo Input'!G428^(3/4),0)</f>
        <v>166</v>
      </c>
      <c r="G428">
        <f>ROUND((0.5*((IF(OR(B428="HEAT",B428="HEDP"),'Ammo Input'!N428,'Ammo Input'!H428)/1000)*(IF(B428="HEAT",9000,IF(B428="HEDP",1500,'Ammo Input'!G428))^2))),0)</f>
        <v>2535</v>
      </c>
      <c r="H428" s="25" t="str">
        <f>CONCATENATE(IF((B428="Foam")+(B428="Smoke"),"-",ROUND(Calcs!D428,0))," ",VLOOKUP(B428,AmmoTypeFactors,5,FALSE))</f>
        <v>21 Bullet</v>
      </c>
      <c r="I428" s="25" t="str">
        <f>IF(Calcs!E428=0,"None",CONCATENATE(ROUND(Calcs!E428,0)," ",VLOOKUP(B428,AmmoTypeFactors,6,FALSE)))</f>
        <v>None</v>
      </c>
      <c r="J428">
        <f>MROUND(2.42*'Ammo Input'!M428^(1/3)*VLOOKUP(B428,AmmoTypeFactors,3,FALSE),0.5)</f>
        <v>0</v>
      </c>
      <c r="K428" s="25" t="str">
        <f>IF(VLOOKUP(B428,AmmoTypeFactors,12,FALSE),MROUND(J428/3,0.5),"None")</f>
        <v>None</v>
      </c>
      <c r="L428" s="25">
        <f>IF(VLOOKUP(B428,AmmoTypeFactors,8,FALSE),"None",ROUNDUP(IF(Calcs!I428&gt;0,Calcs!I428,Calcs!H428),3))</f>
        <v>50.7</v>
      </c>
      <c r="M428" s="25">
        <f>IF(VLOOKUP(B428,AmmoTypeFactors,8,FALSE),"None",'Ammo Input'!L428)</f>
        <v>3</v>
      </c>
      <c r="N428">
        <f>'Ammo Input'!O428</f>
        <v>500</v>
      </c>
      <c r="O428" t="e">
        <f>ROUND((P428*0.0036+SUMPRODUCT(Q428:AB428,VLOOKUP($Q$1:$AB$1,IngredientStats,2,FALSE)))/N428*IF('Ammo Input'!R428,0.5,1),2)</f>
        <v>#VALUE!</v>
      </c>
      <c r="P428" t="e">
        <f>(SUMPRODUCT(Q428:AB428,VLOOKUP($Q$1:$AB$1,IngredientStats,4,FALSE))*VLOOKUP(B428,AmmoTypeFactors,14,FALSE)*IF('Ammo Input'!R428,1.1,1))</f>
        <v>#VALUE!</v>
      </c>
      <c r="Q428">
        <f>IFERROR(__xludf.DUMMYFUNCTION("((IF(NOT(OR(REGEXMATCH(B424, ""Arrow""), B424 = ""Javelin"", B424 = ""Stick bomb"")), ROUNDUP(('Ammo Input'!E424 / 1000) * N424)) + IF(VLOOKUP(B424, AmmoTypeFactors, 9, FALSE) = ""Steel"", ROUNDUP(('Ammo Input'!H424 -'Ammo Input'!M424) * MAX(IF('Ammo Inpu"&amp;"t'!J424 &gt; 0, 'Ammo Input'!J424, 1), 1) * N424 / 1000))) / 'Ingredient stats'!$C$2) * IF(ISBLANK(VLOOKUP(B424,AmmoTypeFactors,15,False)),1,VLOOKUP(B424,AmmoTypeFactors,15,False))"),20)</f>
        <v>20</v>
      </c>
      <c r="R428">
        <f>IFERROR(__xludf.DUMMYFUNCTION("ROUNDUP((IF(REGEXMATCH(B424, ""Arrow"") + (B424 = ""Javelin""), 'Ammo Input'!E424) + IF(VLOOKUP(B424, AmmoTypeFactors, 9, FALSE) = ""Wood"", 'Ammo Input'!H424) + IF(B424 = ""Stick bomb"", 'Ammo Input'!E424)) * N424 / 'Ingredient stats'!$C$12 / 1000)"),0)</f>
        <v>0</v>
      </c>
      <c r="S428">
        <v>0</v>
      </c>
      <c r="T428">
        <v>0</v>
      </c>
      <c r="U428">
        <f>IF(VLOOKUP(B428,AmmoTypeFactors,9,FALSE)="Plasteel",ROUNDUP(('Ammo Input'!H428*MAX(IF('Ammo Input'!J428&gt;0,'Ammo Input'!J428,1)*N428/1000/'Ingredient stats'!$C$4)),0),0)</f>
        <v>0</v>
      </c>
      <c r="V428">
        <f>IFERROR(__xludf.DUMMYFUNCTION("ROUNDUP(IF(ISBLANK(VLOOKUP(B424,AmmoTypeFactors,16,False)),1,VLOOKUP(B424,AmmoTypeFactors,16,False)) * (IFS(REGEXMATCH(B424, ""EMP""), 'Ammo Input'!M424 * N424 / 'Ingredient stats'!$C$5, REGEXMATCH(B424, ""Charge""), (U424^0.75), true, 0) + (IF(VLOOKUP(B4"&amp;"24, AmmoTypeFactors, 10, false), 2,0) + IF('Ammo Input'!P424, 2,0) + IF('Ammo Input'!Q424,MIN(ROUNDUP(0.2*('Ammo Input'!H424/1000)*'Ammo Input'!O424,0),20),0))))"),0)</f>
        <v>0</v>
      </c>
      <c r="W428">
        <v>0</v>
      </c>
      <c r="X428">
        <v>0</v>
      </c>
      <c r="Y428">
        <v>0</v>
      </c>
      <c r="Z428">
        <v>0</v>
      </c>
      <c r="AA428">
        <v>0</v>
      </c>
      <c r="AB428" s="30">
        <f>IF(B428="Sling Bullet (Stone)",ROUNDUP(D428*0.02*E428/'Ingredient stats'!$C$8,0),0)</f>
        <v>0</v>
      </c>
      <c r="AC428" t="str">
        <f t="shared" si="20"/>
        <v>None</v>
      </c>
      <c r="AD428" t="str">
        <f>IF(OR(B428="Buck",B428="Bird",B428="Charge (Scatter)"),'Ammo Input'!J428,"None")</f>
        <v>None</v>
      </c>
      <c r="AE428" t="str">
        <f>_xlfn.IFS(ISTEXT(Calcs!N428),Calcs!N428,Calcs!N428&lt;=40,Calcs!N428,Calcs!N428&gt;41,"40")</f>
        <v>None</v>
      </c>
      <c r="AF428" t="str">
        <f>_xlfn.IFS(ISTEXT(Calcs!O428),Calcs!O428,Calcs!O428&lt;=80,Calcs!O428,Calcs!O428&gt;=81,"80")</f>
        <v>None</v>
      </c>
      <c r="AG428" s="25">
        <f t="shared" si="21"/>
        <v>1</v>
      </c>
      <c r="AH428" s="25">
        <f t="shared" si="22"/>
        <v>2.7</v>
      </c>
      <c r="AI428" s="25">
        <f t="shared" si="23"/>
        <v>1</v>
      </c>
    </row>
    <row r="429" ht="14.4" spans="1:35">
      <c r="A429" s="24" t="str">
        <f>'Ammo Input'!A429</f>
        <v>.243 Winchester</v>
      </c>
      <c r="B429" t="str">
        <f>'Ammo Input'!B429</f>
        <v>AP-I</v>
      </c>
      <c r="C429">
        <f>ROUNDUP(('Ammo Input'!C429*(MAX('Ammo Input'!D429,'Ammo Input'!F429)*0.5)^2*PI())*3/1000000,2)</f>
        <v>0.03</v>
      </c>
      <c r="D429">
        <f>ROUNDUP(('Ammo Input'!E429+'Ammo Input'!H429*IF('Ammo Input'!J429&lt;&gt;"",MAX('Ammo Input'!J429,1),1))/1000,3)</f>
        <v>0.019</v>
      </c>
      <c r="E429">
        <f>MIN(5000,MAX(25,CEILING(Calcs!L429,_xlfn.IFS(Calcs!L429&lt;100,25,Calcs!L429&lt;250,50,Calcs!L429&lt;1000,250,Calcs!L429&gt;=1000,1000))))</f>
        <v>5000</v>
      </c>
      <c r="F429">
        <f>ROUNDUP('Ammo Input'!G429^(3/4),0)</f>
        <v>166</v>
      </c>
      <c r="G429">
        <f>ROUND((0.5*((IF(OR(B429="HEAT",B429="HEDP"),'Ammo Input'!N429,'Ammo Input'!H429)/1000)*(IF(B429="HEAT",9000,IF(B429="HEDP",1500,'Ammo Input'!G429))^2))),0)</f>
        <v>2535</v>
      </c>
      <c r="H429" s="25" t="str">
        <f>CONCATENATE(IF((B429="Foam")+(B429="Smoke"),"-",ROUND(Calcs!D429,0))," ",VLOOKUP(B429,AmmoTypeFactors,5,FALSE))</f>
        <v>10 Bullet</v>
      </c>
      <c r="I429" s="25" t="str">
        <f>IF(Calcs!E429=0,"None",CONCATENATE(ROUND(Calcs!E429,0)," ",VLOOKUP(B429,AmmoTypeFactors,6,FALSE)))</f>
        <v>4 Flame_Secondary</v>
      </c>
      <c r="J429">
        <f>MROUND(2.42*'Ammo Input'!M429^(1/3)*VLOOKUP(B429,AmmoTypeFactors,3,FALSE),0.5)</f>
        <v>0</v>
      </c>
      <c r="K429" s="25" t="str">
        <f>IF(VLOOKUP(B429,AmmoTypeFactors,12,FALSE),MROUND(J429/3,0.5),"None")</f>
        <v>None</v>
      </c>
      <c r="L429" s="25">
        <f>IF(VLOOKUP(B429,AmmoTypeFactors,8,FALSE),"None",ROUNDUP(IF(Calcs!I429&gt;0,Calcs!I429,Calcs!H429),3))</f>
        <v>50.7</v>
      </c>
      <c r="M429" s="25">
        <f>IF(VLOOKUP(B429,AmmoTypeFactors,8,FALSE),"None",'Ammo Input'!L429)</f>
        <v>13</v>
      </c>
      <c r="N429">
        <f>'Ammo Input'!O429</f>
        <v>500</v>
      </c>
      <c r="O429" t="e">
        <f>ROUND((P429*0.0036+SUMPRODUCT(Q429:AB429,VLOOKUP($Q$1:$AB$1,IngredientStats,2,FALSE)))/N429*IF('Ammo Input'!R429,0.5,1),2)</f>
        <v>#VALUE!</v>
      </c>
      <c r="P429" t="e">
        <f>(SUMPRODUCT(Q429:AB429,VLOOKUP($Q$1:$AB$1,IngredientStats,4,FALSE))*VLOOKUP(B429,AmmoTypeFactors,14,FALSE)*IF('Ammo Input'!R429,1.1,1))</f>
        <v>#VALUE!</v>
      </c>
      <c r="Q429">
        <f>IFERROR(__xludf.DUMMYFUNCTION("((IF(NOT(OR(REGEXMATCH(B425, ""Arrow""), B425 = ""Javelin"", B425 = ""Stick bomb"")), ROUNDUP(('Ammo Input'!E425 / 1000) * N425)) + IF(VLOOKUP(B425, AmmoTypeFactors, 9, FALSE) = ""Steel"", ROUNDUP(('Ammo Input'!H425 -'Ammo Input'!M425) * MAX(IF('Ammo Inpu"&amp;"t'!J425 &gt; 0, 'Ammo Input'!J425, 1), 1) * N425 / 1000))) / 'Ingredient stats'!$C$2) * IF(ISBLANK(VLOOKUP(B425,AmmoTypeFactors,15,False)),1,VLOOKUP(B425,AmmoTypeFactors,15,False))"),20)</f>
        <v>20</v>
      </c>
      <c r="R429">
        <f>IFERROR(__xludf.DUMMYFUNCTION("ROUNDUP((IF(REGEXMATCH(B425, ""Arrow"") + (B425 = ""Javelin""), 'Ammo Input'!E425) + IF(VLOOKUP(B425, AmmoTypeFactors, 9, FALSE) = ""Wood"", 'Ammo Input'!H425) + IF(B425 = ""Stick bomb"", 'Ammo Input'!E425)) * N425 / 'Ingredient stats'!$C$12 / 1000)"),0)</f>
        <v>0</v>
      </c>
      <c r="S429">
        <v>0</v>
      </c>
      <c r="T429">
        <v>0</v>
      </c>
      <c r="U429">
        <f>IF(VLOOKUP(B429,AmmoTypeFactors,9,FALSE)="Plasteel",ROUNDUP(('Ammo Input'!H429*MAX(IF('Ammo Input'!J429&gt;0,'Ammo Input'!J429,1)*N429/1000/'Ingredient stats'!$C$4)),0),0)</f>
        <v>0</v>
      </c>
      <c r="V429">
        <f>IFERROR(__xludf.DUMMYFUNCTION("ROUNDUP(IF(ISBLANK(VLOOKUP(B425,AmmoTypeFactors,16,False)),1,VLOOKUP(B425,AmmoTypeFactors,16,False)) * (IFS(REGEXMATCH(B425, ""EMP""), 'Ammo Input'!M425 * N425 / 'Ingredient stats'!$C$5, REGEXMATCH(B425, ""Charge""), (U425^0.75), true, 0) + (IF(VLOOKUP(B4"&amp;"25, AmmoTypeFactors, 10, false), 2,0) + IF('Ammo Input'!P425, 2,0) + IF('Ammo Input'!Q425,MIN(ROUNDUP(0.2*('Ammo Input'!H425/1000)*'Ammo Input'!O425,0),20),0))))"),0)</f>
        <v>0</v>
      </c>
      <c r="W429">
        <v>2</v>
      </c>
      <c r="X429">
        <v>0</v>
      </c>
      <c r="Y429">
        <v>0</v>
      </c>
      <c r="Z429">
        <v>0</v>
      </c>
      <c r="AA429">
        <v>0</v>
      </c>
      <c r="AB429" s="30">
        <f>IF(B429="Sling Bullet (Stone)",ROUNDUP(D429*0.02*E429/'Ingredient stats'!$C$8,0),0)</f>
        <v>0</v>
      </c>
      <c r="AC429" t="str">
        <f t="shared" si="20"/>
        <v>None</v>
      </c>
      <c r="AD429" t="str">
        <f>IF(OR(B429="Buck",B429="Bird",B429="Charge (Scatter)"),'Ammo Input'!J429,"None")</f>
        <v>None</v>
      </c>
      <c r="AE429" t="str">
        <f>_xlfn.IFS(ISTEXT(Calcs!N429),Calcs!N429,Calcs!N429&lt;=40,Calcs!N429,Calcs!N429&gt;41,"40")</f>
        <v>None</v>
      </c>
      <c r="AF429" t="str">
        <f>_xlfn.IFS(ISTEXT(Calcs!O429),Calcs!O429,Calcs!O429&lt;=80,Calcs!O429,Calcs!O429&gt;=81,"80")</f>
        <v>None</v>
      </c>
      <c r="AG429" s="25">
        <f t="shared" si="21"/>
        <v>1</v>
      </c>
      <c r="AH429" s="25">
        <f t="shared" si="22"/>
        <v>2.7</v>
      </c>
      <c r="AI429" s="25">
        <f t="shared" si="23"/>
        <v>1</v>
      </c>
    </row>
    <row r="430" ht="14.4" spans="1:35">
      <c r="A430" s="24" t="str">
        <f>'Ammo Input'!A430</f>
        <v>.243 Winchester</v>
      </c>
      <c r="B430" t="str">
        <f>'Ammo Input'!B430</f>
        <v>AP-HE</v>
      </c>
      <c r="C430">
        <f>ROUNDUP(('Ammo Input'!C430*(MAX('Ammo Input'!D430,'Ammo Input'!F430)*0.5)^2*PI())*3/1000000,2)</f>
        <v>0.03</v>
      </c>
      <c r="D430">
        <f>ROUNDUP(('Ammo Input'!E430+'Ammo Input'!H430*IF('Ammo Input'!J430&lt;&gt;"",MAX('Ammo Input'!J430,1),1))/1000,3)</f>
        <v>0.019</v>
      </c>
      <c r="E430">
        <f>MIN(5000,MAX(25,CEILING(Calcs!L430,_xlfn.IFS(Calcs!L430&lt;100,25,Calcs!L430&lt;250,50,Calcs!L430&lt;1000,250,Calcs!L430&gt;=1000,1000))))</f>
        <v>5000</v>
      </c>
      <c r="F430">
        <f>ROUNDUP('Ammo Input'!G430^(3/4),0)</f>
        <v>166</v>
      </c>
      <c r="G430">
        <f>ROUND((0.5*((IF(OR(B430="HEAT",B430="HEDP"),'Ammo Input'!N430,'Ammo Input'!H430)/1000)*(IF(B430="HEAT",9000,IF(B430="HEDP",1500,'Ammo Input'!G430))^2))),0)</f>
        <v>2535</v>
      </c>
      <c r="H430" s="25" t="str">
        <f>CONCATENATE(IF((B430="Foam")+(B430="Smoke"),"-",ROUND(Calcs!D430,0))," ",VLOOKUP(B430,AmmoTypeFactors,5,FALSE))</f>
        <v>16 Bullet</v>
      </c>
      <c r="I430" s="25" t="str">
        <f>IF(Calcs!E430=0,"None",CONCATENATE(ROUND(Calcs!E430,0)," ",VLOOKUP(B430,AmmoTypeFactors,6,FALSE)))</f>
        <v>6 Bomb_Secondary</v>
      </c>
      <c r="J430">
        <f>MROUND(2.42*'Ammo Input'!M430^(1/3)*VLOOKUP(B430,AmmoTypeFactors,3,FALSE),0.5)</f>
        <v>0</v>
      </c>
      <c r="K430" s="25" t="str">
        <f>IF(VLOOKUP(B430,AmmoTypeFactors,12,FALSE),MROUND(J430/3,0.5),"None")</f>
        <v>None</v>
      </c>
      <c r="L430" s="25">
        <f>IF(VLOOKUP(B430,AmmoTypeFactors,8,FALSE),"None",ROUNDUP(IF(Calcs!I430&gt;0,Calcs!I430,Calcs!H430),3))</f>
        <v>50.7</v>
      </c>
      <c r="M430" s="25">
        <f>IF(VLOOKUP(B430,AmmoTypeFactors,8,FALSE),"None",'Ammo Input'!L430)</f>
        <v>6.5</v>
      </c>
      <c r="N430">
        <f>'Ammo Input'!O430</f>
        <v>500</v>
      </c>
      <c r="O430" t="e">
        <f>ROUND((P430*0.0036+SUMPRODUCT(Q430:AB430,VLOOKUP($Q$1:$AB$1,IngredientStats,2,FALSE)))/N430*IF('Ammo Input'!R430,0.5,1),2)</f>
        <v>#VALUE!</v>
      </c>
      <c r="P430" t="e">
        <f>(SUMPRODUCT(Q430:AB430,VLOOKUP($Q$1:$AB$1,IngredientStats,4,FALSE))*VLOOKUP(B430,AmmoTypeFactors,14,FALSE)*IF('Ammo Input'!R430,1.1,1))</f>
        <v>#VALUE!</v>
      </c>
      <c r="Q430">
        <f>IFERROR(__xludf.DUMMYFUNCTION("((IF(NOT(OR(REGEXMATCH(B426, ""Arrow""), B426 = ""Javelin"", B426 = ""Stick bomb"")), ROUNDUP(('Ammo Input'!E426 / 1000) * N426)) + IF(VLOOKUP(B426, AmmoTypeFactors, 9, FALSE) = ""Steel"", ROUNDUP(('Ammo Input'!H426 -'Ammo Input'!M426) * MAX(IF('Ammo Inpu"&amp;"t'!J426 &gt; 0, 'Ammo Input'!J426, 1), 1) * N426 / 1000))) / 'Ingredient stats'!$C$2) * IF(ISBLANK(VLOOKUP(B426,AmmoTypeFactors,15,False)),1,VLOOKUP(B426,AmmoTypeFactors,15,False))"),20)</f>
        <v>20</v>
      </c>
      <c r="R430">
        <f>IFERROR(__xludf.DUMMYFUNCTION("ROUNDUP((IF(REGEXMATCH(B426, ""Arrow"") + (B426 = ""Javelin""), 'Ammo Input'!E426) + IF(VLOOKUP(B426, AmmoTypeFactors, 9, FALSE) = ""Wood"", 'Ammo Input'!H426) + IF(B426 = ""Stick bomb"", 'Ammo Input'!E426)) * N426 / 'Ingredient stats'!$C$12 / 1000)"),0)</f>
        <v>0</v>
      </c>
      <c r="S430">
        <v>0</v>
      </c>
      <c r="T430">
        <v>0</v>
      </c>
      <c r="U430">
        <f>IF(VLOOKUP(B430,AmmoTypeFactors,9,FALSE)="Plasteel",ROUNDUP(('Ammo Input'!H430*MAX(IF('Ammo Input'!J430&gt;0,'Ammo Input'!J430,1)*N430/1000/'Ingredient stats'!$C$4)),0),0)</f>
        <v>0</v>
      </c>
      <c r="V430">
        <f>IFERROR(__xludf.DUMMYFUNCTION("ROUNDUP(IF(ISBLANK(VLOOKUP(B426,AmmoTypeFactors,16,False)),1,VLOOKUP(B426,AmmoTypeFactors,16,False)) * (IFS(REGEXMATCH(B426, ""EMP""), 'Ammo Input'!M426 * N426 / 'Ingredient stats'!$C$5, REGEXMATCH(B426, ""Charge""), (U426^0.75), true, 0) + (IF(VLOOKUP(B4"&amp;"26, AmmoTypeFactors, 10, false), 2,0) + IF('Ammo Input'!P426, 2,0) + IF('Ammo Input'!Q426,MIN(ROUNDUP(0.2*('Ammo Input'!H426/1000)*'Ammo Input'!O426,0),20),0))))"),0)</f>
        <v>0</v>
      </c>
      <c r="W430">
        <v>0</v>
      </c>
      <c r="X430">
        <v>4</v>
      </c>
      <c r="Y430">
        <v>0</v>
      </c>
      <c r="Z430">
        <v>0</v>
      </c>
      <c r="AA430">
        <v>0</v>
      </c>
      <c r="AB430" s="30">
        <f>IF(B430="Sling Bullet (Stone)",ROUNDUP(D430*0.02*E430/'Ingredient stats'!$C$8,0),0)</f>
        <v>0</v>
      </c>
      <c r="AC430" t="str">
        <f t="shared" si="20"/>
        <v>None</v>
      </c>
      <c r="AD430" t="str">
        <f>IF(OR(B430="Buck",B430="Bird",B430="Charge (Scatter)"),'Ammo Input'!J430,"None")</f>
        <v>None</v>
      </c>
      <c r="AE430" t="str">
        <f>_xlfn.IFS(ISTEXT(Calcs!N430),Calcs!N430,Calcs!N430&lt;=40,Calcs!N430,Calcs!N430&gt;41,"40")</f>
        <v>None</v>
      </c>
      <c r="AF430" t="str">
        <f>_xlfn.IFS(ISTEXT(Calcs!O430),Calcs!O430,Calcs!O430&lt;=80,Calcs!O430,Calcs!O430&gt;=81,"80")</f>
        <v>None</v>
      </c>
      <c r="AG430" s="25">
        <f t="shared" si="21"/>
        <v>1</v>
      </c>
      <c r="AH430" s="25">
        <f t="shared" si="22"/>
        <v>2.7</v>
      </c>
      <c r="AI430" s="25">
        <f t="shared" si="23"/>
        <v>1</v>
      </c>
    </row>
    <row r="431" ht="14.4" spans="1:35">
      <c r="A431" s="24" t="str">
        <f>'Ammo Input'!A431</f>
        <v>.243 Winchester</v>
      </c>
      <c r="B431" t="str">
        <f>'Ammo Input'!B431</f>
        <v>Sabot</v>
      </c>
      <c r="C431">
        <f>ROUNDUP(('Ammo Input'!C431*(MAX('Ammo Input'!D431,'Ammo Input'!F431)*0.5)^2*PI())*3/1000000,2)</f>
        <v>0.03</v>
      </c>
      <c r="D431">
        <f>ROUNDUP(('Ammo Input'!E431+'Ammo Input'!H431*IF('Ammo Input'!J431&lt;&gt;"",MAX('Ammo Input'!J431,1),1))/1000,3)</f>
        <v>0.016</v>
      </c>
      <c r="E431">
        <f>MIN(5000,MAX(25,CEILING(Calcs!L431,_xlfn.IFS(Calcs!L431&lt;100,25,Calcs!L431&lt;250,50,Calcs!L431&lt;1000,250,Calcs!L431&gt;=1000,1000))))</f>
        <v>5000</v>
      </c>
      <c r="F431">
        <f>ROUNDUP('Ammo Input'!G431^(3/4),0)</f>
        <v>225</v>
      </c>
      <c r="G431">
        <f>ROUND((0.5*((IF(OR(B431="HEAT",B431="HEDP"),'Ammo Input'!N431,'Ammo Input'!H431)/1000)*(IF(B431="HEAT",9000,IF(B431="HEDP",1500,'Ammo Input'!G431))^2))),0)</f>
        <v>3256</v>
      </c>
      <c r="H431" s="25" t="str">
        <f>CONCATENATE(IF((B431="Foam")+(B431="Smoke"),"-",ROUND(Calcs!D431,0))," ",VLOOKUP(B431,AmmoTypeFactors,5,FALSE))</f>
        <v>9 Bullet</v>
      </c>
      <c r="I431" s="25" t="str">
        <f>IF(Calcs!E431=0,"None",CONCATENATE(ROUND(Calcs!E431,0)," ",VLOOKUP(B431,AmmoTypeFactors,6,FALSE)))</f>
        <v>None</v>
      </c>
      <c r="J431">
        <f>MROUND(2.42*'Ammo Input'!M431^(1/3)*VLOOKUP(B431,AmmoTypeFactors,3,FALSE),0.5)</f>
        <v>0</v>
      </c>
      <c r="K431" s="25" t="str">
        <f>IF(VLOOKUP(B431,AmmoTypeFactors,12,FALSE),MROUND(J431/3,0.5),"None")</f>
        <v>None</v>
      </c>
      <c r="L431" s="25">
        <f>IF(VLOOKUP(B431,AmmoTypeFactors,8,FALSE),"None",ROUNDUP(IF(Calcs!I431&gt;0,Calcs!I431,Calcs!H431),3))</f>
        <v>65.12</v>
      </c>
      <c r="M431" s="25">
        <f>IF(VLOOKUP(B431,AmmoTypeFactors,8,FALSE),"None",'Ammo Input'!L431)</f>
        <v>23</v>
      </c>
      <c r="N431">
        <f>'Ammo Input'!O431</f>
        <v>500</v>
      </c>
      <c r="O431" t="e">
        <f>ROUND((P431*0.0036+SUMPRODUCT(Q431:AB431,VLOOKUP($Q$1:$AB$1,IngredientStats,2,FALSE)))/N431*IF('Ammo Input'!R431,0.5,1),2)</f>
        <v>#VALUE!</v>
      </c>
      <c r="P431" t="e">
        <f>(SUMPRODUCT(Q431:AB431,VLOOKUP($Q$1:$AB$1,IngredientStats,4,FALSE))*VLOOKUP(B431,AmmoTypeFactors,14,FALSE)*IF('Ammo Input'!R431,1.1,1))</f>
        <v>#VALUE!</v>
      </c>
      <c r="Q431">
        <f>IFERROR(__xludf.DUMMYFUNCTION("((IF(NOT(OR(REGEXMATCH(B427, ""Arrow""), B427 = ""Javelin"", B427 = ""Stick bomb"")), ROUNDUP(('Ammo Input'!E427 / 1000) * N427)) + IF(VLOOKUP(B427, AmmoTypeFactors, 9, FALSE) = ""Steel"", ROUNDUP(('Ammo Input'!H427 -'Ammo Input'!M427) * MAX(IF('Ammo Inpu"&amp;"t'!J427 &gt; 0, 'Ammo Input'!J427, 1), 1) * N427 / 1000))) / 'Ingredient stats'!$C$2) * IF(ISBLANK(VLOOKUP(B427,AmmoTypeFactors,15,False)),1,VLOOKUP(B427,AmmoTypeFactors,15,False))"),12)</f>
        <v>12</v>
      </c>
      <c r="R431">
        <f>IFERROR(__xludf.DUMMYFUNCTION("ROUNDUP((IF(REGEXMATCH(B427, ""Arrow"") + (B427 = ""Javelin""), 'Ammo Input'!E427) + IF(VLOOKUP(B427, AmmoTypeFactors, 9, FALSE) = ""Wood"", 'Ammo Input'!H427) + IF(B427 = ""Stick bomb"", 'Ammo Input'!E427)) * N427 / 'Ingredient stats'!$C$12 / 1000)"),0)</f>
        <v>0</v>
      </c>
      <c r="S431">
        <v>2</v>
      </c>
      <c r="T431">
        <v>2</v>
      </c>
      <c r="U431">
        <f>IF(VLOOKUP(B431,AmmoTypeFactors,9,FALSE)="Plasteel",ROUNDUP(('Ammo Input'!H431*MAX(IF('Ammo Input'!J431&gt;0,'Ammo Input'!J431,1)*N431/1000/'Ingredient stats'!$C$4)),0),0)</f>
        <v>0</v>
      </c>
      <c r="V431">
        <f>IFERROR(__xludf.DUMMYFUNCTION("ROUNDUP(IF(ISBLANK(VLOOKUP(B427,AmmoTypeFactors,16,False)),1,VLOOKUP(B427,AmmoTypeFactors,16,False)) * (IFS(REGEXMATCH(B427, ""EMP""), 'Ammo Input'!M427 * N427 / 'Ingredient stats'!$C$5, REGEXMATCH(B427, ""Charge""), (U427^0.75), true, 0) + (IF(VLOOKUP(B4"&amp;"27, AmmoTypeFactors, 10, false), 2,0) + IF('Ammo Input'!P427, 2,0) + IF('Ammo Input'!Q427,MIN(ROUNDUP(0.2*('Ammo Input'!H427/1000)*'Ammo Input'!O427,0),20),0))))"),0)</f>
        <v>0</v>
      </c>
      <c r="W431">
        <v>0</v>
      </c>
      <c r="X431">
        <v>0</v>
      </c>
      <c r="Y431">
        <v>0</v>
      </c>
      <c r="Z431">
        <v>0</v>
      </c>
      <c r="AA431">
        <v>0</v>
      </c>
      <c r="AB431" s="30">
        <f>IF(B431="Sling Bullet (Stone)",ROUNDUP(D431*0.02*E431/'Ingredient stats'!$C$8,0),0)</f>
        <v>0</v>
      </c>
      <c r="AC431" t="str">
        <f t="shared" si="20"/>
        <v>None</v>
      </c>
      <c r="AD431" t="str">
        <f>IF(OR(B431="Buck",B431="Bird",B431="Charge (Scatter)"),'Ammo Input'!J431,"None")</f>
        <v>None</v>
      </c>
      <c r="AE431" t="str">
        <f>_xlfn.IFS(ISTEXT(Calcs!N431),Calcs!N431,Calcs!N431&lt;=40,Calcs!N431,Calcs!N431&gt;41,"40")</f>
        <v>None</v>
      </c>
      <c r="AF431" t="str">
        <f>_xlfn.IFS(ISTEXT(Calcs!O431),Calcs!O431,Calcs!O431&lt;=80,Calcs!O431,Calcs!O431&gt;=81,"80")</f>
        <v>None</v>
      </c>
      <c r="AG431" s="25">
        <f t="shared" si="21"/>
        <v>1</v>
      </c>
      <c r="AH431" s="25">
        <f t="shared" si="22"/>
        <v>3.64</v>
      </c>
      <c r="AI431" s="25">
        <f t="shared" si="23"/>
        <v>1</v>
      </c>
    </row>
    <row r="432" ht="14.4" spans="1:35">
      <c r="A432" s="24" t="str">
        <f>'Ammo Input'!A432</f>
        <v>.56-56 Spencer</v>
      </c>
      <c r="B432" t="str">
        <f>'Ammo Input'!B432</f>
        <v>FMJ</v>
      </c>
      <c r="C432">
        <f>ROUNDUP(('Ammo Input'!C432*(MAX('Ammo Input'!D432,'Ammo Input'!F432)*0.5)^2*PI())*3/1000000,2)</f>
        <v>0.02</v>
      </c>
      <c r="D432">
        <f>ROUNDUP(('Ammo Input'!E432+'Ammo Input'!H432*IF('Ammo Input'!J432&lt;&gt;"",MAX('Ammo Input'!J432,1),1))/1000,3)</f>
        <v>0.033</v>
      </c>
      <c r="E432">
        <f>MIN(5000,MAX(25,CEILING(Calcs!L432,_xlfn.IFS(Calcs!L432&lt;100,25,Calcs!L432&lt;250,50,Calcs!L432&lt;1000,250,Calcs!L432&gt;=1000,1000))))</f>
        <v>5000</v>
      </c>
      <c r="F432">
        <f>ROUNDUP('Ammo Input'!G432^(3/4),0)</f>
        <v>84</v>
      </c>
      <c r="G432">
        <f>ROUND((0.5*((IF(OR(B432="HEAT",B432="HEDP"),'Ammo Input'!N432,'Ammo Input'!H432)/1000)*(IF(B432="HEAT",9000,IF(B432="HEDP",1500,'Ammo Input'!G432))^2))),0)</f>
        <v>1518</v>
      </c>
      <c r="H432" s="25" t="str">
        <f>CONCATENATE(IF((B432="Foam")+(B432="Smoke"),"-",ROUND(Calcs!D432,0))," ",VLOOKUP(B432,AmmoTypeFactors,5,FALSE))</f>
        <v>18 Bullet</v>
      </c>
      <c r="I432" s="25" t="str">
        <f>IF(Calcs!E432=0,"None",CONCATENATE(ROUND(Calcs!E432,0)," ",VLOOKUP(B432,AmmoTypeFactors,6,FALSE)))</f>
        <v>None</v>
      </c>
      <c r="J432">
        <f>MROUND(2.42*'Ammo Input'!M432^(1/3)*VLOOKUP(B432,AmmoTypeFactors,3,FALSE),0.5)</f>
        <v>0</v>
      </c>
      <c r="K432" s="25" t="str">
        <f>IF(VLOOKUP(B432,AmmoTypeFactors,12,FALSE),MROUND(J432/3,0.5),"None")</f>
        <v>None</v>
      </c>
      <c r="L432" s="25">
        <f>IF(VLOOKUP(B432,AmmoTypeFactors,8,FALSE),"None",ROUNDUP(IF(Calcs!I432&gt;0,Calcs!I432,Calcs!H432),3))</f>
        <v>30.36</v>
      </c>
      <c r="M432" s="25">
        <f>IF(VLOOKUP(B432,AmmoTypeFactors,8,FALSE),"None",'Ammo Input'!L432)</f>
        <v>5</v>
      </c>
      <c r="N432">
        <f>'Ammo Input'!O432</f>
        <v>500</v>
      </c>
      <c r="O432" t="e">
        <f>ROUND((P432*0.0036+SUMPRODUCT(Q432:AB432,VLOOKUP($Q$1:$AB$1,IngredientStats,2,FALSE)))/N432*IF('Ammo Input'!R432,0.5,1),2)</f>
        <v>#VALUE!</v>
      </c>
      <c r="P432" t="e">
        <f>(SUMPRODUCT(Q432:AB432,VLOOKUP($Q$1:$AB$1,IngredientStats,4,FALSE))*VLOOKUP(B432,AmmoTypeFactors,14,FALSE)*IF('Ammo Input'!R432,1.1,1))</f>
        <v>#VALUE!</v>
      </c>
      <c r="Q432">
        <f>IFERROR(__xludf.DUMMYFUNCTION("((IF(NOT(OR(REGEXMATCH(B428, ""Arrow""), B428 = ""Javelin"", B428 = ""Stick bomb"")), ROUNDUP(('Ammo Input'!E428 / 1000) * N428)) + IF(VLOOKUP(B428, AmmoTypeFactors, 9, FALSE) = ""Steel"", ROUNDUP(('Ammo Input'!H428 -'Ammo Input'!M428) * MAX(IF('Ammo Inpu"&amp;"t'!J428 &gt; 0, 'Ammo Input'!J428, 1), 1) * N428 / 1000))) / 'Ingredient stats'!$C$2) * IF(ISBLANK(VLOOKUP(B428,AmmoTypeFactors,15,False)),1,VLOOKUP(B428,AmmoTypeFactors,15,False))"),34)</f>
        <v>34</v>
      </c>
      <c r="R432">
        <f>IFERROR(__xludf.DUMMYFUNCTION("ROUNDUP((IF(REGEXMATCH(B428, ""Arrow"") + (B428 = ""Javelin""), 'Ammo Input'!E428) + IF(VLOOKUP(B428, AmmoTypeFactors, 9, FALSE) = ""Wood"", 'Ammo Input'!H428) + IF(B428 = ""Stick bomb"", 'Ammo Input'!E428)) * N428 / 'Ingredient stats'!$C$12 / 1000)"),0)</f>
        <v>0</v>
      </c>
      <c r="S432">
        <v>0</v>
      </c>
      <c r="T432">
        <v>0</v>
      </c>
      <c r="U432">
        <f>IF(VLOOKUP(B432,AmmoTypeFactors,9,FALSE)="Plasteel",ROUNDUP(('Ammo Input'!H432*MAX(IF('Ammo Input'!J432&gt;0,'Ammo Input'!J432,1)*N432/1000/'Ingredient stats'!$C$4)),0),0)</f>
        <v>0</v>
      </c>
      <c r="V432">
        <f>IFERROR(__xludf.DUMMYFUNCTION("ROUNDUP(IF(ISBLANK(VLOOKUP(B428,AmmoTypeFactors,16,False)),1,VLOOKUP(B428,AmmoTypeFactors,16,False)) * (IFS(REGEXMATCH(B428, ""EMP""), 'Ammo Input'!M428 * N428 / 'Ingredient stats'!$C$5, REGEXMATCH(B428, ""Charge""), (U428^0.75), true, 0) + (IF(VLOOKUP(B4"&amp;"28, AmmoTypeFactors, 10, false), 2,0) + IF('Ammo Input'!P428, 2,0) + IF('Ammo Input'!Q428,MIN(ROUNDUP(0.2*('Ammo Input'!H428/1000)*'Ammo Input'!O428,0),20),0))))"),0)</f>
        <v>0</v>
      </c>
      <c r="W432">
        <v>0</v>
      </c>
      <c r="X432">
        <v>0</v>
      </c>
      <c r="Y432">
        <v>0</v>
      </c>
      <c r="Z432">
        <v>0</v>
      </c>
      <c r="AA432">
        <v>0</v>
      </c>
      <c r="AB432" s="30">
        <f>IF(B432="Sling Bullet (Stone)",ROUNDUP(D432*0.02*E432/'Ingredient stats'!$C$8,0),0)</f>
        <v>0</v>
      </c>
      <c r="AC432" t="str">
        <f t="shared" si="20"/>
        <v>None</v>
      </c>
      <c r="AD432" t="str">
        <f>IF(OR(B432="Buck",B432="Bird",B432="Charge (Scatter)"),'Ammo Input'!J432,"None")</f>
        <v>None</v>
      </c>
      <c r="AE432" t="str">
        <f>_xlfn.IFS(ISTEXT(Calcs!N432),Calcs!N432,Calcs!N432&lt;=40,Calcs!N432,Calcs!N432&gt;41,"40")</f>
        <v>None</v>
      </c>
      <c r="AF432" t="str">
        <f>_xlfn.IFS(ISTEXT(Calcs!O432),Calcs!O432,Calcs!O432&lt;=80,Calcs!O432,Calcs!O432&gt;=81,"80")</f>
        <v>None</v>
      </c>
      <c r="AG432" s="25">
        <f t="shared" si="21"/>
        <v>1</v>
      </c>
      <c r="AH432" s="25">
        <f t="shared" si="22"/>
        <v>1.39</v>
      </c>
      <c r="AI432" s="25">
        <f t="shared" si="23"/>
        <v>1</v>
      </c>
    </row>
    <row r="433" ht="14.4" spans="1:35">
      <c r="A433" s="24" t="str">
        <f>'Ammo Input'!A433</f>
        <v>.56-56 Spencer</v>
      </c>
      <c r="B433" t="str">
        <f>'Ammo Input'!B433</f>
        <v>AP</v>
      </c>
      <c r="C433">
        <f>ROUNDUP(('Ammo Input'!C433*(MAX('Ammo Input'!D433,'Ammo Input'!F433)*0.5)^2*PI())*3/1000000,2)</f>
        <v>0.02</v>
      </c>
      <c r="D433">
        <f>ROUNDUP(('Ammo Input'!E433+'Ammo Input'!H433*IF('Ammo Input'!J433&lt;&gt;"",MAX('Ammo Input'!J433,1),1))/1000,3)</f>
        <v>0.033</v>
      </c>
      <c r="E433">
        <f>MIN(5000,MAX(25,CEILING(Calcs!L433,_xlfn.IFS(Calcs!L433&lt;100,25,Calcs!L433&lt;250,50,Calcs!L433&lt;1000,250,Calcs!L433&gt;=1000,1000))))</f>
        <v>5000</v>
      </c>
      <c r="F433">
        <f>ROUNDUP('Ammo Input'!G433^(3/4),0)</f>
        <v>84</v>
      </c>
      <c r="G433">
        <f>ROUND((0.5*((IF(OR(B433="HEAT",B433="HEDP"),'Ammo Input'!N433,'Ammo Input'!H433)/1000)*(IF(B433="HEAT",9000,IF(B433="HEDP",1500,'Ammo Input'!G433))^2))),0)</f>
        <v>1518</v>
      </c>
      <c r="H433" s="25" t="str">
        <f>CONCATENATE(IF((B433="Foam")+(B433="Smoke"),"-",ROUND(Calcs!D433,0))," ",VLOOKUP(B433,AmmoTypeFactors,5,FALSE))</f>
        <v>11 Bullet</v>
      </c>
      <c r="I433" s="25" t="str">
        <f>IF(Calcs!E433=0,"None",CONCATENATE(ROUND(Calcs!E433,0)," ",VLOOKUP(B433,AmmoTypeFactors,6,FALSE)))</f>
        <v>None</v>
      </c>
      <c r="J433">
        <f>MROUND(2.42*'Ammo Input'!M433^(1/3)*VLOOKUP(B433,AmmoTypeFactors,3,FALSE),0.5)</f>
        <v>0</v>
      </c>
      <c r="K433" s="25" t="str">
        <f>IF(VLOOKUP(B433,AmmoTypeFactors,12,FALSE),MROUND(J433/3,0.5),"None")</f>
        <v>None</v>
      </c>
      <c r="L433" s="25">
        <f>IF(VLOOKUP(B433,AmmoTypeFactors,8,FALSE),"None",ROUNDUP(IF(Calcs!I433&gt;0,Calcs!I433,Calcs!H433),3))</f>
        <v>30.36</v>
      </c>
      <c r="M433" s="25">
        <f>IF(VLOOKUP(B433,AmmoTypeFactors,8,FALSE),"None",'Ammo Input'!L433)</f>
        <v>10</v>
      </c>
      <c r="N433">
        <f>'Ammo Input'!O433</f>
        <v>500</v>
      </c>
      <c r="O433" t="e">
        <f>ROUND((P433*0.0036+SUMPRODUCT(Q433:AB433,VLOOKUP($Q$1:$AB$1,IngredientStats,2,FALSE)))/N433*IF('Ammo Input'!R433,0.5,1),2)</f>
        <v>#VALUE!</v>
      </c>
      <c r="P433" t="e">
        <f>(SUMPRODUCT(Q433:AB433,VLOOKUP($Q$1:$AB$1,IngredientStats,4,FALSE))*VLOOKUP(B433,AmmoTypeFactors,14,FALSE)*IF('Ammo Input'!R433,1.1,1))</f>
        <v>#VALUE!</v>
      </c>
      <c r="Q433">
        <f>IFERROR(__xludf.DUMMYFUNCTION("((IF(NOT(OR(REGEXMATCH(B429, ""Arrow""), B429 = ""Javelin"", B429 = ""Stick bomb"")), ROUNDUP(('Ammo Input'!E429 / 1000) * N429)) + IF(VLOOKUP(B429, AmmoTypeFactors, 9, FALSE) = ""Steel"", ROUNDUP(('Ammo Input'!H429 -'Ammo Input'!M429) * MAX(IF('Ammo Inpu"&amp;"t'!J429 &gt; 0, 'Ammo Input'!J429, 1), 1) * N429 / 1000))) / 'Ingredient stats'!$C$2) * IF(ISBLANK(VLOOKUP(B429,AmmoTypeFactors,15,False)),1,VLOOKUP(B429,AmmoTypeFactors,15,False))"),34)</f>
        <v>34</v>
      </c>
      <c r="R433">
        <f>IFERROR(__xludf.DUMMYFUNCTION("ROUNDUP((IF(REGEXMATCH(B429, ""Arrow"") + (B429 = ""Javelin""), 'Ammo Input'!E429) + IF(VLOOKUP(B429, AmmoTypeFactors, 9, FALSE) = ""Wood"", 'Ammo Input'!H429) + IF(B429 = ""Stick bomb"", 'Ammo Input'!E429)) * N429 / 'Ingredient stats'!$C$12 / 1000)"),0)</f>
        <v>0</v>
      </c>
      <c r="S433">
        <v>0</v>
      </c>
      <c r="T433">
        <v>0</v>
      </c>
      <c r="U433">
        <f>IF(VLOOKUP(B433,AmmoTypeFactors,9,FALSE)="Plasteel",ROUNDUP(('Ammo Input'!H433*MAX(IF('Ammo Input'!J433&gt;0,'Ammo Input'!J433,1)*N433/1000/'Ingredient stats'!$C$4)),0),0)</f>
        <v>0</v>
      </c>
      <c r="V433">
        <f>IFERROR(__xludf.DUMMYFUNCTION("ROUNDUP(IF(ISBLANK(VLOOKUP(B429,AmmoTypeFactors,16,False)),1,VLOOKUP(B429,AmmoTypeFactors,16,False)) * (IFS(REGEXMATCH(B429, ""EMP""), 'Ammo Input'!M429 * N429 / 'Ingredient stats'!$C$5, REGEXMATCH(B429, ""Charge""), (U429^0.75), true, 0) + (IF(VLOOKUP(B4"&amp;"29, AmmoTypeFactors, 10, false), 2,0) + IF('Ammo Input'!P429, 2,0) + IF('Ammo Input'!Q429,MIN(ROUNDUP(0.2*('Ammo Input'!H429/1000)*'Ammo Input'!O429,0),20),0))))"),0)</f>
        <v>0</v>
      </c>
      <c r="W433">
        <v>0</v>
      </c>
      <c r="X433">
        <v>0</v>
      </c>
      <c r="Y433">
        <v>0</v>
      </c>
      <c r="Z433">
        <v>0</v>
      </c>
      <c r="AA433">
        <v>0</v>
      </c>
      <c r="AB433" s="30">
        <f>IF(B433="Sling Bullet (Stone)",ROUNDUP(D433*0.02*E433/'Ingredient stats'!$C$8,0),0)</f>
        <v>0</v>
      </c>
      <c r="AC433" t="str">
        <f t="shared" si="20"/>
        <v>None</v>
      </c>
      <c r="AD433" t="str">
        <f>IF(OR(B433="Buck",B433="Bird",B433="Charge (Scatter)"),'Ammo Input'!J433,"None")</f>
        <v>None</v>
      </c>
      <c r="AE433" t="str">
        <f>_xlfn.IFS(ISTEXT(Calcs!N433),Calcs!N433,Calcs!N433&lt;=40,Calcs!N433,Calcs!N433&gt;41,"40")</f>
        <v>None</v>
      </c>
      <c r="AF433" t="str">
        <f>_xlfn.IFS(ISTEXT(Calcs!O433),Calcs!O433,Calcs!O433&lt;=80,Calcs!O433,Calcs!O433&gt;=81,"80")</f>
        <v>None</v>
      </c>
      <c r="AG433" s="25">
        <f t="shared" si="21"/>
        <v>1</v>
      </c>
      <c r="AH433" s="25">
        <f t="shared" si="22"/>
        <v>1.39</v>
      </c>
      <c r="AI433" s="25">
        <f t="shared" si="23"/>
        <v>1</v>
      </c>
    </row>
    <row r="434" ht="14.4" spans="1:35">
      <c r="A434" s="24" t="str">
        <f>'Ammo Input'!A434</f>
        <v>.56-56 Spencer</v>
      </c>
      <c r="B434" t="str">
        <f>'Ammo Input'!B434</f>
        <v>HP</v>
      </c>
      <c r="C434">
        <f>ROUNDUP(('Ammo Input'!C434*(MAX('Ammo Input'!D434,'Ammo Input'!F434)*0.5)^2*PI())*3/1000000,2)</f>
        <v>0.02</v>
      </c>
      <c r="D434">
        <f>ROUNDUP(('Ammo Input'!E434+'Ammo Input'!H434*IF('Ammo Input'!J434&lt;&gt;"",MAX('Ammo Input'!J434,1),1))/1000,3)</f>
        <v>0.033</v>
      </c>
      <c r="E434">
        <f>MIN(5000,MAX(25,CEILING(Calcs!L434,_xlfn.IFS(Calcs!L434&lt;100,25,Calcs!L434&lt;250,50,Calcs!L434&lt;1000,250,Calcs!L434&gt;=1000,1000))))</f>
        <v>5000</v>
      </c>
      <c r="F434">
        <f>ROUNDUP('Ammo Input'!G434^(3/4),0)</f>
        <v>84</v>
      </c>
      <c r="G434">
        <f>ROUND((0.5*((IF(OR(B434="HEAT",B434="HEDP"),'Ammo Input'!N434,'Ammo Input'!H434)/1000)*(IF(B434="HEAT",9000,IF(B434="HEDP",1500,'Ammo Input'!G434))^2))),0)</f>
        <v>1518</v>
      </c>
      <c r="H434" s="25" t="str">
        <f>CONCATENATE(IF((B434="Foam")+(B434="Smoke"),"-",ROUND(Calcs!D434,0))," ",VLOOKUP(B434,AmmoTypeFactors,5,FALSE))</f>
        <v>23 Bullet</v>
      </c>
      <c r="I434" s="25" t="str">
        <f>IF(Calcs!E434=0,"None",CONCATENATE(ROUND(Calcs!E434,0)," ",VLOOKUP(B434,AmmoTypeFactors,6,FALSE)))</f>
        <v>None</v>
      </c>
      <c r="J434">
        <f>MROUND(2.42*'Ammo Input'!M434^(1/3)*VLOOKUP(B434,AmmoTypeFactors,3,FALSE),0.5)</f>
        <v>0</v>
      </c>
      <c r="K434" s="25" t="str">
        <f>IF(VLOOKUP(B434,AmmoTypeFactors,12,FALSE),MROUND(J434/3,0.5),"None")</f>
        <v>None</v>
      </c>
      <c r="L434" s="25">
        <f>IF(VLOOKUP(B434,AmmoTypeFactors,8,FALSE),"None",ROUNDUP(IF(Calcs!I434&gt;0,Calcs!I434,Calcs!H434),3))</f>
        <v>30.36</v>
      </c>
      <c r="M434" s="25">
        <f>IF(VLOOKUP(B434,AmmoTypeFactors,8,FALSE),"None",'Ammo Input'!L434)</f>
        <v>3</v>
      </c>
      <c r="N434">
        <f>'Ammo Input'!O434</f>
        <v>500</v>
      </c>
      <c r="O434" t="e">
        <f>ROUND((P434*0.0036+SUMPRODUCT(Q434:AB434,VLOOKUP($Q$1:$AB$1,IngredientStats,2,FALSE)))/N434*IF('Ammo Input'!R434,0.5,1),2)</f>
        <v>#VALUE!</v>
      </c>
      <c r="P434" t="e">
        <f>(SUMPRODUCT(Q434:AB434,VLOOKUP($Q$1:$AB$1,IngredientStats,4,FALSE))*VLOOKUP(B434,AmmoTypeFactors,14,FALSE)*IF('Ammo Input'!R434,1.1,1))</f>
        <v>#VALUE!</v>
      </c>
      <c r="Q434">
        <f>IFERROR(__xludf.DUMMYFUNCTION("((IF(NOT(OR(REGEXMATCH(B430, ""Arrow""), B430 = ""Javelin"", B430 = ""Stick bomb"")), ROUNDUP(('Ammo Input'!E430 / 1000) * N430)) + IF(VLOOKUP(B430, AmmoTypeFactors, 9, FALSE) = ""Steel"", ROUNDUP(('Ammo Input'!H430 -'Ammo Input'!M430) * MAX(IF('Ammo Inpu"&amp;"t'!J430 &gt; 0, 'Ammo Input'!J430, 1), 1) * N430 / 1000))) / 'Ingredient stats'!$C$2) * IF(ISBLANK(VLOOKUP(B430,AmmoTypeFactors,15,False)),1,VLOOKUP(B430,AmmoTypeFactors,15,False))"),34)</f>
        <v>34</v>
      </c>
      <c r="R434">
        <f>IFERROR(__xludf.DUMMYFUNCTION("ROUNDUP((IF(REGEXMATCH(B430, ""Arrow"") + (B430 = ""Javelin""), 'Ammo Input'!E430) + IF(VLOOKUP(B430, AmmoTypeFactors, 9, FALSE) = ""Wood"", 'Ammo Input'!H430) + IF(B430 = ""Stick bomb"", 'Ammo Input'!E430)) * N430 / 'Ingredient stats'!$C$12 / 1000)"),0)</f>
        <v>0</v>
      </c>
      <c r="S434">
        <v>0</v>
      </c>
      <c r="T434">
        <v>0</v>
      </c>
      <c r="U434">
        <f>IF(VLOOKUP(B434,AmmoTypeFactors,9,FALSE)="Plasteel",ROUNDUP(('Ammo Input'!H434*MAX(IF('Ammo Input'!J434&gt;0,'Ammo Input'!J434,1)*N434/1000/'Ingredient stats'!$C$4)),0),0)</f>
        <v>0</v>
      </c>
      <c r="V434">
        <f>IFERROR(__xludf.DUMMYFUNCTION("ROUNDUP(IF(ISBLANK(VLOOKUP(B430,AmmoTypeFactors,16,False)),1,VLOOKUP(B430,AmmoTypeFactors,16,False)) * (IFS(REGEXMATCH(B430, ""EMP""), 'Ammo Input'!M430 * N430 / 'Ingredient stats'!$C$5, REGEXMATCH(B430, ""Charge""), (U430^0.75), true, 0) + (IF(VLOOKUP(B4"&amp;"30, AmmoTypeFactors, 10, false), 2,0) + IF('Ammo Input'!P430, 2,0) + IF('Ammo Input'!Q430,MIN(ROUNDUP(0.2*('Ammo Input'!H430/1000)*'Ammo Input'!O430,0),20),0))))"),0)</f>
        <v>0</v>
      </c>
      <c r="W434">
        <v>0</v>
      </c>
      <c r="X434">
        <v>0</v>
      </c>
      <c r="Y434">
        <v>0</v>
      </c>
      <c r="Z434">
        <v>0</v>
      </c>
      <c r="AA434">
        <v>0</v>
      </c>
      <c r="AB434" s="30">
        <f>IF(B434="Sling Bullet (Stone)",ROUNDUP(D434*0.02*E434/'Ingredient stats'!$C$8,0),0)</f>
        <v>0</v>
      </c>
      <c r="AC434" t="str">
        <f t="shared" si="20"/>
        <v>None</v>
      </c>
      <c r="AD434" t="str">
        <f>IF(OR(B434="Buck",B434="Bird",B434="Charge (Scatter)"),'Ammo Input'!J434,"None")</f>
        <v>None</v>
      </c>
      <c r="AE434" t="str">
        <f>_xlfn.IFS(ISTEXT(Calcs!N434),Calcs!N434,Calcs!N434&lt;=40,Calcs!N434,Calcs!N434&gt;41,"40")</f>
        <v>None</v>
      </c>
      <c r="AF434" t="str">
        <f>_xlfn.IFS(ISTEXT(Calcs!O434),Calcs!O434,Calcs!O434&lt;=80,Calcs!O434,Calcs!O434&gt;=81,"80")</f>
        <v>None</v>
      </c>
      <c r="AG434" s="25">
        <f t="shared" si="21"/>
        <v>1</v>
      </c>
      <c r="AH434" s="25">
        <f t="shared" si="22"/>
        <v>1.39</v>
      </c>
      <c r="AI434" s="25">
        <f t="shared" si="23"/>
        <v>1</v>
      </c>
    </row>
    <row r="435" ht="14.4" spans="1:35">
      <c r="A435" s="24" t="str">
        <f>'Ammo Input'!A435</f>
        <v>.56-56 Spencer</v>
      </c>
      <c r="B435" t="str">
        <f>'Ammo Input'!B435</f>
        <v>AP-I</v>
      </c>
      <c r="C435">
        <f>ROUNDUP(('Ammo Input'!C435*(MAX('Ammo Input'!D435,'Ammo Input'!F435)*0.5)^2*PI())*3/1000000,2)</f>
        <v>0.02</v>
      </c>
      <c r="D435">
        <f>ROUNDUP(('Ammo Input'!E435+'Ammo Input'!H435*IF('Ammo Input'!J435&lt;&gt;"",MAX('Ammo Input'!J435,1),1))/1000,3)</f>
        <v>0.033</v>
      </c>
      <c r="E435">
        <f>MIN(5000,MAX(25,CEILING(Calcs!L435,_xlfn.IFS(Calcs!L435&lt;100,25,Calcs!L435&lt;250,50,Calcs!L435&lt;1000,250,Calcs!L435&gt;=1000,1000))))</f>
        <v>5000</v>
      </c>
      <c r="F435">
        <f>ROUNDUP('Ammo Input'!G435^(3/4),0)</f>
        <v>84</v>
      </c>
      <c r="G435">
        <f>ROUND((0.5*((IF(OR(B435="HEAT",B435="HEDP"),'Ammo Input'!N435,'Ammo Input'!H435)/1000)*(IF(B435="HEAT",9000,IF(B435="HEDP",1500,'Ammo Input'!G435))^2))),0)</f>
        <v>1518</v>
      </c>
      <c r="H435" s="25" t="str">
        <f>CONCATENATE(IF((B435="Foam")+(B435="Smoke"),"-",ROUND(Calcs!D435,0))," ",VLOOKUP(B435,AmmoTypeFactors,5,FALSE))</f>
        <v>11 Bullet</v>
      </c>
      <c r="I435" s="25" t="str">
        <f>IF(Calcs!E435=0,"None",CONCATENATE(ROUND(Calcs!E435,0)," ",VLOOKUP(B435,AmmoTypeFactors,6,FALSE)))</f>
        <v>9 Flame_Secondary</v>
      </c>
      <c r="J435">
        <f>MROUND(2.42*'Ammo Input'!M435^(1/3)*VLOOKUP(B435,AmmoTypeFactors,3,FALSE),0.5)</f>
        <v>0</v>
      </c>
      <c r="K435" s="25" t="str">
        <f>IF(VLOOKUP(B435,AmmoTypeFactors,12,FALSE),MROUND(J435/3,0.5),"None")</f>
        <v>None</v>
      </c>
      <c r="L435" s="25">
        <f>IF(VLOOKUP(B435,AmmoTypeFactors,8,FALSE),"None",ROUNDUP(IF(Calcs!I435&gt;0,Calcs!I435,Calcs!H435),3))</f>
        <v>30.36</v>
      </c>
      <c r="M435" s="25">
        <f>IF(VLOOKUP(B435,AmmoTypeFactors,8,FALSE),"None",'Ammo Input'!L435)</f>
        <v>10</v>
      </c>
      <c r="N435">
        <f>'Ammo Input'!O435</f>
        <v>500</v>
      </c>
      <c r="O435" t="e">
        <f>ROUND((P435*0.0036+SUMPRODUCT(Q435:AB435,VLOOKUP($Q$1:$AB$1,IngredientStats,2,FALSE)))/N435*IF('Ammo Input'!R435,0.5,1),2)</f>
        <v>#VALUE!</v>
      </c>
      <c r="P435" t="e">
        <f>(SUMPRODUCT(Q435:AB435,VLOOKUP($Q$1:$AB$1,IngredientStats,4,FALSE))*VLOOKUP(B435,AmmoTypeFactors,14,FALSE)*IF('Ammo Input'!R435,1.1,1))</f>
        <v>#VALUE!</v>
      </c>
      <c r="Q435">
        <f>IFERROR(__xludf.DUMMYFUNCTION("((IF(NOT(OR(REGEXMATCH(B431, ""Arrow""), B431 = ""Javelin"", B431 = ""Stick bomb"")), ROUNDUP(('Ammo Input'!E431 / 1000) * N431)) + IF(VLOOKUP(B431, AmmoTypeFactors, 9, FALSE) = ""Steel"", ROUNDUP(('Ammo Input'!H431 -'Ammo Input'!M431) * MAX(IF('Ammo Inpu"&amp;"t'!J431 &gt; 0, 'Ammo Input'!J431, 1), 1) * N431 / 1000))) / 'Ingredient stats'!$C$2) * IF(ISBLANK(VLOOKUP(B431,AmmoTypeFactors,15,False)),1,VLOOKUP(B431,AmmoTypeFactors,15,False))"),34)</f>
        <v>34</v>
      </c>
      <c r="R435">
        <f>IFERROR(__xludf.DUMMYFUNCTION("ROUNDUP((IF(REGEXMATCH(B431, ""Arrow"") + (B431 = ""Javelin""), 'Ammo Input'!E431) + IF(VLOOKUP(B431, AmmoTypeFactors, 9, FALSE) = ""Wood"", 'Ammo Input'!H431) + IF(B431 = ""Stick bomb"", 'Ammo Input'!E431)) * N431 / 'Ingredient stats'!$C$12 / 1000)"),0)</f>
        <v>0</v>
      </c>
      <c r="S435">
        <v>0</v>
      </c>
      <c r="T435">
        <v>0</v>
      </c>
      <c r="U435">
        <f>IF(VLOOKUP(B435,AmmoTypeFactors,9,FALSE)="Plasteel",ROUNDUP(('Ammo Input'!H435*MAX(IF('Ammo Input'!J435&gt;0,'Ammo Input'!J435,1)*N435/1000/'Ingredient stats'!$C$4)),0),0)</f>
        <v>0</v>
      </c>
      <c r="V435">
        <f>IFERROR(__xludf.DUMMYFUNCTION("ROUNDUP(IF(ISBLANK(VLOOKUP(B431,AmmoTypeFactors,16,False)),1,VLOOKUP(B431,AmmoTypeFactors,16,False)) * (IFS(REGEXMATCH(B431, ""EMP""), 'Ammo Input'!M431 * N431 / 'Ingredient stats'!$C$5, REGEXMATCH(B431, ""Charge""), (U431^0.75), true, 0) + (IF(VLOOKUP(B4"&amp;"31, AmmoTypeFactors, 10, false), 2,0) + IF('Ammo Input'!P431, 2,0) + IF('Ammo Input'!Q431,MIN(ROUNDUP(0.2*('Ammo Input'!H431/1000)*'Ammo Input'!O431,0),20),0))))"),0)</f>
        <v>0</v>
      </c>
      <c r="W435">
        <v>6</v>
      </c>
      <c r="X435">
        <v>0</v>
      </c>
      <c r="Y435">
        <v>0</v>
      </c>
      <c r="Z435">
        <v>0</v>
      </c>
      <c r="AA435">
        <v>0</v>
      </c>
      <c r="AB435" s="30">
        <f>IF(B435="Sling Bullet (Stone)",ROUNDUP(D435*0.02*E435/'Ingredient stats'!$C$8,0),0)</f>
        <v>0</v>
      </c>
      <c r="AC435" t="str">
        <f t="shared" si="20"/>
        <v>None</v>
      </c>
      <c r="AD435" t="str">
        <f>IF(OR(B435="Buck",B435="Bird",B435="Charge (Scatter)"),'Ammo Input'!J435,"None")</f>
        <v>None</v>
      </c>
      <c r="AE435" t="str">
        <f>_xlfn.IFS(ISTEXT(Calcs!N435),Calcs!N435,Calcs!N435&lt;=40,Calcs!N435,Calcs!N435&gt;41,"40")</f>
        <v>None</v>
      </c>
      <c r="AF435" t="str">
        <f>_xlfn.IFS(ISTEXT(Calcs!O435),Calcs!O435,Calcs!O435&lt;=80,Calcs!O435,Calcs!O435&gt;=81,"80")</f>
        <v>None</v>
      </c>
      <c r="AG435" s="25">
        <f t="shared" si="21"/>
        <v>1</v>
      </c>
      <c r="AH435" s="25">
        <f t="shared" si="22"/>
        <v>1.39</v>
      </c>
      <c r="AI435" s="25">
        <f t="shared" si="23"/>
        <v>1</v>
      </c>
    </row>
    <row r="436" ht="14.4" spans="1:35">
      <c r="A436" s="24" t="str">
        <f>'Ammo Input'!A436</f>
        <v>.56-56 Spencer</v>
      </c>
      <c r="B436" t="str">
        <f>'Ammo Input'!B436</f>
        <v>AP-HE</v>
      </c>
      <c r="C436">
        <f>ROUNDUP(('Ammo Input'!C436*(MAX('Ammo Input'!D436,'Ammo Input'!F436)*0.5)^2*PI())*3/1000000,2)</f>
        <v>0.02</v>
      </c>
      <c r="D436">
        <f>ROUNDUP(('Ammo Input'!E436+'Ammo Input'!H436*IF('Ammo Input'!J436&lt;&gt;"",MAX('Ammo Input'!J436,1),1))/1000,3)</f>
        <v>0.033</v>
      </c>
      <c r="E436">
        <f>MIN(5000,MAX(25,CEILING(Calcs!L436,_xlfn.IFS(Calcs!L436&lt;100,25,Calcs!L436&lt;250,50,Calcs!L436&lt;1000,250,Calcs!L436&gt;=1000,1000))))</f>
        <v>5000</v>
      </c>
      <c r="F436">
        <f>ROUNDUP('Ammo Input'!G436^(3/4),0)</f>
        <v>84</v>
      </c>
      <c r="G436">
        <f>ROUND((0.5*((IF(OR(B436="HEAT",B436="HEDP"),'Ammo Input'!N436,'Ammo Input'!H436)/1000)*(IF(B436="HEAT",9000,IF(B436="HEDP",1500,'Ammo Input'!G436))^2))),0)</f>
        <v>1518</v>
      </c>
      <c r="H436" s="25" t="str">
        <f>CONCATENATE(IF((B436="Foam")+(B436="Smoke"),"-",ROUND(Calcs!D436,0))," ",VLOOKUP(B436,AmmoTypeFactors,5,FALSE))</f>
        <v>18 Bullet</v>
      </c>
      <c r="I436" s="25" t="str">
        <f>IF(Calcs!E436=0,"None",CONCATENATE(ROUND(Calcs!E436,0)," ",VLOOKUP(B436,AmmoTypeFactors,6,FALSE)))</f>
        <v>13 Bomb_Secondary</v>
      </c>
      <c r="J436">
        <f>MROUND(2.42*'Ammo Input'!M436^(1/3)*VLOOKUP(B436,AmmoTypeFactors,3,FALSE),0.5)</f>
        <v>0</v>
      </c>
      <c r="K436" s="25" t="str">
        <f>IF(VLOOKUP(B436,AmmoTypeFactors,12,FALSE),MROUND(J436/3,0.5),"None")</f>
        <v>None</v>
      </c>
      <c r="L436" s="25">
        <f>IF(VLOOKUP(B436,AmmoTypeFactors,8,FALSE),"None",ROUNDUP(IF(Calcs!I436&gt;0,Calcs!I436,Calcs!H436),3))</f>
        <v>30.36</v>
      </c>
      <c r="M436" s="25">
        <f>IF(VLOOKUP(B436,AmmoTypeFactors,8,FALSE),"None",'Ammo Input'!L436)</f>
        <v>5</v>
      </c>
      <c r="N436">
        <f>'Ammo Input'!O436</f>
        <v>500</v>
      </c>
      <c r="O436" t="e">
        <f>ROUND((P436*0.0036+SUMPRODUCT(Q436:AB436,VLOOKUP($Q$1:$AB$1,IngredientStats,2,FALSE)))/N436*IF('Ammo Input'!R436,0.5,1),2)</f>
        <v>#VALUE!</v>
      </c>
      <c r="P436" t="e">
        <f>(SUMPRODUCT(Q436:AB436,VLOOKUP($Q$1:$AB$1,IngredientStats,4,FALSE))*VLOOKUP(B436,AmmoTypeFactors,14,FALSE)*IF('Ammo Input'!R436,1.1,1))</f>
        <v>#VALUE!</v>
      </c>
      <c r="Q436">
        <f>IFERROR(__xludf.DUMMYFUNCTION("((IF(NOT(OR(REGEXMATCH(B432, ""Arrow""), B432 = ""Javelin"", B432 = ""Stick bomb"")), ROUNDUP(('Ammo Input'!E432 / 1000) * N432)) + IF(VLOOKUP(B432, AmmoTypeFactors, 9, FALSE) = ""Steel"", ROUNDUP(('Ammo Input'!H432 -'Ammo Input'!M432) * MAX(IF('Ammo Inpu"&amp;"t'!J432 &gt; 0, 'Ammo Input'!J432, 1), 1) * N432 / 1000))) / 'Ingredient stats'!$C$2) * IF(ISBLANK(VLOOKUP(B432,AmmoTypeFactors,15,False)),1,VLOOKUP(B432,AmmoTypeFactors,15,False))"),34)</f>
        <v>34</v>
      </c>
      <c r="R436">
        <f>IFERROR(__xludf.DUMMYFUNCTION("ROUNDUP((IF(REGEXMATCH(B432, ""Arrow"") + (B432 = ""Javelin""), 'Ammo Input'!E432) + IF(VLOOKUP(B432, AmmoTypeFactors, 9, FALSE) = ""Wood"", 'Ammo Input'!H432) + IF(B432 = ""Stick bomb"", 'Ammo Input'!E432)) * N432 / 'Ingredient stats'!$C$12 / 1000)"),0)</f>
        <v>0</v>
      </c>
      <c r="S436">
        <v>0</v>
      </c>
      <c r="T436">
        <v>0</v>
      </c>
      <c r="U436">
        <f>IF(VLOOKUP(B436,AmmoTypeFactors,9,FALSE)="Plasteel",ROUNDUP(('Ammo Input'!H436*MAX(IF('Ammo Input'!J436&gt;0,'Ammo Input'!J436,1)*N436/1000/'Ingredient stats'!$C$4)),0),0)</f>
        <v>0</v>
      </c>
      <c r="V436">
        <f>IFERROR(__xludf.DUMMYFUNCTION("ROUNDUP(IF(ISBLANK(VLOOKUP(B432,AmmoTypeFactors,16,False)),1,VLOOKUP(B432,AmmoTypeFactors,16,False)) * (IFS(REGEXMATCH(B432, ""EMP""), 'Ammo Input'!M432 * N432 / 'Ingredient stats'!$C$5, REGEXMATCH(B432, ""Charge""), (U432^0.75), true, 0) + (IF(VLOOKUP(B4"&amp;"32, AmmoTypeFactors, 10, false), 2,0) + IF('Ammo Input'!P432, 2,0) + IF('Ammo Input'!Q432,MIN(ROUNDUP(0.2*('Ammo Input'!H432/1000)*'Ammo Input'!O432,0),20),0))))"),0)</f>
        <v>0</v>
      </c>
      <c r="W436">
        <v>0</v>
      </c>
      <c r="X436">
        <v>11</v>
      </c>
      <c r="Y436">
        <v>0</v>
      </c>
      <c r="Z436">
        <v>0</v>
      </c>
      <c r="AA436">
        <v>0</v>
      </c>
      <c r="AB436" s="30">
        <f>IF(B436="Sling Bullet (Stone)",ROUNDUP(D436*0.02*E436/'Ingredient stats'!$C$8,0),0)</f>
        <v>0</v>
      </c>
      <c r="AC436" t="str">
        <f t="shared" si="20"/>
        <v>None</v>
      </c>
      <c r="AD436" t="str">
        <f>IF(OR(B436="Buck",B436="Bird",B436="Charge (Scatter)"),'Ammo Input'!J436,"None")</f>
        <v>None</v>
      </c>
      <c r="AE436" t="str">
        <f>_xlfn.IFS(ISTEXT(Calcs!N436),Calcs!N436,Calcs!N436&lt;=40,Calcs!N436,Calcs!N436&gt;41,"40")</f>
        <v>None</v>
      </c>
      <c r="AF436" t="str">
        <f>_xlfn.IFS(ISTEXT(Calcs!O436),Calcs!O436,Calcs!O436&lt;=80,Calcs!O436,Calcs!O436&gt;=81,"80")</f>
        <v>None</v>
      </c>
      <c r="AG436" s="25">
        <f t="shared" si="21"/>
        <v>1</v>
      </c>
      <c r="AH436" s="25">
        <f t="shared" si="22"/>
        <v>1.39</v>
      </c>
      <c r="AI436" s="25">
        <f t="shared" si="23"/>
        <v>1</v>
      </c>
    </row>
    <row r="437" ht="14.4" spans="1:35">
      <c r="A437" s="24" t="str">
        <f>'Ammo Input'!A437</f>
        <v>.56-56 Spencer</v>
      </c>
      <c r="B437" t="str">
        <f>'Ammo Input'!B437</f>
        <v>Sabot</v>
      </c>
      <c r="C437">
        <f>ROUNDUP(('Ammo Input'!C437*(MAX('Ammo Input'!D437,'Ammo Input'!F437)*0.5)^2*PI())*3/1000000,2)</f>
        <v>0.02</v>
      </c>
      <c r="D437">
        <f>ROUNDUP(('Ammo Input'!E437+'Ammo Input'!H437*IF('Ammo Input'!J437&lt;&gt;"",MAX('Ammo Input'!J437,1),1))/1000,3)</f>
        <v>0.023</v>
      </c>
      <c r="E437">
        <f>MIN(5000,MAX(25,CEILING(Calcs!L437,_xlfn.IFS(Calcs!L437&lt;100,25,Calcs!L437&lt;250,50,Calcs!L437&lt;1000,250,Calcs!L437&gt;=1000,1000))))</f>
        <v>5000</v>
      </c>
      <c r="F437">
        <f>ROUNDUP('Ammo Input'!G437^(3/4),0)</f>
        <v>114</v>
      </c>
      <c r="G437">
        <f>ROUND((0.5*((IF(OR(B437="HEAT",B437="HEDP"),'Ammo Input'!N437,'Ammo Input'!H437)/1000)*(IF(B437="HEAT",9000,IF(B437="HEDP",1500,'Ammo Input'!G437))^2))),0)</f>
        <v>1947</v>
      </c>
      <c r="H437" s="25" t="str">
        <f>CONCATENATE(IF((B437="Foam")+(B437="Smoke"),"-",ROUND(Calcs!D437,0))," ",VLOOKUP(B437,AmmoTypeFactors,5,FALSE))</f>
        <v>10 Bullet</v>
      </c>
      <c r="I437" s="25" t="str">
        <f>IF(Calcs!E437=0,"None",CONCATENATE(ROUND(Calcs!E437,0)," ",VLOOKUP(B437,AmmoTypeFactors,6,FALSE)))</f>
        <v>None</v>
      </c>
      <c r="J437">
        <f>MROUND(2.42*'Ammo Input'!M437^(1/3)*VLOOKUP(B437,AmmoTypeFactors,3,FALSE),0.5)</f>
        <v>0</v>
      </c>
      <c r="K437" s="25" t="str">
        <f>IF(VLOOKUP(B437,AmmoTypeFactors,12,FALSE),MROUND(J437/3,0.5),"None")</f>
        <v>None</v>
      </c>
      <c r="L437" s="25">
        <f>IF(VLOOKUP(B437,AmmoTypeFactors,8,FALSE),"None",ROUNDUP(IF(Calcs!I437&gt;0,Calcs!I437,Calcs!H437),3))</f>
        <v>38.94</v>
      </c>
      <c r="M437" s="25">
        <f>IF(VLOOKUP(B437,AmmoTypeFactors,8,FALSE),"None",'Ammo Input'!L437)</f>
        <v>17.5</v>
      </c>
      <c r="N437">
        <f>'Ammo Input'!O437</f>
        <v>500</v>
      </c>
      <c r="O437" t="e">
        <f>ROUND((P437*0.0036+SUMPRODUCT(Q437:AB437,VLOOKUP($Q$1:$AB$1,IngredientStats,2,FALSE)))/N437*IF('Ammo Input'!R437,0.5,1),2)</f>
        <v>#VALUE!</v>
      </c>
      <c r="P437" t="e">
        <f>(SUMPRODUCT(Q437:AB437,VLOOKUP($Q$1:$AB$1,IngredientStats,4,FALSE))*VLOOKUP(B437,AmmoTypeFactors,14,FALSE)*IF('Ammo Input'!R437,1.1,1))</f>
        <v>#VALUE!</v>
      </c>
      <c r="Q437">
        <f>IFERROR(__xludf.DUMMYFUNCTION("((IF(NOT(OR(REGEXMATCH(B433, ""Arrow""), B433 = ""Javelin"", B433 = ""Stick bomb"")), ROUNDUP(('Ammo Input'!E433 / 1000) * N433)) + IF(VLOOKUP(B433, AmmoTypeFactors, 9, FALSE) = ""Steel"", ROUNDUP(('Ammo Input'!H433 -'Ammo Input'!M433) * MAX(IF('Ammo Inpu"&amp;"t'!J433 &gt; 0, 'Ammo Input'!J433, 1), 1) * N433 / 1000))) / 'Ingredient stats'!$C$2) * IF(ISBLANK(VLOOKUP(B433,AmmoTypeFactors,15,False)),1,VLOOKUP(B433,AmmoTypeFactors,15,False))"),10)</f>
        <v>10</v>
      </c>
      <c r="R437">
        <f>IFERROR(__xludf.DUMMYFUNCTION("ROUNDUP((IF(REGEXMATCH(B433, ""Arrow"") + (B433 = ""Javelin""), 'Ammo Input'!E433) + IF(VLOOKUP(B433, AmmoTypeFactors, 9, FALSE) = ""Wood"", 'Ammo Input'!H433) + IF(B433 = ""Stick bomb"", 'Ammo Input'!E433)) * N433 / 'Ingredient stats'!$C$12 / 1000)"),0)</f>
        <v>0</v>
      </c>
      <c r="S437">
        <v>7</v>
      </c>
      <c r="T437">
        <v>7</v>
      </c>
      <c r="U437">
        <f>IF(VLOOKUP(B437,AmmoTypeFactors,9,FALSE)="Plasteel",ROUNDUP(('Ammo Input'!H437*MAX(IF('Ammo Input'!J437&gt;0,'Ammo Input'!J437,1)*N437/1000/'Ingredient stats'!$C$4)),0),0)</f>
        <v>0</v>
      </c>
      <c r="V437">
        <f>IFERROR(__xludf.DUMMYFUNCTION("ROUNDUP(IF(ISBLANK(VLOOKUP(B433,AmmoTypeFactors,16,False)),1,VLOOKUP(B433,AmmoTypeFactors,16,False)) * (IFS(REGEXMATCH(B433, ""EMP""), 'Ammo Input'!M433 * N433 / 'Ingredient stats'!$C$5, REGEXMATCH(B433, ""Charge""), (U433^0.75), true, 0) + (IF(VLOOKUP(B4"&amp;"33, AmmoTypeFactors, 10, false), 2,0) + IF('Ammo Input'!P433, 2,0) + IF('Ammo Input'!Q433,MIN(ROUNDUP(0.2*('Ammo Input'!H433/1000)*'Ammo Input'!O433,0),20),0))))"),0)</f>
        <v>0</v>
      </c>
      <c r="W437">
        <v>0</v>
      </c>
      <c r="X437">
        <v>0</v>
      </c>
      <c r="Y437">
        <v>0</v>
      </c>
      <c r="Z437">
        <v>0</v>
      </c>
      <c r="AA437">
        <v>0</v>
      </c>
      <c r="AB437" s="30">
        <f>IF(B437="Sling Bullet (Stone)",ROUNDUP(D437*0.02*E437/'Ingredient stats'!$C$8,0),0)</f>
        <v>0</v>
      </c>
      <c r="AC437" t="str">
        <f t="shared" si="20"/>
        <v>None</v>
      </c>
      <c r="AD437" t="str">
        <f>IF(OR(B437="Buck",B437="Bird",B437="Charge (Scatter)"),'Ammo Input'!J437,"None")</f>
        <v>None</v>
      </c>
      <c r="AE437" t="str">
        <f>_xlfn.IFS(ISTEXT(Calcs!N437),Calcs!N437,Calcs!N437&lt;=40,Calcs!N437,Calcs!N437&gt;41,"40")</f>
        <v>None</v>
      </c>
      <c r="AF437" t="str">
        <f>_xlfn.IFS(ISTEXT(Calcs!O437),Calcs!O437,Calcs!O437&lt;=80,Calcs!O437,Calcs!O437&gt;=81,"80")</f>
        <v>None</v>
      </c>
      <c r="AG437" s="25">
        <f t="shared" si="21"/>
        <v>1</v>
      </c>
      <c r="AH437" s="25">
        <f t="shared" si="22"/>
        <v>1.87</v>
      </c>
      <c r="AI437" s="25">
        <f t="shared" si="23"/>
        <v>1</v>
      </c>
    </row>
    <row r="438" ht="14.4" spans="1:35">
      <c r="A438" s="24" t="str">
        <f>'Ammo Input'!A438</f>
        <v>12.7x55mm</v>
      </c>
      <c r="B438" t="str">
        <f>'Ammo Input'!B438</f>
        <v>FMJ</v>
      </c>
      <c r="C438">
        <f>ROUNDUP(('Ammo Input'!C438*(MAX('Ammo Input'!D438,'Ammo Input'!F438)*0.5)^2*PI())*3/1000000,2)</f>
        <v>0.04</v>
      </c>
      <c r="D438">
        <f>ROUNDUP(('Ammo Input'!E438+'Ammo Input'!H438*IF('Ammo Input'!J438&lt;&gt;"",MAX('Ammo Input'!J438,1),1))/1000,3)</f>
        <v>0.08</v>
      </c>
      <c r="E438">
        <f>MIN(5000,MAX(25,CEILING(Calcs!L438,_xlfn.IFS(Calcs!L438&lt;100,25,Calcs!L438&lt;250,50,Calcs!L438&lt;1000,250,Calcs!L438&gt;=1000,1000))))</f>
        <v>5000</v>
      </c>
      <c r="F438">
        <f>ROUNDUP('Ammo Input'!G438^(3/4),0)</f>
        <v>72</v>
      </c>
      <c r="G438">
        <f>ROUND((0.5*((IF(OR(B438="HEAT",B438="HEDP"),'Ammo Input'!N438,'Ammo Input'!H438)/1000)*(IF(B438="HEAT",9000,IF(B438="HEDP",1500,'Ammo Input'!G438))^2))),0)</f>
        <v>2567</v>
      </c>
      <c r="H438" s="25" t="str">
        <f>CONCATENATE(IF((B438="Foam")+(B438="Smoke"),"-",ROUND(Calcs!D438,0))," ",VLOOKUP(B438,AmmoTypeFactors,5,FALSE))</f>
        <v>21 Bullet</v>
      </c>
      <c r="I438" s="25" t="str">
        <f>IF(Calcs!E438=0,"None",CONCATENATE(ROUND(Calcs!E438,0)," ",VLOOKUP(B438,AmmoTypeFactors,6,FALSE)))</f>
        <v>None</v>
      </c>
      <c r="J438">
        <f>MROUND(2.42*'Ammo Input'!M438^(1/3)*VLOOKUP(B438,AmmoTypeFactors,3,FALSE),0.5)</f>
        <v>0</v>
      </c>
      <c r="K438" s="25" t="str">
        <f>IF(VLOOKUP(B438,AmmoTypeFactors,12,FALSE),MROUND(J438/3,0.5),"None")</f>
        <v>None</v>
      </c>
      <c r="L438" s="25">
        <f>IF(VLOOKUP(B438,AmmoTypeFactors,8,FALSE),"None",ROUNDUP(IF(Calcs!I438&gt;0,Calcs!I438,Calcs!H438),3))</f>
        <v>51.34</v>
      </c>
      <c r="M438" s="25">
        <f>IF(VLOOKUP(B438,AmmoTypeFactors,8,FALSE),"None",'Ammo Input'!L438)</f>
        <v>7.5</v>
      </c>
      <c r="N438">
        <f>'Ammo Input'!O438</f>
        <v>500</v>
      </c>
      <c r="O438" t="e">
        <f>ROUND((P438*0.0036+SUMPRODUCT(Q438:AB438,VLOOKUP($Q$1:$AB$1,IngredientStats,2,FALSE)))/N438*IF('Ammo Input'!R438,0.5,1),2)</f>
        <v>#VALUE!</v>
      </c>
      <c r="P438" t="e">
        <f>(SUMPRODUCT(Q438:AB438,VLOOKUP($Q$1:$AB$1,IngredientStats,4,FALSE))*VLOOKUP(B438,AmmoTypeFactors,14,FALSE)*IF('Ammo Input'!R438,1.1,1))</f>
        <v>#VALUE!</v>
      </c>
      <c r="Q438">
        <f>IFERROR(__xludf.DUMMYFUNCTION("((IF(NOT(OR(REGEXMATCH(B434, ""Arrow""), B434 = ""Javelin"", B434 = ""Stick bomb"")), ROUNDUP(('Ammo Input'!E434 / 1000) * N434)) + IF(VLOOKUP(B434, AmmoTypeFactors, 9, FALSE) = ""Steel"", ROUNDUP(('Ammo Input'!H434 -'Ammo Input'!M434) * MAX(IF('Ammo Inpu"&amp;"t'!J434 &gt; 0, 'Ammo Input'!J434, 1), 1) * N434 / 1000))) / 'Ingredient stats'!$C$2) * IF(ISBLANK(VLOOKUP(B434,AmmoTypeFactors,15,False)),1,VLOOKUP(B434,AmmoTypeFactors,15,False))"),82)</f>
        <v>82</v>
      </c>
      <c r="R438">
        <f>IFERROR(__xludf.DUMMYFUNCTION("ROUNDUP((IF(REGEXMATCH(B434, ""Arrow"") + (B434 = ""Javelin""), 'Ammo Input'!E434) + IF(VLOOKUP(B434, AmmoTypeFactors, 9, FALSE) = ""Wood"", 'Ammo Input'!H434) + IF(B434 = ""Stick bomb"", 'Ammo Input'!E434)) * N434 / 'Ingredient stats'!$C$12 / 1000)"),0)</f>
        <v>0</v>
      </c>
      <c r="S438">
        <v>0</v>
      </c>
      <c r="T438">
        <v>0</v>
      </c>
      <c r="U438">
        <f>IF(VLOOKUP(B438,AmmoTypeFactors,9,FALSE)="Plasteel",ROUNDUP(('Ammo Input'!H438*MAX(IF('Ammo Input'!J438&gt;0,'Ammo Input'!J438,1)*N438/1000/'Ingredient stats'!$C$4)),0),0)</f>
        <v>0</v>
      </c>
      <c r="V438">
        <f>IFERROR(__xludf.DUMMYFUNCTION("ROUNDUP(IF(ISBLANK(VLOOKUP(B434,AmmoTypeFactors,16,False)),1,VLOOKUP(B434,AmmoTypeFactors,16,False)) * (IFS(REGEXMATCH(B434, ""EMP""), 'Ammo Input'!M434 * N434 / 'Ingredient stats'!$C$5, REGEXMATCH(B434, ""Charge""), (U434^0.75), true, 0) + (IF(VLOOKUP(B4"&amp;"34, AmmoTypeFactors, 10, false), 2,0) + IF('Ammo Input'!P434, 2,0) + IF('Ammo Input'!Q434,MIN(ROUNDUP(0.2*('Ammo Input'!H434/1000)*'Ammo Input'!O434,0),20),0))))"),0)</f>
        <v>0</v>
      </c>
      <c r="W438">
        <v>0</v>
      </c>
      <c r="X438">
        <v>0</v>
      </c>
      <c r="Y438">
        <v>0</v>
      </c>
      <c r="Z438">
        <v>0</v>
      </c>
      <c r="AA438">
        <v>0</v>
      </c>
      <c r="AB438" s="30">
        <f>IF(B438="Sling Bullet (Stone)",ROUNDUP(D438*0.02*E438/'Ingredient stats'!$C$8,0),0)</f>
        <v>0</v>
      </c>
      <c r="AC438" t="str">
        <f t="shared" si="20"/>
        <v>None</v>
      </c>
      <c r="AD438" t="str">
        <f>IF(OR(B438="Buck",B438="Bird",B438="Charge (Scatter)"),'Ammo Input'!J438,"None")</f>
        <v>None</v>
      </c>
      <c r="AE438" t="str">
        <f>_xlfn.IFS(ISTEXT(Calcs!N438),Calcs!N438,Calcs!N438&lt;=40,Calcs!N438,Calcs!N438&gt;41,"40")</f>
        <v>None</v>
      </c>
      <c r="AF438" t="str">
        <f>_xlfn.IFS(ISTEXT(Calcs!O438),Calcs!O438,Calcs!O438&lt;=80,Calcs!O438,Calcs!O438&gt;=81,"80")</f>
        <v>None</v>
      </c>
      <c r="AG438" s="25">
        <f t="shared" si="21"/>
        <v>1</v>
      </c>
      <c r="AH438" s="25">
        <f t="shared" si="22"/>
        <v>1.19</v>
      </c>
      <c r="AI438" s="25">
        <f t="shared" si="23"/>
        <v>1</v>
      </c>
    </row>
    <row r="439" ht="14.4" spans="1:35">
      <c r="A439" s="24" t="str">
        <f>'Ammo Input'!A439</f>
        <v>12.7x55mm</v>
      </c>
      <c r="B439" t="str">
        <f>'Ammo Input'!B439</f>
        <v>AP</v>
      </c>
      <c r="C439">
        <f>ROUNDUP(('Ammo Input'!C439*(MAX('Ammo Input'!D439,'Ammo Input'!F439)*0.5)^2*PI())*3/1000000,2)</f>
        <v>0.04</v>
      </c>
      <c r="D439">
        <f>ROUNDUP(('Ammo Input'!E439+'Ammo Input'!H439*IF('Ammo Input'!J439&lt;&gt;"",MAX('Ammo Input'!J439,1),1))/1000,3)</f>
        <v>0.08</v>
      </c>
      <c r="E439">
        <f>MIN(5000,MAX(25,CEILING(Calcs!L439,_xlfn.IFS(Calcs!L439&lt;100,25,Calcs!L439&lt;250,50,Calcs!L439&lt;1000,250,Calcs!L439&gt;=1000,1000))))</f>
        <v>5000</v>
      </c>
      <c r="F439">
        <f>ROUNDUP('Ammo Input'!G439^(3/4),0)</f>
        <v>72</v>
      </c>
      <c r="G439">
        <f>ROUND((0.5*((IF(OR(B439="HEAT",B439="HEDP"),'Ammo Input'!N439,'Ammo Input'!H439)/1000)*(IF(B439="HEAT",9000,IF(B439="HEDP",1500,'Ammo Input'!G439))^2))),0)</f>
        <v>2567</v>
      </c>
      <c r="H439" s="25" t="str">
        <f>CONCATENATE(IF((B439="Foam")+(B439="Smoke"),"-",ROUND(Calcs!D439,0))," ",VLOOKUP(B439,AmmoTypeFactors,5,FALSE))</f>
        <v>13 Bullet</v>
      </c>
      <c r="I439" s="25" t="str">
        <f>IF(Calcs!E439=0,"None",CONCATENATE(ROUND(Calcs!E439,0)," ",VLOOKUP(B439,AmmoTypeFactors,6,FALSE)))</f>
        <v>None</v>
      </c>
      <c r="J439">
        <f>MROUND(2.42*'Ammo Input'!M439^(1/3)*VLOOKUP(B439,AmmoTypeFactors,3,FALSE),0.5)</f>
        <v>0</v>
      </c>
      <c r="K439" s="25" t="str">
        <f>IF(VLOOKUP(B439,AmmoTypeFactors,12,FALSE),MROUND(J439/3,0.5),"None")</f>
        <v>None</v>
      </c>
      <c r="L439" s="25">
        <f>IF(VLOOKUP(B439,AmmoTypeFactors,8,FALSE),"None",ROUNDUP(IF(Calcs!I439&gt;0,Calcs!I439,Calcs!H439),3))</f>
        <v>51.34</v>
      </c>
      <c r="M439" s="25">
        <f>IF(VLOOKUP(B439,AmmoTypeFactors,8,FALSE),"None",'Ammo Input'!L439)</f>
        <v>15</v>
      </c>
      <c r="N439">
        <f>'Ammo Input'!O439</f>
        <v>500</v>
      </c>
      <c r="O439" t="e">
        <f>ROUND((P439*0.0036+SUMPRODUCT(Q439:AB439,VLOOKUP($Q$1:$AB$1,IngredientStats,2,FALSE)))/N439*IF('Ammo Input'!R439,0.5,1),2)</f>
        <v>#VALUE!</v>
      </c>
      <c r="P439" t="e">
        <f>(SUMPRODUCT(Q439:AB439,VLOOKUP($Q$1:$AB$1,IngredientStats,4,FALSE))*VLOOKUP(B439,AmmoTypeFactors,14,FALSE)*IF('Ammo Input'!R439,1.1,1))</f>
        <v>#VALUE!</v>
      </c>
      <c r="Q439">
        <f>IFERROR(__xludf.DUMMYFUNCTION("((IF(NOT(OR(REGEXMATCH(B435, ""Arrow""), B435 = ""Javelin"", B435 = ""Stick bomb"")), ROUNDUP(('Ammo Input'!E435 / 1000) * N435)) + IF(VLOOKUP(B435, AmmoTypeFactors, 9, FALSE) = ""Steel"", ROUNDUP(('Ammo Input'!H435 -'Ammo Input'!M435) * MAX(IF('Ammo Inpu"&amp;"t'!J435 &gt; 0, 'Ammo Input'!J435, 1), 1) * N435 / 1000))) / 'Ingredient stats'!$C$2) * IF(ISBLANK(VLOOKUP(B435,AmmoTypeFactors,15,False)),1,VLOOKUP(B435,AmmoTypeFactors,15,False))"),82)</f>
        <v>82</v>
      </c>
      <c r="R439">
        <f>IFERROR(__xludf.DUMMYFUNCTION("ROUNDUP((IF(REGEXMATCH(B435, ""Arrow"") + (B435 = ""Javelin""), 'Ammo Input'!E435) + IF(VLOOKUP(B435, AmmoTypeFactors, 9, FALSE) = ""Wood"", 'Ammo Input'!H435) + IF(B435 = ""Stick bomb"", 'Ammo Input'!E435)) * N435 / 'Ingredient stats'!$C$12 / 1000)"),0)</f>
        <v>0</v>
      </c>
      <c r="S439">
        <v>0</v>
      </c>
      <c r="T439">
        <v>0</v>
      </c>
      <c r="U439">
        <f>IF(VLOOKUP(B439,AmmoTypeFactors,9,FALSE)="Plasteel",ROUNDUP(('Ammo Input'!H439*MAX(IF('Ammo Input'!J439&gt;0,'Ammo Input'!J439,1)*N439/1000/'Ingredient stats'!$C$4)),0),0)</f>
        <v>0</v>
      </c>
      <c r="V439">
        <f>IFERROR(__xludf.DUMMYFUNCTION("ROUNDUP(IF(ISBLANK(VLOOKUP(B435,AmmoTypeFactors,16,False)),1,VLOOKUP(B435,AmmoTypeFactors,16,False)) * (IFS(REGEXMATCH(B435, ""EMP""), 'Ammo Input'!M435 * N435 / 'Ingredient stats'!$C$5, REGEXMATCH(B435, ""Charge""), (U435^0.75), true, 0) + (IF(VLOOKUP(B4"&amp;"35, AmmoTypeFactors, 10, false), 2,0) + IF('Ammo Input'!P435, 2,0) + IF('Ammo Input'!Q435,MIN(ROUNDUP(0.2*('Ammo Input'!H435/1000)*'Ammo Input'!O435,0),20),0))))"),0)</f>
        <v>0</v>
      </c>
      <c r="W439">
        <v>0</v>
      </c>
      <c r="X439">
        <v>0</v>
      </c>
      <c r="Y439">
        <v>0</v>
      </c>
      <c r="Z439">
        <v>0</v>
      </c>
      <c r="AA439">
        <v>0</v>
      </c>
      <c r="AB439" s="30">
        <f>IF(B439="Sling Bullet (Stone)",ROUNDUP(D439*0.02*E439/'Ingredient stats'!$C$8,0),0)</f>
        <v>0</v>
      </c>
      <c r="AC439" t="str">
        <f t="shared" si="20"/>
        <v>None</v>
      </c>
      <c r="AD439" t="str">
        <f>IF(OR(B439="Buck",B439="Bird",B439="Charge (Scatter)"),'Ammo Input'!J439,"None")</f>
        <v>None</v>
      </c>
      <c r="AE439" t="str">
        <f>_xlfn.IFS(ISTEXT(Calcs!N439),Calcs!N439,Calcs!N439&lt;=40,Calcs!N439,Calcs!N439&gt;41,"40")</f>
        <v>None</v>
      </c>
      <c r="AF439" t="str">
        <f>_xlfn.IFS(ISTEXT(Calcs!O439),Calcs!O439,Calcs!O439&lt;=80,Calcs!O439,Calcs!O439&gt;=81,"80")</f>
        <v>None</v>
      </c>
      <c r="AG439" s="25">
        <f t="shared" si="21"/>
        <v>1</v>
      </c>
      <c r="AH439" s="25">
        <f t="shared" si="22"/>
        <v>1.19</v>
      </c>
      <c r="AI439" s="25">
        <f t="shared" si="23"/>
        <v>1</v>
      </c>
    </row>
    <row r="440" ht="14.4" spans="1:35">
      <c r="A440" s="24" t="str">
        <f>'Ammo Input'!A440</f>
        <v>12.7x55mm</v>
      </c>
      <c r="B440" t="str">
        <f>'Ammo Input'!B440</f>
        <v>HP</v>
      </c>
      <c r="C440">
        <f>ROUNDUP(('Ammo Input'!C440*(MAX('Ammo Input'!D440,'Ammo Input'!F440)*0.5)^2*PI())*3/1000000,2)</f>
        <v>0.04</v>
      </c>
      <c r="D440">
        <f>ROUNDUP(('Ammo Input'!E440+'Ammo Input'!H440*IF('Ammo Input'!J440&lt;&gt;"",MAX('Ammo Input'!J440,1),1))/1000,3)</f>
        <v>0.08</v>
      </c>
      <c r="E440">
        <f>MIN(5000,MAX(25,CEILING(Calcs!L440,_xlfn.IFS(Calcs!L440&lt;100,25,Calcs!L440&lt;250,50,Calcs!L440&lt;1000,250,Calcs!L440&gt;=1000,1000))))</f>
        <v>5000</v>
      </c>
      <c r="F440">
        <f>ROUNDUP('Ammo Input'!G440^(3/4),0)</f>
        <v>72</v>
      </c>
      <c r="G440">
        <f>ROUND((0.5*((IF(OR(B440="HEAT",B440="HEDP"),'Ammo Input'!N440,'Ammo Input'!H440)/1000)*(IF(B440="HEAT",9000,IF(B440="HEDP",1500,'Ammo Input'!G440))^2))),0)</f>
        <v>2567</v>
      </c>
      <c r="H440" s="25" t="str">
        <f>CONCATENATE(IF((B440="Foam")+(B440="Smoke"),"-",ROUND(Calcs!D440,0))," ",VLOOKUP(B440,AmmoTypeFactors,5,FALSE))</f>
        <v>27 Bullet</v>
      </c>
      <c r="I440" s="25" t="str">
        <f>IF(Calcs!E440=0,"None",CONCATENATE(ROUND(Calcs!E440,0)," ",VLOOKUP(B440,AmmoTypeFactors,6,FALSE)))</f>
        <v>None</v>
      </c>
      <c r="J440">
        <f>MROUND(2.42*'Ammo Input'!M440^(1/3)*VLOOKUP(B440,AmmoTypeFactors,3,FALSE),0.5)</f>
        <v>0</v>
      </c>
      <c r="K440" s="25" t="str">
        <f>IF(VLOOKUP(B440,AmmoTypeFactors,12,FALSE),MROUND(J440/3,0.5),"None")</f>
        <v>None</v>
      </c>
      <c r="L440" s="25">
        <f>IF(VLOOKUP(B440,AmmoTypeFactors,8,FALSE),"None",ROUNDUP(IF(Calcs!I440&gt;0,Calcs!I440,Calcs!H440),3))</f>
        <v>51.34</v>
      </c>
      <c r="M440" s="25">
        <f>IF(VLOOKUP(B440,AmmoTypeFactors,8,FALSE),"None",'Ammo Input'!L440)</f>
        <v>3.75</v>
      </c>
      <c r="N440">
        <f>'Ammo Input'!O440</f>
        <v>500</v>
      </c>
      <c r="O440" t="e">
        <f>ROUND((P440*0.0036+SUMPRODUCT(Q440:AB440,VLOOKUP($Q$1:$AB$1,IngredientStats,2,FALSE)))/N440*IF('Ammo Input'!R440,0.5,1),2)</f>
        <v>#VALUE!</v>
      </c>
      <c r="P440" t="e">
        <f>(SUMPRODUCT(Q440:AB440,VLOOKUP($Q$1:$AB$1,IngredientStats,4,FALSE))*VLOOKUP(B440,AmmoTypeFactors,14,FALSE)*IF('Ammo Input'!R440,1.1,1))</f>
        <v>#VALUE!</v>
      </c>
      <c r="Q440">
        <f>IFERROR(__xludf.DUMMYFUNCTION("((IF(NOT(OR(REGEXMATCH(B436, ""Arrow""), B436 = ""Javelin"", B436 = ""Stick bomb"")), ROUNDUP(('Ammo Input'!E436 / 1000) * N436)) + IF(VLOOKUP(B436, AmmoTypeFactors, 9, FALSE) = ""Steel"", ROUNDUP(('Ammo Input'!H436 -'Ammo Input'!M436) * MAX(IF('Ammo Inpu"&amp;"t'!J436 &gt; 0, 'Ammo Input'!J436, 1), 1) * N436 / 1000))) / 'Ingredient stats'!$C$2) * IF(ISBLANK(VLOOKUP(B436,AmmoTypeFactors,15,False)),1,VLOOKUP(B436,AmmoTypeFactors,15,False))"),82)</f>
        <v>82</v>
      </c>
      <c r="R440">
        <f>IFERROR(__xludf.DUMMYFUNCTION("ROUNDUP((IF(REGEXMATCH(B436, ""Arrow"") + (B436 = ""Javelin""), 'Ammo Input'!E436) + IF(VLOOKUP(B436, AmmoTypeFactors, 9, FALSE) = ""Wood"", 'Ammo Input'!H436) + IF(B436 = ""Stick bomb"", 'Ammo Input'!E436)) * N436 / 'Ingredient stats'!$C$12 / 1000)"),0)</f>
        <v>0</v>
      </c>
      <c r="S440">
        <v>0</v>
      </c>
      <c r="T440">
        <v>0</v>
      </c>
      <c r="U440">
        <f>IF(VLOOKUP(B440,AmmoTypeFactors,9,FALSE)="Plasteel",ROUNDUP(('Ammo Input'!H440*MAX(IF('Ammo Input'!J440&gt;0,'Ammo Input'!J440,1)*N440/1000/'Ingredient stats'!$C$4)),0),0)</f>
        <v>0</v>
      </c>
      <c r="V440">
        <f>IFERROR(__xludf.DUMMYFUNCTION("ROUNDUP(IF(ISBLANK(VLOOKUP(B436,AmmoTypeFactors,16,False)),1,VLOOKUP(B436,AmmoTypeFactors,16,False)) * (IFS(REGEXMATCH(B436, ""EMP""), 'Ammo Input'!M436 * N436 / 'Ingredient stats'!$C$5, REGEXMATCH(B436, ""Charge""), (U436^0.75), true, 0) + (IF(VLOOKUP(B4"&amp;"36, AmmoTypeFactors, 10, false), 2,0) + IF('Ammo Input'!P436, 2,0) + IF('Ammo Input'!Q436,MIN(ROUNDUP(0.2*('Ammo Input'!H436/1000)*'Ammo Input'!O436,0),20),0))))"),0)</f>
        <v>0</v>
      </c>
      <c r="W440">
        <v>0</v>
      </c>
      <c r="X440">
        <v>0</v>
      </c>
      <c r="Y440">
        <v>0</v>
      </c>
      <c r="Z440">
        <v>0</v>
      </c>
      <c r="AA440">
        <v>0</v>
      </c>
      <c r="AB440" s="30">
        <f>IF(B440="Sling Bullet (Stone)",ROUNDUP(D440*0.02*E440/'Ingredient stats'!$C$8,0),0)</f>
        <v>0</v>
      </c>
      <c r="AC440" t="str">
        <f t="shared" si="20"/>
        <v>None</v>
      </c>
      <c r="AD440" t="str">
        <f>IF(OR(B440="Buck",B440="Bird",B440="Charge (Scatter)"),'Ammo Input'!J440,"None")</f>
        <v>None</v>
      </c>
      <c r="AE440" t="str">
        <f>_xlfn.IFS(ISTEXT(Calcs!N440),Calcs!N440,Calcs!N440&lt;=40,Calcs!N440,Calcs!N440&gt;41,"40")</f>
        <v>None</v>
      </c>
      <c r="AF440" t="str">
        <f>_xlfn.IFS(ISTEXT(Calcs!O440),Calcs!O440,Calcs!O440&lt;=80,Calcs!O440,Calcs!O440&gt;=81,"80")</f>
        <v>None</v>
      </c>
      <c r="AG440" s="25">
        <f t="shared" si="21"/>
        <v>1</v>
      </c>
      <c r="AH440" s="25">
        <f t="shared" si="22"/>
        <v>1.19</v>
      </c>
      <c r="AI440" s="25">
        <f t="shared" si="23"/>
        <v>1</v>
      </c>
    </row>
    <row r="441" ht="14.4" spans="1:35">
      <c r="A441" s="24" t="str">
        <f>'Ammo Input'!A441</f>
        <v>12.7x55mm</v>
      </c>
      <c r="B441" t="str">
        <f>'Ammo Input'!B441</f>
        <v>AP-I</v>
      </c>
      <c r="C441">
        <f>ROUNDUP(('Ammo Input'!C441*(MAX('Ammo Input'!D441,'Ammo Input'!F441)*0.5)^2*PI())*3/1000000,2)</f>
        <v>0.04</v>
      </c>
      <c r="D441">
        <f>ROUNDUP(('Ammo Input'!E441+'Ammo Input'!H441*IF('Ammo Input'!J441&lt;&gt;"",MAX('Ammo Input'!J441,1),1))/1000,3)</f>
        <v>0.08</v>
      </c>
      <c r="E441">
        <f>MIN(5000,MAX(25,CEILING(Calcs!L441,_xlfn.IFS(Calcs!L441&lt;100,25,Calcs!L441&lt;250,50,Calcs!L441&lt;1000,250,Calcs!L441&gt;=1000,1000))))</f>
        <v>5000</v>
      </c>
      <c r="F441">
        <f>ROUNDUP('Ammo Input'!G441^(3/4),0)</f>
        <v>72</v>
      </c>
      <c r="G441">
        <f>ROUND((0.5*((IF(OR(B441="HEAT",B441="HEDP"),'Ammo Input'!N441,'Ammo Input'!H441)/1000)*(IF(B441="HEAT",9000,IF(B441="HEDP",1500,'Ammo Input'!G441))^2))),0)</f>
        <v>2567</v>
      </c>
      <c r="H441" s="25" t="str">
        <f>CONCATENATE(IF((B441="Foam")+(B441="Smoke"),"-",ROUND(Calcs!D441,0))," ",VLOOKUP(B441,AmmoTypeFactors,5,FALSE))</f>
        <v>13 Bullet</v>
      </c>
      <c r="I441" s="25" t="str">
        <f>IF(Calcs!E441=0,"None",CONCATENATE(ROUND(Calcs!E441,0)," ",VLOOKUP(B441,AmmoTypeFactors,6,FALSE)))</f>
        <v>17 Flame_Secondary</v>
      </c>
      <c r="J441">
        <f>MROUND(2.42*'Ammo Input'!M441^(1/3)*VLOOKUP(B441,AmmoTypeFactors,3,FALSE),0.5)</f>
        <v>0</v>
      </c>
      <c r="K441" s="25" t="str">
        <f>IF(VLOOKUP(B441,AmmoTypeFactors,12,FALSE),MROUND(J441/3,0.5),"None")</f>
        <v>None</v>
      </c>
      <c r="L441" s="25">
        <f>IF(VLOOKUP(B441,AmmoTypeFactors,8,FALSE),"None",ROUNDUP(IF(Calcs!I441&gt;0,Calcs!I441,Calcs!H441),3))</f>
        <v>51.34</v>
      </c>
      <c r="M441" s="25">
        <f>IF(VLOOKUP(B441,AmmoTypeFactors,8,FALSE),"None",'Ammo Input'!L441)</f>
        <v>15</v>
      </c>
      <c r="N441">
        <f>'Ammo Input'!O441</f>
        <v>500</v>
      </c>
      <c r="O441" t="e">
        <f>ROUND((P441*0.0036+SUMPRODUCT(Q441:AB441,VLOOKUP($Q$1:$AB$1,IngredientStats,2,FALSE)))/N441*IF('Ammo Input'!R441,0.5,1),2)</f>
        <v>#VALUE!</v>
      </c>
      <c r="P441" t="e">
        <f>(SUMPRODUCT(Q441:AB441,VLOOKUP($Q$1:$AB$1,IngredientStats,4,FALSE))*VLOOKUP(B441,AmmoTypeFactors,14,FALSE)*IF('Ammo Input'!R441,1.1,1))</f>
        <v>#VALUE!</v>
      </c>
      <c r="Q441">
        <f>IFERROR(__xludf.DUMMYFUNCTION("((IF(NOT(OR(REGEXMATCH(B437, ""Arrow""), B437 = ""Javelin"", B437 = ""Stick bomb"")), ROUNDUP(('Ammo Input'!E437 / 1000) * N437)) + IF(VLOOKUP(B437, AmmoTypeFactors, 9, FALSE) = ""Steel"", ROUNDUP(('Ammo Input'!H437 -'Ammo Input'!M437) * MAX(IF('Ammo Inpu"&amp;"t'!J437 &gt; 0, 'Ammo Input'!J437, 1), 1) * N437 / 1000))) / 'Ingredient stats'!$C$2) * IF(ISBLANK(VLOOKUP(B437,AmmoTypeFactors,15,False)),1,VLOOKUP(B437,AmmoTypeFactors,15,False))"),82)</f>
        <v>82</v>
      </c>
      <c r="R441">
        <f>IFERROR(__xludf.DUMMYFUNCTION("ROUNDUP((IF(REGEXMATCH(B437, ""Arrow"") + (B437 = ""Javelin""), 'Ammo Input'!E437) + IF(VLOOKUP(B437, AmmoTypeFactors, 9, FALSE) = ""Wood"", 'Ammo Input'!H437) + IF(B437 = ""Stick bomb"", 'Ammo Input'!E437)) * N437 / 'Ingredient stats'!$C$12 / 1000)"),0)</f>
        <v>0</v>
      </c>
      <c r="S441">
        <v>0</v>
      </c>
      <c r="T441">
        <v>0</v>
      </c>
      <c r="U441">
        <f>IF(VLOOKUP(B441,AmmoTypeFactors,9,FALSE)="Plasteel",ROUNDUP(('Ammo Input'!H441*MAX(IF('Ammo Input'!J441&gt;0,'Ammo Input'!J441,1)*N441/1000/'Ingredient stats'!$C$4)),0),0)</f>
        <v>0</v>
      </c>
      <c r="V441">
        <f>IFERROR(__xludf.DUMMYFUNCTION("ROUNDUP(IF(ISBLANK(VLOOKUP(B437,AmmoTypeFactors,16,False)),1,VLOOKUP(B437,AmmoTypeFactors,16,False)) * (IFS(REGEXMATCH(B437, ""EMP""), 'Ammo Input'!M437 * N437 / 'Ingredient stats'!$C$5, REGEXMATCH(B437, ""Charge""), (U437^0.75), true, 0) + (IF(VLOOKUP(B4"&amp;"37, AmmoTypeFactors, 10, false), 2,0) + IF('Ammo Input'!P437, 2,0) + IF('Ammo Input'!Q437,MIN(ROUNDUP(0.2*('Ammo Input'!H437/1000)*'Ammo Input'!O437,0),20),0))))"),0)</f>
        <v>0</v>
      </c>
      <c r="W441">
        <v>15</v>
      </c>
      <c r="X441">
        <v>0</v>
      </c>
      <c r="Y441">
        <v>0</v>
      </c>
      <c r="Z441">
        <v>0</v>
      </c>
      <c r="AA441">
        <v>0</v>
      </c>
      <c r="AB441" s="30">
        <f>IF(B441="Sling Bullet (Stone)",ROUNDUP(D441*0.02*E441/'Ingredient stats'!$C$8,0),0)</f>
        <v>0</v>
      </c>
      <c r="AC441" t="str">
        <f t="shared" si="20"/>
        <v>None</v>
      </c>
      <c r="AD441" t="str">
        <f>IF(OR(B441="Buck",B441="Bird",B441="Charge (Scatter)"),'Ammo Input'!J441,"None")</f>
        <v>None</v>
      </c>
      <c r="AE441" t="str">
        <f>_xlfn.IFS(ISTEXT(Calcs!N441),Calcs!N441,Calcs!N441&lt;=40,Calcs!N441,Calcs!N441&gt;41,"40")</f>
        <v>None</v>
      </c>
      <c r="AF441" t="str">
        <f>_xlfn.IFS(ISTEXT(Calcs!O441),Calcs!O441,Calcs!O441&lt;=80,Calcs!O441,Calcs!O441&gt;=81,"80")</f>
        <v>None</v>
      </c>
      <c r="AG441" s="25">
        <f t="shared" si="21"/>
        <v>1</v>
      </c>
      <c r="AH441" s="25">
        <f t="shared" si="22"/>
        <v>1.19</v>
      </c>
      <c r="AI441" s="25">
        <f t="shared" si="23"/>
        <v>1</v>
      </c>
    </row>
    <row r="442" ht="14.4" spans="1:35">
      <c r="A442" s="24" t="str">
        <f>'Ammo Input'!A442</f>
        <v>12.7x55mm</v>
      </c>
      <c r="B442" t="str">
        <f>'Ammo Input'!B442</f>
        <v>AP-HE</v>
      </c>
      <c r="C442">
        <f>ROUNDUP(('Ammo Input'!C442*(MAX('Ammo Input'!D442,'Ammo Input'!F442)*0.5)^2*PI())*3/1000000,2)</f>
        <v>0.04</v>
      </c>
      <c r="D442">
        <f>ROUNDUP(('Ammo Input'!E442+'Ammo Input'!H442*IF('Ammo Input'!J442&lt;&gt;"",MAX('Ammo Input'!J442,1),1))/1000,3)</f>
        <v>0.08</v>
      </c>
      <c r="E442">
        <f>MIN(5000,MAX(25,CEILING(Calcs!L442,_xlfn.IFS(Calcs!L442&lt;100,25,Calcs!L442&lt;250,50,Calcs!L442&lt;1000,250,Calcs!L442&gt;=1000,1000))))</f>
        <v>5000</v>
      </c>
      <c r="F442">
        <f>ROUNDUP('Ammo Input'!G442^(3/4),0)</f>
        <v>72</v>
      </c>
      <c r="G442">
        <f>ROUND((0.5*((IF(OR(B442="HEAT",B442="HEDP"),'Ammo Input'!N442,'Ammo Input'!H442)/1000)*(IF(B442="HEAT",9000,IF(B442="HEDP",1500,'Ammo Input'!G442))^2))),0)</f>
        <v>2567</v>
      </c>
      <c r="H442" s="25" t="str">
        <f>CONCATENATE(IF((B442="Foam")+(B442="Smoke"),"-",ROUND(Calcs!D442,0))," ",VLOOKUP(B442,AmmoTypeFactors,5,FALSE))</f>
        <v>21 Bullet</v>
      </c>
      <c r="I442" s="25" t="str">
        <f>IF(Calcs!E442=0,"None",CONCATENATE(ROUND(Calcs!E442,0)," ",VLOOKUP(B442,AmmoTypeFactors,6,FALSE)))</f>
        <v>23 Bomb_Secondary</v>
      </c>
      <c r="J442">
        <f>MROUND(2.42*'Ammo Input'!M442^(1/3)*VLOOKUP(B442,AmmoTypeFactors,3,FALSE),0.5)</f>
        <v>0</v>
      </c>
      <c r="K442" s="25" t="str">
        <f>IF(VLOOKUP(B442,AmmoTypeFactors,12,FALSE),MROUND(J442/3,0.5),"None")</f>
        <v>None</v>
      </c>
      <c r="L442" s="25">
        <f>IF(VLOOKUP(B442,AmmoTypeFactors,8,FALSE),"None",ROUNDUP(IF(Calcs!I442&gt;0,Calcs!I442,Calcs!H442),3))</f>
        <v>51.34</v>
      </c>
      <c r="M442" s="25">
        <f>IF(VLOOKUP(B442,AmmoTypeFactors,8,FALSE),"None",'Ammo Input'!L442)</f>
        <v>7.5</v>
      </c>
      <c r="N442">
        <f>'Ammo Input'!O442</f>
        <v>500</v>
      </c>
      <c r="O442" t="e">
        <f>ROUND((P442*0.0036+SUMPRODUCT(Q442:AB442,VLOOKUP($Q$1:$AB$1,IngredientStats,2,FALSE)))/N442*IF('Ammo Input'!R442,0.5,1),2)</f>
        <v>#VALUE!</v>
      </c>
      <c r="P442" t="e">
        <f>(SUMPRODUCT(Q442:AB442,VLOOKUP($Q$1:$AB$1,IngredientStats,4,FALSE))*VLOOKUP(B442,AmmoTypeFactors,14,FALSE)*IF('Ammo Input'!R442,1.1,1))</f>
        <v>#VALUE!</v>
      </c>
      <c r="Q442">
        <f>IFERROR(__xludf.DUMMYFUNCTION("((IF(NOT(OR(REGEXMATCH(B438, ""Arrow""), B438 = ""Javelin"", B438 = ""Stick bomb"")), ROUNDUP(('Ammo Input'!E438 / 1000) * N438)) + IF(VLOOKUP(B438, AmmoTypeFactors, 9, FALSE) = ""Steel"", ROUNDUP(('Ammo Input'!H438 -'Ammo Input'!M438) * MAX(IF('Ammo Inpu"&amp;"t'!J438 &gt; 0, 'Ammo Input'!J438, 1), 1) * N438 / 1000))) / 'Ingredient stats'!$C$2) * IF(ISBLANK(VLOOKUP(B438,AmmoTypeFactors,15,False)),1,VLOOKUP(B438,AmmoTypeFactors,15,False))"),82)</f>
        <v>82</v>
      </c>
      <c r="R442">
        <f>IFERROR(__xludf.DUMMYFUNCTION("ROUNDUP((IF(REGEXMATCH(B438, ""Arrow"") + (B438 = ""Javelin""), 'Ammo Input'!E438) + IF(VLOOKUP(B438, AmmoTypeFactors, 9, FALSE) = ""Wood"", 'Ammo Input'!H438) + IF(B438 = ""Stick bomb"", 'Ammo Input'!E438)) * N438 / 'Ingredient stats'!$C$12 / 1000)"),0)</f>
        <v>0</v>
      </c>
      <c r="S442">
        <v>0</v>
      </c>
      <c r="T442">
        <v>0</v>
      </c>
      <c r="U442">
        <f>IF(VLOOKUP(B442,AmmoTypeFactors,9,FALSE)="Plasteel",ROUNDUP(('Ammo Input'!H442*MAX(IF('Ammo Input'!J442&gt;0,'Ammo Input'!J442,1)*N442/1000/'Ingredient stats'!$C$4)),0),0)</f>
        <v>0</v>
      </c>
      <c r="V442">
        <f>IFERROR(__xludf.DUMMYFUNCTION("ROUNDUP(IF(ISBLANK(VLOOKUP(B438,AmmoTypeFactors,16,False)),1,VLOOKUP(B438,AmmoTypeFactors,16,False)) * (IFS(REGEXMATCH(B438, ""EMP""), 'Ammo Input'!M438 * N438 / 'Ingredient stats'!$C$5, REGEXMATCH(B438, ""Charge""), (U438^0.75), true, 0) + (IF(VLOOKUP(B4"&amp;"38, AmmoTypeFactors, 10, false), 2,0) + IF('Ammo Input'!P438, 2,0) + IF('Ammo Input'!Q438,MIN(ROUNDUP(0.2*('Ammo Input'!H438/1000)*'Ammo Input'!O438,0),20),0))))"),0)</f>
        <v>0</v>
      </c>
      <c r="W442">
        <v>0</v>
      </c>
      <c r="X442">
        <v>28</v>
      </c>
      <c r="Y442">
        <v>0</v>
      </c>
      <c r="Z442">
        <v>0</v>
      </c>
      <c r="AA442">
        <v>0</v>
      </c>
      <c r="AB442" s="30">
        <f>IF(B442="Sling Bullet (Stone)",ROUNDUP(D442*0.02*E442/'Ingredient stats'!$C$8,0),0)</f>
        <v>0</v>
      </c>
      <c r="AC442" t="str">
        <f t="shared" si="20"/>
        <v>None</v>
      </c>
      <c r="AD442" t="str">
        <f>IF(OR(B442="Buck",B442="Bird",B442="Charge (Scatter)"),'Ammo Input'!J442,"None")</f>
        <v>None</v>
      </c>
      <c r="AE442" t="str">
        <f>_xlfn.IFS(ISTEXT(Calcs!N442),Calcs!N442,Calcs!N442&lt;=40,Calcs!N442,Calcs!N442&gt;41,"40")</f>
        <v>None</v>
      </c>
      <c r="AF442" t="str">
        <f>_xlfn.IFS(ISTEXT(Calcs!O442),Calcs!O442,Calcs!O442&lt;=80,Calcs!O442,Calcs!O442&gt;=81,"80")</f>
        <v>None</v>
      </c>
      <c r="AG442" s="25">
        <f t="shared" si="21"/>
        <v>1</v>
      </c>
      <c r="AH442" s="25">
        <f t="shared" si="22"/>
        <v>1.19</v>
      </c>
      <c r="AI442" s="25">
        <f t="shared" si="23"/>
        <v>1</v>
      </c>
    </row>
    <row r="443" ht="14.4" spans="1:35">
      <c r="A443" s="24" t="str">
        <f>'Ammo Input'!A443</f>
        <v>12.7x55mm</v>
      </c>
      <c r="B443" t="str">
        <f>'Ammo Input'!B443</f>
        <v>Sabot</v>
      </c>
      <c r="C443">
        <f>ROUNDUP(('Ammo Input'!C443*(MAX('Ammo Input'!D443,'Ammo Input'!F443)*0.5)^2*PI())*3/1000000,2)</f>
        <v>0.04</v>
      </c>
      <c r="D443">
        <f>ROUNDUP(('Ammo Input'!E443+'Ammo Input'!H443*IF('Ammo Input'!J443&lt;&gt;"",MAX('Ammo Input'!J443,1),1))/1000,3)</f>
        <v>0.054</v>
      </c>
      <c r="E443">
        <f>MIN(5000,MAX(25,CEILING(Calcs!L443,_xlfn.IFS(Calcs!L443&lt;100,25,Calcs!L443&lt;250,50,Calcs!L443&lt;1000,250,Calcs!L443&gt;=1000,1000))))</f>
        <v>5000</v>
      </c>
      <c r="F443">
        <f>ROUNDUP('Ammo Input'!G443^(3/4),0)</f>
        <v>97</v>
      </c>
      <c r="G443">
        <f>ROUND((0.5*((IF(OR(B443="HEAT",B443="HEDP"),'Ammo Input'!N443,'Ammo Input'!H443)/1000)*(IF(B443="HEAT",9000,IF(B443="HEDP",1500,'Ammo Input'!G443))^2))),0)</f>
        <v>3292</v>
      </c>
      <c r="H443" s="25" t="str">
        <f>CONCATENATE(IF((B443="Foam")+(B443="Smoke"),"-",ROUND(Calcs!D443,0))," ",VLOOKUP(B443,AmmoTypeFactors,5,FALSE))</f>
        <v>11 Bullet</v>
      </c>
      <c r="I443" s="25" t="str">
        <f>IF(Calcs!E443=0,"None",CONCATENATE(ROUND(Calcs!E443,0)," ",VLOOKUP(B443,AmmoTypeFactors,6,FALSE)))</f>
        <v>None</v>
      </c>
      <c r="J443">
        <f>MROUND(2.42*'Ammo Input'!M443^(1/3)*VLOOKUP(B443,AmmoTypeFactors,3,FALSE),0.5)</f>
        <v>0</v>
      </c>
      <c r="K443" s="25" t="str">
        <f>IF(VLOOKUP(B443,AmmoTypeFactors,12,FALSE),MROUND(J443/3,0.5),"None")</f>
        <v>None</v>
      </c>
      <c r="L443" s="25">
        <f>IF(VLOOKUP(B443,AmmoTypeFactors,8,FALSE),"None",ROUNDUP(IF(Calcs!I443&gt;0,Calcs!I443,Calcs!H443),3))</f>
        <v>65.84</v>
      </c>
      <c r="M443" s="25">
        <f>IF(VLOOKUP(B443,AmmoTypeFactors,8,FALSE),"None",'Ammo Input'!L443)</f>
        <v>26.25</v>
      </c>
      <c r="N443">
        <f>'Ammo Input'!O443</f>
        <v>500</v>
      </c>
      <c r="O443" t="e">
        <f>ROUND((P443*0.0036+SUMPRODUCT(Q443:AB443,VLOOKUP($Q$1:$AB$1,IngredientStats,2,FALSE)))/N443*IF('Ammo Input'!R443,0.5,1),2)</f>
        <v>#VALUE!</v>
      </c>
      <c r="P443" t="e">
        <f>(SUMPRODUCT(Q443:AB443,VLOOKUP($Q$1:$AB$1,IngredientStats,4,FALSE))*VLOOKUP(B443,AmmoTypeFactors,14,FALSE)*IF('Ammo Input'!R443,1.1,1))</f>
        <v>#VALUE!</v>
      </c>
      <c r="Q443">
        <f>IFERROR(__xludf.DUMMYFUNCTION("((IF(NOT(OR(REGEXMATCH(B439, ""Arrow""), B439 = ""Javelin"", B439 = ""Stick bomb"")), ROUNDUP(('Ammo Input'!E439 / 1000) * N439)) + IF(VLOOKUP(B439, AmmoTypeFactors, 9, FALSE) = ""Steel"", ROUNDUP(('Ammo Input'!H439 -'Ammo Input'!M439) * MAX(IF('Ammo Inpu"&amp;"t'!J439 &gt; 0, 'Ammo Input'!J439, 1), 1) * N439 / 1000))) / 'Ingredient stats'!$C$2) * IF(ISBLANK(VLOOKUP(B439,AmmoTypeFactors,15,False)),1,VLOOKUP(B439,AmmoTypeFactors,15,False))"),22)</f>
        <v>22</v>
      </c>
      <c r="R443">
        <f>IFERROR(__xludf.DUMMYFUNCTION("ROUNDUP((IF(REGEXMATCH(B439, ""Arrow"") + (B439 = ""Javelin""), 'Ammo Input'!E439) + IF(VLOOKUP(B439, AmmoTypeFactors, 9, FALSE) = ""Wood"", 'Ammo Input'!H439) + IF(B439 = ""Stick bomb"", 'Ammo Input'!E439)) * N439 / 'Ingredient stats'!$C$12 / 1000)"),0)</f>
        <v>0</v>
      </c>
      <c r="S443">
        <v>17</v>
      </c>
      <c r="T443">
        <v>17</v>
      </c>
      <c r="U443">
        <f>IF(VLOOKUP(B443,AmmoTypeFactors,9,FALSE)="Plasteel",ROUNDUP(('Ammo Input'!H443*MAX(IF('Ammo Input'!J443&gt;0,'Ammo Input'!J443,1)*N443/1000/'Ingredient stats'!$C$4)),0),0)</f>
        <v>0</v>
      </c>
      <c r="V443">
        <f>IFERROR(__xludf.DUMMYFUNCTION("ROUNDUP(IF(ISBLANK(VLOOKUP(B439,AmmoTypeFactors,16,False)),1,VLOOKUP(B439,AmmoTypeFactors,16,False)) * (IFS(REGEXMATCH(B439, ""EMP""), 'Ammo Input'!M439 * N439 / 'Ingredient stats'!$C$5, REGEXMATCH(B439, ""Charge""), (U439^0.75), true, 0) + (IF(VLOOKUP(B4"&amp;"39, AmmoTypeFactors, 10, false), 2,0) + IF('Ammo Input'!P439, 2,0) + IF('Ammo Input'!Q439,MIN(ROUNDUP(0.2*('Ammo Input'!H439/1000)*'Ammo Input'!O439,0),20),0))))"),0)</f>
        <v>0</v>
      </c>
      <c r="W443">
        <v>0</v>
      </c>
      <c r="X443">
        <v>0</v>
      </c>
      <c r="Y443">
        <v>0</v>
      </c>
      <c r="Z443">
        <v>0</v>
      </c>
      <c r="AA443">
        <v>0</v>
      </c>
      <c r="AB443" s="30">
        <f>IF(B443="Sling Bullet (Stone)",ROUNDUP(D443*0.02*E443/'Ingredient stats'!$C$8,0),0)</f>
        <v>0</v>
      </c>
      <c r="AC443" t="str">
        <f t="shared" si="20"/>
        <v>None</v>
      </c>
      <c r="AD443" t="str">
        <f>IF(OR(B443="Buck",B443="Bird",B443="Charge (Scatter)"),'Ammo Input'!J443,"None")</f>
        <v>None</v>
      </c>
      <c r="AE443" t="str">
        <f>_xlfn.IFS(ISTEXT(Calcs!N443),Calcs!N443,Calcs!N443&lt;=40,Calcs!N443,Calcs!N443&gt;41,"40")</f>
        <v>None</v>
      </c>
      <c r="AF443" t="str">
        <f>_xlfn.IFS(ISTEXT(Calcs!O443),Calcs!O443,Calcs!O443&lt;=80,Calcs!O443,Calcs!O443&gt;=81,"80")</f>
        <v>None</v>
      </c>
      <c r="AG443" s="25">
        <f t="shared" si="21"/>
        <v>1</v>
      </c>
      <c r="AH443" s="25">
        <f t="shared" si="22"/>
        <v>1.6</v>
      </c>
      <c r="AI443" s="25">
        <f t="shared" si="23"/>
        <v>1</v>
      </c>
    </row>
    <row r="444" ht="14.4" spans="1:35">
      <c r="A444" s="24" t="str">
        <f>'Ammo Input'!A444</f>
        <v>.30-06 Springfield</v>
      </c>
      <c r="B444" t="str">
        <f>'Ammo Input'!B444</f>
        <v>FMJ</v>
      </c>
      <c r="C444">
        <f>ROUNDUP(('Ammo Input'!C444*(MAX('Ammo Input'!D444,'Ammo Input'!F444)*0.5)^2*PI())*3/1000000,2)</f>
        <v>0.03</v>
      </c>
      <c r="D444">
        <f>ROUNDUP(('Ammo Input'!E444+'Ammo Input'!H444*IF('Ammo Input'!J444&lt;&gt;"",MAX('Ammo Input'!J444,1),1))/1000,3)</f>
        <v>0.027</v>
      </c>
      <c r="E444">
        <f>MIN(5000,MAX(25,CEILING(Calcs!L444,_xlfn.IFS(Calcs!L444&lt;100,25,Calcs!L444&lt;250,50,Calcs!L444&lt;1000,250,Calcs!L444&gt;=1000,1000))))</f>
        <v>5000</v>
      </c>
      <c r="F444">
        <f>ROUNDUP('Ammo Input'!G444^(3/4),0)</f>
        <v>163</v>
      </c>
      <c r="G444">
        <f>ROUND((0.5*((IF(OR(B444="HEAT",B444="HEDP"),'Ammo Input'!N444,'Ammo Input'!H444)/1000)*(IF(B444="HEAT",9000,IF(B444="HEDP",1500,'Ammo Input'!G444))^2))),0)</f>
        <v>3961</v>
      </c>
      <c r="H444" s="25" t="str">
        <f>CONCATENATE(IF((B444="Foam")+(B444="Smoke"),"-",ROUND(Calcs!D444,0))," ",VLOOKUP(B444,AmmoTypeFactors,5,FALSE))</f>
        <v>21 Bullet</v>
      </c>
      <c r="I444" s="25" t="str">
        <f>IF(Calcs!E444=0,"None",CONCATENATE(ROUND(Calcs!E444,0)," ",VLOOKUP(B444,AmmoTypeFactors,6,FALSE)))</f>
        <v>None</v>
      </c>
      <c r="J444">
        <f>MROUND(2.42*'Ammo Input'!M444^(1/3)*VLOOKUP(B444,AmmoTypeFactors,3,FALSE),0.5)</f>
        <v>0</v>
      </c>
      <c r="K444" s="25" t="str">
        <f>IF(VLOOKUP(B444,AmmoTypeFactors,12,FALSE),MROUND(J444/3,0.5),"None")</f>
        <v>None</v>
      </c>
      <c r="L444" s="25">
        <f>IF(VLOOKUP(B444,AmmoTypeFactors,8,FALSE),"None",ROUNDUP(IF(Calcs!I444&gt;0,Calcs!I444,Calcs!H444),3))</f>
        <v>79.22</v>
      </c>
      <c r="M444" s="25">
        <f>IF(VLOOKUP(B444,AmmoTypeFactors,8,FALSE),"None",'Ammo Input'!L444)</f>
        <v>8</v>
      </c>
      <c r="N444">
        <f>'Ammo Input'!O444</f>
        <v>500</v>
      </c>
      <c r="O444" t="e">
        <f>ROUND((P444*0.0036+SUMPRODUCT(Q444:AB444,VLOOKUP($Q$1:$AB$1,IngredientStats,2,FALSE)))/N444*IF('Ammo Input'!R444,0.5,1),2)</f>
        <v>#VALUE!</v>
      </c>
      <c r="P444" t="e">
        <f>(SUMPRODUCT(Q444:AB444,VLOOKUP($Q$1:$AB$1,IngredientStats,4,FALSE))*VLOOKUP(B444,AmmoTypeFactors,14,FALSE)*IF('Ammo Input'!R444,1.1,1))</f>
        <v>#VALUE!</v>
      </c>
      <c r="Q444">
        <f>IFERROR(__xludf.DUMMYFUNCTION("((IF(NOT(OR(REGEXMATCH(B440, ""Arrow""), B440 = ""Javelin"", B440 = ""Stick bomb"")), ROUNDUP(('Ammo Input'!E440 / 1000) * N440)) + IF(VLOOKUP(B440, AmmoTypeFactors, 9, FALSE) = ""Steel"", ROUNDUP(('Ammo Input'!H440 -'Ammo Input'!M440) * MAX(IF('Ammo Inpu"&amp;"t'!J440 &gt; 0, 'Ammo Input'!J440, 1), 1) * N440 / 1000))) / 'Ingredient stats'!$C$2) * IF(ISBLANK(VLOOKUP(B440,AmmoTypeFactors,15,False)),1,VLOOKUP(B440,AmmoTypeFactors,15,False))"),28)</f>
        <v>28</v>
      </c>
      <c r="R444">
        <f>IFERROR(__xludf.DUMMYFUNCTION("ROUNDUP((IF(REGEXMATCH(B440, ""Arrow"") + (B440 = ""Javelin""), 'Ammo Input'!E440) + IF(VLOOKUP(B440, AmmoTypeFactors, 9, FALSE) = ""Wood"", 'Ammo Input'!H440) + IF(B440 = ""Stick bomb"", 'Ammo Input'!E440)) * N440 / 'Ingredient stats'!$C$12 / 1000)"),0)</f>
        <v>0</v>
      </c>
      <c r="S444">
        <v>0</v>
      </c>
      <c r="T444">
        <v>0</v>
      </c>
      <c r="U444">
        <f>IF(VLOOKUP(B444,AmmoTypeFactors,9,FALSE)="Plasteel",ROUNDUP(('Ammo Input'!H444*MAX(IF('Ammo Input'!J444&gt;0,'Ammo Input'!J444,1)*N444/1000/'Ingredient stats'!$C$4)),0),0)</f>
        <v>0</v>
      </c>
      <c r="V444">
        <f>IFERROR(__xludf.DUMMYFUNCTION("ROUNDUP(IF(ISBLANK(VLOOKUP(B440,AmmoTypeFactors,16,False)),1,VLOOKUP(B440,AmmoTypeFactors,16,False)) * (IFS(REGEXMATCH(B440, ""EMP""), 'Ammo Input'!M440 * N440 / 'Ingredient stats'!$C$5, REGEXMATCH(B440, ""Charge""), (U440^0.75), true, 0) + (IF(VLOOKUP(B4"&amp;"40, AmmoTypeFactors, 10, false), 2,0) + IF('Ammo Input'!P440, 2,0) + IF('Ammo Input'!Q440,MIN(ROUNDUP(0.2*('Ammo Input'!H440/1000)*'Ammo Input'!O440,0),20),0))))"),0)</f>
        <v>0</v>
      </c>
      <c r="W444">
        <v>0</v>
      </c>
      <c r="X444">
        <v>0</v>
      </c>
      <c r="Y444">
        <v>0</v>
      </c>
      <c r="Z444">
        <v>0</v>
      </c>
      <c r="AA444">
        <v>0</v>
      </c>
      <c r="AB444" s="30">
        <f>IF(B444="Sling Bullet (Stone)",ROUNDUP(D444*0.02*E444/'Ingredient stats'!$C$8,0),0)</f>
        <v>0</v>
      </c>
      <c r="AC444" t="str">
        <f t="shared" si="20"/>
        <v>None</v>
      </c>
      <c r="AD444" t="str">
        <f>IF(OR(B444="Buck",B444="Bird",B444="Charge (Scatter)"),'Ammo Input'!J444,"None")</f>
        <v>None</v>
      </c>
      <c r="AE444" t="str">
        <f>_xlfn.IFS(ISTEXT(Calcs!N444),Calcs!N444,Calcs!N444&lt;=40,Calcs!N444,Calcs!N444&gt;41,"40")</f>
        <v>None</v>
      </c>
      <c r="AF444" t="str">
        <f>_xlfn.IFS(ISTEXT(Calcs!O444),Calcs!O444,Calcs!O444&lt;=80,Calcs!O444,Calcs!O444&gt;=81,"80")</f>
        <v>None</v>
      </c>
      <c r="AG444" s="25">
        <f t="shared" si="21"/>
        <v>1</v>
      </c>
      <c r="AH444" s="25">
        <f t="shared" si="22"/>
        <v>2.67</v>
      </c>
      <c r="AI444" s="25">
        <f t="shared" si="23"/>
        <v>1</v>
      </c>
    </row>
    <row r="445" ht="14.4" spans="1:35">
      <c r="A445" s="24" t="str">
        <f>'Ammo Input'!A445</f>
        <v>.30-06 Springfield</v>
      </c>
      <c r="B445" t="str">
        <f>'Ammo Input'!B445</f>
        <v>AP</v>
      </c>
      <c r="C445">
        <f>ROUNDUP(('Ammo Input'!C445*(MAX('Ammo Input'!D445,'Ammo Input'!F445)*0.5)^2*PI())*3/1000000,2)</f>
        <v>0.03</v>
      </c>
      <c r="D445">
        <f>ROUNDUP(('Ammo Input'!E445+'Ammo Input'!H445*IF('Ammo Input'!J445&lt;&gt;"",MAX('Ammo Input'!J445,1),1))/1000,3)</f>
        <v>0.027</v>
      </c>
      <c r="E445">
        <f>MIN(5000,MAX(25,CEILING(Calcs!L445,_xlfn.IFS(Calcs!L445&lt;100,25,Calcs!L445&lt;250,50,Calcs!L445&lt;1000,250,Calcs!L445&gt;=1000,1000))))</f>
        <v>5000</v>
      </c>
      <c r="F445">
        <f>ROUNDUP('Ammo Input'!G445^(3/4),0)</f>
        <v>163</v>
      </c>
      <c r="G445">
        <f>ROUND((0.5*((IF(OR(B445="HEAT",B445="HEDP"),'Ammo Input'!N445,'Ammo Input'!H445)/1000)*(IF(B445="HEAT",9000,IF(B445="HEDP",1500,'Ammo Input'!G445))^2))),0)</f>
        <v>3961</v>
      </c>
      <c r="H445" s="25" t="str">
        <f>CONCATENATE(IF((B445="Foam")+(B445="Smoke"),"-",ROUND(Calcs!D445,0))," ",VLOOKUP(B445,AmmoTypeFactors,5,FALSE))</f>
        <v>13 Bullet</v>
      </c>
      <c r="I445" s="25" t="str">
        <f>IF(Calcs!E445=0,"None",CONCATENATE(ROUND(Calcs!E445,0)," ",VLOOKUP(B445,AmmoTypeFactors,6,FALSE)))</f>
        <v>None</v>
      </c>
      <c r="J445">
        <f>MROUND(2.42*'Ammo Input'!M445^(1/3)*VLOOKUP(B445,AmmoTypeFactors,3,FALSE),0.5)</f>
        <v>0</v>
      </c>
      <c r="K445" s="25" t="str">
        <f>IF(VLOOKUP(B445,AmmoTypeFactors,12,FALSE),MROUND(J445/3,0.5),"None")</f>
        <v>None</v>
      </c>
      <c r="L445" s="25">
        <f>IF(VLOOKUP(B445,AmmoTypeFactors,8,FALSE),"None",ROUNDUP(IF(Calcs!I445&gt;0,Calcs!I445,Calcs!H445),3))</f>
        <v>79.22</v>
      </c>
      <c r="M445" s="25">
        <f>IF(VLOOKUP(B445,AmmoTypeFactors,8,FALSE),"None",'Ammo Input'!L445)</f>
        <v>16</v>
      </c>
      <c r="N445">
        <f>'Ammo Input'!O445</f>
        <v>500</v>
      </c>
      <c r="O445" t="e">
        <f>ROUND((P445*0.0036+SUMPRODUCT(Q445:AB445,VLOOKUP($Q$1:$AB$1,IngredientStats,2,FALSE)))/N445*IF('Ammo Input'!R445,0.5,1),2)</f>
        <v>#VALUE!</v>
      </c>
      <c r="P445" t="e">
        <f>(SUMPRODUCT(Q445:AB445,VLOOKUP($Q$1:$AB$1,IngredientStats,4,FALSE))*VLOOKUP(B445,AmmoTypeFactors,14,FALSE)*IF('Ammo Input'!R445,1.1,1))</f>
        <v>#VALUE!</v>
      </c>
      <c r="Q445">
        <f>IFERROR(__xludf.DUMMYFUNCTION("((IF(NOT(OR(REGEXMATCH(B441, ""Arrow""), B441 = ""Javelin"", B441 = ""Stick bomb"")), ROUNDUP(('Ammo Input'!E441 / 1000) * N441)) + IF(VLOOKUP(B441, AmmoTypeFactors, 9, FALSE) = ""Steel"", ROUNDUP(('Ammo Input'!H441 -'Ammo Input'!M441) * MAX(IF('Ammo Inpu"&amp;"t'!J441 &gt; 0, 'Ammo Input'!J441, 1), 1) * N441 / 1000))) / 'Ingredient stats'!$C$2) * IF(ISBLANK(VLOOKUP(B441,AmmoTypeFactors,15,False)),1,VLOOKUP(B441,AmmoTypeFactors,15,False))"),28)</f>
        <v>28</v>
      </c>
      <c r="R445">
        <f>IFERROR(__xludf.DUMMYFUNCTION("ROUNDUP((IF(REGEXMATCH(B441, ""Arrow"") + (B441 = ""Javelin""), 'Ammo Input'!E441) + IF(VLOOKUP(B441, AmmoTypeFactors, 9, FALSE) = ""Wood"", 'Ammo Input'!H441) + IF(B441 = ""Stick bomb"", 'Ammo Input'!E441)) * N441 / 'Ingredient stats'!$C$12 / 1000)"),0)</f>
        <v>0</v>
      </c>
      <c r="S445">
        <v>0</v>
      </c>
      <c r="T445">
        <v>0</v>
      </c>
      <c r="U445">
        <f>IF(VLOOKUP(B445,AmmoTypeFactors,9,FALSE)="Plasteel",ROUNDUP(('Ammo Input'!H445*MAX(IF('Ammo Input'!J445&gt;0,'Ammo Input'!J445,1)*N445/1000/'Ingredient stats'!$C$4)),0),0)</f>
        <v>0</v>
      </c>
      <c r="V445">
        <f>IFERROR(__xludf.DUMMYFUNCTION("ROUNDUP(IF(ISBLANK(VLOOKUP(B441,AmmoTypeFactors,16,False)),1,VLOOKUP(B441,AmmoTypeFactors,16,False)) * (IFS(REGEXMATCH(B441, ""EMP""), 'Ammo Input'!M441 * N441 / 'Ingredient stats'!$C$5, REGEXMATCH(B441, ""Charge""), (U441^0.75), true, 0) + (IF(VLOOKUP(B4"&amp;"41, AmmoTypeFactors, 10, false), 2,0) + IF('Ammo Input'!P441, 2,0) + IF('Ammo Input'!Q441,MIN(ROUNDUP(0.2*('Ammo Input'!H441/1000)*'Ammo Input'!O441,0),20),0))))"),0)</f>
        <v>0</v>
      </c>
      <c r="W445">
        <v>0</v>
      </c>
      <c r="X445">
        <v>0</v>
      </c>
      <c r="Y445">
        <v>0</v>
      </c>
      <c r="Z445">
        <v>0</v>
      </c>
      <c r="AA445">
        <v>0</v>
      </c>
      <c r="AB445" s="30">
        <f>IF(B445="Sling Bullet (Stone)",ROUNDUP(D445*0.02*E445/'Ingredient stats'!$C$8,0),0)</f>
        <v>0</v>
      </c>
      <c r="AC445" t="str">
        <f t="shared" si="20"/>
        <v>None</v>
      </c>
      <c r="AD445" t="str">
        <f>IF(OR(B445="Buck",B445="Bird",B445="Charge (Scatter)"),'Ammo Input'!J445,"None")</f>
        <v>None</v>
      </c>
      <c r="AE445" t="str">
        <f>_xlfn.IFS(ISTEXT(Calcs!N445),Calcs!N445,Calcs!N445&lt;=40,Calcs!N445,Calcs!N445&gt;41,"40")</f>
        <v>None</v>
      </c>
      <c r="AF445" t="str">
        <f>_xlfn.IFS(ISTEXT(Calcs!O445),Calcs!O445,Calcs!O445&lt;=80,Calcs!O445,Calcs!O445&gt;=81,"80")</f>
        <v>None</v>
      </c>
      <c r="AG445" s="25">
        <f t="shared" si="21"/>
        <v>1</v>
      </c>
      <c r="AH445" s="25">
        <f t="shared" si="22"/>
        <v>2.67</v>
      </c>
      <c r="AI445" s="25">
        <f t="shared" si="23"/>
        <v>1</v>
      </c>
    </row>
    <row r="446" ht="14.4" spans="1:35">
      <c r="A446" s="24" t="str">
        <f>'Ammo Input'!A446</f>
        <v>.30-06 Springfield</v>
      </c>
      <c r="B446" t="str">
        <f>'Ammo Input'!B446</f>
        <v>HP</v>
      </c>
      <c r="C446">
        <f>ROUNDUP(('Ammo Input'!C446*(MAX('Ammo Input'!D446,'Ammo Input'!F446)*0.5)^2*PI())*3/1000000,2)</f>
        <v>0.03</v>
      </c>
      <c r="D446">
        <f>ROUNDUP(('Ammo Input'!E446+'Ammo Input'!H446*IF('Ammo Input'!J446&lt;&gt;"",MAX('Ammo Input'!J446,1),1))/1000,3)</f>
        <v>0.027</v>
      </c>
      <c r="E446">
        <f>MIN(5000,MAX(25,CEILING(Calcs!L446,_xlfn.IFS(Calcs!L446&lt;100,25,Calcs!L446&lt;250,50,Calcs!L446&lt;1000,250,Calcs!L446&gt;=1000,1000))))</f>
        <v>5000</v>
      </c>
      <c r="F446">
        <f>ROUNDUP('Ammo Input'!G446^(3/4),0)</f>
        <v>163</v>
      </c>
      <c r="G446">
        <f>ROUND((0.5*((IF(OR(B446="HEAT",B446="HEDP"),'Ammo Input'!N446,'Ammo Input'!H446)/1000)*(IF(B446="HEAT",9000,IF(B446="HEDP",1500,'Ammo Input'!G446))^2))),0)</f>
        <v>3961</v>
      </c>
      <c r="H446" s="25" t="str">
        <f>CONCATENATE(IF((B446="Foam")+(B446="Smoke"),"-",ROUND(Calcs!D446,0))," ",VLOOKUP(B446,AmmoTypeFactors,5,FALSE))</f>
        <v>26 Bullet</v>
      </c>
      <c r="I446" s="25" t="str">
        <f>IF(Calcs!E446=0,"None",CONCATENATE(ROUND(Calcs!E446,0)," ",VLOOKUP(B446,AmmoTypeFactors,6,FALSE)))</f>
        <v>None</v>
      </c>
      <c r="J446">
        <f>MROUND(2.42*'Ammo Input'!M446^(1/3)*VLOOKUP(B446,AmmoTypeFactors,3,FALSE),0.5)</f>
        <v>0</v>
      </c>
      <c r="K446" s="25" t="str">
        <f>IF(VLOOKUP(B446,AmmoTypeFactors,12,FALSE),MROUND(J446/3,0.5),"None")</f>
        <v>None</v>
      </c>
      <c r="L446" s="25">
        <f>IF(VLOOKUP(B446,AmmoTypeFactors,8,FALSE),"None",ROUNDUP(IF(Calcs!I446&gt;0,Calcs!I446,Calcs!H446),3))</f>
        <v>79.22</v>
      </c>
      <c r="M446" s="25">
        <f>IF(VLOOKUP(B446,AmmoTypeFactors,8,FALSE),"None",'Ammo Input'!L446)</f>
        <v>4</v>
      </c>
      <c r="N446">
        <f>'Ammo Input'!O446</f>
        <v>500</v>
      </c>
      <c r="O446" t="e">
        <f>ROUND((P446*0.0036+SUMPRODUCT(Q446:AB446,VLOOKUP($Q$1:$AB$1,IngredientStats,2,FALSE)))/N446*IF('Ammo Input'!R446,0.5,1),2)</f>
        <v>#VALUE!</v>
      </c>
      <c r="P446" t="e">
        <f>(SUMPRODUCT(Q446:AB446,VLOOKUP($Q$1:$AB$1,IngredientStats,4,FALSE))*VLOOKUP(B446,AmmoTypeFactors,14,FALSE)*IF('Ammo Input'!R446,1.1,1))</f>
        <v>#VALUE!</v>
      </c>
      <c r="Q446">
        <f>IFERROR(__xludf.DUMMYFUNCTION("((IF(NOT(OR(REGEXMATCH(B442, ""Arrow""), B442 = ""Javelin"", B442 = ""Stick bomb"")), ROUNDUP(('Ammo Input'!E442 / 1000) * N442)) + IF(VLOOKUP(B442, AmmoTypeFactors, 9, FALSE) = ""Steel"", ROUNDUP(('Ammo Input'!H442 -'Ammo Input'!M442) * MAX(IF('Ammo Inpu"&amp;"t'!J442 &gt; 0, 'Ammo Input'!J442, 1), 1) * N442 / 1000))) / 'Ingredient stats'!$C$2) * IF(ISBLANK(VLOOKUP(B442,AmmoTypeFactors,15,False)),1,VLOOKUP(B442,AmmoTypeFactors,15,False))"),28)</f>
        <v>28</v>
      </c>
      <c r="R446">
        <f>IFERROR(__xludf.DUMMYFUNCTION("ROUNDUP((IF(REGEXMATCH(B442, ""Arrow"") + (B442 = ""Javelin""), 'Ammo Input'!E442) + IF(VLOOKUP(B442, AmmoTypeFactors, 9, FALSE) = ""Wood"", 'Ammo Input'!H442) + IF(B442 = ""Stick bomb"", 'Ammo Input'!E442)) * N442 / 'Ingredient stats'!$C$12 / 1000)"),0)</f>
        <v>0</v>
      </c>
      <c r="S446">
        <v>0</v>
      </c>
      <c r="T446">
        <v>0</v>
      </c>
      <c r="U446">
        <f>IF(VLOOKUP(B446,AmmoTypeFactors,9,FALSE)="Plasteel",ROUNDUP(('Ammo Input'!H446*MAX(IF('Ammo Input'!J446&gt;0,'Ammo Input'!J446,1)*N446/1000/'Ingredient stats'!$C$4)),0),0)</f>
        <v>0</v>
      </c>
      <c r="V446">
        <f>IFERROR(__xludf.DUMMYFUNCTION("ROUNDUP(IF(ISBLANK(VLOOKUP(B442,AmmoTypeFactors,16,False)),1,VLOOKUP(B442,AmmoTypeFactors,16,False)) * (IFS(REGEXMATCH(B442, ""EMP""), 'Ammo Input'!M442 * N442 / 'Ingredient stats'!$C$5, REGEXMATCH(B442, ""Charge""), (U442^0.75), true, 0) + (IF(VLOOKUP(B4"&amp;"42, AmmoTypeFactors, 10, false), 2,0) + IF('Ammo Input'!P442, 2,0) + IF('Ammo Input'!Q442,MIN(ROUNDUP(0.2*('Ammo Input'!H442/1000)*'Ammo Input'!O442,0),20),0))))"),0)</f>
        <v>0</v>
      </c>
      <c r="W446">
        <v>0</v>
      </c>
      <c r="X446">
        <v>0</v>
      </c>
      <c r="Y446">
        <v>0</v>
      </c>
      <c r="Z446">
        <v>0</v>
      </c>
      <c r="AA446">
        <v>0</v>
      </c>
      <c r="AB446" s="30">
        <f>IF(B446="Sling Bullet (Stone)",ROUNDUP(D446*0.02*E446/'Ingredient stats'!$C$8,0),0)</f>
        <v>0</v>
      </c>
      <c r="AC446" t="str">
        <f t="shared" si="20"/>
        <v>None</v>
      </c>
      <c r="AD446" t="str">
        <f>IF(OR(B446="Buck",B446="Bird",B446="Charge (Scatter)"),'Ammo Input'!J446,"None")</f>
        <v>None</v>
      </c>
      <c r="AE446" t="str">
        <f>_xlfn.IFS(ISTEXT(Calcs!N446),Calcs!N446,Calcs!N446&lt;=40,Calcs!N446,Calcs!N446&gt;41,"40")</f>
        <v>None</v>
      </c>
      <c r="AF446" t="str">
        <f>_xlfn.IFS(ISTEXT(Calcs!O446),Calcs!O446,Calcs!O446&lt;=80,Calcs!O446,Calcs!O446&gt;=81,"80")</f>
        <v>None</v>
      </c>
      <c r="AG446" s="25">
        <f t="shared" si="21"/>
        <v>1</v>
      </c>
      <c r="AH446" s="25">
        <f t="shared" si="22"/>
        <v>2.67</v>
      </c>
      <c r="AI446" s="25">
        <f t="shared" si="23"/>
        <v>1</v>
      </c>
    </row>
    <row r="447" ht="14.4" spans="1:35">
      <c r="A447" s="24" t="str">
        <f>'Ammo Input'!A447</f>
        <v>.30-06 Springfield</v>
      </c>
      <c r="B447" t="str">
        <f>'Ammo Input'!B447</f>
        <v>AP-I</v>
      </c>
      <c r="C447">
        <f>ROUNDUP(('Ammo Input'!C447*(MAX('Ammo Input'!D447,'Ammo Input'!F447)*0.5)^2*PI())*3/1000000,2)</f>
        <v>0.03</v>
      </c>
      <c r="D447">
        <f>ROUNDUP(('Ammo Input'!E447+'Ammo Input'!H447*IF('Ammo Input'!J447&lt;&gt;"",MAX('Ammo Input'!J447,1),1))/1000,3)</f>
        <v>0.027</v>
      </c>
      <c r="E447">
        <f>MIN(5000,MAX(25,CEILING(Calcs!L447,_xlfn.IFS(Calcs!L447&lt;100,25,Calcs!L447&lt;250,50,Calcs!L447&lt;1000,250,Calcs!L447&gt;=1000,1000))))</f>
        <v>5000</v>
      </c>
      <c r="F447">
        <f>ROUNDUP('Ammo Input'!G447^(3/4),0)</f>
        <v>163</v>
      </c>
      <c r="G447">
        <f>ROUND((0.5*((IF(OR(B447="HEAT",B447="HEDP"),'Ammo Input'!N447,'Ammo Input'!H447)/1000)*(IF(B447="HEAT",9000,IF(B447="HEDP",1500,'Ammo Input'!G447))^2))),0)</f>
        <v>3961</v>
      </c>
      <c r="H447" s="25" t="str">
        <f>CONCATENATE(IF((B447="Foam")+(B447="Smoke"),"-",ROUND(Calcs!D447,0))," ",VLOOKUP(B447,AmmoTypeFactors,5,FALSE))</f>
        <v>13 Bullet</v>
      </c>
      <c r="I447" s="25" t="str">
        <f>IF(Calcs!E447=0,"None",CONCATENATE(ROUND(Calcs!E447,0)," ",VLOOKUP(B447,AmmoTypeFactors,6,FALSE)))</f>
        <v>6 Flame_Secondary</v>
      </c>
      <c r="J447">
        <f>MROUND(2.42*'Ammo Input'!M447^(1/3)*VLOOKUP(B447,AmmoTypeFactors,3,FALSE),0.5)</f>
        <v>0</v>
      </c>
      <c r="K447" s="25" t="str">
        <f>IF(VLOOKUP(B447,AmmoTypeFactors,12,FALSE),MROUND(J447/3,0.5),"None")</f>
        <v>None</v>
      </c>
      <c r="L447" s="25">
        <f>IF(VLOOKUP(B447,AmmoTypeFactors,8,FALSE),"None",ROUNDUP(IF(Calcs!I447&gt;0,Calcs!I447,Calcs!H447),3))</f>
        <v>79.22</v>
      </c>
      <c r="M447" s="25">
        <f>IF(VLOOKUP(B447,AmmoTypeFactors,8,FALSE),"None",'Ammo Input'!L447)</f>
        <v>16</v>
      </c>
      <c r="N447">
        <f>'Ammo Input'!O447</f>
        <v>500</v>
      </c>
      <c r="O447" t="e">
        <f>ROUND((P447*0.0036+SUMPRODUCT(Q447:AB447,VLOOKUP($Q$1:$AB$1,IngredientStats,2,FALSE)))/N447*IF('Ammo Input'!R447,0.5,1),2)</f>
        <v>#VALUE!</v>
      </c>
      <c r="P447" t="e">
        <f>(SUMPRODUCT(Q447:AB447,VLOOKUP($Q$1:$AB$1,IngredientStats,4,FALSE))*VLOOKUP(B447,AmmoTypeFactors,14,FALSE)*IF('Ammo Input'!R447,1.1,1))</f>
        <v>#VALUE!</v>
      </c>
      <c r="Q447">
        <f>IFERROR(__xludf.DUMMYFUNCTION("((IF(NOT(OR(REGEXMATCH(B443, ""Arrow""), B443 = ""Javelin"", B443 = ""Stick bomb"")), ROUNDUP(('Ammo Input'!E443 / 1000) * N443)) + IF(VLOOKUP(B443, AmmoTypeFactors, 9, FALSE) = ""Steel"", ROUNDUP(('Ammo Input'!H443 -'Ammo Input'!M443) * MAX(IF('Ammo Inpu"&amp;"t'!J443 &gt; 0, 'Ammo Input'!J443, 1), 1) * N443 / 1000))) / 'Ingredient stats'!$C$2) * IF(ISBLANK(VLOOKUP(B443,AmmoTypeFactors,15,False)),1,VLOOKUP(B443,AmmoTypeFactors,15,False))"),28)</f>
        <v>28</v>
      </c>
      <c r="R447">
        <f>IFERROR(__xludf.DUMMYFUNCTION("ROUNDUP((IF(REGEXMATCH(B443, ""Arrow"") + (B443 = ""Javelin""), 'Ammo Input'!E443) + IF(VLOOKUP(B443, AmmoTypeFactors, 9, FALSE) = ""Wood"", 'Ammo Input'!H443) + IF(B443 = ""Stick bomb"", 'Ammo Input'!E443)) * N443 / 'Ingredient stats'!$C$12 / 1000)"),0)</f>
        <v>0</v>
      </c>
      <c r="S447">
        <v>0</v>
      </c>
      <c r="T447">
        <v>0</v>
      </c>
      <c r="U447">
        <f>IF(VLOOKUP(B447,AmmoTypeFactors,9,FALSE)="Plasteel",ROUNDUP(('Ammo Input'!H447*MAX(IF('Ammo Input'!J447&gt;0,'Ammo Input'!J447,1)*N447/1000/'Ingredient stats'!$C$4)),0),0)</f>
        <v>0</v>
      </c>
      <c r="V447">
        <f>IFERROR(__xludf.DUMMYFUNCTION("ROUNDUP(IF(ISBLANK(VLOOKUP(B443,AmmoTypeFactors,16,False)),1,VLOOKUP(B443,AmmoTypeFactors,16,False)) * (IFS(REGEXMATCH(B443, ""EMP""), 'Ammo Input'!M443 * N443 / 'Ingredient stats'!$C$5, REGEXMATCH(B443, ""Charge""), (U443^0.75), true, 0) + (IF(VLOOKUP(B4"&amp;"43, AmmoTypeFactors, 10, false), 2,0) + IF('Ammo Input'!P443, 2,0) + IF('Ammo Input'!Q443,MIN(ROUNDUP(0.2*('Ammo Input'!H443/1000)*'Ammo Input'!O443,0),20),0))))"),0)</f>
        <v>0</v>
      </c>
      <c r="W447">
        <v>3</v>
      </c>
      <c r="X447">
        <v>0</v>
      </c>
      <c r="Y447">
        <v>0</v>
      </c>
      <c r="Z447">
        <v>0</v>
      </c>
      <c r="AA447">
        <v>0</v>
      </c>
      <c r="AB447" s="30">
        <f>IF(B447="Sling Bullet (Stone)",ROUNDUP(D447*0.02*E447/'Ingredient stats'!$C$8,0),0)</f>
        <v>0</v>
      </c>
      <c r="AC447" t="str">
        <f t="shared" si="20"/>
        <v>None</v>
      </c>
      <c r="AD447" t="str">
        <f>IF(OR(B447="Buck",B447="Bird",B447="Charge (Scatter)"),'Ammo Input'!J447,"None")</f>
        <v>None</v>
      </c>
      <c r="AE447" t="str">
        <f>_xlfn.IFS(ISTEXT(Calcs!N447),Calcs!N447,Calcs!N447&lt;=40,Calcs!N447,Calcs!N447&gt;41,"40")</f>
        <v>None</v>
      </c>
      <c r="AF447" t="str">
        <f>_xlfn.IFS(ISTEXT(Calcs!O447),Calcs!O447,Calcs!O447&lt;=80,Calcs!O447,Calcs!O447&gt;=81,"80")</f>
        <v>None</v>
      </c>
      <c r="AG447" s="25">
        <f t="shared" si="21"/>
        <v>1</v>
      </c>
      <c r="AH447" s="25">
        <f t="shared" si="22"/>
        <v>2.67</v>
      </c>
      <c r="AI447" s="25">
        <f t="shared" si="23"/>
        <v>1</v>
      </c>
    </row>
    <row r="448" ht="14.4" spans="1:35">
      <c r="A448" s="24" t="str">
        <f>'Ammo Input'!A448</f>
        <v>.30-06 Springfield</v>
      </c>
      <c r="B448" t="str">
        <f>'Ammo Input'!B448</f>
        <v>AP-HE</v>
      </c>
      <c r="C448">
        <f>ROUNDUP(('Ammo Input'!C448*(MAX('Ammo Input'!D448,'Ammo Input'!F448)*0.5)^2*PI())*3/1000000,2)</f>
        <v>0.03</v>
      </c>
      <c r="D448">
        <f>ROUNDUP(('Ammo Input'!E448+'Ammo Input'!H448*IF('Ammo Input'!J448&lt;&gt;"",MAX('Ammo Input'!J448,1),1))/1000,3)</f>
        <v>0.027</v>
      </c>
      <c r="E448">
        <f>MIN(5000,MAX(25,CEILING(Calcs!L448,_xlfn.IFS(Calcs!L448&lt;100,25,Calcs!L448&lt;250,50,Calcs!L448&lt;1000,250,Calcs!L448&gt;=1000,1000))))</f>
        <v>5000</v>
      </c>
      <c r="F448">
        <f>ROUNDUP('Ammo Input'!G448^(3/4),0)</f>
        <v>163</v>
      </c>
      <c r="G448">
        <f>ROUND((0.5*((IF(OR(B448="HEAT",B448="HEDP"),'Ammo Input'!N448,'Ammo Input'!H448)/1000)*(IF(B448="HEAT",9000,IF(B448="HEDP",1500,'Ammo Input'!G448))^2))),0)</f>
        <v>3961</v>
      </c>
      <c r="H448" s="25" t="str">
        <f>CONCATENATE(IF((B448="Foam")+(B448="Smoke"),"-",ROUND(Calcs!D448,0))," ",VLOOKUP(B448,AmmoTypeFactors,5,FALSE))</f>
        <v>21 Bullet</v>
      </c>
      <c r="I448" s="25" t="str">
        <f>IF(Calcs!E448=0,"None",CONCATENATE(ROUND(Calcs!E448,0)," ",VLOOKUP(B448,AmmoTypeFactors,6,FALSE)))</f>
        <v>8 Bomb_Secondary</v>
      </c>
      <c r="J448">
        <f>MROUND(2.42*'Ammo Input'!M448^(1/3)*VLOOKUP(B448,AmmoTypeFactors,3,FALSE),0.5)</f>
        <v>0</v>
      </c>
      <c r="K448" s="25" t="str">
        <f>IF(VLOOKUP(B448,AmmoTypeFactors,12,FALSE),MROUND(J448/3,0.5),"None")</f>
        <v>None</v>
      </c>
      <c r="L448" s="25">
        <f>IF(VLOOKUP(B448,AmmoTypeFactors,8,FALSE),"None",ROUNDUP(IF(Calcs!I448&gt;0,Calcs!I448,Calcs!H448),3))</f>
        <v>79.22</v>
      </c>
      <c r="M448" s="25">
        <f>IF(VLOOKUP(B448,AmmoTypeFactors,8,FALSE),"None",'Ammo Input'!L448)</f>
        <v>8</v>
      </c>
      <c r="N448">
        <f>'Ammo Input'!O448</f>
        <v>500</v>
      </c>
      <c r="O448" t="e">
        <f>ROUND((P448*0.0036+SUMPRODUCT(Q448:AB448,VLOOKUP($Q$1:$AB$1,IngredientStats,2,FALSE)))/N448*IF('Ammo Input'!R448,0.5,1),2)</f>
        <v>#VALUE!</v>
      </c>
      <c r="P448" t="e">
        <f>(SUMPRODUCT(Q448:AB448,VLOOKUP($Q$1:$AB$1,IngredientStats,4,FALSE))*VLOOKUP(B448,AmmoTypeFactors,14,FALSE)*IF('Ammo Input'!R448,1.1,1))</f>
        <v>#VALUE!</v>
      </c>
      <c r="Q448">
        <f>IFERROR(__xludf.DUMMYFUNCTION("((IF(NOT(OR(REGEXMATCH(B444, ""Arrow""), B444 = ""Javelin"", B444 = ""Stick bomb"")), ROUNDUP(('Ammo Input'!E444 / 1000) * N444)) + IF(VLOOKUP(B444, AmmoTypeFactors, 9, FALSE) = ""Steel"", ROUNDUP(('Ammo Input'!H444 -'Ammo Input'!M444) * MAX(IF('Ammo Inpu"&amp;"t'!J444 &gt; 0, 'Ammo Input'!J444, 1), 1) * N444 / 1000))) / 'Ingredient stats'!$C$2) * IF(ISBLANK(VLOOKUP(B444,AmmoTypeFactors,15,False)),1,VLOOKUP(B444,AmmoTypeFactors,15,False))"),28)</f>
        <v>28</v>
      </c>
      <c r="R448">
        <f>IFERROR(__xludf.DUMMYFUNCTION("ROUNDUP((IF(REGEXMATCH(B444, ""Arrow"") + (B444 = ""Javelin""), 'Ammo Input'!E444) + IF(VLOOKUP(B444, AmmoTypeFactors, 9, FALSE) = ""Wood"", 'Ammo Input'!H444) + IF(B444 = ""Stick bomb"", 'Ammo Input'!E444)) * N444 / 'Ingredient stats'!$C$12 / 1000)"),0)</f>
        <v>0</v>
      </c>
      <c r="S448">
        <v>0</v>
      </c>
      <c r="T448">
        <v>0</v>
      </c>
      <c r="U448">
        <f>IF(VLOOKUP(B448,AmmoTypeFactors,9,FALSE)="Plasteel",ROUNDUP(('Ammo Input'!H448*MAX(IF('Ammo Input'!J448&gt;0,'Ammo Input'!J448,1)*N448/1000/'Ingredient stats'!$C$4)),0),0)</f>
        <v>0</v>
      </c>
      <c r="V448">
        <f>IFERROR(__xludf.DUMMYFUNCTION("ROUNDUP(IF(ISBLANK(VLOOKUP(B444,AmmoTypeFactors,16,False)),1,VLOOKUP(B444,AmmoTypeFactors,16,False)) * (IFS(REGEXMATCH(B444, ""EMP""), 'Ammo Input'!M444 * N444 / 'Ingredient stats'!$C$5, REGEXMATCH(B444, ""Charge""), (U444^0.75), true, 0) + (IF(VLOOKUP(B4"&amp;"44, AmmoTypeFactors, 10, false), 2,0) + IF('Ammo Input'!P444, 2,0) + IF('Ammo Input'!Q444,MIN(ROUNDUP(0.2*('Ammo Input'!H444/1000)*'Ammo Input'!O444,0),20),0))))"),0)</f>
        <v>0</v>
      </c>
      <c r="W448">
        <v>0</v>
      </c>
      <c r="X448">
        <v>5</v>
      </c>
      <c r="Y448">
        <v>0</v>
      </c>
      <c r="Z448">
        <v>0</v>
      </c>
      <c r="AA448">
        <v>0</v>
      </c>
      <c r="AB448" s="30">
        <f>IF(B448="Sling Bullet (Stone)",ROUNDUP(D448*0.02*E448/'Ingredient stats'!$C$8,0),0)</f>
        <v>0</v>
      </c>
      <c r="AC448" t="str">
        <f t="shared" si="20"/>
        <v>None</v>
      </c>
      <c r="AD448" t="str">
        <f>IF(OR(B448="Buck",B448="Bird",B448="Charge (Scatter)"),'Ammo Input'!J448,"None")</f>
        <v>None</v>
      </c>
      <c r="AE448" t="str">
        <f>_xlfn.IFS(ISTEXT(Calcs!N448),Calcs!N448,Calcs!N448&lt;=40,Calcs!N448,Calcs!N448&gt;41,"40")</f>
        <v>None</v>
      </c>
      <c r="AF448" t="str">
        <f>_xlfn.IFS(ISTEXT(Calcs!O448),Calcs!O448,Calcs!O448&lt;=80,Calcs!O448,Calcs!O448&gt;=81,"80")</f>
        <v>None</v>
      </c>
      <c r="AG448" s="25">
        <f t="shared" si="21"/>
        <v>1</v>
      </c>
      <c r="AH448" s="25">
        <f t="shared" si="22"/>
        <v>2.67</v>
      </c>
      <c r="AI448" s="25">
        <f t="shared" si="23"/>
        <v>1</v>
      </c>
    </row>
    <row r="449" ht="14.4" spans="1:35">
      <c r="A449" s="24" t="str">
        <f>'Ammo Input'!A449</f>
        <v>.30-06 Springfield</v>
      </c>
      <c r="B449" t="str">
        <f>'Ammo Input'!B449</f>
        <v>Sabot</v>
      </c>
      <c r="C449">
        <f>ROUNDUP(('Ammo Input'!C449*(MAX('Ammo Input'!D449,'Ammo Input'!F449)*0.5)^2*PI())*3/1000000,2)</f>
        <v>0.03</v>
      </c>
      <c r="D449">
        <f>ROUNDUP(('Ammo Input'!E449+'Ammo Input'!H449*IF('Ammo Input'!J449&lt;&gt;"",MAX('Ammo Input'!J449,1),1))/1000,3)</f>
        <v>0.023</v>
      </c>
      <c r="E449">
        <f>MIN(5000,MAX(25,CEILING(Calcs!L449,_xlfn.IFS(Calcs!L449&lt;100,25,Calcs!L449&lt;250,50,Calcs!L449&lt;1000,250,Calcs!L449&gt;=1000,1000))))</f>
        <v>5000</v>
      </c>
      <c r="F449">
        <f>ROUNDUP('Ammo Input'!G449^(3/4),0)</f>
        <v>221</v>
      </c>
      <c r="G449">
        <f>ROUND((0.5*((IF(OR(B449="HEAT",B449="HEDP"),'Ammo Input'!N449,'Ammo Input'!H449)/1000)*(IF(B449="HEAT",9000,IF(B449="HEDP",1500,'Ammo Input'!G449))^2))),0)</f>
        <v>5079</v>
      </c>
      <c r="H449" s="25" t="str">
        <f>CONCATENATE(IF((B449="Foam")+(B449="Smoke"),"-",ROUND(Calcs!D449,0))," ",VLOOKUP(B449,AmmoTypeFactors,5,FALSE))</f>
        <v>11 Bullet</v>
      </c>
      <c r="I449" s="25" t="str">
        <f>IF(Calcs!E449=0,"None",CONCATENATE(ROUND(Calcs!E449,0)," ",VLOOKUP(B449,AmmoTypeFactors,6,FALSE)))</f>
        <v>None</v>
      </c>
      <c r="J449">
        <f>MROUND(2.42*'Ammo Input'!M449^(1/3)*VLOOKUP(B449,AmmoTypeFactors,3,FALSE),0.5)</f>
        <v>0</v>
      </c>
      <c r="K449" s="25" t="str">
        <f>IF(VLOOKUP(B449,AmmoTypeFactors,12,FALSE),MROUND(J449/3,0.5),"None")</f>
        <v>None</v>
      </c>
      <c r="L449" s="25">
        <f>IF(VLOOKUP(B449,AmmoTypeFactors,8,FALSE),"None",ROUNDUP(IF(Calcs!I449&gt;0,Calcs!I449,Calcs!H449),3))</f>
        <v>101.58</v>
      </c>
      <c r="M449" s="25">
        <f>IF(VLOOKUP(B449,AmmoTypeFactors,8,FALSE),"None",'Ammo Input'!L449)</f>
        <v>28</v>
      </c>
      <c r="N449">
        <f>'Ammo Input'!O449</f>
        <v>500</v>
      </c>
      <c r="O449" t="e">
        <f>ROUND((P449*0.0036+SUMPRODUCT(Q449:AB449,VLOOKUP($Q$1:$AB$1,IngredientStats,2,FALSE)))/N449*IF('Ammo Input'!R449,0.5,1),2)</f>
        <v>#VALUE!</v>
      </c>
      <c r="P449" t="e">
        <f>(SUMPRODUCT(Q449:AB449,VLOOKUP($Q$1:$AB$1,IngredientStats,4,FALSE))*VLOOKUP(B449,AmmoTypeFactors,14,FALSE)*IF('Ammo Input'!R449,1.1,1))</f>
        <v>#VALUE!</v>
      </c>
      <c r="Q449">
        <f>IFERROR(__xludf.DUMMYFUNCTION("((IF(NOT(OR(REGEXMATCH(B445, ""Arrow""), B445 = ""Javelin"", B445 = ""Stick bomb"")), ROUNDUP(('Ammo Input'!E445 / 1000) * N445)) + IF(VLOOKUP(B445, AmmoTypeFactors, 9, FALSE) = ""Steel"", ROUNDUP(('Ammo Input'!H445 -'Ammo Input'!M445) * MAX(IF('Ammo Inpu"&amp;"t'!J445 &gt; 0, 'Ammo Input'!J445, 1), 1) * N445 / 1000))) / 'Ingredient stats'!$C$2) * IF(ISBLANK(VLOOKUP(B445,AmmoTypeFactors,15,False)),1,VLOOKUP(B445,AmmoTypeFactors,15,False))"),18)</f>
        <v>18</v>
      </c>
      <c r="R449">
        <f>IFERROR(__xludf.DUMMYFUNCTION("ROUNDUP((IF(REGEXMATCH(B445, ""Arrow"") + (B445 = ""Javelin""), 'Ammo Input'!E445) + IF(VLOOKUP(B445, AmmoTypeFactors, 9, FALSE) = ""Wood"", 'Ammo Input'!H445) + IF(B445 = ""Stick bomb"", 'Ammo Input'!E445)) * N445 / 'Ingredient stats'!$C$12 / 1000)"),0)</f>
        <v>0</v>
      </c>
      <c r="S449">
        <v>3</v>
      </c>
      <c r="T449">
        <v>3</v>
      </c>
      <c r="U449">
        <f>IF(VLOOKUP(B449,AmmoTypeFactors,9,FALSE)="Plasteel",ROUNDUP(('Ammo Input'!H449*MAX(IF('Ammo Input'!J449&gt;0,'Ammo Input'!J449,1)*N449/1000/'Ingredient stats'!$C$4)),0),0)</f>
        <v>0</v>
      </c>
      <c r="V449">
        <f>IFERROR(__xludf.DUMMYFUNCTION("ROUNDUP(IF(ISBLANK(VLOOKUP(B445,AmmoTypeFactors,16,False)),1,VLOOKUP(B445,AmmoTypeFactors,16,False)) * (IFS(REGEXMATCH(B445, ""EMP""), 'Ammo Input'!M445 * N445 / 'Ingredient stats'!$C$5, REGEXMATCH(B445, ""Charge""), (U445^0.75), true, 0) + (IF(VLOOKUP(B4"&amp;"45, AmmoTypeFactors, 10, false), 2,0) + IF('Ammo Input'!P445, 2,0) + IF('Ammo Input'!Q445,MIN(ROUNDUP(0.2*('Ammo Input'!H445/1000)*'Ammo Input'!O445,0),20),0))))"),0)</f>
        <v>0</v>
      </c>
      <c r="W449">
        <v>0</v>
      </c>
      <c r="X449">
        <v>0</v>
      </c>
      <c r="Y449">
        <v>0</v>
      </c>
      <c r="Z449">
        <v>0</v>
      </c>
      <c r="AA449">
        <v>0</v>
      </c>
      <c r="AB449" s="30">
        <f>IF(B449="Sling Bullet (Stone)",ROUNDUP(D449*0.02*E449/'Ingredient stats'!$C$8,0),0)</f>
        <v>0</v>
      </c>
      <c r="AC449" t="str">
        <f t="shared" si="20"/>
        <v>None</v>
      </c>
      <c r="AD449" t="str">
        <f>IF(OR(B449="Buck",B449="Bird",B449="Charge (Scatter)"),'Ammo Input'!J449,"None")</f>
        <v>None</v>
      </c>
      <c r="AE449" t="str">
        <f>_xlfn.IFS(ISTEXT(Calcs!N449),Calcs!N449,Calcs!N449&lt;=40,Calcs!N449,Calcs!N449&gt;41,"40")</f>
        <v>None</v>
      </c>
      <c r="AF449" t="str">
        <f>_xlfn.IFS(ISTEXT(Calcs!O449),Calcs!O449,Calcs!O449&lt;=80,Calcs!O449,Calcs!O449&gt;=81,"80")</f>
        <v>None</v>
      </c>
      <c r="AG449" s="25">
        <f t="shared" si="21"/>
        <v>1</v>
      </c>
      <c r="AH449" s="25">
        <f t="shared" si="22"/>
        <v>3.57</v>
      </c>
      <c r="AI449" s="25">
        <f t="shared" si="23"/>
        <v>1</v>
      </c>
    </row>
    <row r="450" ht="14.4" spans="1:35">
      <c r="A450" s="24" t="str">
        <f>'Ammo Input'!A450</f>
        <v>8.6mm Blackout</v>
      </c>
      <c r="B450" t="str">
        <f>'Ammo Input'!B450</f>
        <v>FMJ</v>
      </c>
      <c r="C450">
        <f>ROUNDUP(('Ammo Input'!C450*(MAX('Ammo Input'!D450,'Ammo Input'!F450)*0.5)^2*PI())*3/1000000,2)</f>
        <v>0.03</v>
      </c>
      <c r="D450">
        <f>ROUNDUP(('Ammo Input'!E450+'Ammo Input'!H450*IF('Ammo Input'!J450&lt;&gt;"",MAX('Ammo Input'!J450,1),1))/1000,3)</f>
        <v>0.027</v>
      </c>
      <c r="E450">
        <f>MIN(5000,MAX(25,CEILING(Calcs!L450,_xlfn.IFS(Calcs!L450&lt;100,25,Calcs!L450&lt;250,50,Calcs!L450&lt;1000,250,Calcs!L450&gt;=1000,1000))))</f>
        <v>5000</v>
      </c>
      <c r="F450">
        <f>ROUNDUP('Ammo Input'!G450^(3/4),0)</f>
        <v>123</v>
      </c>
      <c r="G450">
        <f>ROUND((0.5*((IF(OR(B450="HEAT",B450="HEDP"),'Ammo Input'!N450,'Ammo Input'!H450)/1000)*(IF(B450="HEAT",9000,IF(B450="HEDP",1500,'Ammo Input'!G450))^2))),0)</f>
        <v>2530</v>
      </c>
      <c r="H450" s="25" t="str">
        <f>CONCATENATE(IF((B450="Foam")+(B450="Smoke"),"-",ROUND(Calcs!D450,0))," ",VLOOKUP(B450,AmmoTypeFactors,5,FALSE))</f>
        <v>18 Bullet</v>
      </c>
      <c r="I450" s="25" t="str">
        <f>IF(Calcs!E450=0,"None",CONCATENATE(ROUND(Calcs!E450,0)," ",VLOOKUP(B450,AmmoTypeFactors,6,FALSE)))</f>
        <v>None</v>
      </c>
      <c r="J450">
        <f>MROUND(2.42*'Ammo Input'!M450^(1/3)*VLOOKUP(B450,AmmoTypeFactors,3,FALSE),0.5)</f>
        <v>0</v>
      </c>
      <c r="K450" s="25" t="str">
        <f>IF(VLOOKUP(B450,AmmoTypeFactors,12,FALSE),MROUND(J450/3,0.5),"None")</f>
        <v>None</v>
      </c>
      <c r="L450" s="25">
        <f>IF(VLOOKUP(B450,AmmoTypeFactors,8,FALSE),"None",ROUNDUP(IF(Calcs!I450&gt;0,Calcs!I450,Calcs!H450),3))</f>
        <v>50.6</v>
      </c>
      <c r="M450" s="25">
        <f>IF(VLOOKUP(B450,AmmoTypeFactors,8,FALSE),"None",'Ammo Input'!L450)</f>
        <v>5</v>
      </c>
      <c r="N450">
        <f>'Ammo Input'!O450</f>
        <v>500</v>
      </c>
      <c r="O450" t="e">
        <f>ROUND((P450*0.0036+SUMPRODUCT(Q450:AB450,VLOOKUP($Q$1:$AB$1,IngredientStats,2,FALSE)))/N450*IF('Ammo Input'!R450,0.5,1),2)</f>
        <v>#VALUE!</v>
      </c>
      <c r="P450" t="e">
        <f>(SUMPRODUCT(Q450:AB450,VLOOKUP($Q$1:$AB$1,IngredientStats,4,FALSE))*VLOOKUP(B450,AmmoTypeFactors,14,FALSE)*IF('Ammo Input'!R450,1.1,1))</f>
        <v>#VALUE!</v>
      </c>
      <c r="Q450">
        <f>IFERROR(__xludf.DUMMYFUNCTION("((IF(NOT(OR(REGEXMATCH(B446, ""Arrow""), B446 = ""Javelin"", B446 = ""Stick bomb"")), ROUNDUP(('Ammo Input'!E446 / 1000) * N446)) + IF(VLOOKUP(B446, AmmoTypeFactors, 9, FALSE) = ""Steel"", ROUNDUP(('Ammo Input'!H446 -'Ammo Input'!M446) * MAX(IF('Ammo Inpu"&amp;"t'!J446 &gt; 0, 'Ammo Input'!J446, 1), 1) * N446 / 1000))) / 'Ingredient stats'!$C$2) * IF(ISBLANK(VLOOKUP(B446,AmmoTypeFactors,15,False)),1,VLOOKUP(B446,AmmoTypeFactors,15,False))"),28)</f>
        <v>28</v>
      </c>
      <c r="R450">
        <f>IFERROR(__xludf.DUMMYFUNCTION("ROUNDUP((IF(REGEXMATCH(B446, ""Arrow"") + (B446 = ""Javelin""), 'Ammo Input'!E446) + IF(VLOOKUP(B446, AmmoTypeFactors, 9, FALSE) = ""Wood"", 'Ammo Input'!H446) + IF(B446 = ""Stick bomb"", 'Ammo Input'!E446)) * N446 / 'Ingredient stats'!$C$12 / 1000)"),0)</f>
        <v>0</v>
      </c>
      <c r="S450">
        <v>0</v>
      </c>
      <c r="T450">
        <v>0</v>
      </c>
      <c r="U450">
        <f>IF(VLOOKUP(B450,AmmoTypeFactors,9,FALSE)="Plasteel",ROUNDUP(('Ammo Input'!H450*MAX(IF('Ammo Input'!J450&gt;0,'Ammo Input'!J450,1)*N450/1000/'Ingredient stats'!$C$4)),0),0)</f>
        <v>0</v>
      </c>
      <c r="V450">
        <f>IFERROR(__xludf.DUMMYFUNCTION("ROUNDUP(IF(ISBLANK(VLOOKUP(B446,AmmoTypeFactors,16,False)),1,VLOOKUP(B446,AmmoTypeFactors,16,False)) * (IFS(REGEXMATCH(B446, ""EMP""), 'Ammo Input'!M446 * N446 / 'Ingredient stats'!$C$5, REGEXMATCH(B446, ""Charge""), (U446^0.75), true, 0) + (IF(VLOOKUP(B4"&amp;"46, AmmoTypeFactors, 10, false), 2,0) + IF('Ammo Input'!P446, 2,0) + IF('Ammo Input'!Q446,MIN(ROUNDUP(0.2*('Ammo Input'!H446/1000)*'Ammo Input'!O446,0),20),0))))"),0)</f>
        <v>0</v>
      </c>
      <c r="W450">
        <v>0</v>
      </c>
      <c r="X450">
        <v>0</v>
      </c>
      <c r="Y450">
        <v>0</v>
      </c>
      <c r="Z450">
        <v>0</v>
      </c>
      <c r="AA450">
        <v>0</v>
      </c>
      <c r="AB450" s="30">
        <f>IF(B450="Sling Bullet (Stone)",ROUNDUP(D450*0.02*E450/'Ingredient stats'!$C$8,0),0)</f>
        <v>0</v>
      </c>
      <c r="AC450" t="str">
        <f t="shared" si="20"/>
        <v>None</v>
      </c>
      <c r="AD450" t="str">
        <f>IF(OR(B450="Buck",B450="Bird",B450="Charge (Scatter)"),'Ammo Input'!J450,"None")</f>
        <v>None</v>
      </c>
      <c r="AE450" t="str">
        <f>_xlfn.IFS(ISTEXT(Calcs!N450),Calcs!N450,Calcs!N450&lt;=40,Calcs!N450,Calcs!N450&gt;41,"40")</f>
        <v>None</v>
      </c>
      <c r="AF450" t="str">
        <f>_xlfn.IFS(ISTEXT(Calcs!O450),Calcs!O450,Calcs!O450&lt;=80,Calcs!O450,Calcs!O450&gt;=81,"80")</f>
        <v>None</v>
      </c>
      <c r="AG450" s="25">
        <f t="shared" si="21"/>
        <v>1</v>
      </c>
      <c r="AH450" s="25">
        <f t="shared" si="22"/>
        <v>2.02</v>
      </c>
      <c r="AI450" s="25">
        <f t="shared" si="23"/>
        <v>1</v>
      </c>
    </row>
    <row r="451" ht="14.4" spans="1:35">
      <c r="A451" s="24" t="str">
        <f>'Ammo Input'!A451</f>
        <v>8.6mm Blackout</v>
      </c>
      <c r="B451" t="str">
        <f>'Ammo Input'!B451</f>
        <v>AP</v>
      </c>
      <c r="C451">
        <f>ROUNDUP(('Ammo Input'!C451*(MAX('Ammo Input'!D451,'Ammo Input'!F451)*0.5)^2*PI())*3/1000000,2)</f>
        <v>0.03</v>
      </c>
      <c r="D451">
        <f>ROUNDUP(('Ammo Input'!E451+'Ammo Input'!H451*IF('Ammo Input'!J451&lt;&gt;"",MAX('Ammo Input'!J451,1),1))/1000,3)</f>
        <v>0.027</v>
      </c>
      <c r="E451">
        <f>MIN(5000,MAX(25,CEILING(Calcs!L451,_xlfn.IFS(Calcs!L451&lt;100,25,Calcs!L451&lt;250,50,Calcs!L451&lt;1000,250,Calcs!L451&gt;=1000,1000))))</f>
        <v>5000</v>
      </c>
      <c r="F451">
        <f>ROUNDUP('Ammo Input'!G451^(3/4),0)</f>
        <v>123</v>
      </c>
      <c r="G451">
        <f>ROUND((0.5*((IF(OR(B451="HEAT",B451="HEDP"),'Ammo Input'!N451,'Ammo Input'!H451)/1000)*(IF(B451="HEAT",9000,IF(B451="HEDP",1500,'Ammo Input'!G451))^2))),0)</f>
        <v>2530</v>
      </c>
      <c r="H451" s="25" t="str">
        <f>CONCATENATE(IF((B451="Foam")+(B451="Smoke"),"-",ROUND(Calcs!D451,0))," ",VLOOKUP(B451,AmmoTypeFactors,5,FALSE))</f>
        <v>12 Bullet</v>
      </c>
      <c r="I451" s="25" t="str">
        <f>IF(Calcs!E451=0,"None",CONCATENATE(ROUND(Calcs!E451,0)," ",VLOOKUP(B451,AmmoTypeFactors,6,FALSE)))</f>
        <v>None</v>
      </c>
      <c r="J451">
        <f>MROUND(2.42*'Ammo Input'!M451^(1/3)*VLOOKUP(B451,AmmoTypeFactors,3,FALSE),0.5)</f>
        <v>0</v>
      </c>
      <c r="K451" s="25" t="str">
        <f>IF(VLOOKUP(B451,AmmoTypeFactors,12,FALSE),MROUND(J451/3,0.5),"None")</f>
        <v>None</v>
      </c>
      <c r="L451" s="25">
        <f>IF(VLOOKUP(B451,AmmoTypeFactors,8,FALSE),"None",ROUNDUP(IF(Calcs!I451&gt;0,Calcs!I451,Calcs!H451),3))</f>
        <v>50.6</v>
      </c>
      <c r="M451" s="25">
        <f>IF(VLOOKUP(B451,AmmoTypeFactors,8,FALSE),"None",'Ammo Input'!L451)</f>
        <v>10</v>
      </c>
      <c r="N451">
        <f>'Ammo Input'!O451</f>
        <v>500</v>
      </c>
      <c r="O451" t="e">
        <f>ROUND((P451*0.0036+SUMPRODUCT(Q451:AB451,VLOOKUP($Q$1:$AB$1,IngredientStats,2,FALSE)))/N451*IF('Ammo Input'!R451,0.5,1),2)</f>
        <v>#VALUE!</v>
      </c>
      <c r="P451" t="e">
        <f>(SUMPRODUCT(Q451:AB451,VLOOKUP($Q$1:$AB$1,IngredientStats,4,FALSE))*VLOOKUP(B451,AmmoTypeFactors,14,FALSE)*IF('Ammo Input'!R451,1.1,1))</f>
        <v>#VALUE!</v>
      </c>
      <c r="Q451">
        <f>IFERROR(__xludf.DUMMYFUNCTION("((IF(NOT(OR(REGEXMATCH(B447, ""Arrow""), B447 = ""Javelin"", B447 = ""Stick bomb"")), ROUNDUP(('Ammo Input'!E447 / 1000) * N447)) + IF(VLOOKUP(B447, AmmoTypeFactors, 9, FALSE) = ""Steel"", ROUNDUP(('Ammo Input'!H447 -'Ammo Input'!M447) * MAX(IF('Ammo Inpu"&amp;"t'!J447 &gt; 0, 'Ammo Input'!J447, 1), 1) * N447 / 1000))) / 'Ingredient stats'!$C$2) * IF(ISBLANK(VLOOKUP(B447,AmmoTypeFactors,15,False)),1,VLOOKUP(B447,AmmoTypeFactors,15,False))"),28)</f>
        <v>28</v>
      </c>
      <c r="R451">
        <f>IFERROR(__xludf.DUMMYFUNCTION("ROUNDUP((IF(REGEXMATCH(B447, ""Arrow"") + (B447 = ""Javelin""), 'Ammo Input'!E447) + IF(VLOOKUP(B447, AmmoTypeFactors, 9, FALSE) = ""Wood"", 'Ammo Input'!H447) + IF(B447 = ""Stick bomb"", 'Ammo Input'!E447)) * N447 / 'Ingredient stats'!$C$12 / 1000)"),0)</f>
        <v>0</v>
      </c>
      <c r="S451">
        <v>0</v>
      </c>
      <c r="T451">
        <v>0</v>
      </c>
      <c r="U451">
        <f>IF(VLOOKUP(B451,AmmoTypeFactors,9,FALSE)="Plasteel",ROUNDUP(('Ammo Input'!H451*MAX(IF('Ammo Input'!J451&gt;0,'Ammo Input'!J451,1)*N451/1000/'Ingredient stats'!$C$4)),0),0)</f>
        <v>0</v>
      </c>
      <c r="V451">
        <f>IFERROR(__xludf.DUMMYFUNCTION("ROUNDUP(IF(ISBLANK(VLOOKUP(B447,AmmoTypeFactors,16,False)),1,VLOOKUP(B447,AmmoTypeFactors,16,False)) * (IFS(REGEXMATCH(B447, ""EMP""), 'Ammo Input'!M447 * N447 / 'Ingredient stats'!$C$5, REGEXMATCH(B447, ""Charge""), (U447^0.75), true, 0) + (IF(VLOOKUP(B4"&amp;"47, AmmoTypeFactors, 10, false), 2,0) + IF('Ammo Input'!P447, 2,0) + IF('Ammo Input'!Q447,MIN(ROUNDUP(0.2*('Ammo Input'!H447/1000)*'Ammo Input'!O447,0),20),0))))"),0)</f>
        <v>0</v>
      </c>
      <c r="W451">
        <v>0</v>
      </c>
      <c r="X451">
        <v>0</v>
      </c>
      <c r="Y451">
        <v>0</v>
      </c>
      <c r="Z451">
        <v>0</v>
      </c>
      <c r="AA451">
        <v>0</v>
      </c>
      <c r="AB451" s="30">
        <f>IF(B451="Sling Bullet (Stone)",ROUNDUP(D451*0.02*E451/'Ingredient stats'!$C$8,0),0)</f>
        <v>0</v>
      </c>
      <c r="AC451" t="str">
        <f t="shared" si="20"/>
        <v>None</v>
      </c>
      <c r="AD451" t="str">
        <f>IF(OR(B451="Buck",B451="Bird",B451="Charge (Scatter)"),'Ammo Input'!J451,"None")</f>
        <v>None</v>
      </c>
      <c r="AE451" t="str">
        <f>_xlfn.IFS(ISTEXT(Calcs!N451),Calcs!N451,Calcs!N451&lt;=40,Calcs!N451,Calcs!N451&gt;41,"40")</f>
        <v>None</v>
      </c>
      <c r="AF451" t="str">
        <f>_xlfn.IFS(ISTEXT(Calcs!O451),Calcs!O451,Calcs!O451&lt;=80,Calcs!O451,Calcs!O451&gt;=81,"80")</f>
        <v>None</v>
      </c>
      <c r="AG451" s="25">
        <f t="shared" si="21"/>
        <v>1</v>
      </c>
      <c r="AH451" s="25">
        <f t="shared" si="22"/>
        <v>2.02</v>
      </c>
      <c r="AI451" s="25">
        <f t="shared" si="23"/>
        <v>1</v>
      </c>
    </row>
    <row r="452" ht="14.4" spans="1:35">
      <c r="A452" s="24" t="str">
        <f>'Ammo Input'!A452</f>
        <v>8.6mm Blackout</v>
      </c>
      <c r="B452" t="str">
        <f>'Ammo Input'!B452</f>
        <v>HP</v>
      </c>
      <c r="C452">
        <f>ROUNDUP(('Ammo Input'!C452*(MAX('Ammo Input'!D452,'Ammo Input'!F452)*0.5)^2*PI())*3/1000000,2)</f>
        <v>0.03</v>
      </c>
      <c r="D452">
        <f>ROUNDUP(('Ammo Input'!E452+'Ammo Input'!H452*IF('Ammo Input'!J452&lt;&gt;"",MAX('Ammo Input'!J452,1),1))/1000,3)</f>
        <v>0.027</v>
      </c>
      <c r="E452">
        <f>MIN(5000,MAX(25,CEILING(Calcs!L452,_xlfn.IFS(Calcs!L452&lt;100,25,Calcs!L452&lt;250,50,Calcs!L452&lt;1000,250,Calcs!L452&gt;=1000,1000))))</f>
        <v>5000</v>
      </c>
      <c r="F452">
        <f>ROUNDUP('Ammo Input'!G452^(3/4),0)</f>
        <v>123</v>
      </c>
      <c r="G452">
        <f>ROUND((0.5*((IF(OR(B452="HEAT",B452="HEDP"),'Ammo Input'!N452,'Ammo Input'!H452)/1000)*(IF(B452="HEAT",9000,IF(B452="HEDP",1500,'Ammo Input'!G452))^2))),0)</f>
        <v>2530</v>
      </c>
      <c r="H452" s="25" t="str">
        <f>CONCATENATE(IF((B452="Foam")+(B452="Smoke"),"-",ROUND(Calcs!D452,0))," ",VLOOKUP(B452,AmmoTypeFactors,5,FALSE))</f>
        <v>23 Bullet</v>
      </c>
      <c r="I452" s="25" t="str">
        <f>IF(Calcs!E452=0,"None",CONCATENATE(ROUND(Calcs!E452,0)," ",VLOOKUP(B452,AmmoTypeFactors,6,FALSE)))</f>
        <v>None</v>
      </c>
      <c r="J452">
        <f>MROUND(2.42*'Ammo Input'!M452^(1/3)*VLOOKUP(B452,AmmoTypeFactors,3,FALSE),0.5)</f>
        <v>0</v>
      </c>
      <c r="K452" s="25" t="str">
        <f>IF(VLOOKUP(B452,AmmoTypeFactors,12,FALSE),MROUND(J452/3,0.5),"None")</f>
        <v>None</v>
      </c>
      <c r="L452" s="25">
        <f>IF(VLOOKUP(B452,AmmoTypeFactors,8,FALSE),"None",ROUNDUP(IF(Calcs!I452&gt;0,Calcs!I452,Calcs!H452),3))</f>
        <v>50.6</v>
      </c>
      <c r="M452" s="25">
        <f>IF(VLOOKUP(B452,AmmoTypeFactors,8,FALSE),"None",'Ammo Input'!L452)</f>
        <v>3</v>
      </c>
      <c r="N452">
        <f>'Ammo Input'!O452</f>
        <v>500</v>
      </c>
      <c r="O452" t="e">
        <f>ROUND((P452*0.0036+SUMPRODUCT(Q452:AB452,VLOOKUP($Q$1:$AB$1,IngredientStats,2,FALSE)))/N452*IF('Ammo Input'!R452,0.5,1),2)</f>
        <v>#VALUE!</v>
      </c>
      <c r="P452" t="e">
        <f>(SUMPRODUCT(Q452:AB452,VLOOKUP($Q$1:$AB$1,IngredientStats,4,FALSE))*VLOOKUP(B452,AmmoTypeFactors,14,FALSE)*IF('Ammo Input'!R452,1.1,1))</f>
        <v>#VALUE!</v>
      </c>
      <c r="Q452">
        <f>IFERROR(__xludf.DUMMYFUNCTION("((IF(NOT(OR(REGEXMATCH(B448, ""Arrow""), B448 = ""Javelin"", B448 = ""Stick bomb"")), ROUNDUP(('Ammo Input'!E448 / 1000) * N448)) + IF(VLOOKUP(B448, AmmoTypeFactors, 9, FALSE) = ""Steel"", ROUNDUP(('Ammo Input'!H448 -'Ammo Input'!M448) * MAX(IF('Ammo Inpu"&amp;"t'!J448 &gt; 0, 'Ammo Input'!J448, 1), 1) * N448 / 1000))) / 'Ingredient stats'!$C$2) * IF(ISBLANK(VLOOKUP(B448,AmmoTypeFactors,15,False)),1,VLOOKUP(B448,AmmoTypeFactors,15,False))"),28)</f>
        <v>28</v>
      </c>
      <c r="R452">
        <f>IFERROR(__xludf.DUMMYFUNCTION("ROUNDUP((IF(REGEXMATCH(B448, ""Arrow"") + (B448 = ""Javelin""), 'Ammo Input'!E448) + IF(VLOOKUP(B448, AmmoTypeFactors, 9, FALSE) = ""Wood"", 'Ammo Input'!H448) + IF(B448 = ""Stick bomb"", 'Ammo Input'!E448)) * N448 / 'Ingredient stats'!$C$12 / 1000)"),0)</f>
        <v>0</v>
      </c>
      <c r="S452">
        <v>0</v>
      </c>
      <c r="T452">
        <v>0</v>
      </c>
      <c r="U452">
        <f>IF(VLOOKUP(B452,AmmoTypeFactors,9,FALSE)="Plasteel",ROUNDUP(('Ammo Input'!H452*MAX(IF('Ammo Input'!J452&gt;0,'Ammo Input'!J452,1)*N452/1000/'Ingredient stats'!$C$4)),0),0)</f>
        <v>0</v>
      </c>
      <c r="V452">
        <f>IFERROR(__xludf.DUMMYFUNCTION("ROUNDUP(IF(ISBLANK(VLOOKUP(B448,AmmoTypeFactors,16,False)),1,VLOOKUP(B448,AmmoTypeFactors,16,False)) * (IFS(REGEXMATCH(B448, ""EMP""), 'Ammo Input'!M448 * N448 / 'Ingredient stats'!$C$5, REGEXMATCH(B448, ""Charge""), (U448^0.75), true, 0) + (IF(VLOOKUP(B4"&amp;"48, AmmoTypeFactors, 10, false), 2,0) + IF('Ammo Input'!P448, 2,0) + IF('Ammo Input'!Q448,MIN(ROUNDUP(0.2*('Ammo Input'!H448/1000)*'Ammo Input'!O448,0),20),0))))"),0)</f>
        <v>0</v>
      </c>
      <c r="W452">
        <v>0</v>
      </c>
      <c r="X452">
        <v>0</v>
      </c>
      <c r="Y452">
        <v>0</v>
      </c>
      <c r="Z452">
        <v>0</v>
      </c>
      <c r="AA452">
        <v>0</v>
      </c>
      <c r="AB452" s="30">
        <f>IF(B452="Sling Bullet (Stone)",ROUNDUP(D452*0.02*E452/'Ingredient stats'!$C$8,0),0)</f>
        <v>0</v>
      </c>
      <c r="AC452" t="str">
        <f t="shared" si="20"/>
        <v>None</v>
      </c>
      <c r="AD452" t="str">
        <f>IF(OR(B452="Buck",B452="Bird",B452="Charge (Scatter)"),'Ammo Input'!J452,"None")</f>
        <v>None</v>
      </c>
      <c r="AE452" t="str">
        <f>_xlfn.IFS(ISTEXT(Calcs!N452),Calcs!N452,Calcs!N452&lt;=40,Calcs!N452,Calcs!N452&gt;41,"40")</f>
        <v>None</v>
      </c>
      <c r="AF452" t="str">
        <f>_xlfn.IFS(ISTEXT(Calcs!O452),Calcs!O452,Calcs!O452&lt;=80,Calcs!O452,Calcs!O452&gt;=81,"80")</f>
        <v>None</v>
      </c>
      <c r="AG452" s="25">
        <f t="shared" si="21"/>
        <v>1</v>
      </c>
      <c r="AH452" s="25">
        <f t="shared" si="22"/>
        <v>2.02</v>
      </c>
      <c r="AI452" s="25">
        <f t="shared" si="23"/>
        <v>1</v>
      </c>
    </row>
    <row r="453" ht="14.4" spans="1:35">
      <c r="A453" s="24" t="str">
        <f>'Ammo Input'!A453</f>
        <v>8.6mm Blackout</v>
      </c>
      <c r="B453" t="str">
        <f>'Ammo Input'!B453</f>
        <v>AP-I</v>
      </c>
      <c r="C453">
        <f>ROUNDUP(('Ammo Input'!C453*(MAX('Ammo Input'!D453,'Ammo Input'!F453)*0.5)^2*PI())*3/1000000,2)</f>
        <v>0.03</v>
      </c>
      <c r="D453">
        <f>ROUNDUP(('Ammo Input'!E453+'Ammo Input'!H453*IF('Ammo Input'!J453&lt;&gt;"",MAX('Ammo Input'!J453,1),1))/1000,3)</f>
        <v>0.027</v>
      </c>
      <c r="E453">
        <f>MIN(5000,MAX(25,CEILING(Calcs!L453,_xlfn.IFS(Calcs!L453&lt;100,25,Calcs!L453&lt;250,50,Calcs!L453&lt;1000,250,Calcs!L453&gt;=1000,1000))))</f>
        <v>5000</v>
      </c>
      <c r="F453">
        <f>ROUNDUP('Ammo Input'!G453^(3/4),0)</f>
        <v>123</v>
      </c>
      <c r="G453">
        <f>ROUND((0.5*((IF(OR(B453="HEAT",B453="HEDP"),'Ammo Input'!N453,'Ammo Input'!H453)/1000)*(IF(B453="HEAT",9000,IF(B453="HEDP",1500,'Ammo Input'!G453))^2))),0)</f>
        <v>2530</v>
      </c>
      <c r="H453" s="25" t="str">
        <f>CONCATENATE(IF((B453="Foam")+(B453="Smoke"),"-",ROUND(Calcs!D453,0))," ",VLOOKUP(B453,AmmoTypeFactors,5,FALSE))</f>
        <v>12 Bullet</v>
      </c>
      <c r="I453" s="25" t="str">
        <f>IF(Calcs!E453=0,"None",CONCATENATE(ROUND(Calcs!E453,0)," ",VLOOKUP(B453,AmmoTypeFactors,6,FALSE)))</f>
        <v>7 Flame_Secondary</v>
      </c>
      <c r="J453">
        <f>MROUND(2.42*'Ammo Input'!M453^(1/3)*VLOOKUP(B453,AmmoTypeFactors,3,FALSE),0.5)</f>
        <v>0</v>
      </c>
      <c r="K453" s="25" t="str">
        <f>IF(VLOOKUP(B453,AmmoTypeFactors,12,FALSE),MROUND(J453/3,0.5),"None")</f>
        <v>None</v>
      </c>
      <c r="L453" s="25">
        <f>IF(VLOOKUP(B453,AmmoTypeFactors,8,FALSE),"None",ROUNDUP(IF(Calcs!I453&gt;0,Calcs!I453,Calcs!H453),3))</f>
        <v>50.6</v>
      </c>
      <c r="M453" s="25">
        <f>IF(VLOOKUP(B453,AmmoTypeFactors,8,FALSE),"None",'Ammo Input'!L453)</f>
        <v>10</v>
      </c>
      <c r="N453">
        <f>'Ammo Input'!O453</f>
        <v>500</v>
      </c>
      <c r="O453" t="e">
        <f>ROUND((P453*0.0036+SUMPRODUCT(Q453:AB453,VLOOKUP($Q$1:$AB$1,IngredientStats,2,FALSE)))/N453*IF('Ammo Input'!R453,0.5,1),2)</f>
        <v>#VALUE!</v>
      </c>
      <c r="P453" t="e">
        <f>(SUMPRODUCT(Q453:AB453,VLOOKUP($Q$1:$AB$1,IngredientStats,4,FALSE))*VLOOKUP(B453,AmmoTypeFactors,14,FALSE)*IF('Ammo Input'!R453,1.1,1))</f>
        <v>#VALUE!</v>
      </c>
      <c r="Q453">
        <f>IFERROR(__xludf.DUMMYFUNCTION("((IF(NOT(OR(REGEXMATCH(B449, ""Arrow""), B449 = ""Javelin"", B449 = ""Stick bomb"")), ROUNDUP(('Ammo Input'!E449 / 1000) * N449)) + IF(VLOOKUP(B449, AmmoTypeFactors, 9, FALSE) = ""Steel"", ROUNDUP(('Ammo Input'!H449 -'Ammo Input'!M449) * MAX(IF('Ammo Inpu"&amp;"t'!J449 &gt; 0, 'Ammo Input'!J449, 1), 1) * N449 / 1000))) / 'Ingredient stats'!$C$2) * IF(ISBLANK(VLOOKUP(B449,AmmoTypeFactors,15,False)),1,VLOOKUP(B449,AmmoTypeFactors,15,False))"),28)</f>
        <v>28</v>
      </c>
      <c r="R453">
        <f>IFERROR(__xludf.DUMMYFUNCTION("ROUNDUP((IF(REGEXMATCH(B449, ""Arrow"") + (B449 = ""Javelin""), 'Ammo Input'!E449) + IF(VLOOKUP(B449, AmmoTypeFactors, 9, FALSE) = ""Wood"", 'Ammo Input'!H449) + IF(B449 = ""Stick bomb"", 'Ammo Input'!E449)) * N449 / 'Ingredient stats'!$C$12 / 1000)"),0)</f>
        <v>0</v>
      </c>
      <c r="S453">
        <v>0</v>
      </c>
      <c r="T453">
        <v>0</v>
      </c>
      <c r="U453">
        <f>IF(VLOOKUP(B453,AmmoTypeFactors,9,FALSE)="Plasteel",ROUNDUP(('Ammo Input'!H453*MAX(IF('Ammo Input'!J453&gt;0,'Ammo Input'!J453,1)*N453/1000/'Ingredient stats'!$C$4)),0),0)</f>
        <v>0</v>
      </c>
      <c r="V453">
        <f>IFERROR(__xludf.DUMMYFUNCTION("ROUNDUP(IF(ISBLANK(VLOOKUP(B449,AmmoTypeFactors,16,False)),1,VLOOKUP(B449,AmmoTypeFactors,16,False)) * (IFS(REGEXMATCH(B449, ""EMP""), 'Ammo Input'!M449 * N449 / 'Ingredient stats'!$C$5, REGEXMATCH(B449, ""Charge""), (U449^0.75), true, 0) + (IF(VLOOKUP(B4"&amp;"49, AmmoTypeFactors, 10, false), 2,0) + IF('Ammo Input'!P449, 2,0) + IF('Ammo Input'!Q449,MIN(ROUNDUP(0.2*('Ammo Input'!H449/1000)*'Ammo Input'!O449,0),20),0))))"),0)</f>
        <v>0</v>
      </c>
      <c r="W453">
        <v>4</v>
      </c>
      <c r="X453">
        <v>0</v>
      </c>
      <c r="Y453">
        <v>0</v>
      </c>
      <c r="Z453">
        <v>0</v>
      </c>
      <c r="AA453">
        <v>0</v>
      </c>
      <c r="AB453" s="30">
        <f>IF(B453="Sling Bullet (Stone)",ROUNDUP(D453*0.02*E453/'Ingredient stats'!$C$8,0),0)</f>
        <v>0</v>
      </c>
      <c r="AC453" t="str">
        <f t="shared" si="20"/>
        <v>None</v>
      </c>
      <c r="AD453" t="str">
        <f>IF(OR(B453="Buck",B453="Bird",B453="Charge (Scatter)"),'Ammo Input'!J453,"None")</f>
        <v>None</v>
      </c>
      <c r="AE453" t="str">
        <f>_xlfn.IFS(ISTEXT(Calcs!N453),Calcs!N453,Calcs!N453&lt;=40,Calcs!N453,Calcs!N453&gt;41,"40")</f>
        <v>None</v>
      </c>
      <c r="AF453" t="str">
        <f>_xlfn.IFS(ISTEXT(Calcs!O453),Calcs!O453,Calcs!O453&lt;=80,Calcs!O453,Calcs!O453&gt;=81,"80")</f>
        <v>None</v>
      </c>
      <c r="AG453" s="25">
        <f t="shared" si="21"/>
        <v>1</v>
      </c>
      <c r="AH453" s="25">
        <f t="shared" si="22"/>
        <v>2.02</v>
      </c>
      <c r="AI453" s="25">
        <f t="shared" si="23"/>
        <v>1</v>
      </c>
    </row>
    <row r="454" ht="14.4" spans="1:35">
      <c r="A454" s="24" t="str">
        <f>'Ammo Input'!A454</f>
        <v>8.6mm Blackout</v>
      </c>
      <c r="B454" t="str">
        <f>'Ammo Input'!B454</f>
        <v>AP-HE</v>
      </c>
      <c r="C454">
        <f>ROUNDUP(('Ammo Input'!C454*(MAX('Ammo Input'!D454,'Ammo Input'!F454)*0.5)^2*PI())*3/1000000,2)</f>
        <v>0.03</v>
      </c>
      <c r="D454">
        <f>ROUNDUP(('Ammo Input'!E454+'Ammo Input'!H454*IF('Ammo Input'!J454&lt;&gt;"",MAX('Ammo Input'!J454,1),1))/1000,3)</f>
        <v>0.027</v>
      </c>
      <c r="E454">
        <f>MIN(5000,MAX(25,CEILING(Calcs!L454,_xlfn.IFS(Calcs!L454&lt;100,25,Calcs!L454&lt;250,50,Calcs!L454&lt;1000,250,Calcs!L454&gt;=1000,1000))))</f>
        <v>5000</v>
      </c>
      <c r="F454">
        <f>ROUNDUP('Ammo Input'!G454^(3/4),0)</f>
        <v>123</v>
      </c>
      <c r="G454">
        <f>ROUND((0.5*((IF(OR(B454="HEAT",B454="HEDP"),'Ammo Input'!N454,'Ammo Input'!H454)/1000)*(IF(B454="HEAT",9000,IF(B454="HEDP",1500,'Ammo Input'!G454))^2))),0)</f>
        <v>2530</v>
      </c>
      <c r="H454" s="25" t="str">
        <f>CONCATENATE(IF((B454="Foam")+(B454="Smoke"),"-",ROUND(Calcs!D454,0))," ",VLOOKUP(B454,AmmoTypeFactors,5,FALSE))</f>
        <v>18 Bullet</v>
      </c>
      <c r="I454" s="25" t="str">
        <f>IF(Calcs!E454=0,"None",CONCATENATE(ROUND(Calcs!E454,0)," ",VLOOKUP(B454,AmmoTypeFactors,6,FALSE)))</f>
        <v>9 Bomb_Secondary</v>
      </c>
      <c r="J454">
        <f>MROUND(2.42*'Ammo Input'!M454^(1/3)*VLOOKUP(B454,AmmoTypeFactors,3,FALSE),0.5)</f>
        <v>0</v>
      </c>
      <c r="K454" s="25" t="str">
        <f>IF(VLOOKUP(B454,AmmoTypeFactors,12,FALSE),MROUND(J454/3,0.5),"None")</f>
        <v>None</v>
      </c>
      <c r="L454" s="25">
        <f>IF(VLOOKUP(B454,AmmoTypeFactors,8,FALSE),"None",ROUNDUP(IF(Calcs!I454&gt;0,Calcs!I454,Calcs!H454),3))</f>
        <v>50.6</v>
      </c>
      <c r="M454" s="25">
        <f>IF(VLOOKUP(B454,AmmoTypeFactors,8,FALSE),"None",'Ammo Input'!L454)</f>
        <v>5</v>
      </c>
      <c r="N454">
        <f>'Ammo Input'!O454</f>
        <v>500</v>
      </c>
      <c r="O454" t="e">
        <f>ROUND((P454*0.0036+SUMPRODUCT(Q454:AB454,VLOOKUP($Q$1:$AB$1,IngredientStats,2,FALSE)))/N454*IF('Ammo Input'!R454,0.5,1),2)</f>
        <v>#VALUE!</v>
      </c>
      <c r="P454" t="e">
        <f>(SUMPRODUCT(Q454:AB454,VLOOKUP($Q$1:$AB$1,IngredientStats,4,FALSE))*VLOOKUP(B454,AmmoTypeFactors,14,FALSE)*IF('Ammo Input'!R454,1.1,1))</f>
        <v>#VALUE!</v>
      </c>
      <c r="Q454">
        <f>IFERROR(__xludf.DUMMYFUNCTION("((IF(NOT(OR(REGEXMATCH(B450, ""Arrow""), B450 = ""Javelin"", B450 = ""Stick bomb"")), ROUNDUP(('Ammo Input'!E450 / 1000) * N450)) + IF(VLOOKUP(B450, AmmoTypeFactors, 9, FALSE) = ""Steel"", ROUNDUP(('Ammo Input'!H450 -'Ammo Input'!M450) * MAX(IF('Ammo Inpu"&amp;"t'!J450 &gt; 0, 'Ammo Input'!J450, 1), 1) * N450 / 1000))) / 'Ingredient stats'!$C$2) * IF(ISBLANK(VLOOKUP(B450,AmmoTypeFactors,15,False)),1,VLOOKUP(B450,AmmoTypeFactors,15,False))"),28)</f>
        <v>28</v>
      </c>
      <c r="R454">
        <f>IFERROR(__xludf.DUMMYFUNCTION("ROUNDUP((IF(REGEXMATCH(B450, ""Arrow"") + (B450 = ""Javelin""), 'Ammo Input'!E450) + IF(VLOOKUP(B450, AmmoTypeFactors, 9, FALSE) = ""Wood"", 'Ammo Input'!H450) + IF(B450 = ""Stick bomb"", 'Ammo Input'!E450)) * N450 / 'Ingredient stats'!$C$12 / 1000)"),0)</f>
        <v>0</v>
      </c>
      <c r="S454">
        <v>0</v>
      </c>
      <c r="T454">
        <v>0</v>
      </c>
      <c r="U454">
        <f>IF(VLOOKUP(B454,AmmoTypeFactors,9,FALSE)="Plasteel",ROUNDUP(('Ammo Input'!H454*MAX(IF('Ammo Input'!J454&gt;0,'Ammo Input'!J454,1)*N454/1000/'Ingredient stats'!$C$4)),0),0)</f>
        <v>0</v>
      </c>
      <c r="V454">
        <f>IFERROR(__xludf.DUMMYFUNCTION("ROUNDUP(IF(ISBLANK(VLOOKUP(B450,AmmoTypeFactors,16,False)),1,VLOOKUP(B450,AmmoTypeFactors,16,False)) * (IFS(REGEXMATCH(B450, ""EMP""), 'Ammo Input'!M450 * N450 / 'Ingredient stats'!$C$5, REGEXMATCH(B450, ""Charge""), (U450^0.75), true, 0) + (IF(VLOOKUP(B4"&amp;"50, AmmoTypeFactors, 10, false), 2,0) + IF('Ammo Input'!P450, 2,0) + IF('Ammo Input'!Q450,MIN(ROUNDUP(0.2*('Ammo Input'!H450/1000)*'Ammo Input'!O450,0),20),0))))"),0)</f>
        <v>0</v>
      </c>
      <c r="W454">
        <v>0</v>
      </c>
      <c r="X454">
        <v>8</v>
      </c>
      <c r="Y454">
        <v>0</v>
      </c>
      <c r="Z454">
        <v>0</v>
      </c>
      <c r="AA454">
        <v>0</v>
      </c>
      <c r="AB454" s="30">
        <f>IF(B454="Sling Bullet (Stone)",ROUNDUP(D454*0.02*E454/'Ingredient stats'!$C$8,0),0)</f>
        <v>0</v>
      </c>
      <c r="AC454" t="str">
        <f t="shared" si="20"/>
        <v>None</v>
      </c>
      <c r="AD454" t="str">
        <f>IF(OR(B454="Buck",B454="Bird",B454="Charge (Scatter)"),'Ammo Input'!J454,"None")</f>
        <v>None</v>
      </c>
      <c r="AE454" t="str">
        <f>_xlfn.IFS(ISTEXT(Calcs!N454),Calcs!N454,Calcs!N454&lt;=40,Calcs!N454,Calcs!N454&gt;41,"40")</f>
        <v>None</v>
      </c>
      <c r="AF454" t="str">
        <f>_xlfn.IFS(ISTEXT(Calcs!O454),Calcs!O454,Calcs!O454&lt;=80,Calcs!O454,Calcs!O454&gt;=81,"80")</f>
        <v>None</v>
      </c>
      <c r="AG454" s="25">
        <f t="shared" si="21"/>
        <v>1</v>
      </c>
      <c r="AH454" s="25">
        <f t="shared" si="22"/>
        <v>2.02</v>
      </c>
      <c r="AI454" s="25">
        <f t="shared" si="23"/>
        <v>1</v>
      </c>
    </row>
    <row r="455" ht="14.4" spans="1:35">
      <c r="A455" s="24" t="str">
        <f>'Ammo Input'!A455</f>
        <v>8.6mm Blackout</v>
      </c>
      <c r="B455" t="str">
        <f>'Ammo Input'!B455</f>
        <v>Sabot</v>
      </c>
      <c r="C455">
        <f>ROUNDUP(('Ammo Input'!C455*(MAX('Ammo Input'!D455,'Ammo Input'!F455)*0.5)^2*PI())*3/1000000,2)</f>
        <v>0.03</v>
      </c>
      <c r="D455">
        <f>ROUNDUP(('Ammo Input'!E455+'Ammo Input'!H455*IF('Ammo Input'!J455&lt;&gt;"",MAX('Ammo Input'!J455,1),1))/1000,3)</f>
        <v>0.021</v>
      </c>
      <c r="E455">
        <f>MIN(5000,MAX(25,CEILING(Calcs!L455,_xlfn.IFS(Calcs!L455&lt;100,25,Calcs!L455&lt;250,50,Calcs!L455&lt;1000,250,Calcs!L455&gt;=1000,1000))))</f>
        <v>5000</v>
      </c>
      <c r="F455">
        <f>ROUNDUP('Ammo Input'!G455^(3/4),0)</f>
        <v>167</v>
      </c>
      <c r="G455">
        <f>ROUND((0.5*((IF(OR(B455="HEAT",B455="HEDP"),'Ammo Input'!N455,'Ammo Input'!H455)/1000)*(IF(B455="HEAT",9000,IF(B455="HEDP",1500,'Ammo Input'!G455))^2))),0)</f>
        <v>3253</v>
      </c>
      <c r="H455" s="25" t="str">
        <f>CONCATENATE(IF((B455="Foam")+(B455="Smoke"),"-",ROUND(Calcs!D455,0))," ",VLOOKUP(B455,AmmoTypeFactors,5,FALSE))</f>
        <v>11 Bullet</v>
      </c>
      <c r="I455" s="25" t="str">
        <f>IF(Calcs!E455=0,"None",CONCATENATE(ROUND(Calcs!E455,0)," ",VLOOKUP(B455,AmmoTypeFactors,6,FALSE)))</f>
        <v>None</v>
      </c>
      <c r="J455">
        <f>MROUND(2.42*'Ammo Input'!M455^(1/3)*VLOOKUP(B455,AmmoTypeFactors,3,FALSE),0.5)</f>
        <v>0</v>
      </c>
      <c r="K455" s="25" t="str">
        <f>IF(VLOOKUP(B455,AmmoTypeFactors,12,FALSE),MROUND(J455/3,0.5),"None")</f>
        <v>None</v>
      </c>
      <c r="L455" s="25">
        <f>IF(VLOOKUP(B455,AmmoTypeFactors,8,FALSE),"None",ROUNDUP(IF(Calcs!I455&gt;0,Calcs!I455,Calcs!H455),3))</f>
        <v>65.06</v>
      </c>
      <c r="M455" s="25">
        <f>IF(VLOOKUP(B455,AmmoTypeFactors,8,FALSE),"None",'Ammo Input'!L455)</f>
        <v>17.5</v>
      </c>
      <c r="N455">
        <f>'Ammo Input'!O455</f>
        <v>500</v>
      </c>
      <c r="O455" t="e">
        <f>ROUND((P455*0.0036+SUMPRODUCT(Q455:AB455,VLOOKUP($Q$1:$AB$1,IngredientStats,2,FALSE)))/N455*IF('Ammo Input'!R455,0.5,1),2)</f>
        <v>#VALUE!</v>
      </c>
      <c r="P455" t="e">
        <f>(SUMPRODUCT(Q455:AB455,VLOOKUP($Q$1:$AB$1,IngredientStats,4,FALSE))*VLOOKUP(B455,AmmoTypeFactors,14,FALSE)*IF('Ammo Input'!R455,1.1,1))</f>
        <v>#VALUE!</v>
      </c>
      <c r="Q455">
        <f>IFERROR(__xludf.DUMMYFUNCTION("((IF(NOT(OR(REGEXMATCH(B451, ""Arrow""), B451 = ""Javelin"", B451 = ""Stick bomb"")), ROUNDUP(('Ammo Input'!E451 / 1000) * N451)) + IF(VLOOKUP(B451, AmmoTypeFactors, 9, FALSE) = ""Steel"", ROUNDUP(('Ammo Input'!H451 -'Ammo Input'!M451) * MAX(IF('Ammo Inpu"&amp;"t'!J451 &gt; 0, 'Ammo Input'!J451, 1), 1) * N451 / 1000))) / 'Ingredient stats'!$C$2) * IF(ISBLANK(VLOOKUP(B451,AmmoTypeFactors,15,False)),1,VLOOKUP(B451,AmmoTypeFactors,15,False))"),14)</f>
        <v>14</v>
      </c>
      <c r="R455">
        <f>IFERROR(__xludf.DUMMYFUNCTION("ROUNDUP((IF(REGEXMATCH(B451, ""Arrow"") + (B451 = ""Javelin""), 'Ammo Input'!E451) + IF(VLOOKUP(B451, AmmoTypeFactors, 9, FALSE) = ""Wood"", 'Ammo Input'!H451) + IF(B451 = ""Stick bomb"", 'Ammo Input'!E451)) * N451 / 'Ingredient stats'!$C$12 / 1000)"),0)</f>
        <v>0</v>
      </c>
      <c r="S455">
        <v>4</v>
      </c>
      <c r="T455">
        <v>4</v>
      </c>
      <c r="U455">
        <f>IF(VLOOKUP(B455,AmmoTypeFactors,9,FALSE)="Plasteel",ROUNDUP(('Ammo Input'!H455*MAX(IF('Ammo Input'!J455&gt;0,'Ammo Input'!J455,1)*N455/1000/'Ingredient stats'!$C$4)),0),0)</f>
        <v>0</v>
      </c>
      <c r="V455">
        <f>IFERROR(__xludf.DUMMYFUNCTION("ROUNDUP(IF(ISBLANK(VLOOKUP(B451,AmmoTypeFactors,16,False)),1,VLOOKUP(B451,AmmoTypeFactors,16,False)) * (IFS(REGEXMATCH(B451, ""EMP""), 'Ammo Input'!M451 * N451 / 'Ingredient stats'!$C$5, REGEXMATCH(B451, ""Charge""), (U451^0.75), true, 0) + (IF(VLOOKUP(B4"&amp;"51, AmmoTypeFactors, 10, false), 2,0) + IF('Ammo Input'!P451, 2,0) + IF('Ammo Input'!Q451,MIN(ROUNDUP(0.2*('Ammo Input'!H451/1000)*'Ammo Input'!O451,0),20),0))))"),0)</f>
        <v>0</v>
      </c>
      <c r="W455">
        <v>0</v>
      </c>
      <c r="X455">
        <v>0</v>
      </c>
      <c r="Y455">
        <v>0</v>
      </c>
      <c r="Z455">
        <v>0</v>
      </c>
      <c r="AA455">
        <v>0</v>
      </c>
      <c r="AB455" s="30">
        <f>IF(B455="Sling Bullet (Stone)",ROUNDUP(D455*0.02*E455/'Ingredient stats'!$C$8,0),0)</f>
        <v>0</v>
      </c>
      <c r="AC455" t="str">
        <f t="shared" si="20"/>
        <v>None</v>
      </c>
      <c r="AD455" t="str">
        <f>IF(OR(B455="Buck",B455="Bird",B455="Charge (Scatter)"),'Ammo Input'!J455,"None")</f>
        <v>None</v>
      </c>
      <c r="AE455" t="str">
        <f>_xlfn.IFS(ISTEXT(Calcs!N455),Calcs!N455,Calcs!N455&lt;=40,Calcs!N455,Calcs!N455&gt;41,"40")</f>
        <v>None</v>
      </c>
      <c r="AF455" t="str">
        <f>_xlfn.IFS(ISTEXT(Calcs!O455),Calcs!O455,Calcs!O455&lt;=80,Calcs!O455,Calcs!O455&gt;=81,"80")</f>
        <v>None</v>
      </c>
      <c r="AG455" s="25">
        <f t="shared" si="21"/>
        <v>1</v>
      </c>
      <c r="AH455" s="25">
        <f t="shared" si="22"/>
        <v>2.74</v>
      </c>
      <c r="AI455" s="25">
        <f t="shared" si="23"/>
        <v>1</v>
      </c>
    </row>
    <row r="456" ht="14.4" spans="1:35">
      <c r="A456" s="24" t="str">
        <f>'Ammo Input'!A456</f>
        <v>.300 AAC Blackout</v>
      </c>
      <c r="B456" t="str">
        <f>'Ammo Input'!B456</f>
        <v>FMJ</v>
      </c>
      <c r="C456">
        <f>ROUNDUP(('Ammo Input'!C456*(MAX('Ammo Input'!D456,'Ammo Input'!F456)*0.5)^2*PI())*3/1000000,2)</f>
        <v>0.02</v>
      </c>
      <c r="D456">
        <f>ROUNDUP(('Ammo Input'!E456+'Ammo Input'!H456*IF('Ammo Input'!J456&lt;&gt;"",MAX('Ammo Input'!J456,1),1))/1000,3)</f>
        <v>0.014</v>
      </c>
      <c r="E456">
        <f>MIN(5000,MAX(25,CEILING(Calcs!L456,_xlfn.IFS(Calcs!L456&lt;100,25,Calcs!L456&lt;250,50,Calcs!L456&lt;1000,250,Calcs!L456&gt;=1000,1000))))</f>
        <v>5000</v>
      </c>
      <c r="F456">
        <f>ROUNDUP('Ammo Input'!G456^(3/4),0)</f>
        <v>133</v>
      </c>
      <c r="G456">
        <f>ROUND((0.5*((IF(OR(B456="HEAT",B456="HEDP"),'Ammo Input'!N456,'Ammo Input'!H456)/1000)*(IF(B456="HEAT",9000,IF(B456="HEDP",1500,'Ammo Input'!G456))^2))),0)</f>
        <v>1823</v>
      </c>
      <c r="H456" s="25" t="str">
        <f>CONCATENATE(IF((B456="Foam")+(B456="Smoke"),"-",ROUND(Calcs!D456,0))," ",VLOOKUP(B456,AmmoTypeFactors,5,FALSE))</f>
        <v>16 Bullet</v>
      </c>
      <c r="I456" s="25" t="str">
        <f>IF(Calcs!E456=0,"None",CONCATENATE(ROUND(Calcs!E456,0)," ",VLOOKUP(B456,AmmoTypeFactors,6,FALSE)))</f>
        <v>None</v>
      </c>
      <c r="J456">
        <f>MROUND(2.42*'Ammo Input'!M456^(1/3)*VLOOKUP(B456,AmmoTypeFactors,3,FALSE),0.5)</f>
        <v>0</v>
      </c>
      <c r="K456" s="25" t="str">
        <f>IF(VLOOKUP(B456,AmmoTypeFactors,12,FALSE),MROUND(J456/3,0.5),"None")</f>
        <v>None</v>
      </c>
      <c r="L456" s="25">
        <f>IF(VLOOKUP(B456,AmmoTypeFactors,8,FALSE),"None",ROUNDUP(IF(Calcs!I456&gt;0,Calcs!I456,Calcs!H456),3))</f>
        <v>36.46</v>
      </c>
      <c r="M456" s="25">
        <f>IF(VLOOKUP(B456,AmmoTypeFactors,8,FALSE),"None",'Ammo Input'!L456)</f>
        <v>6</v>
      </c>
      <c r="N456">
        <f>'Ammo Input'!O456</f>
        <v>500</v>
      </c>
      <c r="O456" t="e">
        <f>ROUND((P456*0.0036+SUMPRODUCT(Q456:AB456,VLOOKUP($Q$1:$AB$1,IngredientStats,2,FALSE)))/N456*IF('Ammo Input'!R456,0.5,1),2)</f>
        <v>#VALUE!</v>
      </c>
      <c r="P456" t="e">
        <f>(SUMPRODUCT(Q456:AB456,VLOOKUP($Q$1:$AB$1,IngredientStats,4,FALSE))*VLOOKUP(B456,AmmoTypeFactors,14,FALSE)*IF('Ammo Input'!R456,1.1,1))</f>
        <v>#VALUE!</v>
      </c>
      <c r="Q456">
        <f>IFERROR(__xludf.DUMMYFUNCTION("((IF(NOT(OR(REGEXMATCH(B452, ""Arrow""), B452 = ""Javelin"", B452 = ""Stick bomb"")), ROUNDUP(('Ammo Input'!E452 / 1000) * N452)) + IF(VLOOKUP(B452, AmmoTypeFactors, 9, FALSE) = ""Steel"", ROUNDUP(('Ammo Input'!H452 -'Ammo Input'!M452) * MAX(IF('Ammo Inpu"&amp;"t'!J452 &gt; 0, 'Ammo Input'!J452, 1), 1) * N452 / 1000))) / 'Ingredient stats'!$C$2) * IF(ISBLANK(VLOOKUP(B452,AmmoTypeFactors,15,False)),1,VLOOKUP(B452,AmmoTypeFactors,15,False))"),14)</f>
        <v>14</v>
      </c>
      <c r="R456">
        <f>IFERROR(__xludf.DUMMYFUNCTION("ROUNDUP((IF(REGEXMATCH(B452, ""Arrow"") + (B452 = ""Javelin""), 'Ammo Input'!E452) + IF(VLOOKUP(B452, AmmoTypeFactors, 9, FALSE) = ""Wood"", 'Ammo Input'!H452) + IF(B452 = ""Stick bomb"", 'Ammo Input'!E452)) * N452 / 'Ingredient stats'!$C$12 / 1000)"),0)</f>
        <v>0</v>
      </c>
      <c r="S456">
        <v>0</v>
      </c>
      <c r="T456">
        <v>0</v>
      </c>
      <c r="U456">
        <f>IF(VLOOKUP(B456,AmmoTypeFactors,9,FALSE)="Plasteel",ROUNDUP(('Ammo Input'!H456*MAX(IF('Ammo Input'!J456&gt;0,'Ammo Input'!J456,1)*N456/1000/'Ingredient stats'!$C$4)),0),0)</f>
        <v>0</v>
      </c>
      <c r="V456">
        <f>IFERROR(__xludf.DUMMYFUNCTION("ROUNDUP(IF(ISBLANK(VLOOKUP(B452,AmmoTypeFactors,16,False)),1,VLOOKUP(B452,AmmoTypeFactors,16,False)) * (IFS(REGEXMATCH(B452, ""EMP""), 'Ammo Input'!M452 * N452 / 'Ingredient stats'!$C$5, REGEXMATCH(B452, ""Charge""), (U452^0.75), true, 0) + (IF(VLOOKUP(B4"&amp;"52, AmmoTypeFactors, 10, false), 2,0) + IF('Ammo Input'!P452, 2,0) + IF('Ammo Input'!Q452,MIN(ROUNDUP(0.2*('Ammo Input'!H452/1000)*'Ammo Input'!O452,0),20),0))))"),0)</f>
        <v>0</v>
      </c>
      <c r="W456">
        <v>0</v>
      </c>
      <c r="X456">
        <v>0</v>
      </c>
      <c r="Y456">
        <v>0</v>
      </c>
      <c r="Z456">
        <v>0</v>
      </c>
      <c r="AA456">
        <v>0</v>
      </c>
      <c r="AB456" s="30">
        <f>IF(B456="Sling Bullet (Stone)",ROUNDUP(D456*0.02*E456/'Ingredient stats'!$C$8,0),0)</f>
        <v>0</v>
      </c>
      <c r="AC456" t="str">
        <f t="shared" si="20"/>
        <v>None</v>
      </c>
      <c r="AD456" t="str">
        <f>IF(OR(B456="Buck",B456="Bird",B456="Charge (Scatter)"),'Ammo Input'!J456,"None")</f>
        <v>None</v>
      </c>
      <c r="AE456" t="str">
        <f>_xlfn.IFS(ISTEXT(Calcs!N456),Calcs!N456,Calcs!N456&lt;=40,Calcs!N456,Calcs!N456&gt;41,"40")</f>
        <v>None</v>
      </c>
      <c r="AF456" t="str">
        <f>_xlfn.IFS(ISTEXT(Calcs!O456),Calcs!O456,Calcs!O456&lt;=80,Calcs!O456,Calcs!O456&gt;=81,"80")</f>
        <v>None</v>
      </c>
      <c r="AG456" s="25">
        <f t="shared" si="21"/>
        <v>1</v>
      </c>
      <c r="AH456" s="25">
        <f t="shared" si="22"/>
        <v>2.17</v>
      </c>
      <c r="AI456" s="25">
        <f t="shared" si="23"/>
        <v>1</v>
      </c>
    </row>
    <row r="457" ht="14.4" spans="1:35">
      <c r="A457" s="24" t="str">
        <f>'Ammo Input'!A457</f>
        <v>.300 AAC Blackout</v>
      </c>
      <c r="B457" t="str">
        <f>'Ammo Input'!B457</f>
        <v>AP</v>
      </c>
      <c r="C457">
        <f>ROUNDUP(('Ammo Input'!C457*(MAX('Ammo Input'!D457,'Ammo Input'!F457)*0.5)^2*PI())*3/1000000,2)</f>
        <v>0.02</v>
      </c>
      <c r="D457">
        <f>ROUNDUP(('Ammo Input'!E457+'Ammo Input'!H457*IF('Ammo Input'!J457&lt;&gt;"",MAX('Ammo Input'!J457,1),1))/1000,3)</f>
        <v>0.014</v>
      </c>
      <c r="E457">
        <f>MIN(5000,MAX(25,CEILING(Calcs!L457,_xlfn.IFS(Calcs!L457&lt;100,25,Calcs!L457&lt;250,50,Calcs!L457&lt;1000,250,Calcs!L457&gt;=1000,1000))))</f>
        <v>5000</v>
      </c>
      <c r="F457">
        <f>ROUNDUP('Ammo Input'!G457^(3/4),0)</f>
        <v>133</v>
      </c>
      <c r="G457">
        <f>ROUND((0.5*((IF(OR(B457="HEAT",B457="HEDP"),'Ammo Input'!N457,'Ammo Input'!H457)/1000)*(IF(B457="HEAT",9000,IF(B457="HEDP",1500,'Ammo Input'!G457))^2))),0)</f>
        <v>1823</v>
      </c>
      <c r="H457" s="25" t="str">
        <f>CONCATENATE(IF((B457="Foam")+(B457="Smoke"),"-",ROUND(Calcs!D457,0))," ",VLOOKUP(B457,AmmoTypeFactors,5,FALSE))</f>
        <v>10 Bullet</v>
      </c>
      <c r="I457" s="25" t="str">
        <f>IF(Calcs!E457=0,"None",CONCATENATE(ROUND(Calcs!E457,0)," ",VLOOKUP(B457,AmmoTypeFactors,6,FALSE)))</f>
        <v>None</v>
      </c>
      <c r="J457">
        <f>MROUND(2.42*'Ammo Input'!M457^(1/3)*VLOOKUP(B457,AmmoTypeFactors,3,FALSE),0.5)</f>
        <v>0</v>
      </c>
      <c r="K457" s="25" t="str">
        <f>IF(VLOOKUP(B457,AmmoTypeFactors,12,FALSE),MROUND(J457/3,0.5),"None")</f>
        <v>None</v>
      </c>
      <c r="L457" s="25">
        <f>IF(VLOOKUP(B457,AmmoTypeFactors,8,FALSE),"None",ROUNDUP(IF(Calcs!I457&gt;0,Calcs!I457,Calcs!H457),3))</f>
        <v>36.46</v>
      </c>
      <c r="M457" s="25">
        <f>IF(VLOOKUP(B457,AmmoTypeFactors,8,FALSE),"None",'Ammo Input'!L457)</f>
        <v>12</v>
      </c>
      <c r="N457">
        <f>'Ammo Input'!O457</f>
        <v>500</v>
      </c>
      <c r="O457" t="e">
        <f>ROUND((P457*0.0036+SUMPRODUCT(Q457:AB457,VLOOKUP($Q$1:$AB$1,IngredientStats,2,FALSE)))/N457*IF('Ammo Input'!R457,0.5,1),2)</f>
        <v>#VALUE!</v>
      </c>
      <c r="P457" t="e">
        <f>(SUMPRODUCT(Q457:AB457,VLOOKUP($Q$1:$AB$1,IngredientStats,4,FALSE))*VLOOKUP(B457,AmmoTypeFactors,14,FALSE)*IF('Ammo Input'!R457,1.1,1))</f>
        <v>#VALUE!</v>
      </c>
      <c r="Q457">
        <f>IFERROR(__xludf.DUMMYFUNCTION("((IF(NOT(OR(REGEXMATCH(B453, ""Arrow""), B453 = ""Javelin"", B453 = ""Stick bomb"")), ROUNDUP(('Ammo Input'!E453 / 1000) * N453)) + IF(VLOOKUP(B453, AmmoTypeFactors, 9, FALSE) = ""Steel"", ROUNDUP(('Ammo Input'!H453 -'Ammo Input'!M453) * MAX(IF('Ammo Inpu"&amp;"t'!J453 &gt; 0, 'Ammo Input'!J453, 1), 1) * N453 / 1000))) / 'Ingredient stats'!$C$2) * IF(ISBLANK(VLOOKUP(B453,AmmoTypeFactors,15,False)),1,VLOOKUP(B453,AmmoTypeFactors,15,False))"),14)</f>
        <v>14</v>
      </c>
      <c r="R457">
        <f>IFERROR(__xludf.DUMMYFUNCTION("ROUNDUP((IF(REGEXMATCH(B453, ""Arrow"") + (B453 = ""Javelin""), 'Ammo Input'!E453) + IF(VLOOKUP(B453, AmmoTypeFactors, 9, FALSE) = ""Wood"", 'Ammo Input'!H453) + IF(B453 = ""Stick bomb"", 'Ammo Input'!E453)) * N453 / 'Ingredient stats'!$C$12 / 1000)"),0)</f>
        <v>0</v>
      </c>
      <c r="S457">
        <v>0</v>
      </c>
      <c r="T457">
        <v>0</v>
      </c>
      <c r="U457">
        <f>IF(VLOOKUP(B457,AmmoTypeFactors,9,FALSE)="Plasteel",ROUNDUP(('Ammo Input'!H457*MAX(IF('Ammo Input'!J457&gt;0,'Ammo Input'!J457,1)*N457/1000/'Ingredient stats'!$C$4)),0),0)</f>
        <v>0</v>
      </c>
      <c r="V457">
        <f>IFERROR(__xludf.DUMMYFUNCTION("ROUNDUP(IF(ISBLANK(VLOOKUP(B453,AmmoTypeFactors,16,False)),1,VLOOKUP(B453,AmmoTypeFactors,16,False)) * (IFS(REGEXMATCH(B453, ""EMP""), 'Ammo Input'!M453 * N453 / 'Ingredient stats'!$C$5, REGEXMATCH(B453, ""Charge""), (U453^0.75), true, 0) + (IF(VLOOKUP(B4"&amp;"53, AmmoTypeFactors, 10, false), 2,0) + IF('Ammo Input'!P453, 2,0) + IF('Ammo Input'!Q453,MIN(ROUNDUP(0.2*('Ammo Input'!H453/1000)*'Ammo Input'!O453,0),20),0))))"),0)</f>
        <v>0</v>
      </c>
      <c r="W457">
        <v>0</v>
      </c>
      <c r="X457">
        <v>0</v>
      </c>
      <c r="Y457">
        <v>0</v>
      </c>
      <c r="Z457">
        <v>0</v>
      </c>
      <c r="AA457">
        <v>0</v>
      </c>
      <c r="AB457" s="30">
        <f>IF(B457="Sling Bullet (Stone)",ROUNDUP(D457*0.02*E457/'Ingredient stats'!$C$8,0),0)</f>
        <v>0</v>
      </c>
      <c r="AC457" t="str">
        <f t="shared" si="20"/>
        <v>None</v>
      </c>
      <c r="AD457" t="str">
        <f>IF(OR(B457="Buck",B457="Bird",B457="Charge (Scatter)"),'Ammo Input'!J457,"None")</f>
        <v>None</v>
      </c>
      <c r="AE457" t="str">
        <f>_xlfn.IFS(ISTEXT(Calcs!N457),Calcs!N457,Calcs!N457&lt;=40,Calcs!N457,Calcs!N457&gt;41,"40")</f>
        <v>None</v>
      </c>
      <c r="AF457" t="str">
        <f>_xlfn.IFS(ISTEXT(Calcs!O457),Calcs!O457,Calcs!O457&lt;=80,Calcs!O457,Calcs!O457&gt;=81,"80")</f>
        <v>None</v>
      </c>
      <c r="AG457" s="25">
        <f t="shared" si="21"/>
        <v>1</v>
      </c>
      <c r="AH457" s="25">
        <f t="shared" si="22"/>
        <v>2.17</v>
      </c>
      <c r="AI457" s="25">
        <f t="shared" si="23"/>
        <v>1</v>
      </c>
    </row>
    <row r="458" ht="14.4" spans="1:35">
      <c r="A458" s="24" t="str">
        <f>'Ammo Input'!A458</f>
        <v>.300 AAC Blackout</v>
      </c>
      <c r="B458" t="str">
        <f>'Ammo Input'!B458</f>
        <v>HP</v>
      </c>
      <c r="C458">
        <f>ROUNDUP(('Ammo Input'!C458*(MAX('Ammo Input'!D458,'Ammo Input'!F458)*0.5)^2*PI())*3/1000000,2)</f>
        <v>0.02</v>
      </c>
      <c r="D458">
        <f>ROUNDUP(('Ammo Input'!E458+'Ammo Input'!H458*IF('Ammo Input'!J458&lt;&gt;"",MAX('Ammo Input'!J458,1),1))/1000,3)</f>
        <v>0.014</v>
      </c>
      <c r="E458">
        <f>MIN(5000,MAX(25,CEILING(Calcs!L458,_xlfn.IFS(Calcs!L458&lt;100,25,Calcs!L458&lt;250,50,Calcs!L458&lt;1000,250,Calcs!L458&gt;=1000,1000))))</f>
        <v>5000</v>
      </c>
      <c r="F458">
        <f>ROUNDUP('Ammo Input'!G458^(3/4),0)</f>
        <v>133</v>
      </c>
      <c r="G458">
        <f>ROUND((0.5*((IF(OR(B458="HEAT",B458="HEDP"),'Ammo Input'!N458,'Ammo Input'!H458)/1000)*(IF(B458="HEAT",9000,IF(B458="HEDP",1500,'Ammo Input'!G458))^2))),0)</f>
        <v>1823</v>
      </c>
      <c r="H458" s="25" t="str">
        <f>CONCATENATE(IF((B458="Foam")+(B458="Smoke"),"-",ROUND(Calcs!D458,0))," ",VLOOKUP(B458,AmmoTypeFactors,5,FALSE))</f>
        <v>20 Bullet</v>
      </c>
      <c r="I458" s="25" t="str">
        <f>IF(Calcs!E458=0,"None",CONCATENATE(ROUND(Calcs!E458,0)," ",VLOOKUP(B458,AmmoTypeFactors,6,FALSE)))</f>
        <v>None</v>
      </c>
      <c r="J458">
        <f>MROUND(2.42*'Ammo Input'!M458^(1/3)*VLOOKUP(B458,AmmoTypeFactors,3,FALSE),0.5)</f>
        <v>0</v>
      </c>
      <c r="K458" s="25" t="str">
        <f>IF(VLOOKUP(B458,AmmoTypeFactors,12,FALSE),MROUND(J458/3,0.5),"None")</f>
        <v>None</v>
      </c>
      <c r="L458" s="25">
        <f>IF(VLOOKUP(B458,AmmoTypeFactors,8,FALSE),"None",ROUNDUP(IF(Calcs!I458&gt;0,Calcs!I458,Calcs!H458),3))</f>
        <v>36.46</v>
      </c>
      <c r="M458" s="25">
        <f>IF(VLOOKUP(B458,AmmoTypeFactors,8,FALSE),"None",'Ammo Input'!L458)</f>
        <v>3</v>
      </c>
      <c r="N458">
        <f>'Ammo Input'!O458</f>
        <v>500</v>
      </c>
      <c r="O458" t="e">
        <f>ROUND((P458*0.0036+SUMPRODUCT(Q458:AB458,VLOOKUP($Q$1:$AB$1,IngredientStats,2,FALSE)))/N458*IF('Ammo Input'!R458,0.5,1),2)</f>
        <v>#VALUE!</v>
      </c>
      <c r="P458" t="e">
        <f>(SUMPRODUCT(Q458:AB458,VLOOKUP($Q$1:$AB$1,IngredientStats,4,FALSE))*VLOOKUP(B458,AmmoTypeFactors,14,FALSE)*IF('Ammo Input'!R458,1.1,1))</f>
        <v>#VALUE!</v>
      </c>
      <c r="Q458">
        <f>IFERROR(__xludf.DUMMYFUNCTION("((IF(NOT(OR(REGEXMATCH(B454, ""Arrow""), B454 = ""Javelin"", B454 = ""Stick bomb"")), ROUNDUP(('Ammo Input'!E454 / 1000) * N454)) + IF(VLOOKUP(B454, AmmoTypeFactors, 9, FALSE) = ""Steel"", ROUNDUP(('Ammo Input'!H454 -'Ammo Input'!M454) * MAX(IF('Ammo Inpu"&amp;"t'!J454 &gt; 0, 'Ammo Input'!J454, 1), 1) * N454 / 1000))) / 'Ingredient stats'!$C$2) * IF(ISBLANK(VLOOKUP(B454,AmmoTypeFactors,15,False)),1,VLOOKUP(B454,AmmoTypeFactors,15,False))"),14)</f>
        <v>14</v>
      </c>
      <c r="R458">
        <f>IFERROR(__xludf.DUMMYFUNCTION("ROUNDUP((IF(REGEXMATCH(B454, ""Arrow"") + (B454 = ""Javelin""), 'Ammo Input'!E454) + IF(VLOOKUP(B454, AmmoTypeFactors, 9, FALSE) = ""Wood"", 'Ammo Input'!H454) + IF(B454 = ""Stick bomb"", 'Ammo Input'!E454)) * N454 / 'Ingredient stats'!$C$12 / 1000)"),0)</f>
        <v>0</v>
      </c>
      <c r="S458">
        <v>0</v>
      </c>
      <c r="T458">
        <v>0</v>
      </c>
      <c r="U458">
        <f>IF(VLOOKUP(B458,AmmoTypeFactors,9,FALSE)="Plasteel",ROUNDUP(('Ammo Input'!H458*MAX(IF('Ammo Input'!J458&gt;0,'Ammo Input'!J458,1)*N458/1000/'Ingredient stats'!$C$4)),0),0)</f>
        <v>0</v>
      </c>
      <c r="V458">
        <f>IFERROR(__xludf.DUMMYFUNCTION("ROUNDUP(IF(ISBLANK(VLOOKUP(B454,AmmoTypeFactors,16,False)),1,VLOOKUP(B454,AmmoTypeFactors,16,False)) * (IFS(REGEXMATCH(B454, ""EMP""), 'Ammo Input'!M454 * N454 / 'Ingredient stats'!$C$5, REGEXMATCH(B454, ""Charge""), (U454^0.75), true, 0) + (IF(VLOOKUP(B4"&amp;"54, AmmoTypeFactors, 10, false), 2,0) + IF('Ammo Input'!P454, 2,0) + IF('Ammo Input'!Q454,MIN(ROUNDUP(0.2*('Ammo Input'!H454/1000)*'Ammo Input'!O454,0),20),0))))"),0)</f>
        <v>0</v>
      </c>
      <c r="W458">
        <v>0</v>
      </c>
      <c r="X458">
        <v>0</v>
      </c>
      <c r="Y458">
        <v>0</v>
      </c>
      <c r="Z458">
        <v>0</v>
      </c>
      <c r="AA458">
        <v>0</v>
      </c>
      <c r="AB458" s="30">
        <f>IF(B458="Sling Bullet (Stone)",ROUNDUP(D458*0.02*E458/'Ingredient stats'!$C$8,0),0)</f>
        <v>0</v>
      </c>
      <c r="AC458" t="str">
        <f t="shared" si="20"/>
        <v>None</v>
      </c>
      <c r="AD458" t="str">
        <f>IF(OR(B458="Buck",B458="Bird",B458="Charge (Scatter)"),'Ammo Input'!J458,"None")</f>
        <v>None</v>
      </c>
      <c r="AE458" t="str">
        <f>_xlfn.IFS(ISTEXT(Calcs!N458),Calcs!N458,Calcs!N458&lt;=40,Calcs!N458,Calcs!N458&gt;41,"40")</f>
        <v>None</v>
      </c>
      <c r="AF458" t="str">
        <f>_xlfn.IFS(ISTEXT(Calcs!O458),Calcs!O458,Calcs!O458&lt;=80,Calcs!O458,Calcs!O458&gt;=81,"80")</f>
        <v>None</v>
      </c>
      <c r="AG458" s="25">
        <f t="shared" si="21"/>
        <v>1</v>
      </c>
      <c r="AH458" s="25">
        <f t="shared" si="22"/>
        <v>2.17</v>
      </c>
      <c r="AI458" s="25">
        <f t="shared" si="23"/>
        <v>1</v>
      </c>
    </row>
    <row r="459" ht="14.4" spans="1:35">
      <c r="A459" s="24" t="str">
        <f>'Ammo Input'!A459</f>
        <v>.300 AAC Blackout</v>
      </c>
      <c r="B459" t="str">
        <f>'Ammo Input'!B459</f>
        <v>AP-I</v>
      </c>
      <c r="C459">
        <f>ROUNDUP(('Ammo Input'!C459*(MAX('Ammo Input'!D459,'Ammo Input'!F459)*0.5)^2*PI())*3/1000000,2)</f>
        <v>0.02</v>
      </c>
      <c r="D459">
        <f>ROUNDUP(('Ammo Input'!E459+'Ammo Input'!H459*IF('Ammo Input'!J459&lt;&gt;"",MAX('Ammo Input'!J459,1),1))/1000,3)</f>
        <v>0.014</v>
      </c>
      <c r="E459">
        <f>MIN(5000,MAX(25,CEILING(Calcs!L459,_xlfn.IFS(Calcs!L459&lt;100,25,Calcs!L459&lt;250,50,Calcs!L459&lt;1000,250,Calcs!L459&gt;=1000,1000))))</f>
        <v>5000</v>
      </c>
      <c r="F459">
        <f>ROUNDUP('Ammo Input'!G459^(3/4),0)</f>
        <v>133</v>
      </c>
      <c r="G459">
        <f>ROUND((0.5*((IF(OR(B459="HEAT",B459="HEDP"),'Ammo Input'!N459,'Ammo Input'!H459)/1000)*(IF(B459="HEAT",9000,IF(B459="HEDP",1500,'Ammo Input'!G459))^2))),0)</f>
        <v>1823</v>
      </c>
      <c r="H459" s="25" t="str">
        <f>CONCATENATE(IF((B459="Foam")+(B459="Smoke"),"-",ROUND(Calcs!D459,0))," ",VLOOKUP(B459,AmmoTypeFactors,5,FALSE))</f>
        <v>10 Bullet</v>
      </c>
      <c r="I459" s="25" t="str">
        <f>IF(Calcs!E459=0,"None",CONCATENATE(ROUND(Calcs!E459,0)," ",VLOOKUP(B459,AmmoTypeFactors,6,FALSE)))</f>
        <v>5 Flame_Secondary</v>
      </c>
      <c r="J459">
        <f>MROUND(2.42*'Ammo Input'!M459^(1/3)*VLOOKUP(B459,AmmoTypeFactors,3,FALSE),0.5)</f>
        <v>0</v>
      </c>
      <c r="K459" s="25" t="str">
        <f>IF(VLOOKUP(B459,AmmoTypeFactors,12,FALSE),MROUND(J459/3,0.5),"None")</f>
        <v>None</v>
      </c>
      <c r="L459" s="25">
        <f>IF(VLOOKUP(B459,AmmoTypeFactors,8,FALSE),"None",ROUNDUP(IF(Calcs!I459&gt;0,Calcs!I459,Calcs!H459),3))</f>
        <v>36.46</v>
      </c>
      <c r="M459" s="25">
        <f>IF(VLOOKUP(B459,AmmoTypeFactors,8,FALSE),"None",'Ammo Input'!L459)</f>
        <v>12</v>
      </c>
      <c r="N459">
        <f>'Ammo Input'!O459</f>
        <v>500</v>
      </c>
      <c r="O459" t="e">
        <f>ROUND((P459*0.0036+SUMPRODUCT(Q459:AB459,VLOOKUP($Q$1:$AB$1,IngredientStats,2,FALSE)))/N459*IF('Ammo Input'!R459,0.5,1),2)</f>
        <v>#VALUE!</v>
      </c>
      <c r="P459" t="e">
        <f>(SUMPRODUCT(Q459:AB459,VLOOKUP($Q$1:$AB$1,IngredientStats,4,FALSE))*VLOOKUP(B459,AmmoTypeFactors,14,FALSE)*IF('Ammo Input'!R459,1.1,1))</f>
        <v>#VALUE!</v>
      </c>
      <c r="Q459">
        <f>IFERROR(__xludf.DUMMYFUNCTION("((IF(NOT(OR(REGEXMATCH(B455, ""Arrow""), B455 = ""Javelin"", B455 = ""Stick bomb"")), ROUNDUP(('Ammo Input'!E455 / 1000) * N455)) + IF(VLOOKUP(B455, AmmoTypeFactors, 9, FALSE) = ""Steel"", ROUNDUP(('Ammo Input'!H455 -'Ammo Input'!M455) * MAX(IF('Ammo Inpu"&amp;"t'!J455 &gt; 0, 'Ammo Input'!J455, 1), 1) * N455 / 1000))) / 'Ingredient stats'!$C$2) * IF(ISBLANK(VLOOKUP(B455,AmmoTypeFactors,15,False)),1,VLOOKUP(B455,AmmoTypeFactors,15,False))"),14)</f>
        <v>14</v>
      </c>
      <c r="R459">
        <f>IFERROR(__xludf.DUMMYFUNCTION("ROUNDUP((IF(REGEXMATCH(B455, ""Arrow"") + (B455 = ""Javelin""), 'Ammo Input'!E455) + IF(VLOOKUP(B455, AmmoTypeFactors, 9, FALSE) = ""Wood"", 'Ammo Input'!H455) + IF(B455 = ""Stick bomb"", 'Ammo Input'!E455)) * N455 / 'Ingredient stats'!$C$12 / 1000)"),0)</f>
        <v>0</v>
      </c>
      <c r="S459">
        <v>0</v>
      </c>
      <c r="T459">
        <v>0</v>
      </c>
      <c r="U459">
        <f>IF(VLOOKUP(B459,AmmoTypeFactors,9,FALSE)="Plasteel",ROUNDUP(('Ammo Input'!H459*MAX(IF('Ammo Input'!J459&gt;0,'Ammo Input'!J459,1)*N459/1000/'Ingredient stats'!$C$4)),0),0)</f>
        <v>0</v>
      </c>
      <c r="V459">
        <f>IFERROR(__xludf.DUMMYFUNCTION("ROUNDUP(IF(ISBLANK(VLOOKUP(B455,AmmoTypeFactors,16,False)),1,VLOOKUP(B455,AmmoTypeFactors,16,False)) * (IFS(REGEXMATCH(B455, ""EMP""), 'Ammo Input'!M455 * N455 / 'Ingredient stats'!$C$5, REGEXMATCH(B455, ""Charge""), (U455^0.75), true, 0) + (IF(VLOOKUP(B4"&amp;"55, AmmoTypeFactors, 10, false), 2,0) + IF('Ammo Input'!P455, 2,0) + IF('Ammo Input'!Q455,MIN(ROUNDUP(0.2*('Ammo Input'!H455/1000)*'Ammo Input'!O455,0),20),0))))"),0)</f>
        <v>0</v>
      </c>
      <c r="W459">
        <v>2</v>
      </c>
      <c r="X459">
        <v>0</v>
      </c>
      <c r="Y459">
        <v>0</v>
      </c>
      <c r="Z459">
        <v>0</v>
      </c>
      <c r="AA459">
        <v>0</v>
      </c>
      <c r="AB459" s="30">
        <f>IF(B459="Sling Bullet (Stone)",ROUNDUP(D459*0.02*E459/'Ingredient stats'!$C$8,0),0)</f>
        <v>0</v>
      </c>
      <c r="AC459" t="str">
        <f t="shared" si="20"/>
        <v>None</v>
      </c>
      <c r="AD459" t="str">
        <f>IF(OR(B459="Buck",B459="Bird",B459="Charge (Scatter)"),'Ammo Input'!J459,"None")</f>
        <v>None</v>
      </c>
      <c r="AE459" t="str">
        <f>_xlfn.IFS(ISTEXT(Calcs!N459),Calcs!N459,Calcs!N459&lt;=40,Calcs!N459,Calcs!N459&gt;41,"40")</f>
        <v>None</v>
      </c>
      <c r="AF459" t="str">
        <f>_xlfn.IFS(ISTEXT(Calcs!O459),Calcs!O459,Calcs!O459&lt;=80,Calcs!O459,Calcs!O459&gt;=81,"80")</f>
        <v>None</v>
      </c>
      <c r="AG459" s="25">
        <f t="shared" si="21"/>
        <v>1</v>
      </c>
      <c r="AH459" s="25">
        <f t="shared" si="22"/>
        <v>2.17</v>
      </c>
      <c r="AI459" s="25">
        <f t="shared" si="23"/>
        <v>1</v>
      </c>
    </row>
    <row r="460" ht="14.4" spans="1:35">
      <c r="A460" s="24" t="str">
        <f>'Ammo Input'!A460</f>
        <v>.300 AAC Blackout</v>
      </c>
      <c r="B460" t="str">
        <f>'Ammo Input'!B460</f>
        <v>AP-HE</v>
      </c>
      <c r="C460">
        <f>ROUNDUP(('Ammo Input'!C460*(MAX('Ammo Input'!D460,'Ammo Input'!F460)*0.5)^2*PI())*3/1000000,2)</f>
        <v>0.02</v>
      </c>
      <c r="D460">
        <f>ROUNDUP(('Ammo Input'!E460+'Ammo Input'!H460*IF('Ammo Input'!J460&lt;&gt;"",MAX('Ammo Input'!J460,1),1))/1000,3)</f>
        <v>0.014</v>
      </c>
      <c r="E460">
        <f>MIN(5000,MAX(25,CEILING(Calcs!L460,_xlfn.IFS(Calcs!L460&lt;100,25,Calcs!L460&lt;250,50,Calcs!L460&lt;1000,250,Calcs!L460&gt;=1000,1000))))</f>
        <v>5000</v>
      </c>
      <c r="F460">
        <f>ROUNDUP('Ammo Input'!G460^(3/4),0)</f>
        <v>133</v>
      </c>
      <c r="G460">
        <f>ROUND((0.5*((IF(OR(B460="HEAT",B460="HEDP"),'Ammo Input'!N460,'Ammo Input'!H460)/1000)*(IF(B460="HEAT",9000,IF(B460="HEDP",1500,'Ammo Input'!G460))^2))),0)</f>
        <v>1823</v>
      </c>
      <c r="H460" s="25" t="str">
        <f>CONCATENATE(IF((B460="Foam")+(B460="Smoke"),"-",ROUND(Calcs!D460,0))," ",VLOOKUP(B460,AmmoTypeFactors,5,FALSE))</f>
        <v>16 Bullet</v>
      </c>
      <c r="I460" s="25" t="str">
        <f>IF(Calcs!E460=0,"None",CONCATENATE(ROUND(Calcs!E460,0)," ",VLOOKUP(B460,AmmoTypeFactors,6,FALSE)))</f>
        <v>7 Bomb_Secondary</v>
      </c>
      <c r="J460">
        <f>MROUND(2.42*'Ammo Input'!M460^(1/3)*VLOOKUP(B460,AmmoTypeFactors,3,FALSE),0.5)</f>
        <v>0</v>
      </c>
      <c r="K460" s="25" t="str">
        <f>IF(VLOOKUP(B460,AmmoTypeFactors,12,FALSE),MROUND(J460/3,0.5),"None")</f>
        <v>None</v>
      </c>
      <c r="L460" s="25">
        <f>IF(VLOOKUP(B460,AmmoTypeFactors,8,FALSE),"None",ROUNDUP(IF(Calcs!I460&gt;0,Calcs!I460,Calcs!H460),3))</f>
        <v>36.46</v>
      </c>
      <c r="M460" s="25">
        <f>IF(VLOOKUP(B460,AmmoTypeFactors,8,FALSE),"None",'Ammo Input'!L460)</f>
        <v>6</v>
      </c>
      <c r="N460">
        <f>'Ammo Input'!O460</f>
        <v>500</v>
      </c>
      <c r="O460" t="e">
        <f>ROUND((P460*0.0036+SUMPRODUCT(Q460:AB460,VLOOKUP($Q$1:$AB$1,IngredientStats,2,FALSE)))/N460*IF('Ammo Input'!R460,0.5,1),2)</f>
        <v>#VALUE!</v>
      </c>
      <c r="P460" t="e">
        <f>(SUMPRODUCT(Q460:AB460,VLOOKUP($Q$1:$AB$1,IngredientStats,4,FALSE))*VLOOKUP(B460,AmmoTypeFactors,14,FALSE)*IF('Ammo Input'!R460,1.1,1))</f>
        <v>#VALUE!</v>
      </c>
      <c r="Q460">
        <f>IFERROR(__xludf.DUMMYFUNCTION("((IF(NOT(OR(REGEXMATCH(B456, ""Arrow""), B456 = ""Javelin"", B456 = ""Stick bomb"")), ROUNDUP(('Ammo Input'!E456 / 1000) * N456)) + IF(VLOOKUP(B456, AmmoTypeFactors, 9, FALSE) = ""Steel"", ROUNDUP(('Ammo Input'!H456 -'Ammo Input'!M456) * MAX(IF('Ammo Inpu"&amp;"t'!J456 &gt; 0, 'Ammo Input'!J456, 1), 1) * N456 / 1000))) / 'Ingredient stats'!$C$2) * IF(ISBLANK(VLOOKUP(B456,AmmoTypeFactors,15,False)),1,VLOOKUP(B456,AmmoTypeFactors,15,False))"),14)</f>
        <v>14</v>
      </c>
      <c r="R460">
        <f>IFERROR(__xludf.DUMMYFUNCTION("ROUNDUP((IF(REGEXMATCH(B456, ""Arrow"") + (B456 = ""Javelin""), 'Ammo Input'!E456) + IF(VLOOKUP(B456, AmmoTypeFactors, 9, FALSE) = ""Wood"", 'Ammo Input'!H456) + IF(B456 = ""Stick bomb"", 'Ammo Input'!E456)) * N456 / 'Ingredient stats'!$C$12 / 1000)"),0)</f>
        <v>0</v>
      </c>
      <c r="S460">
        <v>0</v>
      </c>
      <c r="T460">
        <v>0</v>
      </c>
      <c r="U460">
        <f>IF(VLOOKUP(B460,AmmoTypeFactors,9,FALSE)="Plasteel",ROUNDUP(('Ammo Input'!H460*MAX(IF('Ammo Input'!J460&gt;0,'Ammo Input'!J460,1)*N460/1000/'Ingredient stats'!$C$4)),0),0)</f>
        <v>0</v>
      </c>
      <c r="V460">
        <f>IFERROR(__xludf.DUMMYFUNCTION("ROUNDUP(IF(ISBLANK(VLOOKUP(B456,AmmoTypeFactors,16,False)),1,VLOOKUP(B456,AmmoTypeFactors,16,False)) * (IFS(REGEXMATCH(B456, ""EMP""), 'Ammo Input'!M456 * N456 / 'Ingredient stats'!$C$5, REGEXMATCH(B456, ""Charge""), (U456^0.75), true, 0) + (IF(VLOOKUP(B4"&amp;"56, AmmoTypeFactors, 10, false), 2,0) + IF('Ammo Input'!P456, 2,0) + IF('Ammo Input'!Q456,MIN(ROUNDUP(0.2*('Ammo Input'!H456/1000)*'Ammo Input'!O456,0),20),0))))"),0)</f>
        <v>0</v>
      </c>
      <c r="W460">
        <v>0</v>
      </c>
      <c r="X460">
        <v>5</v>
      </c>
      <c r="Y460">
        <v>0</v>
      </c>
      <c r="Z460">
        <v>0</v>
      </c>
      <c r="AA460">
        <v>0</v>
      </c>
      <c r="AB460" s="30">
        <f>IF(B460="Sling Bullet (Stone)",ROUNDUP(D460*0.02*E460/'Ingredient stats'!$C$8,0),0)</f>
        <v>0</v>
      </c>
      <c r="AC460" t="str">
        <f t="shared" si="20"/>
        <v>None</v>
      </c>
      <c r="AD460" t="str">
        <f>IF(OR(B460="Buck",B460="Bird",B460="Charge (Scatter)"),'Ammo Input'!J460,"None")</f>
        <v>None</v>
      </c>
      <c r="AE460" t="str">
        <f>_xlfn.IFS(ISTEXT(Calcs!N460),Calcs!N460,Calcs!N460&lt;=40,Calcs!N460,Calcs!N460&gt;41,"40")</f>
        <v>None</v>
      </c>
      <c r="AF460" t="str">
        <f>_xlfn.IFS(ISTEXT(Calcs!O460),Calcs!O460,Calcs!O460&lt;=80,Calcs!O460,Calcs!O460&gt;=81,"80")</f>
        <v>None</v>
      </c>
      <c r="AG460" s="25">
        <f t="shared" si="21"/>
        <v>1</v>
      </c>
      <c r="AH460" s="25">
        <f t="shared" si="22"/>
        <v>2.17</v>
      </c>
      <c r="AI460" s="25">
        <f t="shared" si="23"/>
        <v>1</v>
      </c>
    </row>
    <row r="461" ht="14.4" spans="1:35">
      <c r="A461" s="24" t="str">
        <f>'Ammo Input'!A461</f>
        <v>.300 AAC Blackout</v>
      </c>
      <c r="B461" t="str">
        <f>'Ammo Input'!B461</f>
        <v>Sabot</v>
      </c>
      <c r="C461">
        <f>ROUNDUP(('Ammo Input'!C461*(MAX('Ammo Input'!D461,'Ammo Input'!F461)*0.5)^2*PI())*3/1000000,2)</f>
        <v>0.02</v>
      </c>
      <c r="D461">
        <f>ROUNDUP(('Ammo Input'!E461+'Ammo Input'!H461*IF('Ammo Input'!J461&lt;&gt;"",MAX('Ammo Input'!J461,1),1))/1000,3)</f>
        <v>0.011</v>
      </c>
      <c r="E461">
        <f>MIN(5000,MAX(25,CEILING(Calcs!L461,_xlfn.IFS(Calcs!L461&lt;100,25,Calcs!L461&lt;250,50,Calcs!L461&lt;1000,250,Calcs!L461&gt;=1000,1000))))</f>
        <v>5000</v>
      </c>
      <c r="F461">
        <f>ROUNDUP('Ammo Input'!G461^(3/4),0)</f>
        <v>180</v>
      </c>
      <c r="G461">
        <f>ROUND((0.5*((IF(OR(B461="HEAT",B461="HEDP"),'Ammo Input'!N461,'Ammo Input'!H461)/1000)*(IF(B461="HEAT",9000,IF(B461="HEDP",1500,'Ammo Input'!G461))^2))),0)</f>
        <v>2337</v>
      </c>
      <c r="H461" s="25" t="str">
        <f>CONCATENATE(IF((B461="Foam")+(B461="Smoke"),"-",ROUND(Calcs!D461,0))," ",VLOOKUP(B461,AmmoTypeFactors,5,FALSE))</f>
        <v>8 Bullet</v>
      </c>
      <c r="I461" s="25" t="str">
        <f>IF(Calcs!E461=0,"None",CONCATENATE(ROUND(Calcs!E461,0)," ",VLOOKUP(B461,AmmoTypeFactors,6,FALSE)))</f>
        <v>None</v>
      </c>
      <c r="J461">
        <f>MROUND(2.42*'Ammo Input'!M461^(1/3)*VLOOKUP(B461,AmmoTypeFactors,3,FALSE),0.5)</f>
        <v>0</v>
      </c>
      <c r="K461" s="25" t="str">
        <f>IF(VLOOKUP(B461,AmmoTypeFactors,12,FALSE),MROUND(J461/3,0.5),"None")</f>
        <v>None</v>
      </c>
      <c r="L461" s="25">
        <f>IF(VLOOKUP(B461,AmmoTypeFactors,8,FALSE),"None",ROUNDUP(IF(Calcs!I461&gt;0,Calcs!I461,Calcs!H461),3))</f>
        <v>46.74</v>
      </c>
      <c r="M461" s="25">
        <f>IF(VLOOKUP(B461,AmmoTypeFactors,8,FALSE),"None",'Ammo Input'!L461)</f>
        <v>21</v>
      </c>
      <c r="N461">
        <f>'Ammo Input'!O461</f>
        <v>500</v>
      </c>
      <c r="O461" t="e">
        <f>ROUND((P461*0.0036+SUMPRODUCT(Q461:AB461,VLOOKUP($Q$1:$AB$1,IngredientStats,2,FALSE)))/N461*IF('Ammo Input'!R461,0.5,1),2)</f>
        <v>#VALUE!</v>
      </c>
      <c r="P461" t="e">
        <f>(SUMPRODUCT(Q461:AB461,VLOOKUP($Q$1:$AB$1,IngredientStats,4,FALSE))*VLOOKUP(B461,AmmoTypeFactors,14,FALSE)*IF('Ammo Input'!R461,1.1,1))</f>
        <v>#VALUE!</v>
      </c>
      <c r="Q461">
        <f>IFERROR(__xludf.DUMMYFUNCTION("((IF(NOT(OR(REGEXMATCH(B457, ""Arrow""), B457 = ""Javelin"", B457 = ""Stick bomb"")), ROUNDUP(('Ammo Input'!E457 / 1000) * N457)) + IF(VLOOKUP(B457, AmmoTypeFactors, 9, FALSE) = ""Steel"", ROUNDUP(('Ammo Input'!H457 -'Ammo Input'!M457) * MAX(IF('Ammo Inpu"&amp;"t'!J457 &gt; 0, 'Ammo Input'!J457, 1), 1) * N457 / 1000))) / 'Ingredient stats'!$C$2) * IF(ISBLANK(VLOOKUP(B457,AmmoTypeFactors,15,False)),1,VLOOKUP(B457,AmmoTypeFactors,15,False))"),6)</f>
        <v>6</v>
      </c>
      <c r="R461">
        <f>IFERROR(__xludf.DUMMYFUNCTION("ROUNDUP((IF(REGEXMATCH(B457, ""Arrow"") + (B457 = ""Javelin""), 'Ammo Input'!E457) + IF(VLOOKUP(B457, AmmoTypeFactors, 9, FALSE) = ""Wood"", 'Ammo Input'!H457) + IF(B457 = ""Stick bomb"", 'Ammo Input'!E457)) * N457 / 'Ingredient stats'!$C$12 / 1000)"),0)</f>
        <v>0</v>
      </c>
      <c r="S461">
        <v>3</v>
      </c>
      <c r="T461">
        <v>3</v>
      </c>
      <c r="U461">
        <f>IF(VLOOKUP(B461,AmmoTypeFactors,9,FALSE)="Plasteel",ROUNDUP(('Ammo Input'!H461*MAX(IF('Ammo Input'!J461&gt;0,'Ammo Input'!J461,1)*N461/1000/'Ingredient stats'!$C$4)),0),0)</f>
        <v>0</v>
      </c>
      <c r="V461">
        <f>IFERROR(__xludf.DUMMYFUNCTION("ROUNDUP(IF(ISBLANK(VLOOKUP(B457,AmmoTypeFactors,16,False)),1,VLOOKUP(B457,AmmoTypeFactors,16,False)) * (IFS(REGEXMATCH(B457, ""EMP""), 'Ammo Input'!M457 * N457 / 'Ingredient stats'!$C$5, REGEXMATCH(B457, ""Charge""), (U457^0.75), true, 0) + (IF(VLOOKUP(B4"&amp;"57, AmmoTypeFactors, 10, false), 2,0) + IF('Ammo Input'!P457, 2,0) + IF('Ammo Input'!Q457,MIN(ROUNDUP(0.2*('Ammo Input'!H457/1000)*'Ammo Input'!O457,0),20),0))))"),0)</f>
        <v>0</v>
      </c>
      <c r="W461">
        <v>0</v>
      </c>
      <c r="X461">
        <v>0</v>
      </c>
      <c r="Y461">
        <v>0</v>
      </c>
      <c r="Z461">
        <v>0</v>
      </c>
      <c r="AA461">
        <v>0</v>
      </c>
      <c r="AB461" s="30">
        <f>IF(B461="Sling Bullet (Stone)",ROUNDUP(D461*0.02*E461/'Ingredient stats'!$C$8,0),0)</f>
        <v>0</v>
      </c>
      <c r="AC461" t="str">
        <f t="shared" si="20"/>
        <v>None</v>
      </c>
      <c r="AD461" t="str">
        <f>IF(OR(B461="Buck",B461="Bird",B461="Charge (Scatter)"),'Ammo Input'!J461,"None")</f>
        <v>None</v>
      </c>
      <c r="AE461" t="str">
        <f>_xlfn.IFS(ISTEXT(Calcs!N461),Calcs!N461,Calcs!N461&lt;=40,Calcs!N461,Calcs!N461&gt;41,"40")</f>
        <v>None</v>
      </c>
      <c r="AF461" t="str">
        <f>_xlfn.IFS(ISTEXT(Calcs!O461),Calcs!O461,Calcs!O461&lt;=80,Calcs!O461,Calcs!O461&gt;=81,"80")</f>
        <v>None</v>
      </c>
      <c r="AG461" s="25">
        <f t="shared" si="21"/>
        <v>1</v>
      </c>
      <c r="AH461" s="25">
        <f t="shared" si="22"/>
        <v>2.94</v>
      </c>
      <c r="AI461" s="25">
        <f t="shared" si="23"/>
        <v>1</v>
      </c>
    </row>
    <row r="462" ht="14.4" spans="1:35">
      <c r="A462" s="24" t="str">
        <f>'Ammo Input'!A462</f>
        <v>.30 Carbine</v>
      </c>
      <c r="B462" t="str">
        <f>'Ammo Input'!B462</f>
        <v>FMJ</v>
      </c>
      <c r="C462">
        <f>ROUNDUP(('Ammo Input'!C462*(MAX('Ammo Input'!D462,'Ammo Input'!F462)*0.5)^2*PI())*3/1000000,2)</f>
        <v>0.01</v>
      </c>
      <c r="D462">
        <f>ROUNDUP(('Ammo Input'!E462+'Ammo Input'!H462*IF('Ammo Input'!J462&lt;&gt;"",MAX('Ammo Input'!J462,1),1))/1000,3)</f>
        <v>0.013</v>
      </c>
      <c r="E462">
        <f>MIN(5000,MAX(25,CEILING(Calcs!L462,_xlfn.IFS(Calcs!L462&lt;100,25,Calcs!L462&lt;250,50,Calcs!L462&lt;1000,250,Calcs!L462&gt;=1000,1000))))</f>
        <v>5000</v>
      </c>
      <c r="F462">
        <f>ROUNDUP('Ammo Input'!G462^(3/4),0)</f>
        <v>123</v>
      </c>
      <c r="G462">
        <f>ROUND((0.5*((IF(OR(B462="HEAT",B462="HEDP"),'Ammo Input'!N462,'Ammo Input'!H462)/1000)*(IF(B462="HEAT",9000,IF(B462="HEDP",1500,'Ammo Input'!G462))^2))),0)</f>
        <v>1287</v>
      </c>
      <c r="H462" s="25" t="str">
        <f>CONCATENATE(IF((B462="Foam")+(B462="Smoke"),"-",ROUND(Calcs!D462,0))," ",VLOOKUP(B462,AmmoTypeFactors,5,FALSE))</f>
        <v>14 Bullet</v>
      </c>
      <c r="I462" s="25" t="str">
        <f>IF(Calcs!E462=0,"None",CONCATENATE(ROUND(Calcs!E462,0)," ",VLOOKUP(B462,AmmoTypeFactors,6,FALSE)))</f>
        <v>None</v>
      </c>
      <c r="J462">
        <f>MROUND(2.42*'Ammo Input'!M462^(1/3)*VLOOKUP(B462,AmmoTypeFactors,3,FALSE),0.5)</f>
        <v>0</v>
      </c>
      <c r="K462" s="25" t="str">
        <f>IF(VLOOKUP(B462,AmmoTypeFactors,12,FALSE),MROUND(J462/3,0.5),"None")</f>
        <v>None</v>
      </c>
      <c r="L462" s="25">
        <f>IF(VLOOKUP(B462,AmmoTypeFactors,8,FALSE),"None",ROUNDUP(IF(Calcs!I462&gt;0,Calcs!I462,Calcs!H462),3))</f>
        <v>25.74</v>
      </c>
      <c r="M462" s="25">
        <f>IF(VLOOKUP(B462,AmmoTypeFactors,8,FALSE),"None",'Ammo Input'!L462)</f>
        <v>5</v>
      </c>
      <c r="N462">
        <f>'Ammo Input'!O462</f>
        <v>500</v>
      </c>
      <c r="O462" t="e">
        <f>ROUND((P462*0.0036+SUMPRODUCT(Q462:AB462,VLOOKUP($Q$1:$AB$1,IngredientStats,2,FALSE)))/N462*IF('Ammo Input'!R462,0.5,1),2)</f>
        <v>#VALUE!</v>
      </c>
      <c r="P462" t="e">
        <f>(SUMPRODUCT(Q462:AB462,VLOOKUP($Q$1:$AB$1,IngredientStats,4,FALSE))*VLOOKUP(B462,AmmoTypeFactors,14,FALSE)*IF('Ammo Input'!R462,1.1,1))</f>
        <v>#VALUE!</v>
      </c>
      <c r="Q462">
        <f>IFERROR(__xludf.DUMMYFUNCTION("((IF(NOT(OR(REGEXMATCH(B458, ""Arrow""), B458 = ""Javelin"", B458 = ""Stick bomb"")), ROUNDUP(('Ammo Input'!E458 / 1000) * N458)) + IF(VLOOKUP(B458, AmmoTypeFactors, 9, FALSE) = ""Steel"", ROUNDUP(('Ammo Input'!H458 -'Ammo Input'!M458) * MAX(IF('Ammo Inpu"&amp;"t'!J458 &gt; 0, 'Ammo Input'!J458, 1), 1) * N458 / 1000))) / 'Ingredient stats'!$C$2) * IF(ISBLANK(VLOOKUP(B458,AmmoTypeFactors,15,False)),1,VLOOKUP(B458,AmmoTypeFactors,15,False))"),14)</f>
        <v>14</v>
      </c>
      <c r="R462">
        <f>IFERROR(__xludf.DUMMYFUNCTION("ROUNDUP((IF(REGEXMATCH(B458, ""Arrow"") + (B458 = ""Javelin""), 'Ammo Input'!E458) + IF(VLOOKUP(B458, AmmoTypeFactors, 9, FALSE) = ""Wood"", 'Ammo Input'!H458) + IF(B458 = ""Stick bomb"", 'Ammo Input'!E458)) * N458 / 'Ingredient stats'!$C$12 / 1000)"),0)</f>
        <v>0</v>
      </c>
      <c r="S462">
        <v>0</v>
      </c>
      <c r="T462">
        <v>0</v>
      </c>
      <c r="U462">
        <f>IF(VLOOKUP(B462,AmmoTypeFactors,9,FALSE)="Plasteel",ROUNDUP(('Ammo Input'!H462*MAX(IF('Ammo Input'!J462&gt;0,'Ammo Input'!J462,1)*N462/1000/'Ingredient stats'!$C$4)),0),0)</f>
        <v>0</v>
      </c>
      <c r="V462">
        <f>IFERROR(__xludf.DUMMYFUNCTION("ROUNDUP(IF(ISBLANK(VLOOKUP(B458,AmmoTypeFactors,16,False)),1,VLOOKUP(B458,AmmoTypeFactors,16,False)) * (IFS(REGEXMATCH(B458, ""EMP""), 'Ammo Input'!M458 * N458 / 'Ingredient stats'!$C$5, REGEXMATCH(B458, ""Charge""), (U458^0.75), true, 0) + (IF(VLOOKUP(B4"&amp;"58, AmmoTypeFactors, 10, false), 2,0) + IF('Ammo Input'!P458, 2,0) + IF('Ammo Input'!Q458,MIN(ROUNDUP(0.2*('Ammo Input'!H458/1000)*'Ammo Input'!O458,0),20),0))))"),0)</f>
        <v>0</v>
      </c>
      <c r="W462">
        <v>0</v>
      </c>
      <c r="X462">
        <v>0</v>
      </c>
      <c r="Y462">
        <v>0</v>
      </c>
      <c r="Z462">
        <v>0</v>
      </c>
      <c r="AA462">
        <v>0</v>
      </c>
      <c r="AB462" s="30">
        <f>IF(B462="Sling Bullet (Stone)",ROUNDUP(D462*0.02*E462/'Ingredient stats'!$C$8,0),0)</f>
        <v>0</v>
      </c>
      <c r="AC462" t="str">
        <f t="shared" si="20"/>
        <v>None</v>
      </c>
      <c r="AD462" t="str">
        <f>IF(OR(B462="Buck",B462="Bird",B462="Charge (Scatter)"),'Ammo Input'!J462,"None")</f>
        <v>None</v>
      </c>
      <c r="AE462" t="str">
        <f>_xlfn.IFS(ISTEXT(Calcs!N462),Calcs!N462,Calcs!N462&lt;=40,Calcs!N462,Calcs!N462&gt;41,"40")</f>
        <v>None</v>
      </c>
      <c r="AF462" t="str">
        <f>_xlfn.IFS(ISTEXT(Calcs!O462),Calcs!O462,Calcs!O462&lt;=80,Calcs!O462,Calcs!O462&gt;=81,"80")</f>
        <v>None</v>
      </c>
      <c r="AG462" s="25">
        <f t="shared" si="21"/>
        <v>1</v>
      </c>
      <c r="AH462" s="25">
        <f t="shared" si="22"/>
        <v>2.02</v>
      </c>
      <c r="AI462" s="25">
        <f t="shared" si="23"/>
        <v>1</v>
      </c>
    </row>
    <row r="463" ht="14.4" spans="1:35">
      <c r="A463" s="24" t="str">
        <f>'Ammo Input'!A463</f>
        <v>.30 Carbine</v>
      </c>
      <c r="B463" t="str">
        <f>'Ammo Input'!B463</f>
        <v>AP</v>
      </c>
      <c r="C463">
        <f>ROUNDUP(('Ammo Input'!C463*(MAX('Ammo Input'!D463,'Ammo Input'!F463)*0.5)^2*PI())*3/1000000,2)</f>
        <v>0.01</v>
      </c>
      <c r="D463">
        <f>ROUNDUP(('Ammo Input'!E463+'Ammo Input'!H463*IF('Ammo Input'!J463&lt;&gt;"",MAX('Ammo Input'!J463,1),1))/1000,3)</f>
        <v>0.013</v>
      </c>
      <c r="E463">
        <f>MIN(5000,MAX(25,CEILING(Calcs!L463,_xlfn.IFS(Calcs!L463&lt;100,25,Calcs!L463&lt;250,50,Calcs!L463&lt;1000,250,Calcs!L463&gt;=1000,1000))))</f>
        <v>5000</v>
      </c>
      <c r="F463">
        <f>ROUNDUP('Ammo Input'!G463^(3/4),0)</f>
        <v>123</v>
      </c>
      <c r="G463">
        <f>ROUND((0.5*((IF(OR(B463="HEAT",B463="HEDP"),'Ammo Input'!N463,'Ammo Input'!H463)/1000)*(IF(B463="HEAT",9000,IF(B463="HEDP",1500,'Ammo Input'!G463))^2))),0)</f>
        <v>1287</v>
      </c>
      <c r="H463" s="25" t="str">
        <f>CONCATENATE(IF((B463="Foam")+(B463="Smoke"),"-",ROUND(Calcs!D463,0))," ",VLOOKUP(B463,AmmoTypeFactors,5,FALSE))</f>
        <v>9 Bullet</v>
      </c>
      <c r="I463" s="25" t="str">
        <f>IF(Calcs!E463=0,"None",CONCATENATE(ROUND(Calcs!E463,0)," ",VLOOKUP(B463,AmmoTypeFactors,6,FALSE)))</f>
        <v>None</v>
      </c>
      <c r="J463">
        <f>MROUND(2.42*'Ammo Input'!M463^(1/3)*VLOOKUP(B463,AmmoTypeFactors,3,FALSE),0.5)</f>
        <v>0</v>
      </c>
      <c r="K463" s="25" t="str">
        <f>IF(VLOOKUP(B463,AmmoTypeFactors,12,FALSE),MROUND(J463/3,0.5),"None")</f>
        <v>None</v>
      </c>
      <c r="L463" s="25">
        <f>IF(VLOOKUP(B463,AmmoTypeFactors,8,FALSE),"None",ROUNDUP(IF(Calcs!I463&gt;0,Calcs!I463,Calcs!H463),3))</f>
        <v>25.74</v>
      </c>
      <c r="M463" s="25">
        <f>IF(VLOOKUP(B463,AmmoTypeFactors,8,FALSE),"None",'Ammo Input'!L463)</f>
        <v>10</v>
      </c>
      <c r="N463">
        <f>'Ammo Input'!O463</f>
        <v>500</v>
      </c>
      <c r="O463" t="e">
        <f>ROUND((P463*0.0036+SUMPRODUCT(Q463:AB463,VLOOKUP($Q$1:$AB$1,IngredientStats,2,FALSE)))/N463*IF('Ammo Input'!R463,0.5,1),2)</f>
        <v>#VALUE!</v>
      </c>
      <c r="P463" t="e">
        <f>(SUMPRODUCT(Q463:AB463,VLOOKUP($Q$1:$AB$1,IngredientStats,4,FALSE))*VLOOKUP(B463,AmmoTypeFactors,14,FALSE)*IF('Ammo Input'!R463,1.1,1))</f>
        <v>#VALUE!</v>
      </c>
      <c r="Q463">
        <f>IFERROR(__xludf.DUMMYFUNCTION("((IF(NOT(OR(REGEXMATCH(B459, ""Arrow""), B459 = ""Javelin"", B459 = ""Stick bomb"")), ROUNDUP(('Ammo Input'!E459 / 1000) * N459)) + IF(VLOOKUP(B459, AmmoTypeFactors, 9, FALSE) = ""Steel"", ROUNDUP(('Ammo Input'!H459 -'Ammo Input'!M459) * MAX(IF('Ammo Inpu"&amp;"t'!J459 &gt; 0, 'Ammo Input'!J459, 1), 1) * N459 / 1000))) / 'Ingredient stats'!$C$2) * IF(ISBLANK(VLOOKUP(B459,AmmoTypeFactors,15,False)),1,VLOOKUP(B459,AmmoTypeFactors,15,False))"),14)</f>
        <v>14</v>
      </c>
      <c r="R463">
        <f>IFERROR(__xludf.DUMMYFUNCTION("ROUNDUP((IF(REGEXMATCH(B459, ""Arrow"") + (B459 = ""Javelin""), 'Ammo Input'!E459) + IF(VLOOKUP(B459, AmmoTypeFactors, 9, FALSE) = ""Wood"", 'Ammo Input'!H459) + IF(B459 = ""Stick bomb"", 'Ammo Input'!E459)) * N459 / 'Ingredient stats'!$C$12 / 1000)"),0)</f>
        <v>0</v>
      </c>
      <c r="S463">
        <v>0</v>
      </c>
      <c r="T463">
        <v>0</v>
      </c>
      <c r="U463">
        <f>IF(VLOOKUP(B463,AmmoTypeFactors,9,FALSE)="Plasteel",ROUNDUP(('Ammo Input'!H463*MAX(IF('Ammo Input'!J463&gt;0,'Ammo Input'!J463,1)*N463/1000/'Ingredient stats'!$C$4)),0),0)</f>
        <v>0</v>
      </c>
      <c r="V463">
        <f>IFERROR(__xludf.DUMMYFUNCTION("ROUNDUP(IF(ISBLANK(VLOOKUP(B459,AmmoTypeFactors,16,False)),1,VLOOKUP(B459,AmmoTypeFactors,16,False)) * (IFS(REGEXMATCH(B459, ""EMP""), 'Ammo Input'!M459 * N459 / 'Ingredient stats'!$C$5, REGEXMATCH(B459, ""Charge""), (U459^0.75), true, 0) + (IF(VLOOKUP(B4"&amp;"59, AmmoTypeFactors, 10, false), 2,0) + IF('Ammo Input'!P459, 2,0) + IF('Ammo Input'!Q459,MIN(ROUNDUP(0.2*('Ammo Input'!H459/1000)*'Ammo Input'!O459,0),20),0))))"),0)</f>
        <v>0</v>
      </c>
      <c r="W463">
        <v>0</v>
      </c>
      <c r="X463">
        <v>0</v>
      </c>
      <c r="Y463">
        <v>0</v>
      </c>
      <c r="Z463">
        <v>0</v>
      </c>
      <c r="AA463">
        <v>0</v>
      </c>
      <c r="AB463" s="30">
        <f>IF(B463="Sling Bullet (Stone)",ROUNDUP(D463*0.02*E463/'Ingredient stats'!$C$8,0),0)</f>
        <v>0</v>
      </c>
      <c r="AC463" t="str">
        <f t="shared" si="20"/>
        <v>None</v>
      </c>
      <c r="AD463" t="str">
        <f>IF(OR(B463="Buck",B463="Bird",B463="Charge (Scatter)"),'Ammo Input'!J463,"None")</f>
        <v>None</v>
      </c>
      <c r="AE463" t="str">
        <f>_xlfn.IFS(ISTEXT(Calcs!N463),Calcs!N463,Calcs!N463&lt;=40,Calcs!N463,Calcs!N463&gt;41,"40")</f>
        <v>None</v>
      </c>
      <c r="AF463" t="str">
        <f>_xlfn.IFS(ISTEXT(Calcs!O463),Calcs!O463,Calcs!O463&lt;=80,Calcs!O463,Calcs!O463&gt;=81,"80")</f>
        <v>None</v>
      </c>
      <c r="AG463" s="25">
        <f t="shared" si="21"/>
        <v>1</v>
      </c>
      <c r="AH463" s="25">
        <f t="shared" si="22"/>
        <v>2.02</v>
      </c>
      <c r="AI463" s="25">
        <f t="shared" si="23"/>
        <v>1</v>
      </c>
    </row>
    <row r="464" ht="14.4" spans="1:35">
      <c r="A464" s="24" t="str">
        <f>'Ammo Input'!A464</f>
        <v>.30 Carbine</v>
      </c>
      <c r="B464" t="str">
        <f>'Ammo Input'!B464</f>
        <v>HP</v>
      </c>
      <c r="C464">
        <f>ROUNDUP(('Ammo Input'!C464*(MAX('Ammo Input'!D464,'Ammo Input'!F464)*0.5)^2*PI())*3/1000000,2)</f>
        <v>0.01</v>
      </c>
      <c r="D464">
        <f>ROUNDUP(('Ammo Input'!E464+'Ammo Input'!H464*IF('Ammo Input'!J464&lt;&gt;"",MAX('Ammo Input'!J464,1),1))/1000,3)</f>
        <v>0.013</v>
      </c>
      <c r="E464">
        <f>MIN(5000,MAX(25,CEILING(Calcs!L464,_xlfn.IFS(Calcs!L464&lt;100,25,Calcs!L464&lt;250,50,Calcs!L464&lt;1000,250,Calcs!L464&gt;=1000,1000))))</f>
        <v>5000</v>
      </c>
      <c r="F464">
        <f>ROUNDUP('Ammo Input'!G464^(3/4),0)</f>
        <v>123</v>
      </c>
      <c r="G464">
        <f>ROUND((0.5*((IF(OR(B464="HEAT",B464="HEDP"),'Ammo Input'!N464,'Ammo Input'!H464)/1000)*(IF(B464="HEAT",9000,IF(B464="HEDP",1500,'Ammo Input'!G464))^2))),0)</f>
        <v>1287</v>
      </c>
      <c r="H464" s="25" t="str">
        <f>CONCATENATE(IF((B464="Foam")+(B464="Smoke"),"-",ROUND(Calcs!D464,0))," ",VLOOKUP(B464,AmmoTypeFactors,5,FALSE))</f>
        <v>18 Bullet</v>
      </c>
      <c r="I464" s="25" t="str">
        <f>IF(Calcs!E464=0,"None",CONCATENATE(ROUND(Calcs!E464,0)," ",VLOOKUP(B464,AmmoTypeFactors,6,FALSE)))</f>
        <v>None</v>
      </c>
      <c r="J464">
        <f>MROUND(2.42*'Ammo Input'!M464^(1/3)*VLOOKUP(B464,AmmoTypeFactors,3,FALSE),0.5)</f>
        <v>0</v>
      </c>
      <c r="K464" s="25" t="str">
        <f>IF(VLOOKUP(B464,AmmoTypeFactors,12,FALSE),MROUND(J464/3,0.5),"None")</f>
        <v>None</v>
      </c>
      <c r="L464" s="25">
        <f>IF(VLOOKUP(B464,AmmoTypeFactors,8,FALSE),"None",ROUNDUP(IF(Calcs!I464&gt;0,Calcs!I464,Calcs!H464),3))</f>
        <v>25.74</v>
      </c>
      <c r="M464" s="25">
        <f>IF(VLOOKUP(B464,AmmoTypeFactors,8,FALSE),"None",'Ammo Input'!L464)</f>
        <v>3</v>
      </c>
      <c r="N464">
        <f>'Ammo Input'!O464</f>
        <v>500</v>
      </c>
      <c r="O464" t="e">
        <f>ROUND((P464*0.0036+SUMPRODUCT(Q464:AB464,VLOOKUP($Q$1:$AB$1,IngredientStats,2,FALSE)))/N464*IF('Ammo Input'!R464,0.5,1),2)</f>
        <v>#VALUE!</v>
      </c>
      <c r="P464" t="e">
        <f>(SUMPRODUCT(Q464:AB464,VLOOKUP($Q$1:$AB$1,IngredientStats,4,FALSE))*VLOOKUP(B464,AmmoTypeFactors,14,FALSE)*IF('Ammo Input'!R464,1.1,1))</f>
        <v>#VALUE!</v>
      </c>
      <c r="Q464">
        <f>IFERROR(__xludf.DUMMYFUNCTION("((IF(NOT(OR(REGEXMATCH(B460, ""Arrow""), B460 = ""Javelin"", B460 = ""Stick bomb"")), ROUNDUP(('Ammo Input'!E460 / 1000) * N460)) + IF(VLOOKUP(B460, AmmoTypeFactors, 9, FALSE) = ""Steel"", ROUNDUP(('Ammo Input'!H460 -'Ammo Input'!M460) * MAX(IF('Ammo Inpu"&amp;"t'!J460 &gt; 0, 'Ammo Input'!J460, 1), 1) * N460 / 1000))) / 'Ingredient stats'!$C$2) * IF(ISBLANK(VLOOKUP(B460,AmmoTypeFactors,15,False)),1,VLOOKUP(B460,AmmoTypeFactors,15,False))"),14)</f>
        <v>14</v>
      </c>
      <c r="R464">
        <f>IFERROR(__xludf.DUMMYFUNCTION("ROUNDUP((IF(REGEXMATCH(B460, ""Arrow"") + (B460 = ""Javelin""), 'Ammo Input'!E460) + IF(VLOOKUP(B460, AmmoTypeFactors, 9, FALSE) = ""Wood"", 'Ammo Input'!H460) + IF(B460 = ""Stick bomb"", 'Ammo Input'!E460)) * N460 / 'Ingredient stats'!$C$12 / 1000)"),0)</f>
        <v>0</v>
      </c>
      <c r="S464">
        <v>0</v>
      </c>
      <c r="T464">
        <v>0</v>
      </c>
      <c r="U464">
        <f>IF(VLOOKUP(B464,AmmoTypeFactors,9,FALSE)="Plasteel",ROUNDUP(('Ammo Input'!H464*MAX(IF('Ammo Input'!J464&gt;0,'Ammo Input'!J464,1)*N464/1000/'Ingredient stats'!$C$4)),0),0)</f>
        <v>0</v>
      </c>
      <c r="V464">
        <f>IFERROR(__xludf.DUMMYFUNCTION("ROUNDUP(IF(ISBLANK(VLOOKUP(B460,AmmoTypeFactors,16,False)),1,VLOOKUP(B460,AmmoTypeFactors,16,False)) * (IFS(REGEXMATCH(B460, ""EMP""), 'Ammo Input'!M460 * N460 / 'Ingredient stats'!$C$5, REGEXMATCH(B460, ""Charge""), (U460^0.75), true, 0) + (IF(VLOOKUP(B4"&amp;"60, AmmoTypeFactors, 10, false), 2,0) + IF('Ammo Input'!P460, 2,0) + IF('Ammo Input'!Q460,MIN(ROUNDUP(0.2*('Ammo Input'!H460/1000)*'Ammo Input'!O460,0),20),0))))"),0)</f>
        <v>0</v>
      </c>
      <c r="W464">
        <v>0</v>
      </c>
      <c r="X464">
        <v>0</v>
      </c>
      <c r="Y464">
        <v>0</v>
      </c>
      <c r="Z464">
        <v>0</v>
      </c>
      <c r="AA464">
        <v>0</v>
      </c>
      <c r="AB464" s="30">
        <f>IF(B464="Sling Bullet (Stone)",ROUNDUP(D464*0.02*E464/'Ingredient stats'!$C$8,0),0)</f>
        <v>0</v>
      </c>
      <c r="AC464" t="str">
        <f t="shared" si="20"/>
        <v>None</v>
      </c>
      <c r="AD464" t="str">
        <f>IF(OR(B464="Buck",B464="Bird",B464="Charge (Scatter)"),'Ammo Input'!J464,"None")</f>
        <v>None</v>
      </c>
      <c r="AE464" t="str">
        <f>_xlfn.IFS(ISTEXT(Calcs!N464),Calcs!N464,Calcs!N464&lt;=40,Calcs!N464,Calcs!N464&gt;41,"40")</f>
        <v>None</v>
      </c>
      <c r="AF464" t="str">
        <f>_xlfn.IFS(ISTEXT(Calcs!O464),Calcs!O464,Calcs!O464&lt;=80,Calcs!O464,Calcs!O464&gt;=81,"80")</f>
        <v>None</v>
      </c>
      <c r="AG464" s="25">
        <f t="shared" si="21"/>
        <v>1</v>
      </c>
      <c r="AH464" s="25">
        <f t="shared" si="22"/>
        <v>2.02</v>
      </c>
      <c r="AI464" s="25">
        <f t="shared" si="23"/>
        <v>1</v>
      </c>
    </row>
    <row r="465" ht="14.4" spans="1:35">
      <c r="A465" s="24" t="str">
        <f>'Ammo Input'!A465</f>
        <v>.30 Carbine</v>
      </c>
      <c r="B465" t="str">
        <f>'Ammo Input'!B465</f>
        <v>AP-I</v>
      </c>
      <c r="C465">
        <f>ROUNDUP(('Ammo Input'!C465*(MAX('Ammo Input'!D465,'Ammo Input'!F465)*0.5)^2*PI())*3/1000000,2)</f>
        <v>0.01</v>
      </c>
      <c r="D465">
        <f>ROUNDUP(('Ammo Input'!E465+'Ammo Input'!H465*IF('Ammo Input'!J465&lt;&gt;"",MAX('Ammo Input'!J465,1),1))/1000,3)</f>
        <v>0.013</v>
      </c>
      <c r="E465">
        <f>MIN(5000,MAX(25,CEILING(Calcs!L465,_xlfn.IFS(Calcs!L465&lt;100,25,Calcs!L465&lt;250,50,Calcs!L465&lt;1000,250,Calcs!L465&gt;=1000,1000))))</f>
        <v>5000</v>
      </c>
      <c r="F465">
        <f>ROUNDUP('Ammo Input'!G465^(3/4),0)</f>
        <v>123</v>
      </c>
      <c r="G465">
        <f>ROUND((0.5*((IF(OR(B465="HEAT",B465="HEDP"),'Ammo Input'!N465,'Ammo Input'!H465)/1000)*(IF(B465="HEAT",9000,IF(B465="HEDP",1500,'Ammo Input'!G465))^2))),0)</f>
        <v>1287</v>
      </c>
      <c r="H465" s="25" t="str">
        <f>CONCATENATE(IF((B465="Foam")+(B465="Smoke"),"-",ROUND(Calcs!D465,0))," ",VLOOKUP(B465,AmmoTypeFactors,5,FALSE))</f>
        <v>9 Bullet</v>
      </c>
      <c r="I465" s="25" t="str">
        <f>IF(Calcs!E465=0,"None",CONCATENATE(ROUND(Calcs!E465,0)," ",VLOOKUP(B465,AmmoTypeFactors,6,FALSE)))</f>
        <v>5 Flame_Secondary</v>
      </c>
      <c r="J465">
        <f>MROUND(2.42*'Ammo Input'!M465^(1/3)*VLOOKUP(B465,AmmoTypeFactors,3,FALSE),0.5)</f>
        <v>0</v>
      </c>
      <c r="K465" s="25" t="str">
        <f>IF(VLOOKUP(B465,AmmoTypeFactors,12,FALSE),MROUND(J465/3,0.5),"None")</f>
        <v>None</v>
      </c>
      <c r="L465" s="25">
        <f>IF(VLOOKUP(B465,AmmoTypeFactors,8,FALSE),"None",ROUNDUP(IF(Calcs!I465&gt;0,Calcs!I465,Calcs!H465),3))</f>
        <v>25.74</v>
      </c>
      <c r="M465" s="25">
        <f>IF(VLOOKUP(B465,AmmoTypeFactors,8,FALSE),"None",'Ammo Input'!L465)</f>
        <v>10</v>
      </c>
      <c r="N465">
        <f>'Ammo Input'!O465</f>
        <v>500</v>
      </c>
      <c r="O465" t="e">
        <f>ROUND((P465*0.0036+SUMPRODUCT(Q465:AB465,VLOOKUP($Q$1:$AB$1,IngredientStats,2,FALSE)))/N465*IF('Ammo Input'!R465,0.5,1),2)</f>
        <v>#VALUE!</v>
      </c>
      <c r="P465" t="e">
        <f>(SUMPRODUCT(Q465:AB465,VLOOKUP($Q$1:$AB$1,IngredientStats,4,FALSE))*VLOOKUP(B465,AmmoTypeFactors,14,FALSE)*IF('Ammo Input'!R465,1.1,1))</f>
        <v>#VALUE!</v>
      </c>
      <c r="Q465">
        <f>IFERROR(__xludf.DUMMYFUNCTION("((IF(NOT(OR(REGEXMATCH(B461, ""Arrow""), B461 = ""Javelin"", B461 = ""Stick bomb"")), ROUNDUP(('Ammo Input'!E461 / 1000) * N461)) + IF(VLOOKUP(B461, AmmoTypeFactors, 9, FALSE) = ""Steel"", ROUNDUP(('Ammo Input'!H461 -'Ammo Input'!M461) * MAX(IF('Ammo Inpu"&amp;"t'!J461 &gt; 0, 'Ammo Input'!J461, 1), 1) * N461 / 1000))) / 'Ingredient stats'!$C$2) * IF(ISBLANK(VLOOKUP(B461,AmmoTypeFactors,15,False)),1,VLOOKUP(B461,AmmoTypeFactors,15,False))"),14)</f>
        <v>14</v>
      </c>
      <c r="R465">
        <f>IFERROR(__xludf.DUMMYFUNCTION("ROUNDUP((IF(REGEXMATCH(B461, ""Arrow"") + (B461 = ""Javelin""), 'Ammo Input'!E461) + IF(VLOOKUP(B461, AmmoTypeFactors, 9, FALSE) = ""Wood"", 'Ammo Input'!H461) + IF(B461 = ""Stick bomb"", 'Ammo Input'!E461)) * N461 / 'Ingredient stats'!$C$12 / 1000)"),0)</f>
        <v>0</v>
      </c>
      <c r="S465">
        <v>0</v>
      </c>
      <c r="T465">
        <v>0</v>
      </c>
      <c r="U465">
        <f>IF(VLOOKUP(B465,AmmoTypeFactors,9,FALSE)="Plasteel",ROUNDUP(('Ammo Input'!H465*MAX(IF('Ammo Input'!J465&gt;0,'Ammo Input'!J465,1)*N465/1000/'Ingredient stats'!$C$4)),0),0)</f>
        <v>0</v>
      </c>
      <c r="V465">
        <f>IFERROR(__xludf.DUMMYFUNCTION("ROUNDUP(IF(ISBLANK(VLOOKUP(B461,AmmoTypeFactors,16,False)),1,VLOOKUP(B461,AmmoTypeFactors,16,False)) * (IFS(REGEXMATCH(B461, ""EMP""), 'Ammo Input'!M461 * N461 / 'Ingredient stats'!$C$5, REGEXMATCH(B461, ""Charge""), (U461^0.75), true, 0) + (IF(VLOOKUP(B4"&amp;"61, AmmoTypeFactors, 10, false), 2,0) + IF('Ammo Input'!P461, 2,0) + IF('Ammo Input'!Q461,MIN(ROUNDUP(0.2*('Ammo Input'!H461/1000)*'Ammo Input'!O461,0),20),0))))"),0)</f>
        <v>0</v>
      </c>
      <c r="W465">
        <v>2</v>
      </c>
      <c r="X465">
        <v>0</v>
      </c>
      <c r="Y465">
        <v>0</v>
      </c>
      <c r="Z465">
        <v>0</v>
      </c>
      <c r="AA465">
        <v>0</v>
      </c>
      <c r="AB465" s="30">
        <f>IF(B465="Sling Bullet (Stone)",ROUNDUP(D465*0.02*E465/'Ingredient stats'!$C$8,0),0)</f>
        <v>0</v>
      </c>
      <c r="AC465" t="str">
        <f t="shared" si="20"/>
        <v>None</v>
      </c>
      <c r="AD465" t="str">
        <f>IF(OR(B465="Buck",B465="Bird",B465="Charge (Scatter)"),'Ammo Input'!J465,"None")</f>
        <v>None</v>
      </c>
      <c r="AE465" t="str">
        <f>_xlfn.IFS(ISTEXT(Calcs!N465),Calcs!N465,Calcs!N465&lt;=40,Calcs!N465,Calcs!N465&gt;41,"40")</f>
        <v>None</v>
      </c>
      <c r="AF465" t="str">
        <f>_xlfn.IFS(ISTEXT(Calcs!O465),Calcs!O465,Calcs!O465&lt;=80,Calcs!O465,Calcs!O465&gt;=81,"80")</f>
        <v>None</v>
      </c>
      <c r="AG465" s="25">
        <f t="shared" si="21"/>
        <v>1</v>
      </c>
      <c r="AH465" s="25">
        <f t="shared" si="22"/>
        <v>2.02</v>
      </c>
      <c r="AI465" s="25">
        <f t="shared" si="23"/>
        <v>1</v>
      </c>
    </row>
    <row r="466" ht="14.4" spans="1:35">
      <c r="A466" s="24" t="str">
        <f>'Ammo Input'!A466</f>
        <v>.30 Carbine</v>
      </c>
      <c r="B466" t="str">
        <f>'Ammo Input'!B466</f>
        <v>AP-HE</v>
      </c>
      <c r="C466">
        <f>ROUNDUP(('Ammo Input'!C466*(MAX('Ammo Input'!D466,'Ammo Input'!F466)*0.5)^2*PI())*3/1000000,2)</f>
        <v>0.01</v>
      </c>
      <c r="D466">
        <f>ROUNDUP(('Ammo Input'!E466+'Ammo Input'!H466*IF('Ammo Input'!J466&lt;&gt;"",MAX('Ammo Input'!J466,1),1))/1000,3)</f>
        <v>0.013</v>
      </c>
      <c r="E466">
        <f>MIN(5000,MAX(25,CEILING(Calcs!L466,_xlfn.IFS(Calcs!L466&lt;100,25,Calcs!L466&lt;250,50,Calcs!L466&lt;1000,250,Calcs!L466&gt;=1000,1000))))</f>
        <v>5000</v>
      </c>
      <c r="F466">
        <f>ROUNDUP('Ammo Input'!G466^(3/4),0)</f>
        <v>123</v>
      </c>
      <c r="G466">
        <f>ROUND((0.5*((IF(OR(B466="HEAT",B466="HEDP"),'Ammo Input'!N466,'Ammo Input'!H466)/1000)*(IF(B466="HEAT",9000,IF(B466="HEDP",1500,'Ammo Input'!G466))^2))),0)</f>
        <v>1287</v>
      </c>
      <c r="H466" s="25" t="str">
        <f>CONCATENATE(IF((B466="Foam")+(B466="Smoke"),"-",ROUND(Calcs!D466,0))," ",VLOOKUP(B466,AmmoTypeFactors,5,FALSE))</f>
        <v>14 Bullet</v>
      </c>
      <c r="I466" s="25" t="str">
        <f>IF(Calcs!E466=0,"None",CONCATENATE(ROUND(Calcs!E466,0)," ",VLOOKUP(B466,AmmoTypeFactors,6,FALSE)))</f>
        <v>6 Bomb_Secondary</v>
      </c>
      <c r="J466">
        <f>MROUND(2.42*'Ammo Input'!M466^(1/3)*VLOOKUP(B466,AmmoTypeFactors,3,FALSE),0.5)</f>
        <v>0</v>
      </c>
      <c r="K466" s="25" t="str">
        <f>IF(VLOOKUP(B466,AmmoTypeFactors,12,FALSE),MROUND(J466/3,0.5),"None")</f>
        <v>None</v>
      </c>
      <c r="L466" s="25">
        <f>IF(VLOOKUP(B466,AmmoTypeFactors,8,FALSE),"None",ROUNDUP(IF(Calcs!I466&gt;0,Calcs!I466,Calcs!H466),3))</f>
        <v>25.74</v>
      </c>
      <c r="M466" s="25">
        <f>IF(VLOOKUP(B466,AmmoTypeFactors,8,FALSE),"None",'Ammo Input'!L466)</f>
        <v>5</v>
      </c>
      <c r="N466">
        <f>'Ammo Input'!O466</f>
        <v>500</v>
      </c>
      <c r="O466" t="e">
        <f>ROUND((P466*0.0036+SUMPRODUCT(Q466:AB466,VLOOKUP($Q$1:$AB$1,IngredientStats,2,FALSE)))/N466*IF('Ammo Input'!R466,0.5,1),2)</f>
        <v>#VALUE!</v>
      </c>
      <c r="P466" t="e">
        <f>(SUMPRODUCT(Q466:AB466,VLOOKUP($Q$1:$AB$1,IngredientStats,4,FALSE))*VLOOKUP(B466,AmmoTypeFactors,14,FALSE)*IF('Ammo Input'!R466,1.1,1))</f>
        <v>#VALUE!</v>
      </c>
      <c r="Q466">
        <f>IFERROR(__xludf.DUMMYFUNCTION("((IF(NOT(OR(REGEXMATCH(B462, ""Arrow""), B462 = ""Javelin"", B462 = ""Stick bomb"")), ROUNDUP(('Ammo Input'!E462 / 1000) * N462)) + IF(VLOOKUP(B462, AmmoTypeFactors, 9, FALSE) = ""Steel"", ROUNDUP(('Ammo Input'!H462 -'Ammo Input'!M462) * MAX(IF('Ammo Inpu"&amp;"t'!J462 &gt; 0, 'Ammo Input'!J462, 1), 1) * N462 / 1000))) / 'Ingredient stats'!$C$2) * IF(ISBLANK(VLOOKUP(B462,AmmoTypeFactors,15,False)),1,VLOOKUP(B462,AmmoTypeFactors,15,False))"),14)</f>
        <v>14</v>
      </c>
      <c r="R466">
        <f>IFERROR(__xludf.DUMMYFUNCTION("ROUNDUP((IF(REGEXMATCH(B462, ""Arrow"") + (B462 = ""Javelin""), 'Ammo Input'!E462) + IF(VLOOKUP(B462, AmmoTypeFactors, 9, FALSE) = ""Wood"", 'Ammo Input'!H462) + IF(B462 = ""Stick bomb"", 'Ammo Input'!E462)) * N462 / 'Ingredient stats'!$C$12 / 1000)"),0)</f>
        <v>0</v>
      </c>
      <c r="S466">
        <v>0</v>
      </c>
      <c r="T466">
        <v>0</v>
      </c>
      <c r="U466">
        <f>IF(VLOOKUP(B466,AmmoTypeFactors,9,FALSE)="Plasteel",ROUNDUP(('Ammo Input'!H466*MAX(IF('Ammo Input'!J466&gt;0,'Ammo Input'!J466,1)*N466/1000/'Ingredient stats'!$C$4)),0),0)</f>
        <v>0</v>
      </c>
      <c r="V466">
        <f>IFERROR(__xludf.DUMMYFUNCTION("ROUNDUP(IF(ISBLANK(VLOOKUP(B462,AmmoTypeFactors,16,False)),1,VLOOKUP(B462,AmmoTypeFactors,16,False)) * (IFS(REGEXMATCH(B462, ""EMP""), 'Ammo Input'!M462 * N462 / 'Ingredient stats'!$C$5, REGEXMATCH(B462, ""Charge""), (U462^0.75), true, 0) + (IF(VLOOKUP(B4"&amp;"62, AmmoTypeFactors, 10, false), 2,0) + IF('Ammo Input'!P462, 2,0) + IF('Ammo Input'!Q462,MIN(ROUNDUP(0.2*('Ammo Input'!H462/1000)*'Ammo Input'!O462,0),20),0))))"),0)</f>
        <v>0</v>
      </c>
      <c r="W466">
        <v>0</v>
      </c>
      <c r="X466">
        <v>5</v>
      </c>
      <c r="Y466">
        <v>0</v>
      </c>
      <c r="Z466">
        <v>0</v>
      </c>
      <c r="AA466">
        <v>0</v>
      </c>
      <c r="AB466" s="30">
        <f>IF(B466="Sling Bullet (Stone)",ROUNDUP(D466*0.02*E466/'Ingredient stats'!$C$8,0),0)</f>
        <v>0</v>
      </c>
      <c r="AC466" t="str">
        <f t="shared" si="20"/>
        <v>None</v>
      </c>
      <c r="AD466" t="str">
        <f>IF(OR(B466="Buck",B466="Bird",B466="Charge (Scatter)"),'Ammo Input'!J466,"None")</f>
        <v>None</v>
      </c>
      <c r="AE466" t="str">
        <f>_xlfn.IFS(ISTEXT(Calcs!N466),Calcs!N466,Calcs!N466&lt;=40,Calcs!N466,Calcs!N466&gt;41,"40")</f>
        <v>None</v>
      </c>
      <c r="AF466" t="str">
        <f>_xlfn.IFS(ISTEXT(Calcs!O466),Calcs!O466,Calcs!O466&lt;=80,Calcs!O466,Calcs!O466&gt;=81,"80")</f>
        <v>None</v>
      </c>
      <c r="AG466" s="25">
        <f t="shared" si="21"/>
        <v>1</v>
      </c>
      <c r="AH466" s="25">
        <f t="shared" si="22"/>
        <v>2.02</v>
      </c>
      <c r="AI466" s="25">
        <f t="shared" si="23"/>
        <v>1</v>
      </c>
    </row>
    <row r="467" ht="14.4" spans="1:35">
      <c r="A467" s="24" t="str">
        <f>'Ammo Input'!A467</f>
        <v>.30 Carbine</v>
      </c>
      <c r="B467" t="str">
        <f>'Ammo Input'!B467</f>
        <v>Sabot</v>
      </c>
      <c r="C467">
        <f>ROUNDUP(('Ammo Input'!C467*(MAX('Ammo Input'!D467,'Ammo Input'!F467)*0.5)^2*PI())*3/1000000,2)</f>
        <v>0.01</v>
      </c>
      <c r="D467">
        <f>ROUNDUP(('Ammo Input'!E467+'Ammo Input'!H467*IF('Ammo Input'!J467&lt;&gt;"",MAX('Ammo Input'!J467,1),1))/1000,3)</f>
        <v>0.01</v>
      </c>
      <c r="E467">
        <f>MIN(5000,MAX(25,CEILING(Calcs!L467,_xlfn.IFS(Calcs!L467&lt;100,25,Calcs!L467&lt;250,50,Calcs!L467&lt;1000,250,Calcs!L467&gt;=1000,1000))))</f>
        <v>5000</v>
      </c>
      <c r="F467">
        <f>ROUNDUP('Ammo Input'!G467^(3/4),0)</f>
        <v>166</v>
      </c>
      <c r="G467">
        <f>ROUND((0.5*((IF(OR(B467="HEAT",B467="HEDP"),'Ammo Input'!N467,'Ammo Input'!H467)/1000)*(IF(B467="HEAT",9000,IF(B467="HEDP",1500,'Ammo Input'!G467))^2))),0)</f>
        <v>1651</v>
      </c>
      <c r="H467" s="25" t="str">
        <f>CONCATENATE(IF((B467="Foam")+(B467="Smoke"),"-",ROUND(Calcs!D467,0))," ",VLOOKUP(B467,AmmoTypeFactors,5,FALSE))</f>
        <v>7 Bullet</v>
      </c>
      <c r="I467" s="25" t="str">
        <f>IF(Calcs!E467=0,"None",CONCATENATE(ROUND(Calcs!E467,0)," ",VLOOKUP(B467,AmmoTypeFactors,6,FALSE)))</f>
        <v>None</v>
      </c>
      <c r="J467">
        <f>MROUND(2.42*'Ammo Input'!M467^(1/3)*VLOOKUP(B467,AmmoTypeFactors,3,FALSE),0.5)</f>
        <v>0</v>
      </c>
      <c r="K467" s="25" t="str">
        <f>IF(VLOOKUP(B467,AmmoTypeFactors,12,FALSE),MROUND(J467/3,0.5),"None")</f>
        <v>None</v>
      </c>
      <c r="L467" s="25">
        <f>IF(VLOOKUP(B467,AmmoTypeFactors,8,FALSE),"None",ROUNDUP(IF(Calcs!I467&gt;0,Calcs!I467,Calcs!H467),3))</f>
        <v>33.02</v>
      </c>
      <c r="M467" s="25">
        <f>IF(VLOOKUP(B467,AmmoTypeFactors,8,FALSE),"None",'Ammo Input'!L467)</f>
        <v>17.5</v>
      </c>
      <c r="N467">
        <f>'Ammo Input'!O467</f>
        <v>500</v>
      </c>
      <c r="O467" t="e">
        <f>ROUND((P467*0.0036+SUMPRODUCT(Q467:AB467,VLOOKUP($Q$1:$AB$1,IngredientStats,2,FALSE)))/N467*IF('Ammo Input'!R467,0.5,1),2)</f>
        <v>#VALUE!</v>
      </c>
      <c r="P467" t="e">
        <f>(SUMPRODUCT(Q467:AB467,VLOOKUP($Q$1:$AB$1,IngredientStats,4,FALSE))*VLOOKUP(B467,AmmoTypeFactors,14,FALSE)*IF('Ammo Input'!R467,1.1,1))</f>
        <v>#VALUE!</v>
      </c>
      <c r="Q467">
        <f>IFERROR(__xludf.DUMMYFUNCTION("((IF(NOT(OR(REGEXMATCH(B463, ""Arrow""), B463 = ""Javelin"", B463 = ""Stick bomb"")), ROUNDUP(('Ammo Input'!E463 / 1000) * N463)) + IF(VLOOKUP(B463, AmmoTypeFactors, 9, FALSE) = ""Steel"", ROUNDUP(('Ammo Input'!H463 -'Ammo Input'!M463) * MAX(IF('Ammo Inpu"&amp;"t'!J463 &gt; 0, 'Ammo Input'!J463, 1), 1) * N463 / 1000))) / 'Ingredient stats'!$C$2) * IF(ISBLANK(VLOOKUP(B463,AmmoTypeFactors,15,False)),1,VLOOKUP(B463,AmmoTypeFactors,15,False))"),6)</f>
        <v>6</v>
      </c>
      <c r="R467">
        <f>IFERROR(__xludf.DUMMYFUNCTION("ROUNDUP((IF(REGEXMATCH(B463, ""Arrow"") + (B463 = ""Javelin""), 'Ammo Input'!E463) + IF(VLOOKUP(B463, AmmoTypeFactors, 9, FALSE) = ""Wood"", 'Ammo Input'!H463) + IF(B463 = ""Stick bomb"", 'Ammo Input'!E463)) * N463 / 'Ingredient stats'!$C$12 / 1000)"),0)</f>
        <v>0</v>
      </c>
      <c r="S467">
        <v>2</v>
      </c>
      <c r="T467">
        <v>2</v>
      </c>
      <c r="U467">
        <f>IF(VLOOKUP(B467,AmmoTypeFactors,9,FALSE)="Plasteel",ROUNDUP(('Ammo Input'!H467*MAX(IF('Ammo Input'!J467&gt;0,'Ammo Input'!J467,1)*N467/1000/'Ingredient stats'!$C$4)),0),0)</f>
        <v>0</v>
      </c>
      <c r="V467">
        <f>IFERROR(__xludf.DUMMYFUNCTION("ROUNDUP(IF(ISBLANK(VLOOKUP(B463,AmmoTypeFactors,16,False)),1,VLOOKUP(B463,AmmoTypeFactors,16,False)) * (IFS(REGEXMATCH(B463, ""EMP""), 'Ammo Input'!M463 * N463 / 'Ingredient stats'!$C$5, REGEXMATCH(B463, ""Charge""), (U463^0.75), true, 0) + (IF(VLOOKUP(B4"&amp;"63, AmmoTypeFactors, 10, false), 2,0) + IF('Ammo Input'!P463, 2,0) + IF('Ammo Input'!Q463,MIN(ROUNDUP(0.2*('Ammo Input'!H463/1000)*'Ammo Input'!O463,0),20),0))))"),0)</f>
        <v>0</v>
      </c>
      <c r="W467">
        <v>0</v>
      </c>
      <c r="X467">
        <v>0</v>
      </c>
      <c r="Y467">
        <v>0</v>
      </c>
      <c r="Z467">
        <v>0</v>
      </c>
      <c r="AA467">
        <v>0</v>
      </c>
      <c r="AB467" s="30">
        <f>IF(B467="Sling Bullet (Stone)",ROUNDUP(D467*0.02*E467/'Ingredient stats'!$C$8,0),0)</f>
        <v>0</v>
      </c>
      <c r="AC467" t="str">
        <f t="shared" si="20"/>
        <v>None</v>
      </c>
      <c r="AD467" t="str">
        <f>IF(OR(B467="Buck",B467="Bird",B467="Charge (Scatter)"),'Ammo Input'!J467,"None")</f>
        <v>None</v>
      </c>
      <c r="AE467" t="str">
        <f>_xlfn.IFS(ISTEXT(Calcs!N467),Calcs!N467,Calcs!N467&lt;=40,Calcs!N467,Calcs!N467&gt;41,"40")</f>
        <v>None</v>
      </c>
      <c r="AF467" t="str">
        <f>_xlfn.IFS(ISTEXT(Calcs!O467),Calcs!O467,Calcs!O467&lt;=80,Calcs!O467,Calcs!O467&gt;=81,"80")</f>
        <v>None</v>
      </c>
      <c r="AG467" s="25">
        <f t="shared" si="21"/>
        <v>1</v>
      </c>
      <c r="AH467" s="25">
        <f t="shared" si="22"/>
        <v>2.7</v>
      </c>
      <c r="AI467" s="25">
        <f t="shared" si="23"/>
        <v>1</v>
      </c>
    </row>
    <row r="468" ht="14.4" spans="1:35">
      <c r="A468" s="24" t="str">
        <f>'Ammo Input'!A468</f>
        <v>.30-30 Winchester</v>
      </c>
      <c r="B468" t="str">
        <f>'Ammo Input'!B468</f>
        <v>FMJ</v>
      </c>
      <c r="C468">
        <f>ROUNDUP(('Ammo Input'!C468*(MAX('Ammo Input'!D468,'Ammo Input'!F468)*0.5)^2*PI())*3/1000000,2)</f>
        <v>0.02</v>
      </c>
      <c r="D468">
        <f>ROUNDUP(('Ammo Input'!E468+'Ammo Input'!H468*IF('Ammo Input'!J468&lt;&gt;"",MAX('Ammo Input'!J468,1),1))/1000,3)</f>
        <v>0.026</v>
      </c>
      <c r="E468">
        <f>MIN(5000,MAX(25,CEILING(Calcs!L468,_xlfn.IFS(Calcs!L468&lt;100,25,Calcs!L468&lt;250,50,Calcs!L468&lt;1000,250,Calcs!L468&gt;=1000,1000))))</f>
        <v>5000</v>
      </c>
      <c r="F468">
        <f>ROUNDUP('Ammo Input'!G468^(3/4),0)</f>
        <v>138</v>
      </c>
      <c r="G468">
        <f>ROUND((0.5*((IF(OR(B468="HEAT",B468="HEDP"),'Ammo Input'!N468,'Ammo Input'!H468)/1000)*(IF(B468="HEAT",9000,IF(B468="HEDP",1500,'Ammo Input'!G468))^2))),0)</f>
        <v>2609</v>
      </c>
      <c r="H468" s="25" t="str">
        <f>CONCATENATE(IF((B468="Foam")+(B468="Smoke"),"-",ROUND(Calcs!D468,0))," ",VLOOKUP(B468,AmmoTypeFactors,5,FALSE))</f>
        <v>18 Bullet</v>
      </c>
      <c r="I468" s="25" t="str">
        <f>IF(Calcs!E468=0,"None",CONCATENATE(ROUND(Calcs!E468,0)," ",VLOOKUP(B468,AmmoTypeFactors,6,FALSE)))</f>
        <v>None</v>
      </c>
      <c r="J468">
        <f>MROUND(2.42*'Ammo Input'!M468^(1/3)*VLOOKUP(B468,AmmoTypeFactors,3,FALSE),0.5)</f>
        <v>0</v>
      </c>
      <c r="K468" s="25" t="str">
        <f>IF(VLOOKUP(B468,AmmoTypeFactors,12,FALSE),MROUND(J468/3,0.5),"None")</f>
        <v>None</v>
      </c>
      <c r="L468" s="25">
        <f>IF(VLOOKUP(B468,AmmoTypeFactors,8,FALSE),"None",ROUNDUP(IF(Calcs!I468&gt;0,Calcs!I468,Calcs!H468),3))</f>
        <v>52.18</v>
      </c>
      <c r="M468" s="25">
        <f>IF(VLOOKUP(B468,AmmoTypeFactors,8,FALSE),"None",'Ammo Input'!L468)</f>
        <v>5</v>
      </c>
      <c r="N468">
        <f>'Ammo Input'!O468</f>
        <v>500</v>
      </c>
      <c r="O468" t="e">
        <f>ROUND((P468*0.0036+SUMPRODUCT(Q468:AB468,VLOOKUP($Q$1:$AB$1,IngredientStats,2,FALSE)))/N468*IF('Ammo Input'!R468,0.5,1),2)</f>
        <v>#VALUE!</v>
      </c>
      <c r="P468" t="e">
        <f>(SUMPRODUCT(Q468:AB468,VLOOKUP($Q$1:$AB$1,IngredientStats,4,FALSE))*VLOOKUP(B468,AmmoTypeFactors,14,FALSE)*IF('Ammo Input'!R468,1.1,1))</f>
        <v>#VALUE!</v>
      </c>
      <c r="Q468">
        <f>IFERROR(__xludf.DUMMYFUNCTION("((IF(NOT(OR(REGEXMATCH(B464, ""Arrow""), B464 = ""Javelin"", B464 = ""Stick bomb"")), ROUNDUP(('Ammo Input'!E464 / 1000) * N464)) + IF(VLOOKUP(B464, AmmoTypeFactors, 9, FALSE) = ""Steel"", ROUNDUP(('Ammo Input'!H464 -'Ammo Input'!M464) * MAX(IF('Ammo Inpu"&amp;"t'!J464 &gt; 0, 'Ammo Input'!J464, 1), 1) * N464 / 1000))) / 'Ingredient stats'!$C$2) * IF(ISBLANK(VLOOKUP(B464,AmmoTypeFactors,15,False)),1,VLOOKUP(B464,AmmoTypeFactors,15,False))"),28)</f>
        <v>28</v>
      </c>
      <c r="R468">
        <f>IFERROR(__xludf.DUMMYFUNCTION("ROUNDUP((IF(REGEXMATCH(B464, ""Arrow"") + (B464 = ""Javelin""), 'Ammo Input'!E464) + IF(VLOOKUP(B464, AmmoTypeFactors, 9, FALSE) = ""Wood"", 'Ammo Input'!H464) + IF(B464 = ""Stick bomb"", 'Ammo Input'!E464)) * N464 / 'Ingredient stats'!$C$12 / 1000)"),0)</f>
        <v>0</v>
      </c>
      <c r="S468">
        <v>0</v>
      </c>
      <c r="T468">
        <v>0</v>
      </c>
      <c r="U468">
        <f>IF(VLOOKUP(B468,AmmoTypeFactors,9,FALSE)="Plasteel",ROUNDUP(('Ammo Input'!H468*MAX(IF('Ammo Input'!J468&gt;0,'Ammo Input'!J468,1)*N468/1000/'Ingredient stats'!$C$4)),0),0)</f>
        <v>0</v>
      </c>
      <c r="V468">
        <f>IFERROR(__xludf.DUMMYFUNCTION("ROUNDUP(IF(ISBLANK(VLOOKUP(B464,AmmoTypeFactors,16,False)),1,VLOOKUP(B464,AmmoTypeFactors,16,False)) * (IFS(REGEXMATCH(B464, ""EMP""), 'Ammo Input'!M464 * N464 / 'Ingredient stats'!$C$5, REGEXMATCH(B464, ""Charge""), (U464^0.75), true, 0) + (IF(VLOOKUP(B4"&amp;"64, AmmoTypeFactors, 10, false), 2,0) + IF('Ammo Input'!P464, 2,0) + IF('Ammo Input'!Q464,MIN(ROUNDUP(0.2*('Ammo Input'!H464/1000)*'Ammo Input'!O464,0),20),0))))"),0)</f>
        <v>0</v>
      </c>
      <c r="W468">
        <v>0</v>
      </c>
      <c r="X468">
        <v>0</v>
      </c>
      <c r="Y468">
        <v>0</v>
      </c>
      <c r="Z468">
        <v>0</v>
      </c>
      <c r="AA468">
        <v>0</v>
      </c>
      <c r="AB468" s="30">
        <f>IF(B468="Sling Bullet (Stone)",ROUNDUP(D468*0.02*E468/'Ingredient stats'!$C$8,0),0)</f>
        <v>0</v>
      </c>
      <c r="AC468" t="str">
        <f t="shared" si="20"/>
        <v>None</v>
      </c>
      <c r="AD468" t="str">
        <f>IF(OR(B468="Buck",B468="Bird",B468="Charge (Scatter)"),'Ammo Input'!J468,"None")</f>
        <v>None</v>
      </c>
      <c r="AE468" t="str">
        <f>_xlfn.IFS(ISTEXT(Calcs!N468),Calcs!N468,Calcs!N468&lt;=40,Calcs!N468,Calcs!N468&gt;41,"40")</f>
        <v>None</v>
      </c>
      <c r="AF468" t="str">
        <f>_xlfn.IFS(ISTEXT(Calcs!O468),Calcs!O468,Calcs!O468&lt;=80,Calcs!O468,Calcs!O468&gt;=81,"80")</f>
        <v>None</v>
      </c>
      <c r="AG468" s="25">
        <f t="shared" si="21"/>
        <v>1</v>
      </c>
      <c r="AH468" s="25">
        <f t="shared" si="22"/>
        <v>2.27</v>
      </c>
      <c r="AI468" s="25">
        <f t="shared" si="23"/>
        <v>1</v>
      </c>
    </row>
    <row r="469" ht="14.4" spans="1:35">
      <c r="A469" s="24" t="str">
        <f>'Ammo Input'!A469</f>
        <v>.30-30 Winchester</v>
      </c>
      <c r="B469" t="str">
        <f>'Ammo Input'!B469</f>
        <v>AP</v>
      </c>
      <c r="C469">
        <f>ROUNDUP(('Ammo Input'!C469*(MAX('Ammo Input'!D469,'Ammo Input'!F469)*0.5)^2*PI())*3/1000000,2)</f>
        <v>0.02</v>
      </c>
      <c r="D469">
        <f>ROUNDUP(('Ammo Input'!E469+'Ammo Input'!H469*IF('Ammo Input'!J469&lt;&gt;"",MAX('Ammo Input'!J469,1),1))/1000,3)</f>
        <v>0.026</v>
      </c>
      <c r="E469">
        <f>MIN(5000,MAX(25,CEILING(Calcs!L469,_xlfn.IFS(Calcs!L469&lt;100,25,Calcs!L469&lt;250,50,Calcs!L469&lt;1000,250,Calcs!L469&gt;=1000,1000))))</f>
        <v>5000</v>
      </c>
      <c r="F469">
        <f>ROUNDUP('Ammo Input'!G469^(3/4),0)</f>
        <v>138</v>
      </c>
      <c r="G469">
        <f>ROUND((0.5*((IF(OR(B469="HEAT",B469="HEDP"),'Ammo Input'!N469,'Ammo Input'!H469)/1000)*(IF(B469="HEAT",9000,IF(B469="HEDP",1500,'Ammo Input'!G469))^2))),0)</f>
        <v>2609</v>
      </c>
      <c r="H469" s="25" t="str">
        <f>CONCATENATE(IF((B469="Foam")+(B469="Smoke"),"-",ROUND(Calcs!D469,0))," ",VLOOKUP(B469,AmmoTypeFactors,5,FALSE))</f>
        <v>11 Bullet</v>
      </c>
      <c r="I469" s="25" t="str">
        <f>IF(Calcs!E469=0,"None",CONCATENATE(ROUND(Calcs!E469,0)," ",VLOOKUP(B469,AmmoTypeFactors,6,FALSE)))</f>
        <v>None</v>
      </c>
      <c r="J469">
        <f>MROUND(2.42*'Ammo Input'!M469^(1/3)*VLOOKUP(B469,AmmoTypeFactors,3,FALSE),0.5)</f>
        <v>0</v>
      </c>
      <c r="K469" s="25" t="str">
        <f>IF(VLOOKUP(B469,AmmoTypeFactors,12,FALSE),MROUND(J469/3,0.5),"None")</f>
        <v>None</v>
      </c>
      <c r="L469" s="25">
        <f>IF(VLOOKUP(B469,AmmoTypeFactors,8,FALSE),"None",ROUNDUP(IF(Calcs!I469&gt;0,Calcs!I469,Calcs!H469),3))</f>
        <v>52.18</v>
      </c>
      <c r="M469" s="25">
        <f>IF(VLOOKUP(B469,AmmoTypeFactors,8,FALSE),"None",'Ammo Input'!L469)</f>
        <v>10</v>
      </c>
      <c r="N469">
        <f>'Ammo Input'!O469</f>
        <v>500</v>
      </c>
      <c r="O469" t="e">
        <f>ROUND((P469*0.0036+SUMPRODUCT(Q469:AB469,VLOOKUP($Q$1:$AB$1,IngredientStats,2,FALSE)))/N469*IF('Ammo Input'!R469,0.5,1),2)</f>
        <v>#VALUE!</v>
      </c>
      <c r="P469" t="e">
        <f>(SUMPRODUCT(Q469:AB469,VLOOKUP($Q$1:$AB$1,IngredientStats,4,FALSE))*VLOOKUP(B469,AmmoTypeFactors,14,FALSE)*IF('Ammo Input'!R469,1.1,1))</f>
        <v>#VALUE!</v>
      </c>
      <c r="Q469">
        <f>IFERROR(__xludf.DUMMYFUNCTION("((IF(NOT(OR(REGEXMATCH(B465, ""Arrow""), B465 = ""Javelin"", B465 = ""Stick bomb"")), ROUNDUP(('Ammo Input'!E465 / 1000) * N465)) + IF(VLOOKUP(B465, AmmoTypeFactors, 9, FALSE) = ""Steel"", ROUNDUP(('Ammo Input'!H465 -'Ammo Input'!M465) * MAX(IF('Ammo Inpu"&amp;"t'!J465 &gt; 0, 'Ammo Input'!J465, 1), 1) * N465 / 1000))) / 'Ingredient stats'!$C$2) * IF(ISBLANK(VLOOKUP(B465,AmmoTypeFactors,15,False)),1,VLOOKUP(B465,AmmoTypeFactors,15,False))"),28)</f>
        <v>28</v>
      </c>
      <c r="R469">
        <f>IFERROR(__xludf.DUMMYFUNCTION("ROUNDUP((IF(REGEXMATCH(B465, ""Arrow"") + (B465 = ""Javelin""), 'Ammo Input'!E465) + IF(VLOOKUP(B465, AmmoTypeFactors, 9, FALSE) = ""Wood"", 'Ammo Input'!H465) + IF(B465 = ""Stick bomb"", 'Ammo Input'!E465)) * N465 / 'Ingredient stats'!$C$12 / 1000)"),0)</f>
        <v>0</v>
      </c>
      <c r="S469">
        <v>0</v>
      </c>
      <c r="T469">
        <v>0</v>
      </c>
      <c r="U469">
        <f>IF(VLOOKUP(B469,AmmoTypeFactors,9,FALSE)="Plasteel",ROUNDUP(('Ammo Input'!H469*MAX(IF('Ammo Input'!J469&gt;0,'Ammo Input'!J469,1)*N469/1000/'Ingredient stats'!$C$4)),0),0)</f>
        <v>0</v>
      </c>
      <c r="V469">
        <f>IFERROR(__xludf.DUMMYFUNCTION("ROUNDUP(IF(ISBLANK(VLOOKUP(B465,AmmoTypeFactors,16,False)),1,VLOOKUP(B465,AmmoTypeFactors,16,False)) * (IFS(REGEXMATCH(B465, ""EMP""), 'Ammo Input'!M465 * N465 / 'Ingredient stats'!$C$5, REGEXMATCH(B465, ""Charge""), (U465^0.75), true, 0) + (IF(VLOOKUP(B4"&amp;"65, AmmoTypeFactors, 10, false), 2,0) + IF('Ammo Input'!P465, 2,0) + IF('Ammo Input'!Q465,MIN(ROUNDUP(0.2*('Ammo Input'!H465/1000)*'Ammo Input'!O465,0),20),0))))"),0)</f>
        <v>0</v>
      </c>
      <c r="W469">
        <v>0</v>
      </c>
      <c r="X469">
        <v>0</v>
      </c>
      <c r="Y469">
        <v>0</v>
      </c>
      <c r="Z469">
        <v>0</v>
      </c>
      <c r="AA469">
        <v>0</v>
      </c>
      <c r="AB469" s="30">
        <f>IF(B469="Sling Bullet (Stone)",ROUNDUP(D469*0.02*E469/'Ingredient stats'!$C$8,0),0)</f>
        <v>0</v>
      </c>
      <c r="AC469" t="str">
        <f t="shared" si="20"/>
        <v>None</v>
      </c>
      <c r="AD469" t="str">
        <f>IF(OR(B469="Buck",B469="Bird",B469="Charge (Scatter)"),'Ammo Input'!J469,"None")</f>
        <v>None</v>
      </c>
      <c r="AE469" t="str">
        <f>_xlfn.IFS(ISTEXT(Calcs!N469),Calcs!N469,Calcs!N469&lt;=40,Calcs!N469,Calcs!N469&gt;41,"40")</f>
        <v>None</v>
      </c>
      <c r="AF469" t="str">
        <f>_xlfn.IFS(ISTEXT(Calcs!O469),Calcs!O469,Calcs!O469&lt;=80,Calcs!O469,Calcs!O469&gt;=81,"80")</f>
        <v>None</v>
      </c>
      <c r="AG469" s="25">
        <f t="shared" si="21"/>
        <v>1</v>
      </c>
      <c r="AH469" s="25">
        <f t="shared" si="22"/>
        <v>2.27</v>
      </c>
      <c r="AI469" s="25">
        <f t="shared" si="23"/>
        <v>1</v>
      </c>
    </row>
    <row r="470" ht="14.4" spans="1:35">
      <c r="A470" s="24" t="str">
        <f>'Ammo Input'!A470</f>
        <v>.30-30 Winchester</v>
      </c>
      <c r="B470" t="str">
        <f>'Ammo Input'!B470</f>
        <v>HP</v>
      </c>
      <c r="C470">
        <f>ROUNDUP(('Ammo Input'!C470*(MAX('Ammo Input'!D470,'Ammo Input'!F470)*0.5)^2*PI())*3/1000000,2)</f>
        <v>0.02</v>
      </c>
      <c r="D470">
        <f>ROUNDUP(('Ammo Input'!E470+'Ammo Input'!H470*IF('Ammo Input'!J470&lt;&gt;"",MAX('Ammo Input'!J470,1),1))/1000,3)</f>
        <v>0.026</v>
      </c>
      <c r="E470">
        <f>MIN(5000,MAX(25,CEILING(Calcs!L470,_xlfn.IFS(Calcs!L470&lt;100,25,Calcs!L470&lt;250,50,Calcs!L470&lt;1000,250,Calcs!L470&gt;=1000,1000))))</f>
        <v>5000</v>
      </c>
      <c r="F470">
        <f>ROUNDUP('Ammo Input'!G470^(3/4),0)</f>
        <v>138</v>
      </c>
      <c r="G470">
        <f>ROUND((0.5*((IF(OR(B470="HEAT",B470="HEDP"),'Ammo Input'!N470,'Ammo Input'!H470)/1000)*(IF(B470="HEAT",9000,IF(B470="HEDP",1500,'Ammo Input'!G470))^2))),0)</f>
        <v>2609</v>
      </c>
      <c r="H470" s="25" t="str">
        <f>CONCATENATE(IF((B470="Foam")+(B470="Smoke"),"-",ROUND(Calcs!D470,0))," ",VLOOKUP(B470,AmmoTypeFactors,5,FALSE))</f>
        <v>23 Bullet</v>
      </c>
      <c r="I470" s="25" t="str">
        <f>IF(Calcs!E470=0,"None",CONCATENATE(ROUND(Calcs!E470,0)," ",VLOOKUP(B470,AmmoTypeFactors,6,FALSE)))</f>
        <v>None</v>
      </c>
      <c r="J470">
        <f>MROUND(2.42*'Ammo Input'!M470^(1/3)*VLOOKUP(B470,AmmoTypeFactors,3,FALSE),0.5)</f>
        <v>0</v>
      </c>
      <c r="K470" s="25" t="str">
        <f>IF(VLOOKUP(B470,AmmoTypeFactors,12,FALSE),MROUND(J470/3,0.5),"None")</f>
        <v>None</v>
      </c>
      <c r="L470" s="25">
        <f>IF(VLOOKUP(B470,AmmoTypeFactors,8,FALSE),"None",ROUNDUP(IF(Calcs!I470&gt;0,Calcs!I470,Calcs!H470),3))</f>
        <v>52.18</v>
      </c>
      <c r="M470" s="25">
        <f>IF(VLOOKUP(B470,AmmoTypeFactors,8,FALSE),"None",'Ammo Input'!L470)</f>
        <v>2.5</v>
      </c>
      <c r="N470">
        <f>'Ammo Input'!O470</f>
        <v>500</v>
      </c>
      <c r="O470" t="e">
        <f>ROUND((P470*0.0036+SUMPRODUCT(Q470:AB470,VLOOKUP($Q$1:$AB$1,IngredientStats,2,FALSE)))/N470*IF('Ammo Input'!R470,0.5,1),2)</f>
        <v>#VALUE!</v>
      </c>
      <c r="P470" t="e">
        <f>(SUMPRODUCT(Q470:AB470,VLOOKUP($Q$1:$AB$1,IngredientStats,4,FALSE))*VLOOKUP(B470,AmmoTypeFactors,14,FALSE)*IF('Ammo Input'!R470,1.1,1))</f>
        <v>#VALUE!</v>
      </c>
      <c r="Q470">
        <f>IFERROR(__xludf.DUMMYFUNCTION("((IF(NOT(OR(REGEXMATCH(B466, ""Arrow""), B466 = ""Javelin"", B466 = ""Stick bomb"")), ROUNDUP(('Ammo Input'!E466 / 1000) * N466)) + IF(VLOOKUP(B466, AmmoTypeFactors, 9, FALSE) = ""Steel"", ROUNDUP(('Ammo Input'!H466 -'Ammo Input'!M466) * MAX(IF('Ammo Inpu"&amp;"t'!J466 &gt; 0, 'Ammo Input'!J466, 1), 1) * N466 / 1000))) / 'Ingredient stats'!$C$2) * IF(ISBLANK(VLOOKUP(B466,AmmoTypeFactors,15,False)),1,VLOOKUP(B466,AmmoTypeFactors,15,False))"),28)</f>
        <v>28</v>
      </c>
      <c r="R470">
        <f>IFERROR(__xludf.DUMMYFUNCTION("ROUNDUP((IF(REGEXMATCH(B466, ""Arrow"") + (B466 = ""Javelin""), 'Ammo Input'!E466) + IF(VLOOKUP(B466, AmmoTypeFactors, 9, FALSE) = ""Wood"", 'Ammo Input'!H466) + IF(B466 = ""Stick bomb"", 'Ammo Input'!E466)) * N466 / 'Ingredient stats'!$C$12 / 1000)"),0)</f>
        <v>0</v>
      </c>
      <c r="S470">
        <v>0</v>
      </c>
      <c r="T470">
        <v>0</v>
      </c>
      <c r="U470">
        <f>IF(VLOOKUP(B470,AmmoTypeFactors,9,FALSE)="Plasteel",ROUNDUP(('Ammo Input'!H470*MAX(IF('Ammo Input'!J470&gt;0,'Ammo Input'!J470,1)*N470/1000/'Ingredient stats'!$C$4)),0),0)</f>
        <v>0</v>
      </c>
      <c r="V470">
        <f>IFERROR(__xludf.DUMMYFUNCTION("ROUNDUP(IF(ISBLANK(VLOOKUP(B466,AmmoTypeFactors,16,False)),1,VLOOKUP(B466,AmmoTypeFactors,16,False)) * (IFS(REGEXMATCH(B466, ""EMP""), 'Ammo Input'!M466 * N466 / 'Ingredient stats'!$C$5, REGEXMATCH(B466, ""Charge""), (U466^0.75), true, 0) + (IF(VLOOKUP(B4"&amp;"66, AmmoTypeFactors, 10, false), 2,0) + IF('Ammo Input'!P466, 2,0) + IF('Ammo Input'!Q466,MIN(ROUNDUP(0.2*('Ammo Input'!H466/1000)*'Ammo Input'!O466,0),20),0))))"),0)</f>
        <v>0</v>
      </c>
      <c r="W470">
        <v>0</v>
      </c>
      <c r="X470">
        <v>0</v>
      </c>
      <c r="Y470">
        <v>0</v>
      </c>
      <c r="Z470">
        <v>0</v>
      </c>
      <c r="AA470">
        <v>0</v>
      </c>
      <c r="AB470" s="30">
        <f>IF(B470="Sling Bullet (Stone)",ROUNDUP(D470*0.02*E470/'Ingredient stats'!$C$8,0),0)</f>
        <v>0</v>
      </c>
      <c r="AC470" t="str">
        <f t="shared" si="20"/>
        <v>None</v>
      </c>
      <c r="AD470" t="str">
        <f>IF(OR(B470="Buck",B470="Bird",B470="Charge (Scatter)"),'Ammo Input'!J470,"None")</f>
        <v>None</v>
      </c>
      <c r="AE470" t="str">
        <f>_xlfn.IFS(ISTEXT(Calcs!N470),Calcs!N470,Calcs!N470&lt;=40,Calcs!N470,Calcs!N470&gt;41,"40")</f>
        <v>None</v>
      </c>
      <c r="AF470" t="str">
        <f>_xlfn.IFS(ISTEXT(Calcs!O470),Calcs!O470,Calcs!O470&lt;=80,Calcs!O470,Calcs!O470&gt;=81,"80")</f>
        <v>None</v>
      </c>
      <c r="AG470" s="25">
        <f t="shared" si="21"/>
        <v>1</v>
      </c>
      <c r="AH470" s="25">
        <f t="shared" si="22"/>
        <v>2.27</v>
      </c>
      <c r="AI470" s="25">
        <f t="shared" si="23"/>
        <v>1</v>
      </c>
    </row>
    <row r="471" ht="14.4" spans="1:35">
      <c r="A471" s="24" t="str">
        <f>'Ammo Input'!A471</f>
        <v>.30-30 Winchester</v>
      </c>
      <c r="B471" t="str">
        <f>'Ammo Input'!B471</f>
        <v>AP-I</v>
      </c>
      <c r="C471">
        <f>ROUNDUP(('Ammo Input'!C471*(MAX('Ammo Input'!D471,'Ammo Input'!F471)*0.5)^2*PI())*3/1000000,2)</f>
        <v>0.02</v>
      </c>
      <c r="D471">
        <f>ROUNDUP(('Ammo Input'!E471+'Ammo Input'!H471*IF('Ammo Input'!J471&lt;&gt;"",MAX('Ammo Input'!J471,1),1))/1000,3)</f>
        <v>0.026</v>
      </c>
      <c r="E471">
        <f>MIN(5000,MAX(25,CEILING(Calcs!L471,_xlfn.IFS(Calcs!L471&lt;100,25,Calcs!L471&lt;250,50,Calcs!L471&lt;1000,250,Calcs!L471&gt;=1000,1000))))</f>
        <v>5000</v>
      </c>
      <c r="F471">
        <f>ROUNDUP('Ammo Input'!G471^(3/4),0)</f>
        <v>138</v>
      </c>
      <c r="G471">
        <f>ROUND((0.5*((IF(OR(B471="HEAT",B471="HEDP"),'Ammo Input'!N471,'Ammo Input'!H471)/1000)*(IF(B471="HEAT",9000,IF(B471="HEDP",1500,'Ammo Input'!G471))^2))),0)</f>
        <v>2609</v>
      </c>
      <c r="H471" s="25" t="str">
        <f>CONCATENATE(IF((B471="Foam")+(B471="Smoke"),"-",ROUND(Calcs!D471,0))," ",VLOOKUP(B471,AmmoTypeFactors,5,FALSE))</f>
        <v>11 Bullet</v>
      </c>
      <c r="I471" s="25" t="str">
        <f>IF(Calcs!E471=0,"None",CONCATENATE(ROUND(Calcs!E471,0)," ",VLOOKUP(B471,AmmoTypeFactors,6,FALSE)))</f>
        <v>6 Flame_Secondary</v>
      </c>
      <c r="J471">
        <f>MROUND(2.42*'Ammo Input'!M471^(1/3)*VLOOKUP(B471,AmmoTypeFactors,3,FALSE),0.5)</f>
        <v>0</v>
      </c>
      <c r="K471" s="25" t="str">
        <f>IF(VLOOKUP(B471,AmmoTypeFactors,12,FALSE),MROUND(J471/3,0.5),"None")</f>
        <v>None</v>
      </c>
      <c r="L471" s="25">
        <f>IF(VLOOKUP(B471,AmmoTypeFactors,8,FALSE),"None",ROUNDUP(IF(Calcs!I471&gt;0,Calcs!I471,Calcs!H471),3))</f>
        <v>52.18</v>
      </c>
      <c r="M471" s="25">
        <f>IF(VLOOKUP(B471,AmmoTypeFactors,8,FALSE),"None",'Ammo Input'!L471)</f>
        <v>10</v>
      </c>
      <c r="N471">
        <f>'Ammo Input'!O471</f>
        <v>500</v>
      </c>
      <c r="O471" t="e">
        <f>ROUND((P471*0.0036+SUMPRODUCT(Q471:AB471,VLOOKUP($Q$1:$AB$1,IngredientStats,2,FALSE)))/N471*IF('Ammo Input'!R471,0.5,1),2)</f>
        <v>#VALUE!</v>
      </c>
      <c r="P471" t="e">
        <f>(SUMPRODUCT(Q471:AB471,VLOOKUP($Q$1:$AB$1,IngredientStats,4,FALSE))*VLOOKUP(B471,AmmoTypeFactors,14,FALSE)*IF('Ammo Input'!R471,1.1,1))</f>
        <v>#VALUE!</v>
      </c>
      <c r="Q471">
        <f>IFERROR(__xludf.DUMMYFUNCTION("((IF(NOT(OR(REGEXMATCH(B467, ""Arrow""), B467 = ""Javelin"", B467 = ""Stick bomb"")), ROUNDUP(('Ammo Input'!E467 / 1000) * N467)) + IF(VLOOKUP(B467, AmmoTypeFactors, 9, FALSE) = ""Steel"", ROUNDUP(('Ammo Input'!H467 -'Ammo Input'!M467) * MAX(IF('Ammo Inpu"&amp;"t'!J467 &gt; 0, 'Ammo Input'!J467, 1), 1) * N467 / 1000))) / 'Ingredient stats'!$C$2) * IF(ISBLANK(VLOOKUP(B467,AmmoTypeFactors,15,False)),1,VLOOKUP(B467,AmmoTypeFactors,15,False))"),28)</f>
        <v>28</v>
      </c>
      <c r="R471">
        <f>IFERROR(__xludf.DUMMYFUNCTION("ROUNDUP((IF(REGEXMATCH(B467, ""Arrow"") + (B467 = ""Javelin""), 'Ammo Input'!E467) + IF(VLOOKUP(B467, AmmoTypeFactors, 9, FALSE) = ""Wood"", 'Ammo Input'!H467) + IF(B467 = ""Stick bomb"", 'Ammo Input'!E467)) * N467 / 'Ingredient stats'!$C$12 / 1000)"),0)</f>
        <v>0</v>
      </c>
      <c r="S471">
        <v>0</v>
      </c>
      <c r="T471">
        <v>0</v>
      </c>
      <c r="U471">
        <f>IF(VLOOKUP(B471,AmmoTypeFactors,9,FALSE)="Plasteel",ROUNDUP(('Ammo Input'!H471*MAX(IF('Ammo Input'!J471&gt;0,'Ammo Input'!J471,1)*N471/1000/'Ingredient stats'!$C$4)),0),0)</f>
        <v>0</v>
      </c>
      <c r="V471">
        <f>IFERROR(__xludf.DUMMYFUNCTION("ROUNDUP(IF(ISBLANK(VLOOKUP(B467,AmmoTypeFactors,16,False)),1,VLOOKUP(B467,AmmoTypeFactors,16,False)) * (IFS(REGEXMATCH(B467, ""EMP""), 'Ammo Input'!M467 * N467 / 'Ingredient stats'!$C$5, REGEXMATCH(B467, ""Charge""), (U467^0.75), true, 0) + (IF(VLOOKUP(B4"&amp;"67, AmmoTypeFactors, 10, false), 2,0) + IF('Ammo Input'!P467, 2,0) + IF('Ammo Input'!Q467,MIN(ROUNDUP(0.2*('Ammo Input'!H467/1000)*'Ammo Input'!O467,0),20),0))))"),0)</f>
        <v>0</v>
      </c>
      <c r="W471">
        <v>3</v>
      </c>
      <c r="X471">
        <v>0</v>
      </c>
      <c r="Y471">
        <v>0</v>
      </c>
      <c r="Z471">
        <v>0</v>
      </c>
      <c r="AA471">
        <v>0</v>
      </c>
      <c r="AB471" s="30">
        <f>IF(B471="Sling Bullet (Stone)",ROUNDUP(D471*0.02*E471/'Ingredient stats'!$C$8,0),0)</f>
        <v>0</v>
      </c>
      <c r="AC471" t="str">
        <f t="shared" si="20"/>
        <v>None</v>
      </c>
      <c r="AD471" t="str">
        <f>IF(OR(B471="Buck",B471="Bird",B471="Charge (Scatter)"),'Ammo Input'!J471,"None")</f>
        <v>None</v>
      </c>
      <c r="AE471" t="str">
        <f>_xlfn.IFS(ISTEXT(Calcs!N471),Calcs!N471,Calcs!N471&lt;=40,Calcs!N471,Calcs!N471&gt;41,"40")</f>
        <v>None</v>
      </c>
      <c r="AF471" t="str">
        <f>_xlfn.IFS(ISTEXT(Calcs!O471),Calcs!O471,Calcs!O471&lt;=80,Calcs!O471,Calcs!O471&gt;=81,"80")</f>
        <v>None</v>
      </c>
      <c r="AG471" s="25">
        <f t="shared" si="21"/>
        <v>1</v>
      </c>
      <c r="AH471" s="25">
        <f t="shared" si="22"/>
        <v>2.27</v>
      </c>
      <c r="AI471" s="25">
        <f t="shared" si="23"/>
        <v>1</v>
      </c>
    </row>
    <row r="472" ht="14.4" spans="1:35">
      <c r="A472" s="24" t="str">
        <f>'Ammo Input'!A472</f>
        <v>.30-30 Winchester</v>
      </c>
      <c r="B472" t="str">
        <f>'Ammo Input'!B472</f>
        <v>AP-HE</v>
      </c>
      <c r="C472">
        <f>ROUNDUP(('Ammo Input'!C472*(MAX('Ammo Input'!D472,'Ammo Input'!F472)*0.5)^2*PI())*3/1000000,2)</f>
        <v>0.02</v>
      </c>
      <c r="D472">
        <f>ROUNDUP(('Ammo Input'!E472+'Ammo Input'!H472*IF('Ammo Input'!J472&lt;&gt;"",MAX('Ammo Input'!J472,1),1))/1000,3)</f>
        <v>0.026</v>
      </c>
      <c r="E472">
        <f>MIN(5000,MAX(25,CEILING(Calcs!L472,_xlfn.IFS(Calcs!L472&lt;100,25,Calcs!L472&lt;250,50,Calcs!L472&lt;1000,250,Calcs!L472&gt;=1000,1000))))</f>
        <v>5000</v>
      </c>
      <c r="F472">
        <f>ROUNDUP('Ammo Input'!G472^(3/4),0)</f>
        <v>138</v>
      </c>
      <c r="G472">
        <f>ROUND((0.5*((IF(OR(B472="HEAT",B472="HEDP"),'Ammo Input'!N472,'Ammo Input'!H472)/1000)*(IF(B472="HEAT",9000,IF(B472="HEDP",1500,'Ammo Input'!G472))^2))),0)</f>
        <v>2609</v>
      </c>
      <c r="H472" s="25" t="str">
        <f>CONCATENATE(IF((B472="Foam")+(B472="Smoke"),"-",ROUND(Calcs!D472,0))," ",VLOOKUP(B472,AmmoTypeFactors,5,FALSE))</f>
        <v>18 Bullet</v>
      </c>
      <c r="I472" s="25" t="str">
        <f>IF(Calcs!E472=0,"None",CONCATENATE(ROUND(Calcs!E472,0)," ",VLOOKUP(B472,AmmoTypeFactors,6,FALSE)))</f>
        <v>8 Bomb_Secondary</v>
      </c>
      <c r="J472">
        <f>MROUND(2.42*'Ammo Input'!M472^(1/3)*VLOOKUP(B472,AmmoTypeFactors,3,FALSE),0.5)</f>
        <v>0</v>
      </c>
      <c r="K472" s="25" t="str">
        <f>IF(VLOOKUP(B472,AmmoTypeFactors,12,FALSE),MROUND(J472/3,0.5),"None")</f>
        <v>None</v>
      </c>
      <c r="L472" s="25">
        <f>IF(VLOOKUP(B472,AmmoTypeFactors,8,FALSE),"None",ROUNDUP(IF(Calcs!I472&gt;0,Calcs!I472,Calcs!H472),3))</f>
        <v>52.18</v>
      </c>
      <c r="M472" s="25">
        <f>IF(VLOOKUP(B472,AmmoTypeFactors,8,FALSE),"None",'Ammo Input'!L472)</f>
        <v>5</v>
      </c>
      <c r="N472">
        <f>'Ammo Input'!O472</f>
        <v>500</v>
      </c>
      <c r="O472" t="e">
        <f>ROUND((P472*0.0036+SUMPRODUCT(Q472:AB472,VLOOKUP($Q$1:$AB$1,IngredientStats,2,FALSE)))/N472*IF('Ammo Input'!R472,0.5,1),2)</f>
        <v>#VALUE!</v>
      </c>
      <c r="P472" t="e">
        <f>(SUMPRODUCT(Q472:AB472,VLOOKUP($Q$1:$AB$1,IngredientStats,4,FALSE))*VLOOKUP(B472,AmmoTypeFactors,14,FALSE)*IF('Ammo Input'!R472,1.1,1))</f>
        <v>#VALUE!</v>
      </c>
      <c r="Q472">
        <f>IFERROR(__xludf.DUMMYFUNCTION("((IF(NOT(OR(REGEXMATCH(B468, ""Arrow""), B468 = ""Javelin"", B468 = ""Stick bomb"")), ROUNDUP(('Ammo Input'!E468 / 1000) * N468)) + IF(VLOOKUP(B468, AmmoTypeFactors, 9, FALSE) = ""Steel"", ROUNDUP(('Ammo Input'!H468 -'Ammo Input'!M468) * MAX(IF('Ammo Inpu"&amp;"t'!J468 &gt; 0, 'Ammo Input'!J468, 1), 1) * N468 / 1000))) / 'Ingredient stats'!$C$2) * IF(ISBLANK(VLOOKUP(B468,AmmoTypeFactors,15,False)),1,VLOOKUP(B468,AmmoTypeFactors,15,False))"),28)</f>
        <v>28</v>
      </c>
      <c r="R472">
        <f>IFERROR(__xludf.DUMMYFUNCTION("ROUNDUP((IF(REGEXMATCH(B468, ""Arrow"") + (B468 = ""Javelin""), 'Ammo Input'!E468) + IF(VLOOKUP(B468, AmmoTypeFactors, 9, FALSE) = ""Wood"", 'Ammo Input'!H468) + IF(B468 = ""Stick bomb"", 'Ammo Input'!E468)) * N468 / 'Ingredient stats'!$C$12 / 1000)"),0)</f>
        <v>0</v>
      </c>
      <c r="S472">
        <v>0</v>
      </c>
      <c r="T472">
        <v>0</v>
      </c>
      <c r="U472">
        <f>IF(VLOOKUP(B472,AmmoTypeFactors,9,FALSE)="Plasteel",ROUNDUP(('Ammo Input'!H472*MAX(IF('Ammo Input'!J472&gt;0,'Ammo Input'!J472,1)*N472/1000/'Ingredient stats'!$C$4)),0),0)</f>
        <v>0</v>
      </c>
      <c r="V472">
        <f>IFERROR(__xludf.DUMMYFUNCTION("ROUNDUP(IF(ISBLANK(VLOOKUP(B468,AmmoTypeFactors,16,False)),1,VLOOKUP(B468,AmmoTypeFactors,16,False)) * (IFS(REGEXMATCH(B468, ""EMP""), 'Ammo Input'!M468 * N468 / 'Ingredient stats'!$C$5, REGEXMATCH(B468, ""Charge""), (U468^0.75), true, 0) + (IF(VLOOKUP(B4"&amp;"68, AmmoTypeFactors, 10, false), 2,0) + IF('Ammo Input'!P468, 2,0) + IF('Ammo Input'!Q468,MIN(ROUNDUP(0.2*('Ammo Input'!H468/1000)*'Ammo Input'!O468,0),20),0))))"),0)</f>
        <v>0</v>
      </c>
      <c r="W472">
        <v>0</v>
      </c>
      <c r="X472">
        <v>7</v>
      </c>
      <c r="Y472">
        <v>0</v>
      </c>
      <c r="Z472">
        <v>0</v>
      </c>
      <c r="AA472">
        <v>0</v>
      </c>
      <c r="AB472" s="30">
        <f>IF(B472="Sling Bullet (Stone)",ROUNDUP(D472*0.02*E472/'Ingredient stats'!$C$8,0),0)</f>
        <v>0</v>
      </c>
      <c r="AC472" t="str">
        <f t="shared" si="20"/>
        <v>None</v>
      </c>
      <c r="AD472" t="str">
        <f>IF(OR(B472="Buck",B472="Bird",B472="Charge (Scatter)"),'Ammo Input'!J472,"None")</f>
        <v>None</v>
      </c>
      <c r="AE472" t="str">
        <f>_xlfn.IFS(ISTEXT(Calcs!N472),Calcs!N472,Calcs!N472&lt;=40,Calcs!N472,Calcs!N472&gt;41,"40")</f>
        <v>None</v>
      </c>
      <c r="AF472" t="str">
        <f>_xlfn.IFS(ISTEXT(Calcs!O472),Calcs!O472,Calcs!O472&lt;=80,Calcs!O472,Calcs!O472&gt;=81,"80")</f>
        <v>None</v>
      </c>
      <c r="AG472" s="25">
        <f t="shared" si="21"/>
        <v>1</v>
      </c>
      <c r="AH472" s="25">
        <f t="shared" si="22"/>
        <v>2.27</v>
      </c>
      <c r="AI472" s="25">
        <f t="shared" si="23"/>
        <v>1</v>
      </c>
    </row>
    <row r="473" ht="14.4" spans="1:35">
      <c r="A473" s="24" t="str">
        <f>'Ammo Input'!A473</f>
        <v>.30-30 Winchester</v>
      </c>
      <c r="B473" t="str">
        <f>'Ammo Input'!B473</f>
        <v>Sabot</v>
      </c>
      <c r="C473">
        <f>ROUNDUP(('Ammo Input'!C473*(MAX('Ammo Input'!D473,'Ammo Input'!F473)*0.5)^2*PI())*3/1000000,2)</f>
        <v>0.02</v>
      </c>
      <c r="D473">
        <f>ROUNDUP(('Ammo Input'!E473+'Ammo Input'!H473*IF('Ammo Input'!J473&lt;&gt;"",MAX('Ammo Input'!J473,1),1))/1000,3)</f>
        <v>0.021</v>
      </c>
      <c r="E473">
        <f>MIN(5000,MAX(25,CEILING(Calcs!L473,_xlfn.IFS(Calcs!L473&lt;100,25,Calcs!L473&lt;250,50,Calcs!L473&lt;1000,250,Calcs!L473&gt;=1000,1000))))</f>
        <v>5000</v>
      </c>
      <c r="F473">
        <f>ROUNDUP('Ammo Input'!G473^(3/4),0)</f>
        <v>187</v>
      </c>
      <c r="G473">
        <f>ROUND((0.5*((IF(OR(B473="HEAT",B473="HEDP"),'Ammo Input'!N473,'Ammo Input'!H473)/1000)*(IF(B473="HEAT",9000,IF(B473="HEDP",1500,'Ammo Input'!G473))^2))),0)</f>
        <v>3352</v>
      </c>
      <c r="H473" s="25" t="str">
        <f>CONCATENATE(IF((B473="Foam")+(B473="Smoke"),"-",ROUND(Calcs!D473,0))," ",VLOOKUP(B473,AmmoTypeFactors,5,FALSE))</f>
        <v>10 Bullet</v>
      </c>
      <c r="I473" s="25" t="str">
        <f>IF(Calcs!E473=0,"None",CONCATENATE(ROUND(Calcs!E473,0)," ",VLOOKUP(B473,AmmoTypeFactors,6,FALSE)))</f>
        <v>None</v>
      </c>
      <c r="J473">
        <f>MROUND(2.42*'Ammo Input'!M473^(1/3)*VLOOKUP(B473,AmmoTypeFactors,3,FALSE),0.5)</f>
        <v>0</v>
      </c>
      <c r="K473" s="25" t="str">
        <f>IF(VLOOKUP(B473,AmmoTypeFactors,12,FALSE),MROUND(J473/3,0.5),"None")</f>
        <v>None</v>
      </c>
      <c r="L473" s="25">
        <f>IF(VLOOKUP(B473,AmmoTypeFactors,8,FALSE),"None",ROUNDUP(IF(Calcs!I473&gt;0,Calcs!I473,Calcs!H473),3))</f>
        <v>67.04</v>
      </c>
      <c r="M473" s="25">
        <f>IF(VLOOKUP(B473,AmmoTypeFactors,8,FALSE),"None",'Ammo Input'!L473)</f>
        <v>17.5</v>
      </c>
      <c r="N473">
        <f>'Ammo Input'!O473</f>
        <v>500</v>
      </c>
      <c r="O473" t="e">
        <f>ROUND((P473*0.0036+SUMPRODUCT(Q473:AB473,VLOOKUP($Q$1:$AB$1,IngredientStats,2,FALSE)))/N473*IF('Ammo Input'!R473,0.5,1),2)</f>
        <v>#VALUE!</v>
      </c>
      <c r="P473" t="e">
        <f>(SUMPRODUCT(Q473:AB473,VLOOKUP($Q$1:$AB$1,IngredientStats,4,FALSE))*VLOOKUP(B473,AmmoTypeFactors,14,FALSE)*IF('Ammo Input'!R473,1.1,1))</f>
        <v>#VALUE!</v>
      </c>
      <c r="Q473">
        <f>IFERROR(__xludf.DUMMYFUNCTION("((IF(NOT(OR(REGEXMATCH(B469, ""Arrow""), B469 = ""Javelin"", B469 = ""Stick bomb"")), ROUNDUP(('Ammo Input'!E469 / 1000) * N469)) + IF(VLOOKUP(B469, AmmoTypeFactors, 9, FALSE) = ""Steel"", ROUNDUP(('Ammo Input'!H469 -'Ammo Input'!M469) * MAX(IF('Ammo Inpu"&amp;"t'!J469 &gt; 0, 'Ammo Input'!J469, 1), 1) * N469 / 1000))) / 'Ingredient stats'!$C$2) * IF(ISBLANK(VLOOKUP(B469,AmmoTypeFactors,15,False)),1,VLOOKUP(B469,AmmoTypeFactors,15,False))"),16)</f>
        <v>16</v>
      </c>
      <c r="R473">
        <f>IFERROR(__xludf.DUMMYFUNCTION("ROUNDUP((IF(REGEXMATCH(B469, ""Arrow"") + (B469 = ""Javelin""), 'Ammo Input'!E469) + IF(VLOOKUP(B469, AmmoTypeFactors, 9, FALSE) = ""Wood"", 'Ammo Input'!H469) + IF(B469 = ""Stick bomb"", 'Ammo Input'!E469)) * N469 / 'Ingredient stats'!$C$12 / 1000)"),0)</f>
        <v>0</v>
      </c>
      <c r="S473">
        <v>3</v>
      </c>
      <c r="T473">
        <v>3</v>
      </c>
      <c r="U473">
        <f>IF(VLOOKUP(B473,AmmoTypeFactors,9,FALSE)="Plasteel",ROUNDUP(('Ammo Input'!H473*MAX(IF('Ammo Input'!J473&gt;0,'Ammo Input'!J473,1)*N473/1000/'Ingredient stats'!$C$4)),0),0)</f>
        <v>0</v>
      </c>
      <c r="V473">
        <f>IFERROR(__xludf.DUMMYFUNCTION("ROUNDUP(IF(ISBLANK(VLOOKUP(B469,AmmoTypeFactors,16,False)),1,VLOOKUP(B469,AmmoTypeFactors,16,False)) * (IFS(REGEXMATCH(B469, ""EMP""), 'Ammo Input'!M469 * N469 / 'Ingredient stats'!$C$5, REGEXMATCH(B469, ""Charge""), (U469^0.75), true, 0) + (IF(VLOOKUP(B4"&amp;"69, AmmoTypeFactors, 10, false), 2,0) + IF('Ammo Input'!P469, 2,0) + IF('Ammo Input'!Q469,MIN(ROUNDUP(0.2*('Ammo Input'!H469/1000)*'Ammo Input'!O469,0),20),0))))"),0)</f>
        <v>0</v>
      </c>
      <c r="W473">
        <v>0</v>
      </c>
      <c r="X473">
        <v>0</v>
      </c>
      <c r="Y473">
        <v>0</v>
      </c>
      <c r="Z473">
        <v>0</v>
      </c>
      <c r="AA473">
        <v>0</v>
      </c>
      <c r="AB473" s="30">
        <f>IF(B473="Sling Bullet (Stone)",ROUNDUP(D473*0.02*E473/'Ingredient stats'!$C$8,0),0)</f>
        <v>0</v>
      </c>
      <c r="AC473" t="str">
        <f t="shared" si="20"/>
        <v>None</v>
      </c>
      <c r="AD473" t="str">
        <f>IF(OR(B473="Buck",B473="Bird",B473="Charge (Scatter)"),'Ammo Input'!J473,"None")</f>
        <v>None</v>
      </c>
      <c r="AE473" t="str">
        <f>_xlfn.IFS(ISTEXT(Calcs!N473),Calcs!N473,Calcs!N473&lt;=40,Calcs!N473,Calcs!N473&gt;41,"40")</f>
        <v>None</v>
      </c>
      <c r="AF473" t="str">
        <f>_xlfn.IFS(ISTEXT(Calcs!O473),Calcs!O473,Calcs!O473&lt;=80,Calcs!O473,Calcs!O473&gt;=81,"80")</f>
        <v>None</v>
      </c>
      <c r="AG473" s="25">
        <f t="shared" si="21"/>
        <v>1</v>
      </c>
      <c r="AH473" s="25">
        <f t="shared" si="22"/>
        <v>3.03</v>
      </c>
      <c r="AI473" s="25">
        <f t="shared" si="23"/>
        <v>1</v>
      </c>
    </row>
    <row r="474" ht="14.4" spans="1:35">
      <c r="A474" s="24" t="str">
        <f>'Ammo Input'!A474</f>
        <v>.38-55 Winchester</v>
      </c>
      <c r="B474" t="str">
        <f>'Ammo Input'!B474</f>
        <v>FMJ</v>
      </c>
      <c r="C474">
        <f>ROUNDUP(('Ammo Input'!C474*(MAX('Ammo Input'!D474,'Ammo Input'!F474)*0.5)^2*PI())*3/1000000,2)</f>
        <v>0.02</v>
      </c>
      <c r="D474">
        <f>ROUNDUP(('Ammo Input'!E474+'Ammo Input'!H474*IF('Ammo Input'!J474&lt;&gt;"",MAX('Ammo Input'!J474,1),1))/1000,3)</f>
        <v>0.033</v>
      </c>
      <c r="E474">
        <f>MIN(5000,MAX(25,CEILING(Calcs!L474,_xlfn.IFS(Calcs!L474&lt;100,25,Calcs!L474&lt;250,50,Calcs!L474&lt;1000,250,Calcs!L474&gt;=1000,1000))))</f>
        <v>5000</v>
      </c>
      <c r="F474">
        <f>ROUNDUP('Ammo Input'!G474^(3/4),0)</f>
        <v>120</v>
      </c>
      <c r="G474">
        <f>ROUND((0.5*((IF(OR(B474="HEAT",B474="HEDP"),'Ammo Input'!N474,'Ammo Input'!H474)/1000)*(IF(B474="HEAT",9000,IF(B474="HEDP",1500,'Ammo Input'!G474))^2))),0)</f>
        <v>2872</v>
      </c>
      <c r="H474" s="25" t="str">
        <f>CONCATENATE(IF((B474="Foam")+(B474="Smoke"),"-",ROUND(Calcs!D474,0))," ",VLOOKUP(B474,AmmoTypeFactors,5,FALSE))</f>
        <v>20 Bullet</v>
      </c>
      <c r="I474" s="25" t="str">
        <f>IF(Calcs!E474=0,"None",CONCATENATE(ROUND(Calcs!E474,0)," ",VLOOKUP(B474,AmmoTypeFactors,6,FALSE)))</f>
        <v>None</v>
      </c>
      <c r="J474">
        <f>MROUND(2.42*'Ammo Input'!M474^(1/3)*VLOOKUP(B474,AmmoTypeFactors,3,FALSE),0.5)</f>
        <v>0</v>
      </c>
      <c r="K474" s="25" t="str">
        <f>IF(VLOOKUP(B474,AmmoTypeFactors,12,FALSE),MROUND(J474/3,0.5),"None")</f>
        <v>None</v>
      </c>
      <c r="L474" s="25">
        <f>IF(VLOOKUP(B474,AmmoTypeFactors,8,FALSE),"None",ROUNDUP(IF(Calcs!I474&gt;0,Calcs!I474,Calcs!H474),3))</f>
        <v>57.44</v>
      </c>
      <c r="M474" s="25">
        <f>IF(VLOOKUP(B474,AmmoTypeFactors,8,FALSE),"None",'Ammo Input'!L474)</f>
        <v>5.5</v>
      </c>
      <c r="N474">
        <f>'Ammo Input'!O474</f>
        <v>500</v>
      </c>
      <c r="O474" t="e">
        <f>ROUND((P474*0.0036+SUMPRODUCT(Q474:AB474,VLOOKUP($Q$1:$AB$1,IngredientStats,2,FALSE)))/N474*IF('Ammo Input'!R474,0.5,1),2)</f>
        <v>#VALUE!</v>
      </c>
      <c r="P474" t="e">
        <f>(SUMPRODUCT(Q474:AB474,VLOOKUP($Q$1:$AB$1,IngredientStats,4,FALSE))*VLOOKUP(B474,AmmoTypeFactors,14,FALSE)*IF('Ammo Input'!R474,1.1,1))</f>
        <v>#VALUE!</v>
      </c>
      <c r="Q474">
        <f>IFERROR(__xludf.DUMMYFUNCTION("((IF(NOT(OR(REGEXMATCH(B470, ""Arrow""), B470 = ""Javelin"", B470 = ""Stick bomb"")), ROUNDUP(('Ammo Input'!E470 / 1000) * N470)) + IF(VLOOKUP(B470, AmmoTypeFactors, 9, FALSE) = ""Steel"", ROUNDUP(('Ammo Input'!H470 -'Ammo Input'!M470) * MAX(IF('Ammo Inpu"&amp;"t'!J470 &gt; 0, 'Ammo Input'!J470, 1), 1) * N470 / 1000))) / 'Ingredient stats'!$C$2) * IF(ISBLANK(VLOOKUP(B470,AmmoTypeFactors,15,False)),1,VLOOKUP(B470,AmmoTypeFactors,15,False))"),36)</f>
        <v>36</v>
      </c>
      <c r="R474">
        <f>IFERROR(__xludf.DUMMYFUNCTION("ROUNDUP((IF(REGEXMATCH(B470, ""Arrow"") + (B470 = ""Javelin""), 'Ammo Input'!E470) + IF(VLOOKUP(B470, AmmoTypeFactors, 9, FALSE) = ""Wood"", 'Ammo Input'!H470) + IF(B470 = ""Stick bomb"", 'Ammo Input'!E470)) * N470 / 'Ingredient stats'!$C$12 / 1000)"),0)</f>
        <v>0</v>
      </c>
      <c r="S474">
        <v>0</v>
      </c>
      <c r="T474">
        <v>0</v>
      </c>
      <c r="U474">
        <f>IF(VLOOKUP(B474,AmmoTypeFactors,9,FALSE)="Plasteel",ROUNDUP(('Ammo Input'!H474*MAX(IF('Ammo Input'!J474&gt;0,'Ammo Input'!J474,1)*N474/1000/'Ingredient stats'!$C$4)),0),0)</f>
        <v>0</v>
      </c>
      <c r="V474">
        <f>IFERROR(__xludf.DUMMYFUNCTION("ROUNDUP(IF(ISBLANK(VLOOKUP(B470,AmmoTypeFactors,16,False)),1,VLOOKUP(B470,AmmoTypeFactors,16,False)) * (IFS(REGEXMATCH(B470, ""EMP""), 'Ammo Input'!M470 * N470 / 'Ingredient stats'!$C$5, REGEXMATCH(B470, ""Charge""), (U470^0.75), true, 0) + (IF(VLOOKUP(B4"&amp;"70, AmmoTypeFactors, 10, false), 2,0) + IF('Ammo Input'!P470, 2,0) + IF('Ammo Input'!Q470,MIN(ROUNDUP(0.2*('Ammo Input'!H470/1000)*'Ammo Input'!O470,0),20),0))))"),0)</f>
        <v>0</v>
      </c>
      <c r="W474">
        <v>0</v>
      </c>
      <c r="X474">
        <v>0</v>
      </c>
      <c r="Y474">
        <v>0</v>
      </c>
      <c r="Z474">
        <v>0</v>
      </c>
      <c r="AA474">
        <v>0</v>
      </c>
      <c r="AB474" s="30">
        <f>IF(B474="Sling Bullet (Stone)",ROUNDUP(D474*0.02*E474/'Ingredient stats'!$C$8,0),0)</f>
        <v>0</v>
      </c>
      <c r="AC474" t="str">
        <f t="shared" si="20"/>
        <v>None</v>
      </c>
      <c r="AD474" t="str">
        <f>IF(OR(B474="Buck",B474="Bird",B474="Charge (Scatter)"),'Ammo Input'!J474,"None")</f>
        <v>None</v>
      </c>
      <c r="AE474" t="str">
        <f>_xlfn.IFS(ISTEXT(Calcs!N474),Calcs!N474,Calcs!N474&lt;=40,Calcs!N474,Calcs!N474&gt;41,"40")</f>
        <v>None</v>
      </c>
      <c r="AF474" t="str">
        <f>_xlfn.IFS(ISTEXT(Calcs!O474),Calcs!O474,Calcs!O474&lt;=80,Calcs!O474,Calcs!O474&gt;=81,"80")</f>
        <v>None</v>
      </c>
      <c r="AG474" s="25">
        <f t="shared" si="21"/>
        <v>1</v>
      </c>
      <c r="AH474" s="25">
        <f t="shared" si="22"/>
        <v>1.98</v>
      </c>
      <c r="AI474" s="25">
        <f t="shared" si="23"/>
        <v>1</v>
      </c>
    </row>
    <row r="475" ht="14.4" spans="1:35">
      <c r="A475" s="24" t="str">
        <f>'Ammo Input'!A475</f>
        <v>.38-55 Winchester</v>
      </c>
      <c r="B475" t="str">
        <f>'Ammo Input'!B475</f>
        <v>AP</v>
      </c>
      <c r="C475">
        <f>ROUNDUP(('Ammo Input'!C475*(MAX('Ammo Input'!D475,'Ammo Input'!F475)*0.5)^2*PI())*3/1000000,2)</f>
        <v>0.02</v>
      </c>
      <c r="D475">
        <f>ROUNDUP(('Ammo Input'!E475+'Ammo Input'!H475*IF('Ammo Input'!J475&lt;&gt;"",MAX('Ammo Input'!J475,1),1))/1000,3)</f>
        <v>0.033</v>
      </c>
      <c r="E475">
        <f>MIN(5000,MAX(25,CEILING(Calcs!L475,_xlfn.IFS(Calcs!L475&lt;100,25,Calcs!L475&lt;250,50,Calcs!L475&lt;1000,250,Calcs!L475&gt;=1000,1000))))</f>
        <v>5000</v>
      </c>
      <c r="F475">
        <f>ROUNDUP('Ammo Input'!G475^(3/4),0)</f>
        <v>120</v>
      </c>
      <c r="G475">
        <f>ROUND((0.5*((IF(OR(B475="HEAT",B475="HEDP"),'Ammo Input'!N475,'Ammo Input'!H475)/1000)*(IF(B475="HEAT",9000,IF(B475="HEDP",1500,'Ammo Input'!G475))^2))),0)</f>
        <v>2872</v>
      </c>
      <c r="H475" s="25" t="str">
        <f>CONCATENATE(IF((B475="Foam")+(B475="Smoke"),"-",ROUND(Calcs!D475,0))," ",VLOOKUP(B475,AmmoTypeFactors,5,FALSE))</f>
        <v>13 Bullet</v>
      </c>
      <c r="I475" s="25" t="str">
        <f>IF(Calcs!E475=0,"None",CONCATENATE(ROUND(Calcs!E475,0)," ",VLOOKUP(B475,AmmoTypeFactors,6,FALSE)))</f>
        <v>None</v>
      </c>
      <c r="J475">
        <f>MROUND(2.42*'Ammo Input'!M475^(1/3)*VLOOKUP(B475,AmmoTypeFactors,3,FALSE),0.5)</f>
        <v>0</v>
      </c>
      <c r="K475" s="25" t="str">
        <f>IF(VLOOKUP(B475,AmmoTypeFactors,12,FALSE),MROUND(J475/3,0.5),"None")</f>
        <v>None</v>
      </c>
      <c r="L475" s="25">
        <f>IF(VLOOKUP(B475,AmmoTypeFactors,8,FALSE),"None",ROUNDUP(IF(Calcs!I475&gt;0,Calcs!I475,Calcs!H475),3))</f>
        <v>57.44</v>
      </c>
      <c r="M475" s="25">
        <f>IF(VLOOKUP(B475,AmmoTypeFactors,8,FALSE),"None",'Ammo Input'!L475)</f>
        <v>11</v>
      </c>
      <c r="N475">
        <f>'Ammo Input'!O475</f>
        <v>500</v>
      </c>
      <c r="O475" t="e">
        <f>ROUND((P475*0.0036+SUMPRODUCT(Q475:AB475,VLOOKUP($Q$1:$AB$1,IngredientStats,2,FALSE)))/N475*IF('Ammo Input'!R475,0.5,1),2)</f>
        <v>#VALUE!</v>
      </c>
      <c r="P475" t="e">
        <f>(SUMPRODUCT(Q475:AB475,VLOOKUP($Q$1:$AB$1,IngredientStats,4,FALSE))*VLOOKUP(B475,AmmoTypeFactors,14,FALSE)*IF('Ammo Input'!R475,1.1,1))</f>
        <v>#VALUE!</v>
      </c>
      <c r="Q475">
        <f>IFERROR(__xludf.DUMMYFUNCTION("((IF(NOT(OR(REGEXMATCH(B471, ""Arrow""), B471 = ""Javelin"", B471 = ""Stick bomb"")), ROUNDUP(('Ammo Input'!E471 / 1000) * N471)) + IF(VLOOKUP(B471, AmmoTypeFactors, 9, FALSE) = ""Steel"", ROUNDUP(('Ammo Input'!H471 -'Ammo Input'!M471) * MAX(IF('Ammo Inpu"&amp;"t'!J471 &gt; 0, 'Ammo Input'!J471, 1), 1) * N471 / 1000))) / 'Ingredient stats'!$C$2) * IF(ISBLANK(VLOOKUP(B471,AmmoTypeFactors,15,False)),1,VLOOKUP(B471,AmmoTypeFactors,15,False))"),36)</f>
        <v>36</v>
      </c>
      <c r="R475">
        <f>IFERROR(__xludf.DUMMYFUNCTION("ROUNDUP((IF(REGEXMATCH(B471, ""Arrow"") + (B471 = ""Javelin""), 'Ammo Input'!E471) + IF(VLOOKUP(B471, AmmoTypeFactors, 9, FALSE) = ""Wood"", 'Ammo Input'!H471) + IF(B471 = ""Stick bomb"", 'Ammo Input'!E471)) * N471 / 'Ingredient stats'!$C$12 / 1000)"),0)</f>
        <v>0</v>
      </c>
      <c r="S475">
        <v>0</v>
      </c>
      <c r="T475">
        <v>0</v>
      </c>
      <c r="U475">
        <f>IF(VLOOKUP(B475,AmmoTypeFactors,9,FALSE)="Plasteel",ROUNDUP(('Ammo Input'!H475*MAX(IF('Ammo Input'!J475&gt;0,'Ammo Input'!J475,1)*N475/1000/'Ingredient stats'!$C$4)),0),0)</f>
        <v>0</v>
      </c>
      <c r="V475">
        <f>IFERROR(__xludf.DUMMYFUNCTION("ROUNDUP(IF(ISBLANK(VLOOKUP(B471,AmmoTypeFactors,16,False)),1,VLOOKUP(B471,AmmoTypeFactors,16,False)) * (IFS(REGEXMATCH(B471, ""EMP""), 'Ammo Input'!M471 * N471 / 'Ingredient stats'!$C$5, REGEXMATCH(B471, ""Charge""), (U471^0.75), true, 0) + (IF(VLOOKUP(B4"&amp;"71, AmmoTypeFactors, 10, false), 2,0) + IF('Ammo Input'!P471, 2,0) + IF('Ammo Input'!Q471,MIN(ROUNDUP(0.2*('Ammo Input'!H471/1000)*'Ammo Input'!O471,0),20),0))))"),0)</f>
        <v>0</v>
      </c>
      <c r="W475">
        <v>0</v>
      </c>
      <c r="X475">
        <v>0</v>
      </c>
      <c r="Y475">
        <v>0</v>
      </c>
      <c r="Z475">
        <v>0</v>
      </c>
      <c r="AA475">
        <v>0</v>
      </c>
      <c r="AB475" s="30">
        <f>IF(B475="Sling Bullet (Stone)",ROUNDUP(D475*0.02*E475/'Ingredient stats'!$C$8,0),0)</f>
        <v>0</v>
      </c>
      <c r="AC475" t="str">
        <f t="shared" si="20"/>
        <v>None</v>
      </c>
      <c r="AD475" t="str">
        <f>IF(OR(B475="Buck",B475="Bird",B475="Charge (Scatter)"),'Ammo Input'!J475,"None")</f>
        <v>None</v>
      </c>
      <c r="AE475" t="str">
        <f>_xlfn.IFS(ISTEXT(Calcs!N475),Calcs!N475,Calcs!N475&lt;=40,Calcs!N475,Calcs!N475&gt;41,"40")</f>
        <v>None</v>
      </c>
      <c r="AF475" t="str">
        <f>_xlfn.IFS(ISTEXT(Calcs!O475),Calcs!O475,Calcs!O475&lt;=80,Calcs!O475,Calcs!O475&gt;=81,"80")</f>
        <v>None</v>
      </c>
      <c r="AG475" s="25">
        <f t="shared" si="21"/>
        <v>1</v>
      </c>
      <c r="AH475" s="25">
        <f t="shared" si="22"/>
        <v>1.98</v>
      </c>
      <c r="AI475" s="25">
        <f t="shared" si="23"/>
        <v>1</v>
      </c>
    </row>
    <row r="476" ht="14.4" spans="1:35">
      <c r="A476" s="24" t="str">
        <f>'Ammo Input'!A476</f>
        <v>.38-55 Winchester</v>
      </c>
      <c r="B476" t="str">
        <f>'Ammo Input'!B476</f>
        <v>HP</v>
      </c>
      <c r="C476">
        <f>ROUNDUP(('Ammo Input'!C476*(MAX('Ammo Input'!D476,'Ammo Input'!F476)*0.5)^2*PI())*3/1000000,2)</f>
        <v>0.02</v>
      </c>
      <c r="D476">
        <f>ROUNDUP(('Ammo Input'!E476+'Ammo Input'!H476*IF('Ammo Input'!J476&lt;&gt;"",MAX('Ammo Input'!J476,1),1))/1000,3)</f>
        <v>0.033</v>
      </c>
      <c r="E476">
        <f>MIN(5000,MAX(25,CEILING(Calcs!L476,_xlfn.IFS(Calcs!L476&lt;100,25,Calcs!L476&lt;250,50,Calcs!L476&lt;1000,250,Calcs!L476&gt;=1000,1000))))</f>
        <v>5000</v>
      </c>
      <c r="F476">
        <f>ROUNDUP('Ammo Input'!G476^(3/4),0)</f>
        <v>120</v>
      </c>
      <c r="G476">
        <f>ROUND((0.5*((IF(OR(B476="HEAT",B476="HEDP"),'Ammo Input'!N476,'Ammo Input'!H476)/1000)*(IF(B476="HEAT",9000,IF(B476="HEDP",1500,'Ammo Input'!G476))^2))),0)</f>
        <v>2872</v>
      </c>
      <c r="H476" s="25" t="str">
        <f>CONCATENATE(IF((B476="Foam")+(B476="Smoke"),"-",ROUND(Calcs!D476,0))," ",VLOOKUP(B476,AmmoTypeFactors,5,FALSE))</f>
        <v>25 Bullet</v>
      </c>
      <c r="I476" s="25" t="str">
        <f>IF(Calcs!E476=0,"None",CONCATENATE(ROUND(Calcs!E476,0)," ",VLOOKUP(B476,AmmoTypeFactors,6,FALSE)))</f>
        <v>None</v>
      </c>
      <c r="J476">
        <f>MROUND(2.42*'Ammo Input'!M476^(1/3)*VLOOKUP(B476,AmmoTypeFactors,3,FALSE),0.5)</f>
        <v>0</v>
      </c>
      <c r="K476" s="25" t="str">
        <f>IF(VLOOKUP(B476,AmmoTypeFactors,12,FALSE),MROUND(J476/3,0.5),"None")</f>
        <v>None</v>
      </c>
      <c r="L476" s="25">
        <f>IF(VLOOKUP(B476,AmmoTypeFactors,8,FALSE),"None",ROUNDUP(IF(Calcs!I476&gt;0,Calcs!I476,Calcs!H476),3))</f>
        <v>57.44</v>
      </c>
      <c r="M476" s="25">
        <f>IF(VLOOKUP(B476,AmmoTypeFactors,8,FALSE),"None",'Ammo Input'!L476)</f>
        <v>3</v>
      </c>
      <c r="N476">
        <f>'Ammo Input'!O476</f>
        <v>500</v>
      </c>
      <c r="O476" t="e">
        <f>ROUND((P476*0.0036+SUMPRODUCT(Q476:AB476,VLOOKUP($Q$1:$AB$1,IngredientStats,2,FALSE)))/N476*IF('Ammo Input'!R476,0.5,1),2)</f>
        <v>#VALUE!</v>
      </c>
      <c r="P476" t="e">
        <f>(SUMPRODUCT(Q476:AB476,VLOOKUP($Q$1:$AB$1,IngredientStats,4,FALSE))*VLOOKUP(B476,AmmoTypeFactors,14,FALSE)*IF('Ammo Input'!R476,1.1,1))</f>
        <v>#VALUE!</v>
      </c>
      <c r="Q476">
        <f>IFERROR(__xludf.DUMMYFUNCTION("((IF(NOT(OR(REGEXMATCH(B472, ""Arrow""), B472 = ""Javelin"", B472 = ""Stick bomb"")), ROUNDUP(('Ammo Input'!E472 / 1000) * N472)) + IF(VLOOKUP(B472, AmmoTypeFactors, 9, FALSE) = ""Steel"", ROUNDUP(('Ammo Input'!H472 -'Ammo Input'!M472) * MAX(IF('Ammo Inpu"&amp;"t'!J472 &gt; 0, 'Ammo Input'!J472, 1), 1) * N472 / 1000))) / 'Ingredient stats'!$C$2) * IF(ISBLANK(VLOOKUP(B472,AmmoTypeFactors,15,False)),1,VLOOKUP(B472,AmmoTypeFactors,15,False))"),36)</f>
        <v>36</v>
      </c>
      <c r="R476">
        <f>IFERROR(__xludf.DUMMYFUNCTION("ROUNDUP((IF(REGEXMATCH(B472, ""Arrow"") + (B472 = ""Javelin""), 'Ammo Input'!E472) + IF(VLOOKUP(B472, AmmoTypeFactors, 9, FALSE) = ""Wood"", 'Ammo Input'!H472) + IF(B472 = ""Stick bomb"", 'Ammo Input'!E472)) * N472 / 'Ingredient stats'!$C$12 / 1000)"),0)</f>
        <v>0</v>
      </c>
      <c r="S476">
        <v>0</v>
      </c>
      <c r="T476">
        <v>0</v>
      </c>
      <c r="U476">
        <f>IF(VLOOKUP(B476,AmmoTypeFactors,9,FALSE)="Plasteel",ROUNDUP(('Ammo Input'!H476*MAX(IF('Ammo Input'!J476&gt;0,'Ammo Input'!J476,1)*N476/1000/'Ingredient stats'!$C$4)),0),0)</f>
        <v>0</v>
      </c>
      <c r="V476">
        <f>IFERROR(__xludf.DUMMYFUNCTION("ROUNDUP(IF(ISBLANK(VLOOKUP(B472,AmmoTypeFactors,16,False)),1,VLOOKUP(B472,AmmoTypeFactors,16,False)) * (IFS(REGEXMATCH(B472, ""EMP""), 'Ammo Input'!M472 * N472 / 'Ingredient stats'!$C$5, REGEXMATCH(B472, ""Charge""), (U472^0.75), true, 0) + (IF(VLOOKUP(B4"&amp;"72, AmmoTypeFactors, 10, false), 2,0) + IF('Ammo Input'!P472, 2,0) + IF('Ammo Input'!Q472,MIN(ROUNDUP(0.2*('Ammo Input'!H472/1000)*'Ammo Input'!O472,0),20),0))))"),0)</f>
        <v>0</v>
      </c>
      <c r="W476">
        <v>0</v>
      </c>
      <c r="X476">
        <v>0</v>
      </c>
      <c r="Y476">
        <v>0</v>
      </c>
      <c r="Z476">
        <v>0</v>
      </c>
      <c r="AA476">
        <v>0</v>
      </c>
      <c r="AB476" s="30">
        <f>IF(B476="Sling Bullet (Stone)",ROUNDUP(D476*0.02*E476/'Ingredient stats'!$C$8,0),0)</f>
        <v>0</v>
      </c>
      <c r="AC476" t="str">
        <f t="shared" si="20"/>
        <v>None</v>
      </c>
      <c r="AD476" t="str">
        <f>IF(OR(B476="Buck",B476="Bird",B476="Charge (Scatter)"),'Ammo Input'!J476,"None")</f>
        <v>None</v>
      </c>
      <c r="AE476" t="str">
        <f>_xlfn.IFS(ISTEXT(Calcs!N476),Calcs!N476,Calcs!N476&lt;=40,Calcs!N476,Calcs!N476&gt;41,"40")</f>
        <v>None</v>
      </c>
      <c r="AF476" t="str">
        <f>_xlfn.IFS(ISTEXT(Calcs!O476),Calcs!O476,Calcs!O476&lt;=80,Calcs!O476,Calcs!O476&gt;=81,"80")</f>
        <v>None</v>
      </c>
      <c r="AG476" s="25">
        <f t="shared" si="21"/>
        <v>1</v>
      </c>
      <c r="AH476" s="25">
        <f t="shared" si="22"/>
        <v>1.98</v>
      </c>
      <c r="AI476" s="25">
        <f t="shared" si="23"/>
        <v>1</v>
      </c>
    </row>
    <row r="477" ht="14.4" spans="1:35">
      <c r="A477" s="24" t="str">
        <f>'Ammo Input'!A477</f>
        <v>.38-55 Winchester</v>
      </c>
      <c r="B477" t="str">
        <f>'Ammo Input'!B477</f>
        <v>AP-I</v>
      </c>
      <c r="C477">
        <f>ROUNDUP(('Ammo Input'!C477*(MAX('Ammo Input'!D477,'Ammo Input'!F477)*0.5)^2*PI())*3/1000000,2)</f>
        <v>0.02</v>
      </c>
      <c r="D477">
        <f>ROUNDUP(('Ammo Input'!E477+'Ammo Input'!H477*IF('Ammo Input'!J477&lt;&gt;"",MAX('Ammo Input'!J477,1),1))/1000,3)</f>
        <v>0.033</v>
      </c>
      <c r="E477">
        <f>MIN(5000,MAX(25,CEILING(Calcs!L477,_xlfn.IFS(Calcs!L477&lt;100,25,Calcs!L477&lt;250,50,Calcs!L477&lt;1000,250,Calcs!L477&gt;=1000,1000))))</f>
        <v>5000</v>
      </c>
      <c r="F477">
        <f>ROUNDUP('Ammo Input'!G477^(3/4),0)</f>
        <v>120</v>
      </c>
      <c r="G477">
        <f>ROUND((0.5*((IF(OR(B477="HEAT",B477="HEDP"),'Ammo Input'!N477,'Ammo Input'!H477)/1000)*(IF(B477="HEAT",9000,IF(B477="HEDP",1500,'Ammo Input'!G477))^2))),0)</f>
        <v>2872</v>
      </c>
      <c r="H477" s="25" t="str">
        <f>CONCATENATE(IF((B477="Foam")+(B477="Smoke"),"-",ROUND(Calcs!D477,0))," ",VLOOKUP(B477,AmmoTypeFactors,5,FALSE))</f>
        <v>13 Bullet</v>
      </c>
      <c r="I477" s="25" t="str">
        <f>IF(Calcs!E477=0,"None",CONCATENATE(ROUND(Calcs!E477,0)," ",VLOOKUP(B477,AmmoTypeFactors,6,FALSE)))</f>
        <v>8 Flame_Secondary</v>
      </c>
      <c r="J477">
        <f>MROUND(2.42*'Ammo Input'!M477^(1/3)*VLOOKUP(B477,AmmoTypeFactors,3,FALSE),0.5)</f>
        <v>0</v>
      </c>
      <c r="K477" s="25" t="str">
        <f>IF(VLOOKUP(B477,AmmoTypeFactors,12,FALSE),MROUND(J477/3,0.5),"None")</f>
        <v>None</v>
      </c>
      <c r="L477" s="25">
        <f>IF(VLOOKUP(B477,AmmoTypeFactors,8,FALSE),"None",ROUNDUP(IF(Calcs!I477&gt;0,Calcs!I477,Calcs!H477),3))</f>
        <v>57.44</v>
      </c>
      <c r="M477" s="25">
        <f>IF(VLOOKUP(B477,AmmoTypeFactors,8,FALSE),"None",'Ammo Input'!L477)</f>
        <v>11</v>
      </c>
      <c r="N477">
        <f>'Ammo Input'!O477</f>
        <v>500</v>
      </c>
      <c r="O477" t="e">
        <f>ROUND((P477*0.0036+SUMPRODUCT(Q477:AB477,VLOOKUP($Q$1:$AB$1,IngredientStats,2,FALSE)))/N477*IF('Ammo Input'!R477,0.5,1),2)</f>
        <v>#VALUE!</v>
      </c>
      <c r="P477" t="e">
        <f>(SUMPRODUCT(Q477:AB477,VLOOKUP($Q$1:$AB$1,IngredientStats,4,FALSE))*VLOOKUP(B477,AmmoTypeFactors,14,FALSE)*IF('Ammo Input'!R477,1.1,1))</f>
        <v>#VALUE!</v>
      </c>
      <c r="Q477">
        <f>IFERROR(__xludf.DUMMYFUNCTION("((IF(NOT(OR(REGEXMATCH(B473, ""Arrow""), B473 = ""Javelin"", B473 = ""Stick bomb"")), ROUNDUP(('Ammo Input'!E473 / 1000) * N473)) + IF(VLOOKUP(B473, AmmoTypeFactors, 9, FALSE) = ""Steel"", ROUNDUP(('Ammo Input'!H473 -'Ammo Input'!M473) * MAX(IF('Ammo Inpu"&amp;"t'!J473 &gt; 0, 'Ammo Input'!J473, 1), 1) * N473 / 1000))) / 'Ingredient stats'!$C$2) * IF(ISBLANK(VLOOKUP(B473,AmmoTypeFactors,15,False)),1,VLOOKUP(B473,AmmoTypeFactors,15,False))"),36)</f>
        <v>36</v>
      </c>
      <c r="R477">
        <f>IFERROR(__xludf.DUMMYFUNCTION("ROUNDUP((IF(REGEXMATCH(B473, ""Arrow"") + (B473 = ""Javelin""), 'Ammo Input'!E473) + IF(VLOOKUP(B473, AmmoTypeFactors, 9, FALSE) = ""Wood"", 'Ammo Input'!H473) + IF(B473 = ""Stick bomb"", 'Ammo Input'!E473)) * N473 / 'Ingredient stats'!$C$12 / 1000)"),0)</f>
        <v>0</v>
      </c>
      <c r="S477">
        <v>0</v>
      </c>
      <c r="T477">
        <v>0</v>
      </c>
      <c r="U477">
        <f>IF(VLOOKUP(B477,AmmoTypeFactors,9,FALSE)="Plasteel",ROUNDUP(('Ammo Input'!H477*MAX(IF('Ammo Input'!J477&gt;0,'Ammo Input'!J477,1)*N477/1000/'Ingredient stats'!$C$4)),0),0)</f>
        <v>0</v>
      </c>
      <c r="V477">
        <f>IFERROR(__xludf.DUMMYFUNCTION("ROUNDUP(IF(ISBLANK(VLOOKUP(B473,AmmoTypeFactors,16,False)),1,VLOOKUP(B473,AmmoTypeFactors,16,False)) * (IFS(REGEXMATCH(B473, ""EMP""), 'Ammo Input'!M473 * N473 / 'Ingredient stats'!$C$5, REGEXMATCH(B473, ""Charge""), (U473^0.75), true, 0) + (IF(VLOOKUP(B4"&amp;"73, AmmoTypeFactors, 10, false), 2,0) + IF('Ammo Input'!P473, 2,0) + IF('Ammo Input'!Q473,MIN(ROUNDUP(0.2*('Ammo Input'!H473/1000)*'Ammo Input'!O473,0),20),0))))"),0)</f>
        <v>0</v>
      </c>
      <c r="W477">
        <v>4</v>
      </c>
      <c r="X477">
        <v>0</v>
      </c>
      <c r="Y477">
        <v>0</v>
      </c>
      <c r="Z477">
        <v>0</v>
      </c>
      <c r="AA477">
        <v>0</v>
      </c>
      <c r="AB477" s="30">
        <f>IF(B477="Sling Bullet (Stone)",ROUNDUP(D477*0.02*E477/'Ingredient stats'!$C$8,0),0)</f>
        <v>0</v>
      </c>
      <c r="AC477" t="str">
        <f t="shared" si="20"/>
        <v>None</v>
      </c>
      <c r="AD477" t="str">
        <f>IF(OR(B477="Buck",B477="Bird",B477="Charge (Scatter)"),'Ammo Input'!J477,"None")</f>
        <v>None</v>
      </c>
      <c r="AE477" t="str">
        <f>_xlfn.IFS(ISTEXT(Calcs!N477),Calcs!N477,Calcs!N477&lt;=40,Calcs!N477,Calcs!N477&gt;41,"40")</f>
        <v>None</v>
      </c>
      <c r="AF477" t="str">
        <f>_xlfn.IFS(ISTEXT(Calcs!O477),Calcs!O477,Calcs!O477&lt;=80,Calcs!O477,Calcs!O477&gt;=81,"80")</f>
        <v>None</v>
      </c>
      <c r="AG477" s="25">
        <f t="shared" si="21"/>
        <v>1</v>
      </c>
      <c r="AH477" s="25">
        <f t="shared" si="22"/>
        <v>1.98</v>
      </c>
      <c r="AI477" s="25">
        <f t="shared" si="23"/>
        <v>1</v>
      </c>
    </row>
    <row r="478" ht="14.4" spans="1:35">
      <c r="A478" s="24" t="str">
        <f>'Ammo Input'!A478</f>
        <v>.38-55 Winchester</v>
      </c>
      <c r="B478" t="str">
        <f>'Ammo Input'!B478</f>
        <v>AP-HE</v>
      </c>
      <c r="C478">
        <f>ROUNDUP(('Ammo Input'!C478*(MAX('Ammo Input'!D478,'Ammo Input'!F478)*0.5)^2*PI())*3/1000000,2)</f>
        <v>0.02</v>
      </c>
      <c r="D478">
        <f>ROUNDUP(('Ammo Input'!E478+'Ammo Input'!H478*IF('Ammo Input'!J478&lt;&gt;"",MAX('Ammo Input'!J478,1),1))/1000,3)</f>
        <v>0.033</v>
      </c>
      <c r="E478">
        <f>MIN(5000,MAX(25,CEILING(Calcs!L478,_xlfn.IFS(Calcs!L478&lt;100,25,Calcs!L478&lt;250,50,Calcs!L478&lt;1000,250,Calcs!L478&gt;=1000,1000))))</f>
        <v>5000</v>
      </c>
      <c r="F478">
        <f>ROUNDUP('Ammo Input'!G478^(3/4),0)</f>
        <v>120</v>
      </c>
      <c r="G478">
        <f>ROUND((0.5*((IF(OR(B478="HEAT",B478="HEDP"),'Ammo Input'!N478,'Ammo Input'!H478)/1000)*(IF(B478="HEAT",9000,IF(B478="HEDP",1500,'Ammo Input'!G478))^2))),0)</f>
        <v>2872</v>
      </c>
      <c r="H478" s="25" t="str">
        <f>CONCATENATE(IF((B478="Foam")+(B478="Smoke"),"-",ROUND(Calcs!D478,0))," ",VLOOKUP(B478,AmmoTypeFactors,5,FALSE))</f>
        <v>20 Bullet</v>
      </c>
      <c r="I478" s="25" t="str">
        <f>IF(Calcs!E478=0,"None",CONCATENATE(ROUND(Calcs!E478,0)," ",VLOOKUP(B478,AmmoTypeFactors,6,FALSE)))</f>
        <v>11 Bomb_Secondary</v>
      </c>
      <c r="J478">
        <f>MROUND(2.42*'Ammo Input'!M478^(1/3)*VLOOKUP(B478,AmmoTypeFactors,3,FALSE),0.5)</f>
        <v>0</v>
      </c>
      <c r="K478" s="25" t="str">
        <f>IF(VLOOKUP(B478,AmmoTypeFactors,12,FALSE),MROUND(J478/3,0.5),"None")</f>
        <v>None</v>
      </c>
      <c r="L478" s="25">
        <f>IF(VLOOKUP(B478,AmmoTypeFactors,8,FALSE),"None",ROUNDUP(IF(Calcs!I478&gt;0,Calcs!I478,Calcs!H478),3))</f>
        <v>57.44</v>
      </c>
      <c r="M478" s="25">
        <f>IF(VLOOKUP(B478,AmmoTypeFactors,8,FALSE),"None",'Ammo Input'!L478)</f>
        <v>5.5</v>
      </c>
      <c r="N478">
        <f>'Ammo Input'!O478</f>
        <v>500</v>
      </c>
      <c r="O478" t="e">
        <f>ROUND((P478*0.0036+SUMPRODUCT(Q478:AB478,VLOOKUP($Q$1:$AB$1,IngredientStats,2,FALSE)))/N478*IF('Ammo Input'!R478,0.5,1),2)</f>
        <v>#VALUE!</v>
      </c>
      <c r="P478" t="e">
        <f>(SUMPRODUCT(Q478:AB478,VLOOKUP($Q$1:$AB$1,IngredientStats,4,FALSE))*VLOOKUP(B478,AmmoTypeFactors,14,FALSE)*IF('Ammo Input'!R478,1.1,1))</f>
        <v>#VALUE!</v>
      </c>
      <c r="Q478">
        <f>IFERROR(__xludf.DUMMYFUNCTION("((IF(NOT(OR(REGEXMATCH(B474, ""Arrow""), B474 = ""Javelin"", B474 = ""Stick bomb"")), ROUNDUP(('Ammo Input'!E474 / 1000) * N474)) + IF(VLOOKUP(B474, AmmoTypeFactors, 9, FALSE) = ""Steel"", ROUNDUP(('Ammo Input'!H474 -'Ammo Input'!M474) * MAX(IF('Ammo Inpu"&amp;"t'!J474 &gt; 0, 'Ammo Input'!J474, 1), 1) * N474 / 1000))) / 'Ingredient stats'!$C$2) * IF(ISBLANK(VLOOKUP(B474,AmmoTypeFactors,15,False)),1,VLOOKUP(B474,AmmoTypeFactors,15,False))"),36)</f>
        <v>36</v>
      </c>
      <c r="R478">
        <f>IFERROR(__xludf.DUMMYFUNCTION("ROUNDUP((IF(REGEXMATCH(B474, ""Arrow"") + (B474 = ""Javelin""), 'Ammo Input'!E474) + IF(VLOOKUP(B474, AmmoTypeFactors, 9, FALSE) = ""Wood"", 'Ammo Input'!H474) + IF(B474 = ""Stick bomb"", 'Ammo Input'!E474)) * N474 / 'Ingredient stats'!$C$12 / 1000)"),0)</f>
        <v>0</v>
      </c>
      <c r="S478">
        <v>0</v>
      </c>
      <c r="T478">
        <v>0</v>
      </c>
      <c r="U478">
        <f>IF(VLOOKUP(B478,AmmoTypeFactors,9,FALSE)="Plasteel",ROUNDUP(('Ammo Input'!H478*MAX(IF('Ammo Input'!J478&gt;0,'Ammo Input'!J478,1)*N478/1000/'Ingredient stats'!$C$4)),0),0)</f>
        <v>0</v>
      </c>
      <c r="V478">
        <f>IFERROR(__xludf.DUMMYFUNCTION("ROUNDUP(IF(ISBLANK(VLOOKUP(B474,AmmoTypeFactors,16,False)),1,VLOOKUP(B474,AmmoTypeFactors,16,False)) * (IFS(REGEXMATCH(B474, ""EMP""), 'Ammo Input'!M474 * N474 / 'Ingredient stats'!$C$5, REGEXMATCH(B474, ""Charge""), (U474^0.75), true, 0) + (IF(VLOOKUP(B4"&amp;"74, AmmoTypeFactors, 10, false), 2,0) + IF('Ammo Input'!P474, 2,0) + IF('Ammo Input'!Q474,MIN(ROUNDUP(0.2*('Ammo Input'!H474/1000)*'Ammo Input'!O474,0),20),0))))"),0)</f>
        <v>0</v>
      </c>
      <c r="W478">
        <v>0</v>
      </c>
      <c r="X478">
        <v>8</v>
      </c>
      <c r="Y478">
        <v>0</v>
      </c>
      <c r="Z478">
        <v>0</v>
      </c>
      <c r="AA478">
        <v>0</v>
      </c>
      <c r="AB478" s="30">
        <f>IF(B478="Sling Bullet (Stone)",ROUNDUP(D478*0.02*E478/'Ingredient stats'!$C$8,0),0)</f>
        <v>0</v>
      </c>
      <c r="AC478" t="str">
        <f t="shared" si="20"/>
        <v>None</v>
      </c>
      <c r="AD478" t="str">
        <f>IF(OR(B478="Buck",B478="Bird",B478="Charge (Scatter)"),'Ammo Input'!J478,"None")</f>
        <v>None</v>
      </c>
      <c r="AE478" t="str">
        <f>_xlfn.IFS(ISTEXT(Calcs!N478),Calcs!N478,Calcs!N478&lt;=40,Calcs!N478,Calcs!N478&gt;41,"40")</f>
        <v>None</v>
      </c>
      <c r="AF478" t="str">
        <f>_xlfn.IFS(ISTEXT(Calcs!O478),Calcs!O478,Calcs!O478&lt;=80,Calcs!O478,Calcs!O478&gt;=81,"80")</f>
        <v>None</v>
      </c>
      <c r="AG478" s="25">
        <f t="shared" si="21"/>
        <v>1</v>
      </c>
      <c r="AH478" s="25">
        <f t="shared" si="22"/>
        <v>1.98</v>
      </c>
      <c r="AI478" s="25">
        <f t="shared" si="23"/>
        <v>1</v>
      </c>
    </row>
    <row r="479" ht="14.4" spans="1:35">
      <c r="A479" s="24" t="str">
        <f>'Ammo Input'!A479</f>
        <v>.38-55 Winchester</v>
      </c>
      <c r="B479" t="str">
        <f>'Ammo Input'!B479</f>
        <v>Sabot</v>
      </c>
      <c r="C479">
        <f>ROUNDUP(('Ammo Input'!C479*(MAX('Ammo Input'!D479,'Ammo Input'!F479)*0.5)^2*PI())*3/1000000,2)</f>
        <v>0.02</v>
      </c>
      <c r="D479">
        <f>ROUNDUP(('Ammo Input'!E479+'Ammo Input'!H479*IF('Ammo Input'!J479&lt;&gt;"",MAX('Ammo Input'!J479,1),1))/1000,3)</f>
        <v>0.026</v>
      </c>
      <c r="E479">
        <f>MIN(5000,MAX(25,CEILING(Calcs!L479,_xlfn.IFS(Calcs!L479&lt;100,25,Calcs!L479&lt;250,50,Calcs!L479&lt;1000,250,Calcs!L479&gt;=1000,1000))))</f>
        <v>5000</v>
      </c>
      <c r="F479">
        <f>ROUNDUP('Ammo Input'!G479^(3/4),0)</f>
        <v>163</v>
      </c>
      <c r="G479">
        <f>ROUND((0.5*((IF(OR(B479="HEAT",B479="HEDP"),'Ammo Input'!N479,'Ammo Input'!H479)/1000)*(IF(B479="HEAT",9000,IF(B479="HEDP",1500,'Ammo Input'!G479))^2))),0)</f>
        <v>3693</v>
      </c>
      <c r="H479" s="25" t="str">
        <f>CONCATENATE(IF((B479="Foam")+(B479="Smoke"),"-",ROUND(Calcs!D479,0))," ",VLOOKUP(B479,AmmoTypeFactors,5,FALSE))</f>
        <v>11 Bullet</v>
      </c>
      <c r="I479" s="25" t="str">
        <f>IF(Calcs!E479=0,"None",CONCATENATE(ROUND(Calcs!E479,0)," ",VLOOKUP(B479,AmmoTypeFactors,6,FALSE)))</f>
        <v>None</v>
      </c>
      <c r="J479">
        <f>MROUND(2.42*'Ammo Input'!M479^(1/3)*VLOOKUP(B479,AmmoTypeFactors,3,FALSE),0.5)</f>
        <v>0</v>
      </c>
      <c r="K479" s="25" t="str">
        <f>IF(VLOOKUP(B479,AmmoTypeFactors,12,FALSE),MROUND(J479/3,0.5),"None")</f>
        <v>None</v>
      </c>
      <c r="L479" s="25">
        <f>IF(VLOOKUP(B479,AmmoTypeFactors,8,FALSE),"None",ROUNDUP(IF(Calcs!I479&gt;0,Calcs!I479,Calcs!H479),3))</f>
        <v>73.86</v>
      </c>
      <c r="M479" s="25">
        <f>IF(VLOOKUP(B479,AmmoTypeFactors,8,FALSE),"None",'Ammo Input'!L479)</f>
        <v>19</v>
      </c>
      <c r="N479">
        <f>'Ammo Input'!O479</f>
        <v>500</v>
      </c>
      <c r="O479" t="e">
        <f>ROUND((P479*0.0036+SUMPRODUCT(Q479:AB479,VLOOKUP($Q$1:$AB$1,IngredientStats,2,FALSE)))/N479*IF('Ammo Input'!R479,0.5,1),2)</f>
        <v>#VALUE!</v>
      </c>
      <c r="P479" t="e">
        <f>(SUMPRODUCT(Q479:AB479,VLOOKUP($Q$1:$AB$1,IngredientStats,4,FALSE))*VLOOKUP(B479,AmmoTypeFactors,14,FALSE)*IF('Ammo Input'!R479,1.1,1))</f>
        <v>#VALUE!</v>
      </c>
      <c r="Q479">
        <f>IFERROR(__xludf.DUMMYFUNCTION("((IF(NOT(OR(REGEXMATCH(B475, ""Arrow""), B475 = ""Javelin"", B475 = ""Stick bomb"")), ROUNDUP(('Ammo Input'!E475 / 1000) * N475)) + IF(VLOOKUP(B475, AmmoTypeFactors, 9, FALSE) = ""Steel"", ROUNDUP(('Ammo Input'!H475 -'Ammo Input'!M475) * MAX(IF('Ammo Inpu"&amp;"t'!J475 &gt; 0, 'Ammo Input'!J475, 1), 1) * N475 / 1000))) / 'Ingredient stats'!$C$2) * IF(ISBLANK(VLOOKUP(B475,AmmoTypeFactors,15,False)),1,VLOOKUP(B475,AmmoTypeFactors,15,False))"),18)</f>
        <v>18</v>
      </c>
      <c r="R479">
        <f>IFERROR(__xludf.DUMMYFUNCTION("ROUNDUP((IF(REGEXMATCH(B475, ""Arrow"") + (B475 = ""Javelin""), 'Ammo Input'!E475) + IF(VLOOKUP(B475, AmmoTypeFactors, 9, FALSE) = ""Wood"", 'Ammo Input'!H475) + IF(B475 = ""Stick bomb"", 'Ammo Input'!E475)) * N475 / 'Ingredient stats'!$C$12 / 1000)"),0)</f>
        <v>0</v>
      </c>
      <c r="S479">
        <v>5</v>
      </c>
      <c r="T479">
        <v>5</v>
      </c>
      <c r="U479">
        <f>IF(VLOOKUP(B479,AmmoTypeFactors,9,FALSE)="Plasteel",ROUNDUP(('Ammo Input'!H479*MAX(IF('Ammo Input'!J479&gt;0,'Ammo Input'!J479,1)*N479/1000/'Ingredient stats'!$C$4)),0),0)</f>
        <v>0</v>
      </c>
      <c r="V479">
        <f>IFERROR(__xludf.DUMMYFUNCTION("ROUNDUP(IF(ISBLANK(VLOOKUP(B475,AmmoTypeFactors,16,False)),1,VLOOKUP(B475,AmmoTypeFactors,16,False)) * (IFS(REGEXMATCH(B475, ""EMP""), 'Ammo Input'!M475 * N475 / 'Ingredient stats'!$C$5, REGEXMATCH(B475, ""Charge""), (U475^0.75), true, 0) + (IF(VLOOKUP(B4"&amp;"75, AmmoTypeFactors, 10, false), 2,0) + IF('Ammo Input'!P475, 2,0) + IF('Ammo Input'!Q475,MIN(ROUNDUP(0.2*('Ammo Input'!H475/1000)*'Ammo Input'!O475,0),20),0))))"),0)</f>
        <v>0</v>
      </c>
      <c r="W479">
        <v>0</v>
      </c>
      <c r="X479">
        <v>0</v>
      </c>
      <c r="Y479">
        <v>0</v>
      </c>
      <c r="Z479">
        <v>0</v>
      </c>
      <c r="AA479">
        <v>0</v>
      </c>
      <c r="AB479" s="30">
        <f>IF(B479="Sling Bullet (Stone)",ROUNDUP(D479*0.02*E479/'Ingredient stats'!$C$8,0),0)</f>
        <v>0</v>
      </c>
      <c r="AC479" t="str">
        <f t="shared" si="20"/>
        <v>None</v>
      </c>
      <c r="AD479" t="str">
        <f>IF(OR(B479="Buck",B479="Bird",B479="Charge (Scatter)"),'Ammo Input'!J479,"None")</f>
        <v>None</v>
      </c>
      <c r="AE479" t="str">
        <f>_xlfn.IFS(ISTEXT(Calcs!N479),Calcs!N479,Calcs!N479&lt;=40,Calcs!N479,Calcs!N479&gt;41,"40")</f>
        <v>None</v>
      </c>
      <c r="AF479" t="str">
        <f>_xlfn.IFS(ISTEXT(Calcs!O479),Calcs!O479,Calcs!O479&lt;=80,Calcs!O479,Calcs!O479&gt;=81,"80")</f>
        <v>None</v>
      </c>
      <c r="AG479" s="25">
        <f t="shared" si="21"/>
        <v>1</v>
      </c>
      <c r="AH479" s="25">
        <f t="shared" si="22"/>
        <v>2.67</v>
      </c>
      <c r="AI479" s="25">
        <f t="shared" si="23"/>
        <v>1</v>
      </c>
    </row>
    <row r="480" ht="14.4" spans="1:35">
      <c r="A480" s="24" t="str">
        <f>'Ammo Input'!A480</f>
        <v>.44-40 Winchester</v>
      </c>
      <c r="B480" t="str">
        <f>'Ammo Input'!B480</f>
        <v>FMJ</v>
      </c>
      <c r="C480">
        <f>ROUNDUP(('Ammo Input'!C480*(MAX('Ammo Input'!D480,'Ammo Input'!F480)*0.5)^2*PI())*3/1000000,2)</f>
        <v>0.02</v>
      </c>
      <c r="D480">
        <f>ROUNDUP(('Ammo Input'!E480+'Ammo Input'!H480*IF('Ammo Input'!J480&lt;&gt;"",MAX('Ammo Input'!J480,1),1))/1000,3)</f>
        <v>0.024</v>
      </c>
      <c r="E480">
        <f>MIN(5000,MAX(25,CEILING(Calcs!L480,_xlfn.IFS(Calcs!L480&lt;100,25,Calcs!L480&lt;250,50,Calcs!L480&lt;1000,250,Calcs!L480&gt;=1000,1000))))</f>
        <v>5000</v>
      </c>
      <c r="F480">
        <f>ROUNDUP('Ammo Input'!G480^(3/4),0)</f>
        <v>86</v>
      </c>
      <c r="G480">
        <f>ROUND((0.5*((IF(OR(B480="HEAT",B480="HEDP"),'Ammo Input'!N480,'Ammo Input'!H480)/1000)*(IF(B480="HEAT",9000,IF(B480="HEDP",1500,'Ammo Input'!G480))^2))),0)</f>
        <v>934</v>
      </c>
      <c r="H480" s="25" t="str">
        <f>CONCATENATE(IF((B480="Foam")+(B480="Smoke"),"-",ROUND(Calcs!D480,0))," ",VLOOKUP(B480,AmmoTypeFactors,5,FALSE))</f>
        <v>14 Bullet</v>
      </c>
      <c r="I480" s="25" t="str">
        <f>IF(Calcs!E480=0,"None",CONCATENATE(ROUND(Calcs!E480,0)," ",VLOOKUP(B480,AmmoTypeFactors,6,FALSE)))</f>
        <v>None</v>
      </c>
      <c r="J480">
        <f>MROUND(2.42*'Ammo Input'!M480^(1/3)*VLOOKUP(B480,AmmoTypeFactors,3,FALSE),0.5)</f>
        <v>0</v>
      </c>
      <c r="K480" s="25" t="str">
        <f>IF(VLOOKUP(B480,AmmoTypeFactors,12,FALSE),MROUND(J480/3,0.5),"None")</f>
        <v>None</v>
      </c>
      <c r="L480" s="25">
        <f>IF(VLOOKUP(B480,AmmoTypeFactors,8,FALSE),"None",ROUNDUP(IF(Calcs!I480&gt;0,Calcs!I480,Calcs!H480),3))</f>
        <v>18.68</v>
      </c>
      <c r="M480" s="25">
        <f>IF(VLOOKUP(B480,AmmoTypeFactors,8,FALSE),"None",'Ammo Input'!L480)</f>
        <v>8</v>
      </c>
      <c r="N480">
        <f>'Ammo Input'!O480</f>
        <v>500</v>
      </c>
      <c r="O480" t="e">
        <f>ROUND((P480*0.0036+SUMPRODUCT(Q480:AB480,VLOOKUP($Q$1:$AB$1,IngredientStats,2,FALSE)))/N480*IF('Ammo Input'!R480,0.5,1),2)</f>
        <v>#VALUE!</v>
      </c>
      <c r="P480" t="e">
        <f>(SUMPRODUCT(Q480:AB480,VLOOKUP($Q$1:$AB$1,IngredientStats,4,FALSE))*VLOOKUP(B480,AmmoTypeFactors,14,FALSE)*IF('Ammo Input'!R480,1.1,1))</f>
        <v>#VALUE!</v>
      </c>
      <c r="Q480">
        <f>IFERROR(__xludf.DUMMYFUNCTION("((IF(NOT(OR(REGEXMATCH(B476, ""Arrow""), B476 = ""Javelin"", B476 = ""Stick bomb"")), ROUNDUP(('Ammo Input'!E476 / 1000) * N476)) + IF(VLOOKUP(B476, AmmoTypeFactors, 9, FALSE) = ""Steel"", ROUNDUP(('Ammo Input'!H476 -'Ammo Input'!M476) * MAX(IF('Ammo Inpu"&amp;"t'!J476 &gt; 0, 'Ammo Input'!J476, 1), 1) * N476 / 1000))) / 'Ingredient stats'!$C$2) * IF(ISBLANK(VLOOKUP(B476,AmmoTypeFactors,15,False)),1,VLOOKUP(B476,AmmoTypeFactors,15,False))"),26)</f>
        <v>26</v>
      </c>
      <c r="R480">
        <f>IFERROR(__xludf.DUMMYFUNCTION("ROUNDUP((IF(REGEXMATCH(B476, ""Arrow"") + (B476 = ""Javelin""), 'Ammo Input'!E476) + IF(VLOOKUP(B476, AmmoTypeFactors, 9, FALSE) = ""Wood"", 'Ammo Input'!H476) + IF(B476 = ""Stick bomb"", 'Ammo Input'!E476)) * N476 / 'Ingredient stats'!$C$12 / 1000)"),0)</f>
        <v>0</v>
      </c>
      <c r="S480">
        <v>0</v>
      </c>
      <c r="T480">
        <v>0</v>
      </c>
      <c r="U480">
        <f>IF(VLOOKUP(B480,AmmoTypeFactors,9,FALSE)="Plasteel",ROUNDUP(('Ammo Input'!H480*MAX(IF('Ammo Input'!J480&gt;0,'Ammo Input'!J480,1)*N480/1000/'Ingredient stats'!$C$4)),0),0)</f>
        <v>0</v>
      </c>
      <c r="V480">
        <f>IFERROR(__xludf.DUMMYFUNCTION("ROUNDUP(IF(ISBLANK(VLOOKUP(B476,AmmoTypeFactors,16,False)),1,VLOOKUP(B476,AmmoTypeFactors,16,False)) * (IFS(REGEXMATCH(B476, ""EMP""), 'Ammo Input'!M476 * N476 / 'Ingredient stats'!$C$5, REGEXMATCH(B476, ""Charge""), (U476^0.75), true, 0) + (IF(VLOOKUP(B4"&amp;"76, AmmoTypeFactors, 10, false), 2,0) + IF('Ammo Input'!P476, 2,0) + IF('Ammo Input'!Q476,MIN(ROUNDUP(0.2*('Ammo Input'!H476/1000)*'Ammo Input'!O476,0),20),0))))"),0)</f>
        <v>0</v>
      </c>
      <c r="W480">
        <v>0</v>
      </c>
      <c r="X480">
        <v>0</v>
      </c>
      <c r="Y480">
        <v>0</v>
      </c>
      <c r="Z480">
        <v>0</v>
      </c>
      <c r="AA480">
        <v>0</v>
      </c>
      <c r="AB480" s="30">
        <f>IF(B480="Sling Bullet (Stone)",ROUNDUP(D480*0.02*E480/'Ingredient stats'!$C$8,0),0)</f>
        <v>0</v>
      </c>
      <c r="AC480" t="str">
        <f t="shared" si="20"/>
        <v>None</v>
      </c>
      <c r="AD480" t="str">
        <f>IF(OR(B480="Buck",B480="Bird",B480="Charge (Scatter)"),'Ammo Input'!J480,"None")</f>
        <v>None</v>
      </c>
      <c r="AE480" t="str">
        <f>_xlfn.IFS(ISTEXT(Calcs!N480),Calcs!N480,Calcs!N480&lt;=40,Calcs!N480,Calcs!N480&gt;41,"40")</f>
        <v>None</v>
      </c>
      <c r="AF480" t="str">
        <f>_xlfn.IFS(ISTEXT(Calcs!O480),Calcs!O480,Calcs!O480&lt;=80,Calcs!O480,Calcs!O480&gt;=81,"80")</f>
        <v>None</v>
      </c>
      <c r="AG480" s="25">
        <f t="shared" si="21"/>
        <v>1</v>
      </c>
      <c r="AH480" s="25">
        <f t="shared" si="22"/>
        <v>1.42</v>
      </c>
      <c r="AI480" s="25">
        <f t="shared" si="23"/>
        <v>1</v>
      </c>
    </row>
    <row r="481" ht="14.4" spans="1:35">
      <c r="A481" s="24" t="str">
        <f>'Ammo Input'!A481</f>
        <v>.44-40 Winchester</v>
      </c>
      <c r="B481" t="str">
        <f>'Ammo Input'!B481</f>
        <v>AP</v>
      </c>
      <c r="C481">
        <f>ROUNDUP(('Ammo Input'!C481*(MAX('Ammo Input'!D481,'Ammo Input'!F481)*0.5)^2*PI())*3/1000000,2)</f>
        <v>0.02</v>
      </c>
      <c r="D481">
        <f>ROUNDUP(('Ammo Input'!E481+'Ammo Input'!H481*IF('Ammo Input'!J481&lt;&gt;"",MAX('Ammo Input'!J481,1),1))/1000,3)</f>
        <v>0.024</v>
      </c>
      <c r="E481">
        <f>MIN(5000,MAX(25,CEILING(Calcs!L481,_xlfn.IFS(Calcs!L481&lt;100,25,Calcs!L481&lt;250,50,Calcs!L481&lt;1000,250,Calcs!L481&gt;=1000,1000))))</f>
        <v>5000</v>
      </c>
      <c r="F481">
        <f>ROUNDUP('Ammo Input'!G481^(3/4),0)</f>
        <v>86</v>
      </c>
      <c r="G481">
        <f>ROUND((0.5*((IF(OR(B481="HEAT",B481="HEDP"),'Ammo Input'!N481,'Ammo Input'!H481)/1000)*(IF(B481="HEAT",9000,IF(B481="HEDP",1500,'Ammo Input'!G481))^2))),0)</f>
        <v>934</v>
      </c>
      <c r="H481" s="25" t="str">
        <f>CONCATENATE(IF((B481="Foam")+(B481="Smoke"),"-",ROUND(Calcs!D481,0))," ",VLOOKUP(B481,AmmoTypeFactors,5,FALSE))</f>
        <v>9 Bullet</v>
      </c>
      <c r="I481" s="25" t="str">
        <f>IF(Calcs!E481=0,"None",CONCATENATE(ROUND(Calcs!E481,0)," ",VLOOKUP(B481,AmmoTypeFactors,6,FALSE)))</f>
        <v>None</v>
      </c>
      <c r="J481">
        <f>MROUND(2.42*'Ammo Input'!M481^(1/3)*VLOOKUP(B481,AmmoTypeFactors,3,FALSE),0.5)</f>
        <v>0</v>
      </c>
      <c r="K481" s="25" t="str">
        <f>IF(VLOOKUP(B481,AmmoTypeFactors,12,FALSE),MROUND(J481/3,0.5),"None")</f>
        <v>None</v>
      </c>
      <c r="L481" s="25">
        <f>IF(VLOOKUP(B481,AmmoTypeFactors,8,FALSE),"None",ROUNDUP(IF(Calcs!I481&gt;0,Calcs!I481,Calcs!H481),3))</f>
        <v>18.68</v>
      </c>
      <c r="M481" s="25">
        <f>IF(VLOOKUP(B481,AmmoTypeFactors,8,FALSE),"None",'Ammo Input'!L481)</f>
        <v>16</v>
      </c>
      <c r="N481">
        <f>'Ammo Input'!O481</f>
        <v>500</v>
      </c>
      <c r="O481" t="e">
        <f>ROUND((P481*0.0036+SUMPRODUCT(Q481:AB481,VLOOKUP($Q$1:$AB$1,IngredientStats,2,FALSE)))/N481*IF('Ammo Input'!R481,0.5,1),2)</f>
        <v>#VALUE!</v>
      </c>
      <c r="P481" t="e">
        <f>(SUMPRODUCT(Q481:AB481,VLOOKUP($Q$1:$AB$1,IngredientStats,4,FALSE))*VLOOKUP(B481,AmmoTypeFactors,14,FALSE)*IF('Ammo Input'!R481,1.1,1))</f>
        <v>#VALUE!</v>
      </c>
      <c r="Q481">
        <f>IFERROR(__xludf.DUMMYFUNCTION("((IF(NOT(OR(REGEXMATCH(B477, ""Arrow""), B477 = ""Javelin"", B477 = ""Stick bomb"")), ROUNDUP(('Ammo Input'!E477 / 1000) * N477)) + IF(VLOOKUP(B477, AmmoTypeFactors, 9, FALSE) = ""Steel"", ROUNDUP(('Ammo Input'!H477 -'Ammo Input'!M477) * MAX(IF('Ammo Inpu"&amp;"t'!J477 &gt; 0, 'Ammo Input'!J477, 1), 1) * N477 / 1000))) / 'Ingredient stats'!$C$2) * IF(ISBLANK(VLOOKUP(B477,AmmoTypeFactors,15,False)),1,VLOOKUP(B477,AmmoTypeFactors,15,False))"),26)</f>
        <v>26</v>
      </c>
      <c r="R481">
        <f>IFERROR(__xludf.DUMMYFUNCTION("ROUNDUP((IF(REGEXMATCH(B477, ""Arrow"") + (B477 = ""Javelin""), 'Ammo Input'!E477) + IF(VLOOKUP(B477, AmmoTypeFactors, 9, FALSE) = ""Wood"", 'Ammo Input'!H477) + IF(B477 = ""Stick bomb"", 'Ammo Input'!E477)) * N477 / 'Ingredient stats'!$C$12 / 1000)"),0)</f>
        <v>0</v>
      </c>
      <c r="S481">
        <v>0</v>
      </c>
      <c r="T481">
        <v>0</v>
      </c>
      <c r="U481">
        <f>IF(VLOOKUP(B481,AmmoTypeFactors,9,FALSE)="Plasteel",ROUNDUP(('Ammo Input'!H481*MAX(IF('Ammo Input'!J481&gt;0,'Ammo Input'!J481,1)*N481/1000/'Ingredient stats'!$C$4)),0),0)</f>
        <v>0</v>
      </c>
      <c r="V481">
        <f>IFERROR(__xludf.DUMMYFUNCTION("ROUNDUP(IF(ISBLANK(VLOOKUP(B477,AmmoTypeFactors,16,False)),1,VLOOKUP(B477,AmmoTypeFactors,16,False)) * (IFS(REGEXMATCH(B477, ""EMP""), 'Ammo Input'!M477 * N477 / 'Ingredient stats'!$C$5, REGEXMATCH(B477, ""Charge""), (U477^0.75), true, 0) + (IF(VLOOKUP(B4"&amp;"77, AmmoTypeFactors, 10, false), 2,0) + IF('Ammo Input'!P477, 2,0) + IF('Ammo Input'!Q477,MIN(ROUNDUP(0.2*('Ammo Input'!H477/1000)*'Ammo Input'!O477,0),20),0))))"),0)</f>
        <v>0</v>
      </c>
      <c r="W481">
        <v>0</v>
      </c>
      <c r="X481">
        <v>0</v>
      </c>
      <c r="Y481">
        <v>0</v>
      </c>
      <c r="Z481">
        <v>0</v>
      </c>
      <c r="AA481">
        <v>0</v>
      </c>
      <c r="AB481" s="30">
        <f>IF(B481="Sling Bullet (Stone)",ROUNDUP(D481*0.02*E481/'Ingredient stats'!$C$8,0),0)</f>
        <v>0</v>
      </c>
      <c r="AC481" t="str">
        <f t="shared" si="20"/>
        <v>None</v>
      </c>
      <c r="AD481" t="str">
        <f>IF(OR(B481="Buck",B481="Bird",B481="Charge (Scatter)"),'Ammo Input'!J481,"None")</f>
        <v>None</v>
      </c>
      <c r="AE481" t="str">
        <f>_xlfn.IFS(ISTEXT(Calcs!N481),Calcs!N481,Calcs!N481&lt;=40,Calcs!N481,Calcs!N481&gt;41,"40")</f>
        <v>None</v>
      </c>
      <c r="AF481" t="str">
        <f>_xlfn.IFS(ISTEXT(Calcs!O481),Calcs!O481,Calcs!O481&lt;=80,Calcs!O481,Calcs!O481&gt;=81,"80")</f>
        <v>None</v>
      </c>
      <c r="AG481" s="25">
        <f t="shared" si="21"/>
        <v>1</v>
      </c>
      <c r="AH481" s="25">
        <f t="shared" si="22"/>
        <v>1.42</v>
      </c>
      <c r="AI481" s="25">
        <f t="shared" si="23"/>
        <v>1</v>
      </c>
    </row>
    <row r="482" ht="14.4" spans="1:35">
      <c r="A482" s="24" t="str">
        <f>'Ammo Input'!A482</f>
        <v>.44-40 Winchester</v>
      </c>
      <c r="B482" t="str">
        <f>'Ammo Input'!B482</f>
        <v>HP</v>
      </c>
      <c r="C482">
        <f>ROUNDUP(('Ammo Input'!C482*(MAX('Ammo Input'!D482,'Ammo Input'!F482)*0.5)^2*PI())*3/1000000,2)</f>
        <v>0.02</v>
      </c>
      <c r="D482">
        <f>ROUNDUP(('Ammo Input'!E482+'Ammo Input'!H482*IF('Ammo Input'!J482&lt;&gt;"",MAX('Ammo Input'!J482,1),1))/1000,3)</f>
        <v>0.024</v>
      </c>
      <c r="E482">
        <f>MIN(5000,MAX(25,CEILING(Calcs!L482,_xlfn.IFS(Calcs!L482&lt;100,25,Calcs!L482&lt;250,50,Calcs!L482&lt;1000,250,Calcs!L482&gt;=1000,1000))))</f>
        <v>5000</v>
      </c>
      <c r="F482">
        <f>ROUNDUP('Ammo Input'!G482^(3/4),0)</f>
        <v>86</v>
      </c>
      <c r="G482">
        <f>ROUND((0.5*((IF(OR(B482="HEAT",B482="HEDP"),'Ammo Input'!N482,'Ammo Input'!H482)/1000)*(IF(B482="HEAT",9000,IF(B482="HEDP",1500,'Ammo Input'!G482))^2))),0)</f>
        <v>934</v>
      </c>
      <c r="H482" s="25" t="str">
        <f>CONCATENATE(IF((B482="Foam")+(B482="Smoke"),"-",ROUND(Calcs!D482,0))," ",VLOOKUP(B482,AmmoTypeFactors,5,FALSE))</f>
        <v>18 Bullet</v>
      </c>
      <c r="I482" s="25" t="str">
        <f>IF(Calcs!E482=0,"None",CONCATENATE(ROUND(Calcs!E482,0)," ",VLOOKUP(B482,AmmoTypeFactors,6,FALSE)))</f>
        <v>None</v>
      </c>
      <c r="J482">
        <f>MROUND(2.42*'Ammo Input'!M482^(1/3)*VLOOKUP(B482,AmmoTypeFactors,3,FALSE),0.5)</f>
        <v>0</v>
      </c>
      <c r="K482" s="25" t="str">
        <f>IF(VLOOKUP(B482,AmmoTypeFactors,12,FALSE),MROUND(J482/3,0.5),"None")</f>
        <v>None</v>
      </c>
      <c r="L482" s="25">
        <f>IF(VLOOKUP(B482,AmmoTypeFactors,8,FALSE),"None",ROUNDUP(IF(Calcs!I482&gt;0,Calcs!I482,Calcs!H482),3))</f>
        <v>18.68</v>
      </c>
      <c r="M482" s="25">
        <f>IF(VLOOKUP(B482,AmmoTypeFactors,8,FALSE),"None",'Ammo Input'!L482)</f>
        <v>4</v>
      </c>
      <c r="N482">
        <f>'Ammo Input'!O482</f>
        <v>500</v>
      </c>
      <c r="O482" t="e">
        <f>ROUND((P482*0.0036+SUMPRODUCT(Q482:AB482,VLOOKUP($Q$1:$AB$1,IngredientStats,2,FALSE)))/N482*IF('Ammo Input'!R482,0.5,1),2)</f>
        <v>#VALUE!</v>
      </c>
      <c r="P482" t="e">
        <f>(SUMPRODUCT(Q482:AB482,VLOOKUP($Q$1:$AB$1,IngredientStats,4,FALSE))*VLOOKUP(B482,AmmoTypeFactors,14,FALSE)*IF('Ammo Input'!R482,1.1,1))</f>
        <v>#VALUE!</v>
      </c>
      <c r="Q482">
        <f>IFERROR(__xludf.DUMMYFUNCTION("((IF(NOT(OR(REGEXMATCH(B478, ""Arrow""), B478 = ""Javelin"", B478 = ""Stick bomb"")), ROUNDUP(('Ammo Input'!E478 / 1000) * N478)) + IF(VLOOKUP(B478, AmmoTypeFactors, 9, FALSE) = ""Steel"", ROUNDUP(('Ammo Input'!H478 -'Ammo Input'!M478) * MAX(IF('Ammo Inpu"&amp;"t'!J478 &gt; 0, 'Ammo Input'!J478, 1), 1) * N478 / 1000))) / 'Ingredient stats'!$C$2) * IF(ISBLANK(VLOOKUP(B478,AmmoTypeFactors,15,False)),1,VLOOKUP(B478,AmmoTypeFactors,15,False))"),26)</f>
        <v>26</v>
      </c>
      <c r="R482">
        <f>IFERROR(__xludf.DUMMYFUNCTION("ROUNDUP((IF(REGEXMATCH(B478, ""Arrow"") + (B478 = ""Javelin""), 'Ammo Input'!E478) + IF(VLOOKUP(B478, AmmoTypeFactors, 9, FALSE) = ""Wood"", 'Ammo Input'!H478) + IF(B478 = ""Stick bomb"", 'Ammo Input'!E478)) * N478 / 'Ingredient stats'!$C$12 / 1000)"),0)</f>
        <v>0</v>
      </c>
      <c r="S482">
        <v>0</v>
      </c>
      <c r="T482">
        <v>0</v>
      </c>
      <c r="U482">
        <f>IF(VLOOKUP(B482,AmmoTypeFactors,9,FALSE)="Plasteel",ROUNDUP(('Ammo Input'!H482*MAX(IF('Ammo Input'!J482&gt;0,'Ammo Input'!J482,1)*N482/1000/'Ingredient stats'!$C$4)),0),0)</f>
        <v>0</v>
      </c>
      <c r="V482">
        <f>IFERROR(__xludf.DUMMYFUNCTION("ROUNDUP(IF(ISBLANK(VLOOKUP(B478,AmmoTypeFactors,16,False)),1,VLOOKUP(B478,AmmoTypeFactors,16,False)) * (IFS(REGEXMATCH(B478, ""EMP""), 'Ammo Input'!M478 * N478 / 'Ingredient stats'!$C$5, REGEXMATCH(B478, ""Charge""), (U478^0.75), true, 0) + (IF(VLOOKUP(B4"&amp;"78, AmmoTypeFactors, 10, false), 2,0) + IF('Ammo Input'!P478, 2,0) + IF('Ammo Input'!Q478,MIN(ROUNDUP(0.2*('Ammo Input'!H478/1000)*'Ammo Input'!O478,0),20),0))))"),0)</f>
        <v>0</v>
      </c>
      <c r="W482">
        <v>0</v>
      </c>
      <c r="X482">
        <v>0</v>
      </c>
      <c r="Y482">
        <v>0</v>
      </c>
      <c r="Z482">
        <v>0</v>
      </c>
      <c r="AA482">
        <v>0</v>
      </c>
      <c r="AB482" s="30">
        <f>IF(B482="Sling Bullet (Stone)",ROUNDUP(D482*0.02*E482/'Ingredient stats'!$C$8,0),0)</f>
        <v>0</v>
      </c>
      <c r="AC482" t="str">
        <f t="shared" si="20"/>
        <v>None</v>
      </c>
      <c r="AD482" t="str">
        <f>IF(OR(B482="Buck",B482="Bird",B482="Charge (Scatter)"),'Ammo Input'!J482,"None")</f>
        <v>None</v>
      </c>
      <c r="AE482" t="str">
        <f>_xlfn.IFS(ISTEXT(Calcs!N482),Calcs!N482,Calcs!N482&lt;=40,Calcs!N482,Calcs!N482&gt;41,"40")</f>
        <v>None</v>
      </c>
      <c r="AF482" t="str">
        <f>_xlfn.IFS(ISTEXT(Calcs!O482),Calcs!O482,Calcs!O482&lt;=80,Calcs!O482,Calcs!O482&gt;=81,"80")</f>
        <v>None</v>
      </c>
      <c r="AG482" s="25">
        <f t="shared" si="21"/>
        <v>1</v>
      </c>
      <c r="AH482" s="25">
        <f t="shared" si="22"/>
        <v>1.42</v>
      </c>
      <c r="AI482" s="25">
        <f t="shared" si="23"/>
        <v>1</v>
      </c>
    </row>
    <row r="483" ht="14.4" spans="1:35">
      <c r="A483" s="24" t="str">
        <f>'Ammo Input'!A483</f>
        <v>.44-40 Winchester</v>
      </c>
      <c r="B483" t="str">
        <f>'Ammo Input'!B483</f>
        <v>AP-I</v>
      </c>
      <c r="C483">
        <f>ROUNDUP(('Ammo Input'!C483*(MAX('Ammo Input'!D483,'Ammo Input'!F483)*0.5)^2*PI())*3/1000000,2)</f>
        <v>0.02</v>
      </c>
      <c r="D483">
        <f>ROUNDUP(('Ammo Input'!E483+'Ammo Input'!H483*IF('Ammo Input'!J483&lt;&gt;"",MAX('Ammo Input'!J483,1),1))/1000,3)</f>
        <v>0.024</v>
      </c>
      <c r="E483">
        <f>MIN(5000,MAX(25,CEILING(Calcs!L483,_xlfn.IFS(Calcs!L483&lt;100,25,Calcs!L483&lt;250,50,Calcs!L483&lt;1000,250,Calcs!L483&gt;=1000,1000))))</f>
        <v>5000</v>
      </c>
      <c r="F483">
        <f>ROUNDUP('Ammo Input'!G483^(3/4),0)</f>
        <v>86</v>
      </c>
      <c r="G483">
        <f>ROUND((0.5*((IF(OR(B483="HEAT",B483="HEDP"),'Ammo Input'!N483,'Ammo Input'!H483)/1000)*(IF(B483="HEAT",9000,IF(B483="HEDP",1500,'Ammo Input'!G483))^2))),0)</f>
        <v>934</v>
      </c>
      <c r="H483" s="25" t="str">
        <f>CONCATENATE(IF((B483="Foam")+(B483="Smoke"),"-",ROUND(Calcs!D483,0))," ",VLOOKUP(B483,AmmoTypeFactors,5,FALSE))</f>
        <v>9 Bullet</v>
      </c>
      <c r="I483" s="25" t="str">
        <f>IF(Calcs!E483=0,"None",CONCATENATE(ROUND(Calcs!E483,0)," ",VLOOKUP(B483,AmmoTypeFactors,6,FALSE)))</f>
        <v>7 Flame_Secondary</v>
      </c>
      <c r="J483">
        <f>MROUND(2.42*'Ammo Input'!M483^(1/3)*VLOOKUP(B483,AmmoTypeFactors,3,FALSE),0.5)</f>
        <v>0</v>
      </c>
      <c r="K483" s="25" t="str">
        <f>IF(VLOOKUP(B483,AmmoTypeFactors,12,FALSE),MROUND(J483/3,0.5),"None")</f>
        <v>None</v>
      </c>
      <c r="L483" s="25">
        <f>IF(VLOOKUP(B483,AmmoTypeFactors,8,FALSE),"None",ROUNDUP(IF(Calcs!I483&gt;0,Calcs!I483,Calcs!H483),3))</f>
        <v>18.68</v>
      </c>
      <c r="M483" s="25">
        <f>IF(VLOOKUP(B483,AmmoTypeFactors,8,FALSE),"None",'Ammo Input'!L483)</f>
        <v>16</v>
      </c>
      <c r="N483">
        <f>'Ammo Input'!O483</f>
        <v>500</v>
      </c>
      <c r="O483" t="e">
        <f>ROUND((P483*0.0036+SUMPRODUCT(Q483:AB483,VLOOKUP($Q$1:$AB$1,IngredientStats,2,FALSE)))/N483*IF('Ammo Input'!R483,0.5,1),2)</f>
        <v>#VALUE!</v>
      </c>
      <c r="P483" t="e">
        <f>(SUMPRODUCT(Q483:AB483,VLOOKUP($Q$1:$AB$1,IngredientStats,4,FALSE))*VLOOKUP(B483,AmmoTypeFactors,14,FALSE)*IF('Ammo Input'!R483,1.1,1))</f>
        <v>#VALUE!</v>
      </c>
      <c r="Q483">
        <f>IFERROR(__xludf.DUMMYFUNCTION("((IF(NOT(OR(REGEXMATCH(B479, ""Arrow""), B479 = ""Javelin"", B479 = ""Stick bomb"")), ROUNDUP(('Ammo Input'!E479 / 1000) * N479)) + IF(VLOOKUP(B479, AmmoTypeFactors, 9, FALSE) = ""Steel"", ROUNDUP(('Ammo Input'!H479 -'Ammo Input'!M479) * MAX(IF('Ammo Inpu"&amp;"t'!J479 &gt; 0, 'Ammo Input'!J479, 1), 1) * N479 / 1000))) / 'Ingredient stats'!$C$2) * IF(ISBLANK(VLOOKUP(B479,AmmoTypeFactors,15,False)),1,VLOOKUP(B479,AmmoTypeFactors,15,False))"),26)</f>
        <v>26</v>
      </c>
      <c r="R483">
        <f>IFERROR(__xludf.DUMMYFUNCTION("ROUNDUP((IF(REGEXMATCH(B479, ""Arrow"") + (B479 = ""Javelin""), 'Ammo Input'!E479) + IF(VLOOKUP(B479, AmmoTypeFactors, 9, FALSE) = ""Wood"", 'Ammo Input'!H479) + IF(B479 = ""Stick bomb"", 'Ammo Input'!E479)) * N479 / 'Ingredient stats'!$C$12 / 1000)"),0)</f>
        <v>0</v>
      </c>
      <c r="S483">
        <v>0</v>
      </c>
      <c r="T483">
        <v>0</v>
      </c>
      <c r="U483">
        <f>IF(VLOOKUP(B483,AmmoTypeFactors,9,FALSE)="Plasteel",ROUNDUP(('Ammo Input'!H483*MAX(IF('Ammo Input'!J483&gt;0,'Ammo Input'!J483,1)*N483/1000/'Ingredient stats'!$C$4)),0),0)</f>
        <v>0</v>
      </c>
      <c r="V483">
        <f>IFERROR(__xludf.DUMMYFUNCTION("ROUNDUP(IF(ISBLANK(VLOOKUP(B479,AmmoTypeFactors,16,False)),1,VLOOKUP(B479,AmmoTypeFactors,16,False)) * (IFS(REGEXMATCH(B479, ""EMP""), 'Ammo Input'!M479 * N479 / 'Ingredient stats'!$C$5, REGEXMATCH(B479, ""Charge""), (U479^0.75), true, 0) + (IF(VLOOKUP(B4"&amp;"79, AmmoTypeFactors, 10, false), 2,0) + IF('Ammo Input'!P479, 2,0) + IF('Ammo Input'!Q479,MIN(ROUNDUP(0.2*('Ammo Input'!H479/1000)*'Ammo Input'!O479,0),20),0))))"),0)</f>
        <v>0</v>
      </c>
      <c r="W483">
        <v>4</v>
      </c>
      <c r="X483">
        <v>0</v>
      </c>
      <c r="Y483">
        <v>0</v>
      </c>
      <c r="Z483">
        <v>0</v>
      </c>
      <c r="AA483">
        <v>0</v>
      </c>
      <c r="AB483" s="30">
        <f>IF(B483="Sling Bullet (Stone)",ROUNDUP(D483*0.02*E483/'Ingredient stats'!$C$8,0),0)</f>
        <v>0</v>
      </c>
      <c r="AC483" t="str">
        <f t="shared" si="20"/>
        <v>None</v>
      </c>
      <c r="AD483" t="str">
        <f>IF(OR(B483="Buck",B483="Bird",B483="Charge (Scatter)"),'Ammo Input'!J483,"None")</f>
        <v>None</v>
      </c>
      <c r="AE483" t="str">
        <f>_xlfn.IFS(ISTEXT(Calcs!N483),Calcs!N483,Calcs!N483&lt;=40,Calcs!N483,Calcs!N483&gt;41,"40")</f>
        <v>None</v>
      </c>
      <c r="AF483" t="str">
        <f>_xlfn.IFS(ISTEXT(Calcs!O483),Calcs!O483,Calcs!O483&lt;=80,Calcs!O483,Calcs!O483&gt;=81,"80")</f>
        <v>None</v>
      </c>
      <c r="AG483" s="25">
        <f t="shared" si="21"/>
        <v>1</v>
      </c>
      <c r="AH483" s="25">
        <f t="shared" si="22"/>
        <v>1.42</v>
      </c>
      <c r="AI483" s="25">
        <f t="shared" si="23"/>
        <v>1</v>
      </c>
    </row>
    <row r="484" ht="14.4" spans="1:35">
      <c r="A484" s="24" t="str">
        <f>'Ammo Input'!A484</f>
        <v>.44-40 Winchester</v>
      </c>
      <c r="B484" t="str">
        <f>'Ammo Input'!B484</f>
        <v>AP-HE</v>
      </c>
      <c r="C484">
        <f>ROUNDUP(('Ammo Input'!C484*(MAX('Ammo Input'!D484,'Ammo Input'!F484)*0.5)^2*PI())*3/1000000,2)</f>
        <v>0.02</v>
      </c>
      <c r="D484">
        <f>ROUNDUP(('Ammo Input'!E484+'Ammo Input'!H484*IF('Ammo Input'!J484&lt;&gt;"",MAX('Ammo Input'!J484,1),1))/1000,3)</f>
        <v>0.024</v>
      </c>
      <c r="E484">
        <f>MIN(5000,MAX(25,CEILING(Calcs!L484,_xlfn.IFS(Calcs!L484&lt;100,25,Calcs!L484&lt;250,50,Calcs!L484&lt;1000,250,Calcs!L484&gt;=1000,1000))))</f>
        <v>5000</v>
      </c>
      <c r="F484">
        <f>ROUNDUP('Ammo Input'!G484^(3/4),0)</f>
        <v>86</v>
      </c>
      <c r="G484">
        <f>ROUND((0.5*((IF(OR(B484="HEAT",B484="HEDP"),'Ammo Input'!N484,'Ammo Input'!H484)/1000)*(IF(B484="HEAT",9000,IF(B484="HEDP",1500,'Ammo Input'!G484))^2))),0)</f>
        <v>934</v>
      </c>
      <c r="H484" s="25" t="str">
        <f>CONCATENATE(IF((B484="Foam")+(B484="Smoke"),"-",ROUND(Calcs!D484,0))," ",VLOOKUP(B484,AmmoTypeFactors,5,FALSE))</f>
        <v>14 Bullet</v>
      </c>
      <c r="I484" s="25" t="str">
        <f>IF(Calcs!E484=0,"None",CONCATENATE(ROUND(Calcs!E484,0)," ",VLOOKUP(B484,AmmoTypeFactors,6,FALSE)))</f>
        <v>9 Bomb_Secondary</v>
      </c>
      <c r="J484">
        <f>MROUND(2.42*'Ammo Input'!M484^(1/3)*VLOOKUP(B484,AmmoTypeFactors,3,FALSE),0.5)</f>
        <v>0</v>
      </c>
      <c r="K484" s="25" t="str">
        <f>IF(VLOOKUP(B484,AmmoTypeFactors,12,FALSE),MROUND(J484/3,0.5),"None")</f>
        <v>None</v>
      </c>
      <c r="L484" s="25">
        <f>IF(VLOOKUP(B484,AmmoTypeFactors,8,FALSE),"None",ROUNDUP(IF(Calcs!I484&gt;0,Calcs!I484,Calcs!H484),3))</f>
        <v>18.68</v>
      </c>
      <c r="M484" s="25">
        <f>IF(VLOOKUP(B484,AmmoTypeFactors,8,FALSE),"None",'Ammo Input'!L484)</f>
        <v>8</v>
      </c>
      <c r="N484">
        <f>'Ammo Input'!O484</f>
        <v>500</v>
      </c>
      <c r="O484" t="e">
        <f>ROUND((P484*0.0036+SUMPRODUCT(Q484:AB484,VLOOKUP($Q$1:$AB$1,IngredientStats,2,FALSE)))/N484*IF('Ammo Input'!R484,0.5,1),2)</f>
        <v>#VALUE!</v>
      </c>
      <c r="P484" t="e">
        <f>(SUMPRODUCT(Q484:AB484,VLOOKUP($Q$1:$AB$1,IngredientStats,4,FALSE))*VLOOKUP(B484,AmmoTypeFactors,14,FALSE)*IF('Ammo Input'!R484,1.1,1))</f>
        <v>#VALUE!</v>
      </c>
      <c r="Q484">
        <f>IFERROR(__xludf.DUMMYFUNCTION("((IF(NOT(OR(REGEXMATCH(B480, ""Arrow""), B480 = ""Javelin"", B480 = ""Stick bomb"")), ROUNDUP(('Ammo Input'!E480 / 1000) * N480)) + IF(VLOOKUP(B480, AmmoTypeFactors, 9, FALSE) = ""Steel"", ROUNDUP(('Ammo Input'!H480 -'Ammo Input'!M480) * MAX(IF('Ammo Inpu"&amp;"t'!J480 &gt; 0, 'Ammo Input'!J480, 1), 1) * N480 / 1000))) / 'Ingredient stats'!$C$2) * IF(ISBLANK(VLOOKUP(B480,AmmoTypeFactors,15,False)),1,VLOOKUP(B480,AmmoTypeFactors,15,False))"),26)</f>
        <v>26</v>
      </c>
      <c r="R484">
        <f>IFERROR(__xludf.DUMMYFUNCTION("ROUNDUP((IF(REGEXMATCH(B480, ""Arrow"") + (B480 = ""Javelin""), 'Ammo Input'!E480) + IF(VLOOKUP(B480, AmmoTypeFactors, 9, FALSE) = ""Wood"", 'Ammo Input'!H480) + IF(B480 = ""Stick bomb"", 'Ammo Input'!E480)) * N480 / 'Ingredient stats'!$C$12 / 1000)"),0)</f>
        <v>0</v>
      </c>
      <c r="S484">
        <v>0</v>
      </c>
      <c r="T484">
        <v>0</v>
      </c>
      <c r="U484">
        <f>IF(VLOOKUP(B484,AmmoTypeFactors,9,FALSE)="Plasteel",ROUNDUP(('Ammo Input'!H484*MAX(IF('Ammo Input'!J484&gt;0,'Ammo Input'!J484,1)*N484/1000/'Ingredient stats'!$C$4)),0),0)</f>
        <v>0</v>
      </c>
      <c r="V484">
        <f>IFERROR(__xludf.DUMMYFUNCTION("ROUNDUP(IF(ISBLANK(VLOOKUP(B480,AmmoTypeFactors,16,False)),1,VLOOKUP(B480,AmmoTypeFactors,16,False)) * (IFS(REGEXMATCH(B480, ""EMP""), 'Ammo Input'!M480 * N480 / 'Ingredient stats'!$C$5, REGEXMATCH(B480, ""Charge""), (U480^0.75), true, 0) + (IF(VLOOKUP(B4"&amp;"80, AmmoTypeFactors, 10, false), 2,0) + IF('Ammo Input'!P480, 2,0) + IF('Ammo Input'!Q480,MIN(ROUNDUP(0.2*('Ammo Input'!H480/1000)*'Ammo Input'!O480,0),20),0))))"),0)</f>
        <v>0</v>
      </c>
      <c r="W484">
        <v>0</v>
      </c>
      <c r="X484">
        <v>7</v>
      </c>
      <c r="Y484">
        <v>0</v>
      </c>
      <c r="Z484">
        <v>0</v>
      </c>
      <c r="AA484">
        <v>0</v>
      </c>
      <c r="AB484" s="30">
        <f>IF(B484="Sling Bullet (Stone)",ROUNDUP(D484*0.02*E484/'Ingredient stats'!$C$8,0),0)</f>
        <v>0</v>
      </c>
      <c r="AC484" t="str">
        <f t="shared" si="20"/>
        <v>None</v>
      </c>
      <c r="AD484" t="str">
        <f>IF(OR(B484="Buck",B484="Bird",B484="Charge (Scatter)"),'Ammo Input'!J484,"None")</f>
        <v>None</v>
      </c>
      <c r="AE484" t="str">
        <f>_xlfn.IFS(ISTEXT(Calcs!N484),Calcs!N484,Calcs!N484&lt;=40,Calcs!N484,Calcs!N484&gt;41,"40")</f>
        <v>None</v>
      </c>
      <c r="AF484" t="str">
        <f>_xlfn.IFS(ISTEXT(Calcs!O484),Calcs!O484,Calcs!O484&lt;=80,Calcs!O484,Calcs!O484&gt;=81,"80")</f>
        <v>None</v>
      </c>
      <c r="AG484" s="25">
        <f t="shared" si="21"/>
        <v>1</v>
      </c>
      <c r="AH484" s="25">
        <f t="shared" si="22"/>
        <v>1.42</v>
      </c>
      <c r="AI484" s="25">
        <f t="shared" si="23"/>
        <v>1</v>
      </c>
    </row>
    <row r="485" ht="14.4" spans="1:35">
      <c r="A485" s="24" t="str">
        <f>'Ammo Input'!A485</f>
        <v>.44-40 Winchester</v>
      </c>
      <c r="B485" t="str">
        <f>'Ammo Input'!B485</f>
        <v>Sabot</v>
      </c>
      <c r="C485">
        <f>ROUNDUP(('Ammo Input'!C485*(MAX('Ammo Input'!D485,'Ammo Input'!F485)*0.5)^2*PI())*3/1000000,2)</f>
        <v>0.02</v>
      </c>
      <c r="D485">
        <f>ROUNDUP(('Ammo Input'!E485+'Ammo Input'!H485*IF('Ammo Input'!J485&lt;&gt;"",MAX('Ammo Input'!J485,1),1))/1000,3)</f>
        <v>0.018</v>
      </c>
      <c r="E485">
        <f>MIN(5000,MAX(25,CEILING(Calcs!L485,_xlfn.IFS(Calcs!L485&lt;100,25,Calcs!L485&lt;250,50,Calcs!L485&lt;1000,250,Calcs!L485&gt;=1000,1000))))</f>
        <v>5000</v>
      </c>
      <c r="F485">
        <f>ROUNDUP('Ammo Input'!G485^(3/4),0)</f>
        <v>117</v>
      </c>
      <c r="G485">
        <f>ROUND((0.5*((IF(OR(B485="HEAT",B485="HEDP"),'Ammo Input'!N485,'Ammo Input'!H485)/1000)*(IF(B485="HEAT",9000,IF(B485="HEDP",1500,'Ammo Input'!G485))^2))),0)</f>
        <v>1197</v>
      </c>
      <c r="H485" s="25" t="str">
        <f>CONCATENATE(IF((B485="Foam")+(B485="Smoke"),"-",ROUND(Calcs!D485,0))," ",VLOOKUP(B485,AmmoTypeFactors,5,FALSE))</f>
        <v>7 Bullet</v>
      </c>
      <c r="I485" s="25" t="str">
        <f>IF(Calcs!E485=0,"None",CONCATENATE(ROUND(Calcs!E485,0)," ",VLOOKUP(B485,AmmoTypeFactors,6,FALSE)))</f>
        <v>None</v>
      </c>
      <c r="J485">
        <f>MROUND(2.42*'Ammo Input'!M485^(1/3)*VLOOKUP(B485,AmmoTypeFactors,3,FALSE),0.5)</f>
        <v>0</v>
      </c>
      <c r="K485" s="25" t="str">
        <f>IF(VLOOKUP(B485,AmmoTypeFactors,12,FALSE),MROUND(J485/3,0.5),"None")</f>
        <v>None</v>
      </c>
      <c r="L485" s="25">
        <f>IF(VLOOKUP(B485,AmmoTypeFactors,8,FALSE),"None",ROUNDUP(IF(Calcs!I485&gt;0,Calcs!I485,Calcs!H485),3))</f>
        <v>23.94</v>
      </c>
      <c r="M485" s="25">
        <f>IF(VLOOKUP(B485,AmmoTypeFactors,8,FALSE),"None",'Ammo Input'!L485)</f>
        <v>28</v>
      </c>
      <c r="N485">
        <f>'Ammo Input'!O485</f>
        <v>500</v>
      </c>
      <c r="O485" t="e">
        <f>ROUND((P485*0.0036+SUMPRODUCT(Q485:AB485,VLOOKUP($Q$1:$AB$1,IngredientStats,2,FALSE)))/N485*IF('Ammo Input'!R485,0.5,1),2)</f>
        <v>#VALUE!</v>
      </c>
      <c r="P485" t="e">
        <f>(SUMPRODUCT(Q485:AB485,VLOOKUP($Q$1:$AB$1,IngredientStats,4,FALSE))*VLOOKUP(B485,AmmoTypeFactors,14,FALSE)*IF('Ammo Input'!R485,1.1,1))</f>
        <v>#VALUE!</v>
      </c>
      <c r="Q485">
        <f>IFERROR(__xludf.DUMMYFUNCTION("((IF(NOT(OR(REGEXMATCH(B481, ""Arrow""), B481 = ""Javelin"", B481 = ""Stick bomb"")), ROUNDUP(('Ammo Input'!E481 / 1000) * N481)) + IF(VLOOKUP(B481, AmmoTypeFactors, 9, FALSE) = ""Steel"", ROUNDUP(('Ammo Input'!H481 -'Ammo Input'!M481) * MAX(IF('Ammo Inpu"&amp;"t'!J481 &gt; 0, 'Ammo Input'!J481, 1), 1) * N481 / 1000))) / 'Ingredient stats'!$C$2) * IF(ISBLANK(VLOOKUP(B481,AmmoTypeFactors,15,False)),1,VLOOKUP(B481,AmmoTypeFactors,15,False))"),12)</f>
        <v>12</v>
      </c>
      <c r="R485">
        <f>IFERROR(__xludf.DUMMYFUNCTION("ROUNDUP((IF(REGEXMATCH(B481, ""Arrow"") + (B481 = ""Javelin""), 'Ammo Input'!E481) + IF(VLOOKUP(B481, AmmoTypeFactors, 9, FALSE) = ""Wood"", 'Ammo Input'!H481) + IF(B481 = ""Stick bomb"", 'Ammo Input'!E481)) * N481 / 'Ingredient stats'!$C$12 / 1000)"),0)</f>
        <v>0</v>
      </c>
      <c r="S485">
        <v>4</v>
      </c>
      <c r="T485">
        <v>4</v>
      </c>
      <c r="U485">
        <f>IF(VLOOKUP(B485,AmmoTypeFactors,9,FALSE)="Plasteel",ROUNDUP(('Ammo Input'!H485*MAX(IF('Ammo Input'!J485&gt;0,'Ammo Input'!J485,1)*N485/1000/'Ingredient stats'!$C$4)),0),0)</f>
        <v>0</v>
      </c>
      <c r="V485">
        <f>IFERROR(__xludf.DUMMYFUNCTION("ROUNDUP(IF(ISBLANK(VLOOKUP(B481,AmmoTypeFactors,16,False)),1,VLOOKUP(B481,AmmoTypeFactors,16,False)) * (IFS(REGEXMATCH(B481, ""EMP""), 'Ammo Input'!M481 * N481 / 'Ingredient stats'!$C$5, REGEXMATCH(B481, ""Charge""), (U481^0.75), true, 0) + (IF(VLOOKUP(B4"&amp;"81, AmmoTypeFactors, 10, false), 2,0) + IF('Ammo Input'!P481, 2,0) + IF('Ammo Input'!Q481,MIN(ROUNDUP(0.2*('Ammo Input'!H481/1000)*'Ammo Input'!O481,0),20),0))))"),0)</f>
        <v>0</v>
      </c>
      <c r="W485">
        <v>0</v>
      </c>
      <c r="X485">
        <v>0</v>
      </c>
      <c r="Y485">
        <v>0</v>
      </c>
      <c r="Z485">
        <v>0</v>
      </c>
      <c r="AA485">
        <v>0</v>
      </c>
      <c r="AB485" s="30">
        <f>IF(B485="Sling Bullet (Stone)",ROUNDUP(D485*0.02*E485/'Ingredient stats'!$C$8,0),0)</f>
        <v>0</v>
      </c>
      <c r="AC485" t="str">
        <f t="shared" si="20"/>
        <v>None</v>
      </c>
      <c r="AD485" t="str">
        <f>IF(OR(B485="Buck",B485="Bird",B485="Charge (Scatter)"),'Ammo Input'!J485,"None")</f>
        <v>None</v>
      </c>
      <c r="AE485" t="str">
        <f>_xlfn.IFS(ISTEXT(Calcs!N485),Calcs!N485,Calcs!N485&lt;=40,Calcs!N485,Calcs!N485&gt;41,"40")</f>
        <v>None</v>
      </c>
      <c r="AF485" t="str">
        <f>_xlfn.IFS(ISTEXT(Calcs!O485),Calcs!O485,Calcs!O485&lt;=80,Calcs!O485,Calcs!O485&gt;=81,"80")</f>
        <v>None</v>
      </c>
      <c r="AG485" s="25">
        <f t="shared" si="21"/>
        <v>1</v>
      </c>
      <c r="AH485" s="25">
        <f t="shared" si="22"/>
        <v>1.92</v>
      </c>
      <c r="AI485" s="25">
        <f t="shared" si="23"/>
        <v>1</v>
      </c>
    </row>
    <row r="486" ht="14.4" spans="1:35">
      <c r="A486" s="35" t="str">
        <f>'Ammo Input'!A486</f>
        <v>.45-70 Government</v>
      </c>
      <c r="B486" t="str">
        <f>'Ammo Input'!B486</f>
        <v>FMJ</v>
      </c>
      <c r="C486">
        <f>ROUNDUP(('Ammo Input'!C486*(MAX('Ammo Input'!D486,'Ammo Input'!F486)*0.5)^2*PI())*3/1000000,2)</f>
        <v>0.03</v>
      </c>
      <c r="D486">
        <f>ROUNDUP(('Ammo Input'!E486+'Ammo Input'!H486*IF('Ammo Input'!J486&lt;&gt;"",MAX('Ammo Input'!J486,1),1))/1000,3)</f>
        <v>0.044</v>
      </c>
      <c r="E486">
        <f>MIN(5000,MAX(25,CEILING(Calcs!L486,_xlfn.IFS(Calcs!L486&lt;100,25,Calcs!L486&lt;250,50,Calcs!L486&lt;1000,250,Calcs!L486&gt;=1000,1000))))</f>
        <v>5000</v>
      </c>
      <c r="F486">
        <f>ROUNDUP('Ammo Input'!G486^(3/4),0)</f>
        <v>94</v>
      </c>
      <c r="G486">
        <f>ROUND((0.5*((IF(OR(B486="HEAT",B486="HEDP"),'Ammo Input'!N486,'Ammo Input'!H486)/1000)*(IF(B486="HEAT",9000,IF(B486="HEDP",1500,'Ammo Input'!G486))^2))),0)</f>
        <v>2366</v>
      </c>
      <c r="H486" s="25" t="str">
        <f>CONCATENATE(IF((B486="Foam")+(B486="Smoke"),"-",ROUND(Calcs!D486,0))," ",VLOOKUP(B486,AmmoTypeFactors,5,FALSE))</f>
        <v>20 Bullet</v>
      </c>
      <c r="I486" s="25" t="str">
        <f>IF(Calcs!E486=0,"None",CONCATENATE(ROUND(Calcs!E486,0)," ",VLOOKUP(B486,AmmoTypeFactors,6,FALSE)))</f>
        <v>None</v>
      </c>
      <c r="J486">
        <f>MROUND(2.42*'Ammo Input'!M486^(1/3)*VLOOKUP(B486,AmmoTypeFactors,3,FALSE),0.5)</f>
        <v>0</v>
      </c>
      <c r="K486" s="25" t="str">
        <f>IF(VLOOKUP(B486,AmmoTypeFactors,12,FALSE),MROUND(J486/3,0.5),"None")</f>
        <v>None</v>
      </c>
      <c r="L486" s="25">
        <f>IF(VLOOKUP(B486,AmmoTypeFactors,8,FALSE),"None",ROUNDUP(IF(Calcs!I486&gt;0,Calcs!I486,Calcs!H486),3))</f>
        <v>47.32</v>
      </c>
      <c r="M486" s="25">
        <f>IF(VLOOKUP(B486,AmmoTypeFactors,8,FALSE),"None",'Ammo Input'!L486)</f>
        <v>9</v>
      </c>
      <c r="N486">
        <f>'Ammo Input'!O486</f>
        <v>500</v>
      </c>
      <c r="O486" t="e">
        <f>ROUND((P486*0.0036+SUMPRODUCT(Q486:AB486,VLOOKUP($Q$1:$AB$1,IngredientStats,2,FALSE)))/N486*IF('Ammo Input'!R486,0.5,1),2)</f>
        <v>#VALUE!</v>
      </c>
      <c r="P486" t="e">
        <f>(SUMPRODUCT(Q486:AB486,VLOOKUP($Q$1:$AB$1,IngredientStats,4,FALSE))*VLOOKUP(B486,AmmoTypeFactors,14,FALSE)*IF('Ammo Input'!R486,1.1,1))</f>
        <v>#VALUE!</v>
      </c>
      <c r="Q486">
        <f>IFERROR(__xludf.DUMMYFUNCTION("((IF(NOT(OR(REGEXMATCH(B482, ""Arrow""), B482 = ""Javelin"", B482 = ""Stick bomb"")), ROUNDUP(('Ammo Input'!E482 / 1000) * N482)) + IF(VLOOKUP(B482, AmmoTypeFactors, 9, FALSE) = ""Steel"", ROUNDUP(('Ammo Input'!H482 -'Ammo Input'!M482) * MAX(IF('Ammo Inpu"&amp;"t'!J482 &gt; 0, 'Ammo Input'!J482, 1), 1) * N482 / 1000))) / 'Ingredient stats'!$C$2) * IF(ISBLANK(VLOOKUP(B482,AmmoTypeFactors,15,False)),1,VLOOKUP(B482,AmmoTypeFactors,15,False))"),46)</f>
        <v>46</v>
      </c>
      <c r="R486">
        <f>IFERROR(__xludf.DUMMYFUNCTION("ROUNDUP((IF(REGEXMATCH(B482, ""Arrow"") + (B482 = ""Javelin""), 'Ammo Input'!E482) + IF(VLOOKUP(B482, AmmoTypeFactors, 9, FALSE) = ""Wood"", 'Ammo Input'!H482) + IF(B482 = ""Stick bomb"", 'Ammo Input'!E482)) * N482 / 'Ingredient stats'!$C$12 / 1000)"),0)</f>
        <v>0</v>
      </c>
      <c r="S486">
        <v>0</v>
      </c>
      <c r="T486">
        <v>0</v>
      </c>
      <c r="U486">
        <f>IF(VLOOKUP(B486,AmmoTypeFactors,9,FALSE)="Plasteel",ROUNDUP(('Ammo Input'!H486*MAX(IF('Ammo Input'!J486&gt;0,'Ammo Input'!J486,1)*N486/1000/'Ingredient stats'!$C$4)),0),0)</f>
        <v>0</v>
      </c>
      <c r="V486">
        <f>IFERROR(__xludf.DUMMYFUNCTION("ROUNDUP(IF(ISBLANK(VLOOKUP(B482,AmmoTypeFactors,16,False)),1,VLOOKUP(B482,AmmoTypeFactors,16,False)) * (IFS(REGEXMATCH(B482, ""EMP""), 'Ammo Input'!M482 * N482 / 'Ingredient stats'!$C$5, REGEXMATCH(B482, ""Charge""), (U482^0.75), true, 0) + (IF(VLOOKUP(B4"&amp;"82, AmmoTypeFactors, 10, false), 2,0) + IF('Ammo Input'!P482, 2,0) + IF('Ammo Input'!Q482,MIN(ROUNDUP(0.2*('Ammo Input'!H482/1000)*'Ammo Input'!O482,0),20),0))))"),0)</f>
        <v>0</v>
      </c>
      <c r="W486">
        <v>0</v>
      </c>
      <c r="X486">
        <v>0</v>
      </c>
      <c r="Y486">
        <v>0</v>
      </c>
      <c r="Z486">
        <v>0</v>
      </c>
      <c r="AA486">
        <v>0</v>
      </c>
      <c r="AB486" s="30">
        <f>IF(B486="Sling Bullet (Stone)",ROUNDUP(D486*0.02*E486/'Ingredient stats'!$C$8,0),0)</f>
        <v>0</v>
      </c>
      <c r="AC486" t="str">
        <f t="shared" si="20"/>
        <v>None</v>
      </c>
      <c r="AD486" t="str">
        <f>IF(OR(B486="Buck",B486="Bird",B486="Charge (Scatter)"),'Ammo Input'!J486,"None")</f>
        <v>None</v>
      </c>
      <c r="AE486" t="str">
        <f>_xlfn.IFS(ISTEXT(Calcs!N486),Calcs!N486,Calcs!N486&lt;=40,Calcs!N486,Calcs!N486&gt;41,"40")</f>
        <v>None</v>
      </c>
      <c r="AF486" t="str">
        <f>_xlfn.IFS(ISTEXT(Calcs!O486),Calcs!O486,Calcs!O486&lt;=80,Calcs!O486,Calcs!O486&gt;=81,"80")</f>
        <v>None</v>
      </c>
      <c r="AG486" s="25">
        <f t="shared" si="21"/>
        <v>1</v>
      </c>
      <c r="AH486" s="25">
        <f t="shared" si="22"/>
        <v>1.55</v>
      </c>
      <c r="AI486" s="25">
        <f t="shared" si="23"/>
        <v>1</v>
      </c>
    </row>
    <row r="487" ht="14.4" spans="1:35">
      <c r="A487" s="35" t="str">
        <f>'Ammo Input'!A487</f>
        <v>.45-70 Government</v>
      </c>
      <c r="B487" t="str">
        <f>'Ammo Input'!B487</f>
        <v>AP</v>
      </c>
      <c r="C487">
        <f>ROUNDUP(('Ammo Input'!C487*(MAX('Ammo Input'!D487,'Ammo Input'!F487)*0.5)^2*PI())*3/1000000,2)</f>
        <v>0.03</v>
      </c>
      <c r="D487">
        <f>ROUNDUP(('Ammo Input'!E487+'Ammo Input'!H487*IF('Ammo Input'!J487&lt;&gt;"",MAX('Ammo Input'!J487,1),1))/1000,3)</f>
        <v>0.044</v>
      </c>
      <c r="E487">
        <f>MIN(5000,MAX(25,CEILING(Calcs!L487,_xlfn.IFS(Calcs!L487&lt;100,25,Calcs!L487&lt;250,50,Calcs!L487&lt;1000,250,Calcs!L487&gt;=1000,1000))))</f>
        <v>5000</v>
      </c>
      <c r="F487">
        <f>ROUNDUP('Ammo Input'!G487^(3/4),0)</f>
        <v>94</v>
      </c>
      <c r="G487">
        <f>ROUND((0.5*((IF(OR(B487="HEAT",B487="HEDP"),'Ammo Input'!N487,'Ammo Input'!H487)/1000)*(IF(B487="HEAT",9000,IF(B487="HEDP",1500,'Ammo Input'!G487))^2))),0)</f>
        <v>2366</v>
      </c>
      <c r="H487" s="25" t="str">
        <f>CONCATENATE(IF((B487="Foam")+(B487="Smoke"),"-",ROUND(Calcs!D487,0))," ",VLOOKUP(B487,AmmoTypeFactors,5,FALSE))</f>
        <v>13 Bullet</v>
      </c>
      <c r="I487" s="25" t="str">
        <f>IF(Calcs!E487=0,"None",CONCATENATE(ROUND(Calcs!E487,0)," ",VLOOKUP(B487,AmmoTypeFactors,6,FALSE)))</f>
        <v>None</v>
      </c>
      <c r="J487">
        <f>MROUND(2.42*'Ammo Input'!M487^(1/3)*VLOOKUP(B487,AmmoTypeFactors,3,FALSE),0.5)</f>
        <v>0</v>
      </c>
      <c r="K487" s="25" t="str">
        <f>IF(VLOOKUP(B487,AmmoTypeFactors,12,FALSE),MROUND(J487/3,0.5),"None")</f>
        <v>None</v>
      </c>
      <c r="L487" s="25">
        <f>IF(VLOOKUP(B487,AmmoTypeFactors,8,FALSE),"None",ROUNDUP(IF(Calcs!I487&gt;0,Calcs!I487,Calcs!H487),3))</f>
        <v>47.32</v>
      </c>
      <c r="M487" s="25">
        <f>IF(VLOOKUP(B487,AmmoTypeFactors,8,FALSE),"None",'Ammo Input'!L487)</f>
        <v>18</v>
      </c>
      <c r="N487">
        <f>'Ammo Input'!O487</f>
        <v>500</v>
      </c>
      <c r="O487" t="e">
        <f>ROUND((P487*0.0036+SUMPRODUCT(Q487:AB487,VLOOKUP($Q$1:$AB$1,IngredientStats,2,FALSE)))/N487*IF('Ammo Input'!R487,0.5,1),2)</f>
        <v>#VALUE!</v>
      </c>
      <c r="P487" t="e">
        <f>(SUMPRODUCT(Q487:AB487,VLOOKUP($Q$1:$AB$1,IngredientStats,4,FALSE))*VLOOKUP(B487,AmmoTypeFactors,14,FALSE)*IF('Ammo Input'!R487,1.1,1))</f>
        <v>#VALUE!</v>
      </c>
      <c r="Q487">
        <f>IFERROR(__xludf.DUMMYFUNCTION("((IF(NOT(OR(REGEXMATCH(B483, ""Arrow""), B483 = ""Javelin"", B483 = ""Stick bomb"")), ROUNDUP(('Ammo Input'!E483 / 1000) * N483)) + IF(VLOOKUP(B483, AmmoTypeFactors, 9, FALSE) = ""Steel"", ROUNDUP(('Ammo Input'!H483 -'Ammo Input'!M483) * MAX(IF('Ammo Inpu"&amp;"t'!J483 &gt; 0, 'Ammo Input'!J483, 1), 1) * N483 / 1000))) / 'Ingredient stats'!$C$2) * IF(ISBLANK(VLOOKUP(B483,AmmoTypeFactors,15,False)),1,VLOOKUP(B483,AmmoTypeFactors,15,False))"),46)</f>
        <v>46</v>
      </c>
      <c r="R487">
        <f>IFERROR(__xludf.DUMMYFUNCTION("ROUNDUP((IF(REGEXMATCH(B483, ""Arrow"") + (B483 = ""Javelin""), 'Ammo Input'!E483) + IF(VLOOKUP(B483, AmmoTypeFactors, 9, FALSE) = ""Wood"", 'Ammo Input'!H483) + IF(B483 = ""Stick bomb"", 'Ammo Input'!E483)) * N483 / 'Ingredient stats'!$C$12 / 1000)"),0)</f>
        <v>0</v>
      </c>
      <c r="S487">
        <v>0</v>
      </c>
      <c r="T487">
        <v>0</v>
      </c>
      <c r="U487">
        <f>IF(VLOOKUP(B487,AmmoTypeFactors,9,FALSE)="Plasteel",ROUNDUP(('Ammo Input'!H487*MAX(IF('Ammo Input'!J487&gt;0,'Ammo Input'!J487,1)*N487/1000/'Ingredient stats'!$C$4)),0),0)</f>
        <v>0</v>
      </c>
      <c r="V487">
        <f>IFERROR(__xludf.DUMMYFUNCTION("ROUNDUP(IF(ISBLANK(VLOOKUP(B483,AmmoTypeFactors,16,False)),1,VLOOKUP(B483,AmmoTypeFactors,16,False)) * (IFS(REGEXMATCH(B483, ""EMP""), 'Ammo Input'!M483 * N483 / 'Ingredient stats'!$C$5, REGEXMATCH(B483, ""Charge""), (U483^0.75), true, 0) + (IF(VLOOKUP(B4"&amp;"83, AmmoTypeFactors, 10, false), 2,0) + IF('Ammo Input'!P483, 2,0) + IF('Ammo Input'!Q483,MIN(ROUNDUP(0.2*('Ammo Input'!H483/1000)*'Ammo Input'!O483,0),20),0))))"),0)</f>
        <v>0</v>
      </c>
      <c r="W487">
        <v>0</v>
      </c>
      <c r="X487">
        <v>0</v>
      </c>
      <c r="Y487">
        <v>0</v>
      </c>
      <c r="Z487">
        <v>0</v>
      </c>
      <c r="AA487">
        <v>0</v>
      </c>
      <c r="AB487" s="30">
        <f>IF(B487="Sling Bullet (Stone)",ROUNDUP(D487*0.02*E487/'Ingredient stats'!$C$8,0),0)</f>
        <v>0</v>
      </c>
      <c r="AC487" t="str">
        <f t="shared" si="20"/>
        <v>None</v>
      </c>
      <c r="AD487" t="str">
        <f>IF(OR(B487="Buck",B487="Bird",B487="Charge (Scatter)"),'Ammo Input'!J487,"None")</f>
        <v>None</v>
      </c>
      <c r="AE487" t="str">
        <f>_xlfn.IFS(ISTEXT(Calcs!N487),Calcs!N487,Calcs!N487&lt;=40,Calcs!N487,Calcs!N487&gt;41,"40")</f>
        <v>None</v>
      </c>
      <c r="AF487" t="str">
        <f>_xlfn.IFS(ISTEXT(Calcs!O487),Calcs!O487,Calcs!O487&lt;=80,Calcs!O487,Calcs!O487&gt;=81,"80")</f>
        <v>None</v>
      </c>
      <c r="AG487" s="25">
        <f t="shared" si="21"/>
        <v>1</v>
      </c>
      <c r="AH487" s="25">
        <f t="shared" si="22"/>
        <v>1.55</v>
      </c>
      <c r="AI487" s="25">
        <f t="shared" si="23"/>
        <v>1</v>
      </c>
    </row>
    <row r="488" ht="14.4" spans="1:35">
      <c r="A488" s="35" t="str">
        <f>'Ammo Input'!A488</f>
        <v>.45-70 Government</v>
      </c>
      <c r="B488" t="str">
        <f>'Ammo Input'!B488</f>
        <v>HP</v>
      </c>
      <c r="C488">
        <f>ROUNDUP(('Ammo Input'!C488*(MAX('Ammo Input'!D488,'Ammo Input'!F488)*0.5)^2*PI())*3/1000000,2)</f>
        <v>0.03</v>
      </c>
      <c r="D488">
        <f>ROUNDUP(('Ammo Input'!E488+'Ammo Input'!H488*IF('Ammo Input'!J488&lt;&gt;"",MAX('Ammo Input'!J488,1),1))/1000,3)</f>
        <v>0.044</v>
      </c>
      <c r="E488">
        <f>MIN(5000,MAX(25,CEILING(Calcs!L488,_xlfn.IFS(Calcs!L488&lt;100,25,Calcs!L488&lt;250,50,Calcs!L488&lt;1000,250,Calcs!L488&gt;=1000,1000))))</f>
        <v>5000</v>
      </c>
      <c r="F488">
        <f>ROUNDUP('Ammo Input'!G488^(3/4),0)</f>
        <v>94</v>
      </c>
      <c r="G488">
        <f>ROUND((0.5*((IF(OR(B488="HEAT",B488="HEDP"),'Ammo Input'!N488,'Ammo Input'!H488)/1000)*(IF(B488="HEAT",9000,IF(B488="HEDP",1500,'Ammo Input'!G488))^2))),0)</f>
        <v>2366</v>
      </c>
      <c r="H488" s="25" t="str">
        <f>CONCATENATE(IF((B488="Foam")+(B488="Smoke"),"-",ROUND(Calcs!D488,0))," ",VLOOKUP(B488,AmmoTypeFactors,5,FALSE))</f>
        <v>25 Bullet</v>
      </c>
      <c r="I488" s="25" t="str">
        <f>IF(Calcs!E488=0,"None",CONCATENATE(ROUND(Calcs!E488,0)," ",VLOOKUP(B488,AmmoTypeFactors,6,FALSE)))</f>
        <v>None</v>
      </c>
      <c r="J488">
        <f>MROUND(2.42*'Ammo Input'!M488^(1/3)*VLOOKUP(B488,AmmoTypeFactors,3,FALSE),0.5)</f>
        <v>0</v>
      </c>
      <c r="K488" s="25" t="str">
        <f>IF(VLOOKUP(B488,AmmoTypeFactors,12,FALSE),MROUND(J488/3,0.5),"None")</f>
        <v>None</v>
      </c>
      <c r="L488" s="25">
        <f>IF(VLOOKUP(B488,AmmoTypeFactors,8,FALSE),"None",ROUNDUP(IF(Calcs!I488&gt;0,Calcs!I488,Calcs!H488),3))</f>
        <v>47.32</v>
      </c>
      <c r="M488" s="25">
        <f>IF(VLOOKUP(B488,AmmoTypeFactors,8,FALSE),"None",'Ammo Input'!L488)</f>
        <v>5</v>
      </c>
      <c r="N488">
        <f>'Ammo Input'!O488</f>
        <v>500</v>
      </c>
      <c r="O488" t="e">
        <f>ROUND((P488*0.0036+SUMPRODUCT(Q488:AB488,VLOOKUP($Q$1:$AB$1,IngredientStats,2,FALSE)))/N488*IF('Ammo Input'!R488,0.5,1),2)</f>
        <v>#VALUE!</v>
      </c>
      <c r="P488" t="e">
        <f>(SUMPRODUCT(Q488:AB488,VLOOKUP($Q$1:$AB$1,IngredientStats,4,FALSE))*VLOOKUP(B488,AmmoTypeFactors,14,FALSE)*IF('Ammo Input'!R488,1.1,1))</f>
        <v>#VALUE!</v>
      </c>
      <c r="Q488">
        <f>IFERROR(__xludf.DUMMYFUNCTION("((IF(NOT(OR(REGEXMATCH(B484, ""Arrow""), B484 = ""Javelin"", B484 = ""Stick bomb"")), ROUNDUP(('Ammo Input'!E484 / 1000) * N484)) + IF(VLOOKUP(B484, AmmoTypeFactors, 9, FALSE) = ""Steel"", ROUNDUP(('Ammo Input'!H484 -'Ammo Input'!M484) * MAX(IF('Ammo Inpu"&amp;"t'!J484 &gt; 0, 'Ammo Input'!J484, 1), 1) * N484 / 1000))) / 'Ingredient stats'!$C$2) * IF(ISBLANK(VLOOKUP(B484,AmmoTypeFactors,15,False)),1,VLOOKUP(B484,AmmoTypeFactors,15,False))"),46)</f>
        <v>46</v>
      </c>
      <c r="R488">
        <f>IFERROR(__xludf.DUMMYFUNCTION("ROUNDUP((IF(REGEXMATCH(B484, ""Arrow"") + (B484 = ""Javelin""), 'Ammo Input'!E484) + IF(VLOOKUP(B484, AmmoTypeFactors, 9, FALSE) = ""Wood"", 'Ammo Input'!H484) + IF(B484 = ""Stick bomb"", 'Ammo Input'!E484)) * N484 / 'Ingredient stats'!$C$12 / 1000)"),0)</f>
        <v>0</v>
      </c>
      <c r="S488">
        <v>0</v>
      </c>
      <c r="T488">
        <v>0</v>
      </c>
      <c r="U488">
        <f>IF(VLOOKUP(B488,AmmoTypeFactors,9,FALSE)="Plasteel",ROUNDUP(('Ammo Input'!H488*MAX(IF('Ammo Input'!J488&gt;0,'Ammo Input'!J488,1)*N488/1000/'Ingredient stats'!$C$4)),0),0)</f>
        <v>0</v>
      </c>
      <c r="V488">
        <f>IFERROR(__xludf.DUMMYFUNCTION("ROUNDUP(IF(ISBLANK(VLOOKUP(B484,AmmoTypeFactors,16,False)),1,VLOOKUP(B484,AmmoTypeFactors,16,False)) * (IFS(REGEXMATCH(B484, ""EMP""), 'Ammo Input'!M484 * N484 / 'Ingredient stats'!$C$5, REGEXMATCH(B484, ""Charge""), (U484^0.75), true, 0) + (IF(VLOOKUP(B4"&amp;"84, AmmoTypeFactors, 10, false), 2,0) + IF('Ammo Input'!P484, 2,0) + IF('Ammo Input'!Q484,MIN(ROUNDUP(0.2*('Ammo Input'!H484/1000)*'Ammo Input'!O484,0),20),0))))"),0)</f>
        <v>0</v>
      </c>
      <c r="W488">
        <v>0</v>
      </c>
      <c r="X488">
        <v>0</v>
      </c>
      <c r="Y488">
        <v>0</v>
      </c>
      <c r="Z488">
        <v>0</v>
      </c>
      <c r="AA488">
        <v>0</v>
      </c>
      <c r="AB488" s="30">
        <f>IF(B488="Sling Bullet (Stone)",ROUNDUP(D488*0.02*E488/'Ingredient stats'!$C$8,0),0)</f>
        <v>0</v>
      </c>
      <c r="AC488" t="str">
        <f t="shared" si="20"/>
        <v>None</v>
      </c>
      <c r="AD488" t="str">
        <f>IF(OR(B488="Buck",B488="Bird",B488="Charge (Scatter)"),'Ammo Input'!J488,"None")</f>
        <v>None</v>
      </c>
      <c r="AE488" t="str">
        <f>_xlfn.IFS(ISTEXT(Calcs!N488),Calcs!N488,Calcs!N488&lt;=40,Calcs!N488,Calcs!N488&gt;41,"40")</f>
        <v>None</v>
      </c>
      <c r="AF488" t="str">
        <f>_xlfn.IFS(ISTEXT(Calcs!O488),Calcs!O488,Calcs!O488&lt;=80,Calcs!O488,Calcs!O488&gt;=81,"80")</f>
        <v>None</v>
      </c>
      <c r="AG488" s="25">
        <f t="shared" si="21"/>
        <v>1</v>
      </c>
      <c r="AH488" s="25">
        <f t="shared" si="22"/>
        <v>1.55</v>
      </c>
      <c r="AI488" s="25">
        <f t="shared" si="23"/>
        <v>1</v>
      </c>
    </row>
    <row r="489" ht="14.4" spans="1:35">
      <c r="A489" s="35" t="str">
        <f>'Ammo Input'!A489</f>
        <v>.45-70 Government</v>
      </c>
      <c r="B489" t="str">
        <f>'Ammo Input'!B489</f>
        <v>AP-I</v>
      </c>
      <c r="C489">
        <f>ROUNDUP(('Ammo Input'!C489*(MAX('Ammo Input'!D489,'Ammo Input'!F489)*0.5)^2*PI())*3/1000000,2)</f>
        <v>0.03</v>
      </c>
      <c r="D489">
        <f>ROUNDUP(('Ammo Input'!E489+'Ammo Input'!H489*IF('Ammo Input'!J489&lt;&gt;"",MAX('Ammo Input'!J489,1),1))/1000,3)</f>
        <v>0.044</v>
      </c>
      <c r="E489">
        <f>MIN(5000,MAX(25,CEILING(Calcs!L489,_xlfn.IFS(Calcs!L489&lt;100,25,Calcs!L489&lt;250,50,Calcs!L489&lt;1000,250,Calcs!L489&gt;=1000,1000))))</f>
        <v>5000</v>
      </c>
      <c r="F489">
        <f>ROUNDUP('Ammo Input'!G489^(3/4),0)</f>
        <v>94</v>
      </c>
      <c r="G489">
        <f>ROUND((0.5*((IF(OR(B489="HEAT",B489="HEDP"),'Ammo Input'!N489,'Ammo Input'!H489)/1000)*(IF(B489="HEAT",9000,IF(B489="HEDP",1500,'Ammo Input'!G489))^2))),0)</f>
        <v>2366</v>
      </c>
      <c r="H489" s="25" t="str">
        <f>CONCATENATE(IF((B489="Foam")+(B489="Smoke"),"-",ROUND(Calcs!D489,0))," ",VLOOKUP(B489,AmmoTypeFactors,5,FALSE))</f>
        <v>13 Bullet</v>
      </c>
      <c r="I489" s="25" t="str">
        <f>IF(Calcs!E489=0,"None",CONCATENATE(ROUND(Calcs!E489,0)," ",VLOOKUP(B489,AmmoTypeFactors,6,FALSE)))</f>
        <v>10 Flame_Secondary</v>
      </c>
      <c r="J489">
        <f>MROUND(2.42*'Ammo Input'!M489^(1/3)*VLOOKUP(B489,AmmoTypeFactors,3,FALSE),0.5)</f>
        <v>0</v>
      </c>
      <c r="K489" s="25" t="str">
        <f>IF(VLOOKUP(B489,AmmoTypeFactors,12,FALSE),MROUND(J489/3,0.5),"None")</f>
        <v>None</v>
      </c>
      <c r="L489" s="25">
        <f>IF(VLOOKUP(B489,AmmoTypeFactors,8,FALSE),"None",ROUNDUP(IF(Calcs!I489&gt;0,Calcs!I489,Calcs!H489),3))</f>
        <v>47.32</v>
      </c>
      <c r="M489" s="25">
        <f>IF(VLOOKUP(B489,AmmoTypeFactors,8,FALSE),"None",'Ammo Input'!L489)</f>
        <v>18</v>
      </c>
      <c r="N489">
        <f>'Ammo Input'!O489</f>
        <v>500</v>
      </c>
      <c r="O489" t="e">
        <f>ROUND((P489*0.0036+SUMPRODUCT(Q489:AB489,VLOOKUP($Q$1:$AB$1,IngredientStats,2,FALSE)))/N489*IF('Ammo Input'!R489,0.5,1),2)</f>
        <v>#VALUE!</v>
      </c>
      <c r="P489" t="e">
        <f>(SUMPRODUCT(Q489:AB489,VLOOKUP($Q$1:$AB$1,IngredientStats,4,FALSE))*VLOOKUP(B489,AmmoTypeFactors,14,FALSE)*IF('Ammo Input'!R489,1.1,1))</f>
        <v>#VALUE!</v>
      </c>
      <c r="Q489">
        <f>IFERROR(__xludf.DUMMYFUNCTION("((IF(NOT(OR(REGEXMATCH(B485, ""Arrow""), B485 = ""Javelin"", B485 = ""Stick bomb"")), ROUNDUP(('Ammo Input'!E485 / 1000) * N485)) + IF(VLOOKUP(B485, AmmoTypeFactors, 9, FALSE) = ""Steel"", ROUNDUP(('Ammo Input'!H485 -'Ammo Input'!M485) * MAX(IF('Ammo Inpu"&amp;"t'!J485 &gt; 0, 'Ammo Input'!J485, 1), 1) * N485 / 1000))) / 'Ingredient stats'!$C$2) * IF(ISBLANK(VLOOKUP(B485,AmmoTypeFactors,15,False)),1,VLOOKUP(B485,AmmoTypeFactors,15,False))"),46)</f>
        <v>46</v>
      </c>
      <c r="R489">
        <f>IFERROR(__xludf.DUMMYFUNCTION("ROUNDUP((IF(REGEXMATCH(B485, ""Arrow"") + (B485 = ""Javelin""), 'Ammo Input'!E485) + IF(VLOOKUP(B485, AmmoTypeFactors, 9, FALSE) = ""Wood"", 'Ammo Input'!H485) + IF(B485 = ""Stick bomb"", 'Ammo Input'!E485)) * N485 / 'Ingredient stats'!$C$12 / 1000)"),0)</f>
        <v>0</v>
      </c>
      <c r="S489">
        <v>0</v>
      </c>
      <c r="T489">
        <v>0</v>
      </c>
      <c r="U489">
        <f>IF(VLOOKUP(B489,AmmoTypeFactors,9,FALSE)="Plasteel",ROUNDUP(('Ammo Input'!H489*MAX(IF('Ammo Input'!J489&gt;0,'Ammo Input'!J489,1)*N489/1000/'Ingredient stats'!$C$4)),0),0)</f>
        <v>0</v>
      </c>
      <c r="V489">
        <f>IFERROR(__xludf.DUMMYFUNCTION("ROUNDUP(IF(ISBLANK(VLOOKUP(B485,AmmoTypeFactors,16,False)),1,VLOOKUP(B485,AmmoTypeFactors,16,False)) * (IFS(REGEXMATCH(B485, ""EMP""), 'Ammo Input'!M485 * N485 / 'Ingredient stats'!$C$5, REGEXMATCH(B485, ""Charge""), (U485^0.75), true, 0) + (IF(VLOOKUP(B4"&amp;"85, AmmoTypeFactors, 10, false), 2,0) + IF('Ammo Input'!P485, 2,0) + IF('Ammo Input'!Q485,MIN(ROUNDUP(0.2*('Ammo Input'!H485/1000)*'Ammo Input'!O485,0),20),0))))"),0)</f>
        <v>0</v>
      </c>
      <c r="W489">
        <v>7</v>
      </c>
      <c r="X489">
        <v>0</v>
      </c>
      <c r="Y489">
        <v>0</v>
      </c>
      <c r="Z489">
        <v>0</v>
      </c>
      <c r="AA489">
        <v>0</v>
      </c>
      <c r="AB489" s="30">
        <f>IF(B489="Sling Bullet (Stone)",ROUNDUP(D489*0.02*E489/'Ingredient stats'!$C$8,0),0)</f>
        <v>0</v>
      </c>
      <c r="AC489" t="str">
        <f t="shared" si="20"/>
        <v>None</v>
      </c>
      <c r="AD489" t="str">
        <f>IF(OR(B489="Buck",B489="Bird",B489="Charge (Scatter)"),'Ammo Input'!J489,"None")</f>
        <v>None</v>
      </c>
      <c r="AE489" t="str">
        <f>_xlfn.IFS(ISTEXT(Calcs!N489),Calcs!N489,Calcs!N489&lt;=40,Calcs!N489,Calcs!N489&gt;41,"40")</f>
        <v>None</v>
      </c>
      <c r="AF489" t="str">
        <f>_xlfn.IFS(ISTEXT(Calcs!O489),Calcs!O489,Calcs!O489&lt;=80,Calcs!O489,Calcs!O489&gt;=81,"80")</f>
        <v>None</v>
      </c>
      <c r="AG489" s="25">
        <f t="shared" si="21"/>
        <v>1</v>
      </c>
      <c r="AH489" s="25">
        <f t="shared" si="22"/>
        <v>1.55</v>
      </c>
      <c r="AI489" s="25">
        <f t="shared" si="23"/>
        <v>1</v>
      </c>
    </row>
    <row r="490" ht="14.4" spans="1:35">
      <c r="A490" s="35" t="str">
        <f>'Ammo Input'!A490</f>
        <v>.45-70 Government</v>
      </c>
      <c r="B490" t="str">
        <f>'Ammo Input'!B490</f>
        <v>AP-HE</v>
      </c>
      <c r="C490">
        <f>ROUNDUP(('Ammo Input'!C490*(MAX('Ammo Input'!D490,'Ammo Input'!F490)*0.5)^2*PI())*3/1000000,2)</f>
        <v>0.03</v>
      </c>
      <c r="D490">
        <f>ROUNDUP(('Ammo Input'!E490+'Ammo Input'!H490*IF('Ammo Input'!J490&lt;&gt;"",MAX('Ammo Input'!J490,1),1))/1000,3)</f>
        <v>0.044</v>
      </c>
      <c r="E490">
        <f>MIN(5000,MAX(25,CEILING(Calcs!L490,_xlfn.IFS(Calcs!L490&lt;100,25,Calcs!L490&lt;250,50,Calcs!L490&lt;1000,250,Calcs!L490&gt;=1000,1000))))</f>
        <v>5000</v>
      </c>
      <c r="F490">
        <f>ROUNDUP('Ammo Input'!G490^(3/4),0)</f>
        <v>94</v>
      </c>
      <c r="G490">
        <f>ROUND((0.5*((IF(OR(B490="HEAT",B490="HEDP"),'Ammo Input'!N490,'Ammo Input'!H490)/1000)*(IF(B490="HEAT",9000,IF(B490="HEDP",1500,'Ammo Input'!G490))^2))),0)</f>
        <v>2366</v>
      </c>
      <c r="H490" s="25" t="str">
        <f>CONCATENATE(IF((B490="Foam")+(B490="Smoke"),"-",ROUND(Calcs!D490,0))," ",VLOOKUP(B490,AmmoTypeFactors,5,FALSE))</f>
        <v>20 Bullet</v>
      </c>
      <c r="I490" s="25" t="str">
        <f>IF(Calcs!E490=0,"None",CONCATENATE(ROUND(Calcs!E490,0)," ",VLOOKUP(B490,AmmoTypeFactors,6,FALSE)))</f>
        <v>14 Bomb_Secondary</v>
      </c>
      <c r="J490">
        <f>MROUND(2.42*'Ammo Input'!M490^(1/3)*VLOOKUP(B490,AmmoTypeFactors,3,FALSE),0.5)</f>
        <v>0</v>
      </c>
      <c r="K490" s="25" t="str">
        <f>IF(VLOOKUP(B490,AmmoTypeFactors,12,FALSE),MROUND(J490/3,0.5),"None")</f>
        <v>None</v>
      </c>
      <c r="L490" s="25">
        <f>IF(VLOOKUP(B490,AmmoTypeFactors,8,FALSE),"None",ROUNDUP(IF(Calcs!I490&gt;0,Calcs!I490,Calcs!H490),3))</f>
        <v>47.32</v>
      </c>
      <c r="M490" s="25">
        <f>IF(VLOOKUP(B490,AmmoTypeFactors,8,FALSE),"None",'Ammo Input'!L490)</f>
        <v>9</v>
      </c>
      <c r="N490">
        <f>'Ammo Input'!O490</f>
        <v>500</v>
      </c>
      <c r="O490" t="e">
        <f>ROUND((P490*0.0036+SUMPRODUCT(Q490:AB490,VLOOKUP($Q$1:$AB$1,IngredientStats,2,FALSE)))/N490*IF('Ammo Input'!R490,0.5,1),2)</f>
        <v>#VALUE!</v>
      </c>
      <c r="P490" t="e">
        <f>(SUMPRODUCT(Q490:AB490,VLOOKUP($Q$1:$AB$1,IngredientStats,4,FALSE))*VLOOKUP(B490,AmmoTypeFactors,14,FALSE)*IF('Ammo Input'!R490,1.1,1))</f>
        <v>#VALUE!</v>
      </c>
      <c r="Q490">
        <f>IFERROR(__xludf.DUMMYFUNCTION("((IF(NOT(OR(REGEXMATCH(B486, ""Arrow""), B486 = ""Javelin"", B486 = ""Stick bomb"")), ROUNDUP(('Ammo Input'!E486 / 1000) * N486)) + IF(VLOOKUP(B486, AmmoTypeFactors, 9, FALSE) = ""Steel"", ROUNDUP(('Ammo Input'!H486 -'Ammo Input'!M486) * MAX(IF('Ammo Inpu"&amp;"t'!J486 &gt; 0, 'Ammo Input'!J486, 1), 1) * N486 / 1000))) / 'Ingredient stats'!$C$2) * IF(ISBLANK(VLOOKUP(B486,AmmoTypeFactors,15,False)),1,VLOOKUP(B486,AmmoTypeFactors,15,False))"),46)</f>
        <v>46</v>
      </c>
      <c r="R490">
        <f>IFERROR(__xludf.DUMMYFUNCTION("ROUNDUP((IF(REGEXMATCH(B486, ""Arrow"") + (B486 = ""Javelin""), 'Ammo Input'!E486) + IF(VLOOKUP(B486, AmmoTypeFactors, 9, FALSE) = ""Wood"", 'Ammo Input'!H486) + IF(B486 = ""Stick bomb"", 'Ammo Input'!E486)) * N486 / 'Ingredient stats'!$C$12 / 1000)"),0)</f>
        <v>0</v>
      </c>
      <c r="S490">
        <v>0</v>
      </c>
      <c r="T490">
        <v>0</v>
      </c>
      <c r="U490">
        <f>IF(VLOOKUP(B490,AmmoTypeFactors,9,FALSE)="Plasteel",ROUNDUP(('Ammo Input'!H490*MAX(IF('Ammo Input'!J490&gt;0,'Ammo Input'!J490,1)*N490/1000/'Ingredient stats'!$C$4)),0),0)</f>
        <v>0</v>
      </c>
      <c r="V490">
        <f>IFERROR(__xludf.DUMMYFUNCTION("ROUNDUP(IF(ISBLANK(VLOOKUP(B486,AmmoTypeFactors,16,False)),1,VLOOKUP(B486,AmmoTypeFactors,16,False)) * (IFS(REGEXMATCH(B486, ""EMP""), 'Ammo Input'!M486 * N486 / 'Ingredient stats'!$C$5, REGEXMATCH(B486, ""Charge""), (U486^0.75), true, 0) + (IF(VLOOKUP(B4"&amp;"86, AmmoTypeFactors, 10, false), 2,0) + IF('Ammo Input'!P486, 2,0) + IF('Ammo Input'!Q486,MIN(ROUNDUP(0.2*('Ammo Input'!H486/1000)*'Ammo Input'!O486,0),20),0))))"),0)</f>
        <v>0</v>
      </c>
      <c r="W490">
        <v>0</v>
      </c>
      <c r="X490">
        <v>13</v>
      </c>
      <c r="Y490">
        <v>0</v>
      </c>
      <c r="Z490">
        <v>0</v>
      </c>
      <c r="AA490">
        <v>0</v>
      </c>
      <c r="AB490" s="30">
        <f>IF(B490="Sling Bullet (Stone)",ROUNDUP(D490*0.02*E490/'Ingredient stats'!$C$8,0),0)</f>
        <v>0</v>
      </c>
      <c r="AC490" t="str">
        <f t="shared" si="20"/>
        <v>None</v>
      </c>
      <c r="AD490" t="str">
        <f>IF(OR(B490="Buck",B490="Bird",B490="Charge (Scatter)"),'Ammo Input'!J490,"None")</f>
        <v>None</v>
      </c>
      <c r="AE490" t="str">
        <f>_xlfn.IFS(ISTEXT(Calcs!N490),Calcs!N490,Calcs!N490&lt;=40,Calcs!N490,Calcs!N490&gt;41,"40")</f>
        <v>None</v>
      </c>
      <c r="AF490" t="str">
        <f>_xlfn.IFS(ISTEXT(Calcs!O490),Calcs!O490,Calcs!O490&lt;=80,Calcs!O490,Calcs!O490&gt;=81,"80")</f>
        <v>None</v>
      </c>
      <c r="AG490" s="25">
        <f t="shared" si="21"/>
        <v>1</v>
      </c>
      <c r="AH490" s="25">
        <f t="shared" si="22"/>
        <v>1.55</v>
      </c>
      <c r="AI490" s="25">
        <f t="shared" si="23"/>
        <v>1</v>
      </c>
    </row>
    <row r="491" ht="14.4" spans="1:35">
      <c r="A491" s="35" t="str">
        <f>'Ammo Input'!A491</f>
        <v>.45-70 Government</v>
      </c>
      <c r="B491" t="str">
        <f>'Ammo Input'!B491</f>
        <v>Sabot</v>
      </c>
      <c r="C491">
        <f>ROUNDUP(('Ammo Input'!C491*(MAX('Ammo Input'!D491,'Ammo Input'!F491)*0.5)^2*PI())*3/1000000,2)</f>
        <v>0.03</v>
      </c>
      <c r="D491">
        <f>ROUNDUP(('Ammo Input'!E491+'Ammo Input'!H491*IF('Ammo Input'!J491&lt;&gt;"",MAX('Ammo Input'!J491,1),1))/1000,3)</f>
        <v>0.033</v>
      </c>
      <c r="E491">
        <f>MIN(5000,MAX(25,CEILING(Calcs!L491,_xlfn.IFS(Calcs!L491&lt;100,25,Calcs!L491&lt;250,50,Calcs!L491&lt;1000,250,Calcs!L491&gt;=1000,1000))))</f>
        <v>5000</v>
      </c>
      <c r="F491">
        <f>ROUNDUP('Ammo Input'!G491^(3/4),0)</f>
        <v>127</v>
      </c>
      <c r="G491">
        <f>ROUND((0.5*((IF(OR(B491="HEAT",B491="HEDP"),'Ammo Input'!N491,'Ammo Input'!H491)/1000)*(IF(B491="HEAT",9000,IF(B491="HEDP",1500,'Ammo Input'!G491))^2))),0)</f>
        <v>3034</v>
      </c>
      <c r="H491" s="25" t="str">
        <f>CONCATENATE(IF((B491="Foam")+(B491="Smoke"),"-",ROUND(Calcs!D491,0))," ",VLOOKUP(B491,AmmoTypeFactors,5,FALSE))</f>
        <v>11 Bullet</v>
      </c>
      <c r="I491" s="25" t="str">
        <f>IF(Calcs!E491=0,"None",CONCATENATE(ROUND(Calcs!E491,0)," ",VLOOKUP(B491,AmmoTypeFactors,6,FALSE)))</f>
        <v>None</v>
      </c>
      <c r="J491">
        <f>MROUND(2.42*'Ammo Input'!M491^(1/3)*VLOOKUP(B491,AmmoTypeFactors,3,FALSE),0.5)</f>
        <v>0</v>
      </c>
      <c r="K491" s="25" t="str">
        <f>IF(VLOOKUP(B491,AmmoTypeFactors,12,FALSE),MROUND(J491/3,0.5),"None")</f>
        <v>None</v>
      </c>
      <c r="L491" s="25">
        <f>IF(VLOOKUP(B491,AmmoTypeFactors,8,FALSE),"None",ROUNDUP(IF(Calcs!I491&gt;0,Calcs!I491,Calcs!H491),3))</f>
        <v>60.68</v>
      </c>
      <c r="M491" s="25">
        <f>IF(VLOOKUP(B491,AmmoTypeFactors,8,FALSE),"None",'Ammo Input'!L491)</f>
        <v>31.5</v>
      </c>
      <c r="N491">
        <f>'Ammo Input'!O491</f>
        <v>500</v>
      </c>
      <c r="O491" t="e">
        <f>ROUND((P491*0.0036+SUMPRODUCT(Q491:AB491,VLOOKUP($Q$1:$AB$1,IngredientStats,2,FALSE)))/N491*IF('Ammo Input'!R491,0.5,1),2)</f>
        <v>#VALUE!</v>
      </c>
      <c r="P491" t="e">
        <f>(SUMPRODUCT(Q491:AB491,VLOOKUP($Q$1:$AB$1,IngredientStats,4,FALSE))*VLOOKUP(B491,AmmoTypeFactors,14,FALSE)*IF('Ammo Input'!R491,1.1,1))</f>
        <v>#VALUE!</v>
      </c>
      <c r="Q491">
        <f>IFERROR(__xludf.DUMMYFUNCTION("((IF(NOT(OR(REGEXMATCH(B487, ""Arrow""), B487 = ""Javelin"", B487 = ""Stick bomb"")), ROUNDUP(('Ammo Input'!E487 / 1000) * N487)) + IF(VLOOKUP(B487, AmmoTypeFactors, 9, FALSE) = ""Steel"", ROUNDUP(('Ammo Input'!H487 -'Ammo Input'!M487) * MAX(IF('Ammo Inpu"&amp;"t'!J487 &gt; 0, 'Ammo Input'!J487, 1), 1) * N487 / 1000))) / 'Ingredient stats'!$C$2) * IF(ISBLANK(VLOOKUP(B487,AmmoTypeFactors,15,False)),1,VLOOKUP(B487,AmmoTypeFactors,15,False))"),18)</f>
        <v>18</v>
      </c>
      <c r="R491">
        <f>IFERROR(__xludf.DUMMYFUNCTION("ROUNDUP((IF(REGEXMATCH(B487, ""Arrow"") + (B487 = ""Javelin""), 'Ammo Input'!E487) + IF(VLOOKUP(B487, AmmoTypeFactors, 9, FALSE) = ""Wood"", 'Ammo Input'!H487) + IF(B487 = ""Stick bomb"", 'Ammo Input'!E487)) * N487 / 'Ingredient stats'!$C$12 / 1000)"),0)</f>
        <v>0</v>
      </c>
      <c r="S491">
        <v>8</v>
      </c>
      <c r="T491">
        <v>8</v>
      </c>
      <c r="U491">
        <f>IF(VLOOKUP(B491,AmmoTypeFactors,9,FALSE)="Plasteel",ROUNDUP(('Ammo Input'!H491*MAX(IF('Ammo Input'!J491&gt;0,'Ammo Input'!J491,1)*N491/1000/'Ingredient stats'!$C$4)),0),0)</f>
        <v>0</v>
      </c>
      <c r="V491">
        <f>IFERROR(__xludf.DUMMYFUNCTION("ROUNDUP(IF(ISBLANK(VLOOKUP(B487,AmmoTypeFactors,16,False)),1,VLOOKUP(B487,AmmoTypeFactors,16,False)) * (IFS(REGEXMATCH(B487, ""EMP""), 'Ammo Input'!M487 * N487 / 'Ingredient stats'!$C$5, REGEXMATCH(B487, ""Charge""), (U487^0.75), true, 0) + (IF(VLOOKUP(B4"&amp;"87, AmmoTypeFactors, 10, false), 2,0) + IF('Ammo Input'!P487, 2,0) + IF('Ammo Input'!Q487,MIN(ROUNDUP(0.2*('Ammo Input'!H487/1000)*'Ammo Input'!O487,0),20),0))))"),0)</f>
        <v>0</v>
      </c>
      <c r="W491">
        <v>0</v>
      </c>
      <c r="X491">
        <v>0</v>
      </c>
      <c r="Y491">
        <v>0</v>
      </c>
      <c r="Z491">
        <v>0</v>
      </c>
      <c r="AA491">
        <v>0</v>
      </c>
      <c r="AB491" s="30">
        <f>IF(B491="Sling Bullet (Stone)",ROUNDUP(D491*0.02*E491/'Ingredient stats'!$C$8,0),0)</f>
        <v>0</v>
      </c>
      <c r="AC491" t="str">
        <f t="shared" si="20"/>
        <v>None</v>
      </c>
      <c r="AD491" t="str">
        <f>IF(OR(B491="Buck",B491="Bird",B491="Charge (Scatter)"),'Ammo Input'!J491,"None")</f>
        <v>None</v>
      </c>
      <c r="AE491" t="str">
        <f>_xlfn.IFS(ISTEXT(Calcs!N491),Calcs!N491,Calcs!N491&lt;=40,Calcs!N491,Calcs!N491&gt;41,"40")</f>
        <v>None</v>
      </c>
      <c r="AF491" t="str">
        <f>_xlfn.IFS(ISTEXT(Calcs!O491),Calcs!O491,Calcs!O491&lt;=80,Calcs!O491,Calcs!O491&gt;=81,"80")</f>
        <v>None</v>
      </c>
      <c r="AG491" s="25">
        <f t="shared" si="21"/>
        <v>1</v>
      </c>
      <c r="AH491" s="25">
        <f t="shared" si="22"/>
        <v>2.08</v>
      </c>
      <c r="AI491" s="25">
        <f t="shared" si="23"/>
        <v>1</v>
      </c>
    </row>
    <row r="492" ht="14.4" spans="1:35">
      <c r="A492" s="35" t="str">
        <f>'Ammo Input'!A492</f>
        <v>.458 SOCOM</v>
      </c>
      <c r="B492" t="str">
        <f>'Ammo Input'!B492</f>
        <v>FMJ</v>
      </c>
      <c r="C492">
        <f>ROUNDUP(('Ammo Input'!C492*(MAX('Ammo Input'!D492,'Ammo Input'!F492)*0.5)^2*PI())*3/1000000,2)</f>
        <v>0.03</v>
      </c>
      <c r="D492">
        <f>ROUNDUP(('Ammo Input'!E492+'Ammo Input'!H492*IF('Ammo Input'!J492&lt;&gt;"",MAX('Ammo Input'!J492,1),1))/1000,3)</f>
        <v>0.032</v>
      </c>
      <c r="E492">
        <f>MIN(5000,MAX(25,CEILING(Calcs!L492,_xlfn.IFS(Calcs!L492&lt;100,25,Calcs!L492&lt;250,50,Calcs!L492&lt;1000,250,Calcs!L492&gt;=1000,1000))))</f>
        <v>5000</v>
      </c>
      <c r="F492">
        <f>ROUNDUP('Ammo Input'!G492^(3/4),0)</f>
        <v>119</v>
      </c>
      <c r="G492">
        <f>ROUND((0.5*((IF(OR(B492="HEAT",B492="HEDP"),'Ammo Input'!N492,'Ammo Input'!H492)/1000)*(IF(B492="HEAT",9000,IF(B492="HEDP",1500,'Ammo Input'!G492))^2))),0)</f>
        <v>3263</v>
      </c>
      <c r="H492" s="25" t="str">
        <f>CONCATENATE(IF((B492="Foam")+(B492="Smoke"),"-",ROUND(Calcs!D492,0))," ",VLOOKUP(B492,AmmoTypeFactors,5,FALSE))</f>
        <v>22 Bullet</v>
      </c>
      <c r="I492" s="25" t="str">
        <f>IF(Calcs!E492=0,"None",CONCATENATE(ROUND(Calcs!E492,0)," ",VLOOKUP(B492,AmmoTypeFactors,6,FALSE)))</f>
        <v>None</v>
      </c>
      <c r="J492">
        <f>MROUND(2.42*'Ammo Input'!M492^(1/3)*VLOOKUP(B492,AmmoTypeFactors,3,FALSE),0.5)</f>
        <v>0</v>
      </c>
      <c r="K492" s="25" t="str">
        <f>IF(VLOOKUP(B492,AmmoTypeFactors,12,FALSE),MROUND(J492/3,0.5),"None")</f>
        <v>None</v>
      </c>
      <c r="L492" s="25">
        <f>IF(VLOOKUP(B492,AmmoTypeFactors,8,FALSE),"None",ROUNDUP(IF(Calcs!I492&gt;0,Calcs!I492,Calcs!H492),3))</f>
        <v>65.26</v>
      </c>
      <c r="M492" s="25">
        <f>IF(VLOOKUP(B492,AmmoTypeFactors,8,FALSE),"None",'Ammo Input'!L492)</f>
        <v>6.5</v>
      </c>
      <c r="N492">
        <f>'Ammo Input'!O492</f>
        <v>500</v>
      </c>
      <c r="O492" t="e">
        <f>ROUND((P492*0.0036+SUMPRODUCT(Q492:AB492,VLOOKUP($Q$1:$AB$1,IngredientStats,2,FALSE)))/N492*IF('Ammo Input'!R492,0.5,1),2)</f>
        <v>#VALUE!</v>
      </c>
      <c r="P492" t="e">
        <f>(SUMPRODUCT(Q492:AB492,VLOOKUP($Q$1:$AB$1,IngredientStats,4,FALSE))*VLOOKUP(B492,AmmoTypeFactors,14,FALSE)*IF('Ammo Input'!R492,1.1,1))</f>
        <v>#VALUE!</v>
      </c>
      <c r="Q492">
        <f>IFERROR(__xludf.DUMMYFUNCTION("((IF(NOT(OR(REGEXMATCH(B488, ""Arrow""), B488 = ""Javelin"", B488 = ""Stick bomb"")), ROUNDUP(('Ammo Input'!E488 / 1000) * N488)) + IF(VLOOKUP(B488, AmmoTypeFactors, 9, FALSE) = ""Steel"", ROUNDUP(('Ammo Input'!H488 -'Ammo Input'!M488) * MAX(IF('Ammo Inpu"&amp;"t'!J488 &gt; 0, 'Ammo Input'!J488, 1), 1) * N488 / 1000))) / 'Ingredient stats'!$C$2) * IF(ISBLANK(VLOOKUP(B488,AmmoTypeFactors,15,False)),1,VLOOKUP(B488,AmmoTypeFactors,15,False))"),34)</f>
        <v>34</v>
      </c>
      <c r="R492">
        <f>IFERROR(__xludf.DUMMYFUNCTION("ROUNDUP((IF(REGEXMATCH(B488, ""Arrow"") + (B488 = ""Javelin""), 'Ammo Input'!E488) + IF(VLOOKUP(B488, AmmoTypeFactors, 9, FALSE) = ""Wood"", 'Ammo Input'!H488) + IF(B488 = ""Stick bomb"", 'Ammo Input'!E488)) * N488 / 'Ingredient stats'!$C$12 / 1000)"),0)</f>
        <v>0</v>
      </c>
      <c r="S492">
        <v>0</v>
      </c>
      <c r="T492">
        <v>0</v>
      </c>
      <c r="U492">
        <f>IF(VLOOKUP(B492,AmmoTypeFactors,9,FALSE)="Plasteel",ROUNDUP(('Ammo Input'!H492*MAX(IF('Ammo Input'!J492&gt;0,'Ammo Input'!J492,1)*N492/1000/'Ingredient stats'!$C$4)),0),0)</f>
        <v>0</v>
      </c>
      <c r="V492">
        <f>IFERROR(__xludf.DUMMYFUNCTION("ROUNDUP(IF(ISBLANK(VLOOKUP(B488,AmmoTypeFactors,16,False)),1,VLOOKUP(B488,AmmoTypeFactors,16,False)) * (IFS(REGEXMATCH(B488, ""EMP""), 'Ammo Input'!M488 * N488 / 'Ingredient stats'!$C$5, REGEXMATCH(B488, ""Charge""), (U488^0.75), true, 0) + (IF(VLOOKUP(B4"&amp;"88, AmmoTypeFactors, 10, false), 2,0) + IF('Ammo Input'!P488, 2,0) + IF('Ammo Input'!Q488,MIN(ROUNDUP(0.2*('Ammo Input'!H488/1000)*'Ammo Input'!O488,0),20),0))))"),0)</f>
        <v>0</v>
      </c>
      <c r="W492">
        <v>0</v>
      </c>
      <c r="X492">
        <v>0</v>
      </c>
      <c r="Y492">
        <v>0</v>
      </c>
      <c r="Z492">
        <v>0</v>
      </c>
      <c r="AA492">
        <v>0</v>
      </c>
      <c r="AB492" s="30">
        <f>IF(B492="Sling Bullet (Stone)",ROUNDUP(D492*0.02*E492/'Ingredient stats'!$C$8,0),0)</f>
        <v>0</v>
      </c>
      <c r="AC492" t="str">
        <f t="shared" si="20"/>
        <v>None</v>
      </c>
      <c r="AD492" t="str">
        <f>IF(OR(B492="Buck",B492="Bird",B492="Charge (Scatter)"),'Ammo Input'!J492,"None")</f>
        <v>None</v>
      </c>
      <c r="AE492" t="str">
        <f>_xlfn.IFS(ISTEXT(Calcs!N492),Calcs!N492,Calcs!N492&lt;=40,Calcs!N492,Calcs!N492&gt;41,"40")</f>
        <v>None</v>
      </c>
      <c r="AF492" t="str">
        <f>_xlfn.IFS(ISTEXT(Calcs!O492),Calcs!O492,Calcs!O492&lt;=80,Calcs!O492,Calcs!O492&gt;=81,"80")</f>
        <v>None</v>
      </c>
      <c r="AG492" s="25">
        <f t="shared" si="21"/>
        <v>1</v>
      </c>
      <c r="AH492" s="25">
        <f t="shared" si="22"/>
        <v>1.96</v>
      </c>
      <c r="AI492" s="25">
        <f t="shared" si="23"/>
        <v>1</v>
      </c>
    </row>
    <row r="493" ht="14.4" spans="1:35">
      <c r="A493" s="35" t="str">
        <f>'Ammo Input'!A493</f>
        <v>.458 SOCOM</v>
      </c>
      <c r="B493" t="str">
        <f>'Ammo Input'!B493</f>
        <v>AP</v>
      </c>
      <c r="C493">
        <f>ROUNDUP(('Ammo Input'!C493*(MAX('Ammo Input'!D493,'Ammo Input'!F493)*0.5)^2*PI())*3/1000000,2)</f>
        <v>0.03</v>
      </c>
      <c r="D493">
        <f>ROUNDUP(('Ammo Input'!E493+'Ammo Input'!H493*IF('Ammo Input'!J493&lt;&gt;"",MAX('Ammo Input'!J493,1),1))/1000,3)</f>
        <v>0.032</v>
      </c>
      <c r="E493">
        <f>MIN(5000,MAX(25,CEILING(Calcs!L493,_xlfn.IFS(Calcs!L493&lt;100,25,Calcs!L493&lt;250,50,Calcs!L493&lt;1000,250,Calcs!L493&gt;=1000,1000))))</f>
        <v>5000</v>
      </c>
      <c r="F493">
        <f>ROUNDUP('Ammo Input'!G493^(3/4),0)</f>
        <v>119</v>
      </c>
      <c r="G493">
        <f>ROUND((0.5*((IF(OR(B493="HEAT",B493="HEDP"),'Ammo Input'!N493,'Ammo Input'!H493)/1000)*(IF(B493="HEAT",9000,IF(B493="HEDP",1500,'Ammo Input'!G493))^2))),0)</f>
        <v>3263</v>
      </c>
      <c r="H493" s="25" t="str">
        <f>CONCATENATE(IF((B493="Foam")+(B493="Smoke"),"-",ROUND(Calcs!D493,0))," ",VLOOKUP(B493,AmmoTypeFactors,5,FALSE))</f>
        <v>14 Bullet</v>
      </c>
      <c r="I493" s="25" t="str">
        <f>IF(Calcs!E493=0,"None",CONCATENATE(ROUND(Calcs!E493,0)," ",VLOOKUP(B493,AmmoTypeFactors,6,FALSE)))</f>
        <v>None</v>
      </c>
      <c r="J493">
        <f>MROUND(2.42*'Ammo Input'!M493^(1/3)*VLOOKUP(B493,AmmoTypeFactors,3,FALSE),0.5)</f>
        <v>0</v>
      </c>
      <c r="K493" s="25" t="str">
        <f>IF(VLOOKUP(B493,AmmoTypeFactors,12,FALSE),MROUND(J493/3,0.5),"None")</f>
        <v>None</v>
      </c>
      <c r="L493" s="25">
        <f>IF(VLOOKUP(B493,AmmoTypeFactors,8,FALSE),"None",ROUNDUP(IF(Calcs!I493&gt;0,Calcs!I493,Calcs!H493),3))</f>
        <v>65.26</v>
      </c>
      <c r="M493" s="25">
        <f>IF(VLOOKUP(B493,AmmoTypeFactors,8,FALSE),"None",'Ammo Input'!L493)</f>
        <v>13</v>
      </c>
      <c r="N493">
        <f>'Ammo Input'!O493</f>
        <v>500</v>
      </c>
      <c r="O493" t="e">
        <f>ROUND((P493*0.0036+SUMPRODUCT(Q493:AB493,VLOOKUP($Q$1:$AB$1,IngredientStats,2,FALSE)))/N493*IF('Ammo Input'!R493,0.5,1),2)</f>
        <v>#VALUE!</v>
      </c>
      <c r="P493" t="e">
        <f>(SUMPRODUCT(Q493:AB493,VLOOKUP($Q$1:$AB$1,IngredientStats,4,FALSE))*VLOOKUP(B493,AmmoTypeFactors,14,FALSE)*IF('Ammo Input'!R493,1.1,1))</f>
        <v>#VALUE!</v>
      </c>
      <c r="Q493">
        <f>IFERROR(__xludf.DUMMYFUNCTION("((IF(NOT(OR(REGEXMATCH(B489, ""Arrow""), B489 = ""Javelin"", B489 = ""Stick bomb"")), ROUNDUP(('Ammo Input'!E489 / 1000) * N489)) + IF(VLOOKUP(B489, AmmoTypeFactors, 9, FALSE) = ""Steel"", ROUNDUP(('Ammo Input'!H489 -'Ammo Input'!M489) * MAX(IF('Ammo Inpu"&amp;"t'!J489 &gt; 0, 'Ammo Input'!J489, 1), 1) * N489 / 1000))) / 'Ingredient stats'!$C$2) * IF(ISBLANK(VLOOKUP(B489,AmmoTypeFactors,15,False)),1,VLOOKUP(B489,AmmoTypeFactors,15,False))"),34)</f>
        <v>34</v>
      </c>
      <c r="R493">
        <f>IFERROR(__xludf.DUMMYFUNCTION("ROUNDUP((IF(REGEXMATCH(B489, ""Arrow"") + (B489 = ""Javelin""), 'Ammo Input'!E489) + IF(VLOOKUP(B489, AmmoTypeFactors, 9, FALSE) = ""Wood"", 'Ammo Input'!H489) + IF(B489 = ""Stick bomb"", 'Ammo Input'!E489)) * N489 / 'Ingredient stats'!$C$12 / 1000)"),0)</f>
        <v>0</v>
      </c>
      <c r="S493">
        <v>0</v>
      </c>
      <c r="T493">
        <v>0</v>
      </c>
      <c r="U493">
        <f>IF(VLOOKUP(B493,AmmoTypeFactors,9,FALSE)="Plasteel",ROUNDUP(('Ammo Input'!H493*MAX(IF('Ammo Input'!J493&gt;0,'Ammo Input'!J493,1)*N493/1000/'Ingredient stats'!$C$4)),0),0)</f>
        <v>0</v>
      </c>
      <c r="V493">
        <f>IFERROR(__xludf.DUMMYFUNCTION("ROUNDUP(IF(ISBLANK(VLOOKUP(B489,AmmoTypeFactors,16,False)),1,VLOOKUP(B489,AmmoTypeFactors,16,False)) * (IFS(REGEXMATCH(B489, ""EMP""), 'Ammo Input'!M489 * N489 / 'Ingredient stats'!$C$5, REGEXMATCH(B489, ""Charge""), (U489^0.75), true, 0) + (IF(VLOOKUP(B4"&amp;"89, AmmoTypeFactors, 10, false), 2,0) + IF('Ammo Input'!P489, 2,0) + IF('Ammo Input'!Q489,MIN(ROUNDUP(0.2*('Ammo Input'!H489/1000)*'Ammo Input'!O489,0),20),0))))"),0)</f>
        <v>0</v>
      </c>
      <c r="W493">
        <v>0</v>
      </c>
      <c r="X493">
        <v>0</v>
      </c>
      <c r="Y493">
        <v>0</v>
      </c>
      <c r="Z493">
        <v>0</v>
      </c>
      <c r="AA493">
        <v>0</v>
      </c>
      <c r="AB493" s="30">
        <f>IF(B493="Sling Bullet (Stone)",ROUNDUP(D493*0.02*E493/'Ingredient stats'!$C$8,0),0)</f>
        <v>0</v>
      </c>
      <c r="AC493" t="str">
        <f t="shared" si="20"/>
        <v>None</v>
      </c>
      <c r="AD493" t="str">
        <f>IF(OR(B493="Buck",B493="Bird",B493="Charge (Scatter)"),'Ammo Input'!J493,"None")</f>
        <v>None</v>
      </c>
      <c r="AE493" t="str">
        <f>_xlfn.IFS(ISTEXT(Calcs!N493),Calcs!N493,Calcs!N493&lt;=40,Calcs!N493,Calcs!N493&gt;41,"40")</f>
        <v>None</v>
      </c>
      <c r="AF493" t="str">
        <f>_xlfn.IFS(ISTEXT(Calcs!O493),Calcs!O493,Calcs!O493&lt;=80,Calcs!O493,Calcs!O493&gt;=81,"80")</f>
        <v>None</v>
      </c>
      <c r="AG493" s="25">
        <f t="shared" si="21"/>
        <v>1</v>
      </c>
      <c r="AH493" s="25">
        <f t="shared" si="22"/>
        <v>1.96</v>
      </c>
      <c r="AI493" s="25">
        <f t="shared" si="23"/>
        <v>1</v>
      </c>
    </row>
    <row r="494" ht="14.4" spans="1:35">
      <c r="A494" s="35" t="str">
        <f>'Ammo Input'!A494</f>
        <v>.458 SOCOM</v>
      </c>
      <c r="B494" t="str">
        <f>'Ammo Input'!B494</f>
        <v>HP</v>
      </c>
      <c r="C494">
        <f>ROUNDUP(('Ammo Input'!C494*(MAX('Ammo Input'!D494,'Ammo Input'!F494)*0.5)^2*PI())*3/1000000,2)</f>
        <v>0.03</v>
      </c>
      <c r="D494">
        <f>ROUNDUP(('Ammo Input'!E494+'Ammo Input'!H494*IF('Ammo Input'!J494&lt;&gt;"",MAX('Ammo Input'!J494,1),1))/1000,3)</f>
        <v>0.032</v>
      </c>
      <c r="E494">
        <f>MIN(5000,MAX(25,CEILING(Calcs!L494,_xlfn.IFS(Calcs!L494&lt;100,25,Calcs!L494&lt;250,50,Calcs!L494&lt;1000,250,Calcs!L494&gt;=1000,1000))))</f>
        <v>5000</v>
      </c>
      <c r="F494">
        <f>ROUNDUP('Ammo Input'!G494^(3/4),0)</f>
        <v>119</v>
      </c>
      <c r="G494">
        <f>ROUND((0.5*((IF(OR(B494="HEAT",B494="HEDP"),'Ammo Input'!N494,'Ammo Input'!H494)/1000)*(IF(B494="HEAT",9000,IF(B494="HEDP",1500,'Ammo Input'!G494))^2))),0)</f>
        <v>3263</v>
      </c>
      <c r="H494" s="25" t="str">
        <f>CONCATENATE(IF((B494="Foam")+(B494="Smoke"),"-",ROUND(Calcs!D494,0))," ",VLOOKUP(B494,AmmoTypeFactors,5,FALSE))</f>
        <v>28 Bullet</v>
      </c>
      <c r="I494" s="25" t="str">
        <f>IF(Calcs!E494=0,"None",CONCATENATE(ROUND(Calcs!E494,0)," ",VLOOKUP(B494,AmmoTypeFactors,6,FALSE)))</f>
        <v>None</v>
      </c>
      <c r="J494">
        <f>MROUND(2.42*'Ammo Input'!M494^(1/3)*VLOOKUP(B494,AmmoTypeFactors,3,FALSE),0.5)</f>
        <v>0</v>
      </c>
      <c r="K494" s="25" t="str">
        <f>IF(VLOOKUP(B494,AmmoTypeFactors,12,FALSE),MROUND(J494/3,0.5),"None")</f>
        <v>None</v>
      </c>
      <c r="L494" s="25">
        <f>IF(VLOOKUP(B494,AmmoTypeFactors,8,FALSE),"None",ROUNDUP(IF(Calcs!I494&gt;0,Calcs!I494,Calcs!H494),3))</f>
        <v>65.26</v>
      </c>
      <c r="M494" s="25">
        <f>IF(VLOOKUP(B494,AmmoTypeFactors,8,FALSE),"None",'Ammo Input'!L494)</f>
        <v>3</v>
      </c>
      <c r="N494">
        <f>'Ammo Input'!O494</f>
        <v>500</v>
      </c>
      <c r="O494" t="e">
        <f>ROUND((P494*0.0036+SUMPRODUCT(Q494:AB494,VLOOKUP($Q$1:$AB$1,IngredientStats,2,FALSE)))/N494*IF('Ammo Input'!R494,0.5,1),2)</f>
        <v>#VALUE!</v>
      </c>
      <c r="P494" t="e">
        <f>(SUMPRODUCT(Q494:AB494,VLOOKUP($Q$1:$AB$1,IngredientStats,4,FALSE))*VLOOKUP(B494,AmmoTypeFactors,14,FALSE)*IF('Ammo Input'!R494,1.1,1))</f>
        <v>#VALUE!</v>
      </c>
      <c r="Q494">
        <f>IFERROR(__xludf.DUMMYFUNCTION("((IF(NOT(OR(REGEXMATCH(B490, ""Arrow""), B490 = ""Javelin"", B490 = ""Stick bomb"")), ROUNDUP(('Ammo Input'!E490 / 1000) * N490)) + IF(VLOOKUP(B490, AmmoTypeFactors, 9, FALSE) = ""Steel"", ROUNDUP(('Ammo Input'!H490 -'Ammo Input'!M490) * MAX(IF('Ammo Inpu"&amp;"t'!J490 &gt; 0, 'Ammo Input'!J490, 1), 1) * N490 / 1000))) / 'Ingredient stats'!$C$2) * IF(ISBLANK(VLOOKUP(B490,AmmoTypeFactors,15,False)),1,VLOOKUP(B490,AmmoTypeFactors,15,False))"),34)</f>
        <v>34</v>
      </c>
      <c r="R494">
        <f>IFERROR(__xludf.DUMMYFUNCTION("ROUNDUP((IF(REGEXMATCH(B490, ""Arrow"") + (B490 = ""Javelin""), 'Ammo Input'!E490) + IF(VLOOKUP(B490, AmmoTypeFactors, 9, FALSE) = ""Wood"", 'Ammo Input'!H490) + IF(B490 = ""Stick bomb"", 'Ammo Input'!E490)) * N490 / 'Ingredient stats'!$C$12 / 1000)"),0)</f>
        <v>0</v>
      </c>
      <c r="S494">
        <v>0</v>
      </c>
      <c r="T494">
        <v>0</v>
      </c>
      <c r="U494">
        <f>IF(VLOOKUP(B494,AmmoTypeFactors,9,FALSE)="Plasteel",ROUNDUP(('Ammo Input'!H494*MAX(IF('Ammo Input'!J494&gt;0,'Ammo Input'!J494,1)*N494/1000/'Ingredient stats'!$C$4)),0),0)</f>
        <v>0</v>
      </c>
      <c r="V494">
        <f>IFERROR(__xludf.DUMMYFUNCTION("ROUNDUP(IF(ISBLANK(VLOOKUP(B490,AmmoTypeFactors,16,False)),1,VLOOKUP(B490,AmmoTypeFactors,16,False)) * (IFS(REGEXMATCH(B490, ""EMP""), 'Ammo Input'!M490 * N490 / 'Ingredient stats'!$C$5, REGEXMATCH(B490, ""Charge""), (U490^0.75), true, 0) + (IF(VLOOKUP(B4"&amp;"90, AmmoTypeFactors, 10, false), 2,0) + IF('Ammo Input'!P490, 2,0) + IF('Ammo Input'!Q490,MIN(ROUNDUP(0.2*('Ammo Input'!H490/1000)*'Ammo Input'!O490,0),20),0))))"),0)</f>
        <v>0</v>
      </c>
      <c r="W494">
        <v>0</v>
      </c>
      <c r="X494">
        <v>0</v>
      </c>
      <c r="Y494">
        <v>0</v>
      </c>
      <c r="Z494">
        <v>0</v>
      </c>
      <c r="AA494">
        <v>0</v>
      </c>
      <c r="AB494" s="30">
        <f>IF(B494="Sling Bullet (Stone)",ROUNDUP(D494*0.02*E494/'Ingredient stats'!$C$8,0),0)</f>
        <v>0</v>
      </c>
      <c r="AC494" t="str">
        <f t="shared" si="20"/>
        <v>None</v>
      </c>
      <c r="AD494" t="str">
        <f>IF(OR(B494="Buck",B494="Bird",B494="Charge (Scatter)"),'Ammo Input'!J494,"None")</f>
        <v>None</v>
      </c>
      <c r="AE494" t="str">
        <f>_xlfn.IFS(ISTEXT(Calcs!N494),Calcs!N494,Calcs!N494&lt;=40,Calcs!N494,Calcs!N494&gt;41,"40")</f>
        <v>None</v>
      </c>
      <c r="AF494" t="str">
        <f>_xlfn.IFS(ISTEXT(Calcs!O494),Calcs!O494,Calcs!O494&lt;=80,Calcs!O494,Calcs!O494&gt;=81,"80")</f>
        <v>None</v>
      </c>
      <c r="AG494" s="25">
        <f t="shared" si="21"/>
        <v>1</v>
      </c>
      <c r="AH494" s="25">
        <f t="shared" si="22"/>
        <v>1.96</v>
      </c>
      <c r="AI494" s="25">
        <f t="shared" si="23"/>
        <v>1</v>
      </c>
    </row>
    <row r="495" ht="14.4" spans="1:35">
      <c r="A495" s="35" t="str">
        <f>'Ammo Input'!A495</f>
        <v>.458 SOCOM</v>
      </c>
      <c r="B495" t="str">
        <f>'Ammo Input'!B495</f>
        <v>AP-I</v>
      </c>
      <c r="C495">
        <f>ROUNDUP(('Ammo Input'!C495*(MAX('Ammo Input'!D495,'Ammo Input'!F495)*0.5)^2*PI())*3/1000000,2)</f>
        <v>0.03</v>
      </c>
      <c r="D495">
        <f>ROUNDUP(('Ammo Input'!E495+'Ammo Input'!H495*IF('Ammo Input'!J495&lt;&gt;"",MAX('Ammo Input'!J495,1),1))/1000,3)</f>
        <v>0.032</v>
      </c>
      <c r="E495">
        <f>MIN(5000,MAX(25,CEILING(Calcs!L495,_xlfn.IFS(Calcs!L495&lt;100,25,Calcs!L495&lt;250,50,Calcs!L495&lt;1000,250,Calcs!L495&gt;=1000,1000))))</f>
        <v>5000</v>
      </c>
      <c r="F495">
        <f>ROUNDUP('Ammo Input'!G495^(3/4),0)</f>
        <v>119</v>
      </c>
      <c r="G495">
        <f>ROUND((0.5*((IF(OR(B495="HEAT",B495="HEDP"),'Ammo Input'!N495,'Ammo Input'!H495)/1000)*(IF(B495="HEAT",9000,IF(B495="HEDP",1500,'Ammo Input'!G495))^2))),0)</f>
        <v>3263</v>
      </c>
      <c r="H495" s="25" t="str">
        <f>CONCATENATE(IF((B495="Foam")+(B495="Smoke"),"-",ROUND(Calcs!D495,0))," ",VLOOKUP(B495,AmmoTypeFactors,5,FALSE))</f>
        <v>14 Bullet</v>
      </c>
      <c r="I495" s="25" t="str">
        <f>IF(Calcs!E495=0,"None",CONCATENATE(ROUND(Calcs!E495,0)," ",VLOOKUP(B495,AmmoTypeFactors,6,FALSE)))</f>
        <v>9 Flame_Secondary</v>
      </c>
      <c r="J495">
        <f>MROUND(2.42*'Ammo Input'!M495^(1/3)*VLOOKUP(B495,AmmoTypeFactors,3,FALSE),0.5)</f>
        <v>0</v>
      </c>
      <c r="K495" s="25" t="str">
        <f>IF(VLOOKUP(B495,AmmoTypeFactors,12,FALSE),MROUND(J495/3,0.5),"None")</f>
        <v>None</v>
      </c>
      <c r="L495" s="25">
        <f>IF(VLOOKUP(B495,AmmoTypeFactors,8,FALSE),"None",ROUNDUP(IF(Calcs!I495&gt;0,Calcs!I495,Calcs!H495),3))</f>
        <v>65.26</v>
      </c>
      <c r="M495" s="25">
        <f>IF(VLOOKUP(B495,AmmoTypeFactors,8,FALSE),"None",'Ammo Input'!L495)</f>
        <v>13</v>
      </c>
      <c r="N495">
        <f>'Ammo Input'!O495</f>
        <v>500</v>
      </c>
      <c r="O495" t="e">
        <f>ROUND((P495*0.0036+SUMPRODUCT(Q495:AB495,VLOOKUP($Q$1:$AB$1,IngredientStats,2,FALSE)))/N495*IF('Ammo Input'!R495,0.5,1),2)</f>
        <v>#VALUE!</v>
      </c>
      <c r="P495" t="e">
        <f>(SUMPRODUCT(Q495:AB495,VLOOKUP($Q$1:$AB$1,IngredientStats,4,FALSE))*VLOOKUP(B495,AmmoTypeFactors,14,FALSE)*IF('Ammo Input'!R495,1.1,1))</f>
        <v>#VALUE!</v>
      </c>
      <c r="Q495">
        <f>IFERROR(__xludf.DUMMYFUNCTION("((IF(NOT(OR(REGEXMATCH(B491, ""Arrow""), B491 = ""Javelin"", B491 = ""Stick bomb"")), ROUNDUP(('Ammo Input'!E491 / 1000) * N491)) + IF(VLOOKUP(B491, AmmoTypeFactors, 9, FALSE) = ""Steel"", ROUNDUP(('Ammo Input'!H491 -'Ammo Input'!M491) * MAX(IF('Ammo Inpu"&amp;"t'!J491 &gt; 0, 'Ammo Input'!J491, 1), 1) * N491 / 1000))) / 'Ingredient stats'!$C$2) * IF(ISBLANK(VLOOKUP(B491,AmmoTypeFactors,15,False)),1,VLOOKUP(B491,AmmoTypeFactors,15,False))"),34)</f>
        <v>34</v>
      </c>
      <c r="R495">
        <f>IFERROR(__xludf.DUMMYFUNCTION("ROUNDUP((IF(REGEXMATCH(B491, ""Arrow"") + (B491 = ""Javelin""), 'Ammo Input'!E491) + IF(VLOOKUP(B491, AmmoTypeFactors, 9, FALSE) = ""Wood"", 'Ammo Input'!H491) + IF(B491 = ""Stick bomb"", 'Ammo Input'!E491)) * N491 / 'Ingredient stats'!$C$12 / 1000)"),0)</f>
        <v>0</v>
      </c>
      <c r="S495">
        <v>0</v>
      </c>
      <c r="T495">
        <v>0</v>
      </c>
      <c r="U495">
        <f>IF(VLOOKUP(B495,AmmoTypeFactors,9,FALSE)="Plasteel",ROUNDUP(('Ammo Input'!H495*MAX(IF('Ammo Input'!J495&gt;0,'Ammo Input'!J495,1)*N495/1000/'Ingredient stats'!$C$4)),0),0)</f>
        <v>0</v>
      </c>
      <c r="V495">
        <f>IFERROR(__xludf.DUMMYFUNCTION("ROUNDUP(IF(ISBLANK(VLOOKUP(B491,AmmoTypeFactors,16,False)),1,VLOOKUP(B491,AmmoTypeFactors,16,False)) * (IFS(REGEXMATCH(B491, ""EMP""), 'Ammo Input'!M491 * N491 / 'Ingredient stats'!$C$5, REGEXMATCH(B491, ""Charge""), (U491^0.75), true, 0) + (IF(VLOOKUP(B4"&amp;"91, AmmoTypeFactors, 10, false), 2,0) + IF('Ammo Input'!P491, 2,0) + IF('Ammo Input'!Q491,MIN(ROUNDUP(0.2*('Ammo Input'!H491/1000)*'Ammo Input'!O491,0),20),0))))"),0)</f>
        <v>0</v>
      </c>
      <c r="W495">
        <v>5</v>
      </c>
      <c r="X495">
        <v>0</v>
      </c>
      <c r="Y495">
        <v>0</v>
      </c>
      <c r="Z495">
        <v>0</v>
      </c>
      <c r="AA495">
        <v>0</v>
      </c>
      <c r="AB495" s="30">
        <f>IF(B495="Sling Bullet (Stone)",ROUNDUP(D495*0.02*E495/'Ingredient stats'!$C$8,0),0)</f>
        <v>0</v>
      </c>
      <c r="AC495" t="str">
        <f t="shared" si="20"/>
        <v>None</v>
      </c>
      <c r="AD495" t="str">
        <f>IF(OR(B495="Buck",B495="Bird",B495="Charge (Scatter)"),'Ammo Input'!J495,"None")</f>
        <v>None</v>
      </c>
      <c r="AE495" t="str">
        <f>_xlfn.IFS(ISTEXT(Calcs!N495),Calcs!N495,Calcs!N495&lt;=40,Calcs!N495,Calcs!N495&gt;41,"40")</f>
        <v>None</v>
      </c>
      <c r="AF495" t="str">
        <f>_xlfn.IFS(ISTEXT(Calcs!O495),Calcs!O495,Calcs!O495&lt;=80,Calcs!O495,Calcs!O495&gt;=81,"80")</f>
        <v>None</v>
      </c>
      <c r="AG495" s="25">
        <f t="shared" si="21"/>
        <v>1</v>
      </c>
      <c r="AH495" s="25">
        <f t="shared" si="22"/>
        <v>1.96</v>
      </c>
      <c r="AI495" s="25">
        <f t="shared" si="23"/>
        <v>1</v>
      </c>
    </row>
    <row r="496" ht="14.4" spans="1:35">
      <c r="A496" s="35" t="str">
        <f>'Ammo Input'!A496</f>
        <v>.458 SOCOM</v>
      </c>
      <c r="B496" t="str">
        <f>'Ammo Input'!B496</f>
        <v>AP-HE</v>
      </c>
      <c r="C496">
        <f>ROUNDUP(('Ammo Input'!C496*(MAX('Ammo Input'!D496,'Ammo Input'!F496)*0.5)^2*PI())*3/1000000,2)</f>
        <v>0.03</v>
      </c>
      <c r="D496">
        <f>ROUNDUP(('Ammo Input'!E496+'Ammo Input'!H496*IF('Ammo Input'!J496&lt;&gt;"",MAX('Ammo Input'!J496,1),1))/1000,3)</f>
        <v>0.032</v>
      </c>
      <c r="E496">
        <f>MIN(5000,MAX(25,CEILING(Calcs!L496,_xlfn.IFS(Calcs!L496&lt;100,25,Calcs!L496&lt;250,50,Calcs!L496&lt;1000,250,Calcs!L496&gt;=1000,1000))))</f>
        <v>5000</v>
      </c>
      <c r="F496">
        <f>ROUNDUP('Ammo Input'!G496^(3/4),0)</f>
        <v>119</v>
      </c>
      <c r="G496">
        <f>ROUND((0.5*((IF(OR(B496="HEAT",B496="HEDP"),'Ammo Input'!N496,'Ammo Input'!H496)/1000)*(IF(B496="HEAT",9000,IF(B496="HEDP",1500,'Ammo Input'!G496))^2))),0)</f>
        <v>3263</v>
      </c>
      <c r="H496" s="25" t="str">
        <f>CONCATENATE(IF((B496="Foam")+(B496="Smoke"),"-",ROUND(Calcs!D496,0))," ",VLOOKUP(B496,AmmoTypeFactors,5,FALSE))</f>
        <v>22 Bullet</v>
      </c>
      <c r="I496" s="25" t="str">
        <f>IF(Calcs!E496=0,"None",CONCATENATE(ROUND(Calcs!E496,0)," ",VLOOKUP(B496,AmmoTypeFactors,6,FALSE)))</f>
        <v>12 Bomb_Secondary</v>
      </c>
      <c r="J496">
        <f>MROUND(2.42*'Ammo Input'!M496^(1/3)*VLOOKUP(B496,AmmoTypeFactors,3,FALSE),0.5)</f>
        <v>0</v>
      </c>
      <c r="K496" s="25" t="str">
        <f>IF(VLOOKUP(B496,AmmoTypeFactors,12,FALSE),MROUND(J496/3,0.5),"None")</f>
        <v>None</v>
      </c>
      <c r="L496" s="25">
        <f>IF(VLOOKUP(B496,AmmoTypeFactors,8,FALSE),"None",ROUNDUP(IF(Calcs!I496&gt;0,Calcs!I496,Calcs!H496),3))</f>
        <v>65.26</v>
      </c>
      <c r="M496" s="25">
        <f>IF(VLOOKUP(B496,AmmoTypeFactors,8,FALSE),"None",'Ammo Input'!L496)</f>
        <v>6.5</v>
      </c>
      <c r="N496">
        <f>'Ammo Input'!O496</f>
        <v>500</v>
      </c>
      <c r="O496" t="e">
        <f>ROUND((P496*0.0036+SUMPRODUCT(Q496:AB496,VLOOKUP($Q$1:$AB$1,IngredientStats,2,FALSE)))/N496*IF('Ammo Input'!R496,0.5,1),2)</f>
        <v>#VALUE!</v>
      </c>
      <c r="P496" t="e">
        <f>(SUMPRODUCT(Q496:AB496,VLOOKUP($Q$1:$AB$1,IngredientStats,4,FALSE))*VLOOKUP(B496,AmmoTypeFactors,14,FALSE)*IF('Ammo Input'!R496,1.1,1))</f>
        <v>#VALUE!</v>
      </c>
      <c r="Q496">
        <f>IFERROR(__xludf.DUMMYFUNCTION("((IF(NOT(OR(REGEXMATCH(B492, ""Arrow""), B492 = ""Javelin"", B492 = ""Stick bomb"")), ROUNDUP(('Ammo Input'!E492 / 1000) * N492)) + IF(VLOOKUP(B492, AmmoTypeFactors, 9, FALSE) = ""Steel"", ROUNDUP(('Ammo Input'!H492 -'Ammo Input'!M492) * MAX(IF('Ammo Inpu"&amp;"t'!J492 &gt; 0, 'Ammo Input'!J492, 1), 1) * N492 / 1000))) / 'Ingredient stats'!$C$2) * IF(ISBLANK(VLOOKUP(B492,AmmoTypeFactors,15,False)),1,VLOOKUP(B492,AmmoTypeFactors,15,False))"),34)</f>
        <v>34</v>
      </c>
      <c r="R496">
        <f>IFERROR(__xludf.DUMMYFUNCTION("ROUNDUP((IF(REGEXMATCH(B492, ""Arrow"") + (B492 = ""Javelin""), 'Ammo Input'!E492) + IF(VLOOKUP(B492, AmmoTypeFactors, 9, FALSE) = ""Wood"", 'Ammo Input'!H492) + IF(B492 = ""Stick bomb"", 'Ammo Input'!E492)) * N492 / 'Ingredient stats'!$C$12 / 1000)"),0)</f>
        <v>0</v>
      </c>
      <c r="S496">
        <v>0</v>
      </c>
      <c r="T496">
        <v>0</v>
      </c>
      <c r="U496">
        <f>IF(VLOOKUP(B496,AmmoTypeFactors,9,FALSE)="Plasteel",ROUNDUP(('Ammo Input'!H496*MAX(IF('Ammo Input'!J496&gt;0,'Ammo Input'!J496,1)*N496/1000/'Ingredient stats'!$C$4)),0),0)</f>
        <v>0</v>
      </c>
      <c r="V496">
        <f>IFERROR(__xludf.DUMMYFUNCTION("ROUNDUP(IF(ISBLANK(VLOOKUP(B492,AmmoTypeFactors,16,False)),1,VLOOKUP(B492,AmmoTypeFactors,16,False)) * (IFS(REGEXMATCH(B492, ""EMP""), 'Ammo Input'!M492 * N492 / 'Ingredient stats'!$C$5, REGEXMATCH(B492, ""Charge""), (U492^0.75), true, 0) + (IF(VLOOKUP(B4"&amp;"92, AmmoTypeFactors, 10, false), 2,0) + IF('Ammo Input'!P492, 2,0) + IF('Ammo Input'!Q492,MIN(ROUNDUP(0.2*('Ammo Input'!H492/1000)*'Ammo Input'!O492,0),20),0))))"),0)</f>
        <v>0</v>
      </c>
      <c r="W496">
        <v>0</v>
      </c>
      <c r="X496">
        <v>10</v>
      </c>
      <c r="Y496">
        <v>0</v>
      </c>
      <c r="Z496">
        <v>0</v>
      </c>
      <c r="AA496">
        <v>0</v>
      </c>
      <c r="AB496" s="30">
        <f>IF(B496="Sling Bullet (Stone)",ROUNDUP(D496*0.02*E496/'Ingredient stats'!$C$8,0),0)</f>
        <v>0</v>
      </c>
      <c r="AC496" t="str">
        <f t="shared" si="20"/>
        <v>None</v>
      </c>
      <c r="AD496" t="str">
        <f>IF(OR(B496="Buck",B496="Bird",B496="Charge (Scatter)"),'Ammo Input'!J496,"None")</f>
        <v>None</v>
      </c>
      <c r="AE496" t="str">
        <f>_xlfn.IFS(ISTEXT(Calcs!N496),Calcs!N496,Calcs!N496&lt;=40,Calcs!N496,Calcs!N496&gt;41,"40")</f>
        <v>None</v>
      </c>
      <c r="AF496" t="str">
        <f>_xlfn.IFS(ISTEXT(Calcs!O496),Calcs!O496,Calcs!O496&lt;=80,Calcs!O496,Calcs!O496&gt;=81,"80")</f>
        <v>None</v>
      </c>
      <c r="AG496" s="25">
        <f t="shared" si="21"/>
        <v>1</v>
      </c>
      <c r="AH496" s="25">
        <f t="shared" si="22"/>
        <v>1.96</v>
      </c>
      <c r="AI496" s="25">
        <f t="shared" si="23"/>
        <v>1</v>
      </c>
    </row>
    <row r="497" ht="14.4" spans="1:35">
      <c r="A497" s="35" t="str">
        <f>'Ammo Input'!A497</f>
        <v>.458 SOCOM</v>
      </c>
      <c r="B497" t="str">
        <f>'Ammo Input'!B497</f>
        <v>Sabot</v>
      </c>
      <c r="C497">
        <f>ROUNDUP(('Ammo Input'!C497*(MAX('Ammo Input'!D497,'Ammo Input'!F497)*0.5)^2*PI())*3/1000000,2)</f>
        <v>0.03</v>
      </c>
      <c r="D497">
        <f>ROUNDUP(('Ammo Input'!E497+'Ammo Input'!H497*IF('Ammo Input'!J497&lt;&gt;"",MAX('Ammo Input'!J497,1),1))/1000,3)</f>
        <v>0.024</v>
      </c>
      <c r="E497">
        <f>MIN(5000,MAX(25,CEILING(Calcs!L497,_xlfn.IFS(Calcs!L497&lt;100,25,Calcs!L497&lt;250,50,Calcs!L497&lt;1000,250,Calcs!L497&gt;=1000,1000))))</f>
        <v>5000</v>
      </c>
      <c r="F497">
        <f>ROUNDUP('Ammo Input'!G497^(3/4),0)</f>
        <v>161</v>
      </c>
      <c r="G497">
        <f>ROUND((0.5*((IF(OR(B497="HEAT",B497="HEDP"),'Ammo Input'!N497,'Ammo Input'!H497)/1000)*(IF(B497="HEAT",9000,IF(B497="HEDP",1500,'Ammo Input'!G497))^2))),0)</f>
        <v>4193</v>
      </c>
      <c r="H497" s="25" t="str">
        <f>CONCATENATE(IF((B497="Foam")+(B497="Smoke"),"-",ROUND(Calcs!D497,0))," ",VLOOKUP(B497,AmmoTypeFactors,5,FALSE))</f>
        <v>12 Bullet</v>
      </c>
      <c r="I497" s="25" t="str">
        <f>IF(Calcs!E497=0,"None",CONCATENATE(ROUND(Calcs!E497,0)," ",VLOOKUP(B497,AmmoTypeFactors,6,FALSE)))</f>
        <v>None</v>
      </c>
      <c r="J497">
        <f>MROUND(2.42*'Ammo Input'!M497^(1/3)*VLOOKUP(B497,AmmoTypeFactors,3,FALSE),0.5)</f>
        <v>0</v>
      </c>
      <c r="K497" s="25" t="str">
        <f>IF(VLOOKUP(B497,AmmoTypeFactors,12,FALSE),MROUND(J497/3,0.5),"None")</f>
        <v>None</v>
      </c>
      <c r="L497" s="25">
        <f>IF(VLOOKUP(B497,AmmoTypeFactors,8,FALSE),"None",ROUNDUP(IF(Calcs!I497&gt;0,Calcs!I497,Calcs!H497),3))</f>
        <v>83.86</v>
      </c>
      <c r="M497" s="25">
        <f>IF(VLOOKUP(B497,AmmoTypeFactors,8,FALSE),"None",'Ammo Input'!L497)</f>
        <v>22.75</v>
      </c>
      <c r="N497">
        <f>'Ammo Input'!O497</f>
        <v>500</v>
      </c>
      <c r="O497" t="e">
        <f>ROUND((P497*0.0036+SUMPRODUCT(Q497:AB497,VLOOKUP($Q$1:$AB$1,IngredientStats,2,FALSE)))/N497*IF('Ammo Input'!R497,0.5,1),2)</f>
        <v>#VALUE!</v>
      </c>
      <c r="P497" t="e">
        <f>(SUMPRODUCT(Q497:AB497,VLOOKUP($Q$1:$AB$1,IngredientStats,4,FALSE))*VLOOKUP(B497,AmmoTypeFactors,14,FALSE)*IF('Ammo Input'!R497,1.1,1))</f>
        <v>#VALUE!</v>
      </c>
      <c r="Q497">
        <f>IFERROR(__xludf.DUMMYFUNCTION("((IF(NOT(OR(REGEXMATCH(B493, ""Arrow""), B493 = ""Javelin"", B493 = ""Stick bomb"")), ROUNDUP(('Ammo Input'!E493 / 1000) * N493)) + IF(VLOOKUP(B493, AmmoTypeFactors, 9, FALSE) = ""Steel"", ROUNDUP(('Ammo Input'!H493 -'Ammo Input'!M493) * MAX(IF('Ammo Inpu"&amp;"t'!J493 &gt; 0, 'Ammo Input'!J493, 1), 1) * N493 / 1000))) / 'Ingredient stats'!$C$2) * IF(ISBLANK(VLOOKUP(B493,AmmoTypeFactors,15,False)),1,VLOOKUP(B493,AmmoTypeFactors,15,False))"),14)</f>
        <v>14</v>
      </c>
      <c r="R497">
        <f>IFERROR(__xludf.DUMMYFUNCTION("ROUNDUP((IF(REGEXMATCH(B493, ""Arrow"") + (B493 = ""Javelin""), 'Ammo Input'!E493) + IF(VLOOKUP(B493, AmmoTypeFactors, 9, FALSE) = ""Wood"", 'Ammo Input'!H493) + IF(B493 = ""Stick bomb"", 'Ammo Input'!E493)) * N493 / 'Ingredient stats'!$C$12 / 1000)"),0)</f>
        <v>0</v>
      </c>
      <c r="S497">
        <v>6</v>
      </c>
      <c r="T497">
        <v>6</v>
      </c>
      <c r="U497">
        <f>IF(VLOOKUP(B497,AmmoTypeFactors,9,FALSE)="Plasteel",ROUNDUP(('Ammo Input'!H497*MAX(IF('Ammo Input'!J497&gt;0,'Ammo Input'!J497,1)*N497/1000/'Ingredient stats'!$C$4)),0),0)</f>
        <v>0</v>
      </c>
      <c r="V497">
        <f>IFERROR(__xludf.DUMMYFUNCTION("ROUNDUP(IF(ISBLANK(VLOOKUP(B493,AmmoTypeFactors,16,False)),1,VLOOKUP(B493,AmmoTypeFactors,16,False)) * (IFS(REGEXMATCH(B493, ""EMP""), 'Ammo Input'!M493 * N493 / 'Ingredient stats'!$C$5, REGEXMATCH(B493, ""Charge""), (U493^0.75), true, 0) + (IF(VLOOKUP(B4"&amp;"93, AmmoTypeFactors, 10, false), 2,0) + IF('Ammo Input'!P493, 2,0) + IF('Ammo Input'!Q493,MIN(ROUNDUP(0.2*('Ammo Input'!H493/1000)*'Ammo Input'!O493,0),20),0))))"),0)</f>
        <v>0</v>
      </c>
      <c r="W497">
        <v>0</v>
      </c>
      <c r="X497">
        <v>0</v>
      </c>
      <c r="Y497">
        <v>0</v>
      </c>
      <c r="Z497">
        <v>0</v>
      </c>
      <c r="AA497">
        <v>0</v>
      </c>
      <c r="AB497" s="30">
        <f>IF(B497="Sling Bullet (Stone)",ROUNDUP(D497*0.02*E497/'Ingredient stats'!$C$8,0),0)</f>
        <v>0</v>
      </c>
      <c r="AC497" t="str">
        <f t="shared" si="20"/>
        <v>None</v>
      </c>
      <c r="AD497" t="str">
        <f>IF(OR(B497="Buck",B497="Bird",B497="Charge (Scatter)"),'Ammo Input'!J497,"None")</f>
        <v>None</v>
      </c>
      <c r="AE497" t="str">
        <f>_xlfn.IFS(ISTEXT(Calcs!N497),Calcs!N497,Calcs!N497&lt;=40,Calcs!N497,Calcs!N497&gt;41,"40")</f>
        <v>None</v>
      </c>
      <c r="AF497" t="str">
        <f>_xlfn.IFS(ISTEXT(Calcs!O497),Calcs!O497,Calcs!O497&lt;=80,Calcs!O497,Calcs!O497&gt;=81,"80")</f>
        <v>None</v>
      </c>
      <c r="AG497" s="25">
        <f t="shared" si="21"/>
        <v>1</v>
      </c>
      <c r="AH497" s="25">
        <f t="shared" si="22"/>
        <v>2.63</v>
      </c>
      <c r="AI497" s="25">
        <f t="shared" si="23"/>
        <v>1</v>
      </c>
    </row>
    <row r="498" ht="14.4" spans="1:35">
      <c r="A498" s="35" t="str">
        <f>'Ammo Input'!A498</f>
        <v>.50 Beowulf</v>
      </c>
      <c r="B498" t="str">
        <f>'Ammo Input'!B498</f>
        <v>FMJ</v>
      </c>
      <c r="C498">
        <f>ROUNDUP(('Ammo Input'!C498*(MAX('Ammo Input'!D498,'Ammo Input'!F498)*0.5)^2*PI())*3/1000000,2)</f>
        <v>0.03</v>
      </c>
      <c r="D498">
        <f>ROUNDUP(('Ammo Input'!E498+'Ammo Input'!H498*IF('Ammo Input'!J498&lt;&gt;"",MAX('Ammo Input'!J498,1),1))/1000,3)</f>
        <v>0.036</v>
      </c>
      <c r="E498">
        <f>MIN(5000,MAX(25,CEILING(Calcs!L498,_xlfn.IFS(Calcs!L498&lt;100,25,Calcs!L498&lt;250,50,Calcs!L498&lt;1000,250,Calcs!L498&gt;=1000,1000))))</f>
        <v>5000</v>
      </c>
      <c r="F498">
        <f>ROUNDUP('Ammo Input'!G498^(3/4),0)</f>
        <v>113</v>
      </c>
      <c r="G498">
        <f>ROUND((0.5*((IF(OR(B498="HEAT",B498="HEDP"),'Ammo Input'!N498,'Ammo Input'!H498)/1000)*(IF(B498="HEAT",9000,IF(B498="HEDP",1500,'Ammo Input'!G498))^2))),0)</f>
        <v>3164</v>
      </c>
      <c r="H498" s="25" t="str">
        <f>CONCATENATE(IF((B498="Foam")+(B498="Smoke"),"-",ROUND(Calcs!D498,0))," ",VLOOKUP(B498,AmmoTypeFactors,5,FALSE))</f>
        <v>23 Bullet</v>
      </c>
      <c r="I498" s="25" t="str">
        <f>IF(Calcs!E498=0,"None",CONCATENATE(ROUND(Calcs!E498,0)," ",VLOOKUP(B498,AmmoTypeFactors,6,FALSE)))</f>
        <v>None</v>
      </c>
      <c r="J498">
        <f>MROUND(2.42*'Ammo Input'!M498^(1/3)*VLOOKUP(B498,AmmoTypeFactors,3,FALSE),0.5)</f>
        <v>0</v>
      </c>
      <c r="K498" s="25" t="str">
        <f>IF(VLOOKUP(B498,AmmoTypeFactors,12,FALSE),MROUND(J498/3,0.5),"None")</f>
        <v>None</v>
      </c>
      <c r="L498" s="25">
        <f>IF(VLOOKUP(B498,AmmoTypeFactors,8,FALSE),"None",ROUNDUP(IF(Calcs!I498&gt;0,Calcs!I498,Calcs!H498),3))</f>
        <v>63.28</v>
      </c>
      <c r="M498" s="25">
        <f>IF(VLOOKUP(B498,AmmoTypeFactors,8,FALSE),"None",'Ammo Input'!L498)</f>
        <v>6.5</v>
      </c>
      <c r="N498">
        <f>'Ammo Input'!O498</f>
        <v>500</v>
      </c>
      <c r="O498" t="e">
        <f>ROUND((P498*0.0036+SUMPRODUCT(Q498:AB498,VLOOKUP($Q$1:$AB$1,IngredientStats,2,FALSE)))/N498*IF('Ammo Input'!R498,0.5,1),2)</f>
        <v>#VALUE!</v>
      </c>
      <c r="P498" t="e">
        <f>(SUMPRODUCT(Q498:AB498,VLOOKUP($Q$1:$AB$1,IngredientStats,4,FALSE))*VLOOKUP(B498,AmmoTypeFactors,14,FALSE)*IF('Ammo Input'!R498,1.1,1))</f>
        <v>#VALUE!</v>
      </c>
      <c r="Q498">
        <f>IFERROR(__xludf.DUMMYFUNCTION("((IF(NOT(OR(REGEXMATCH(B494, ""Arrow""), B494 = ""Javelin"", B494 = ""Stick bomb"")), ROUNDUP(('Ammo Input'!E494 / 1000) * N494)) + IF(VLOOKUP(B494, AmmoTypeFactors, 9, FALSE) = ""Steel"", ROUNDUP(('Ammo Input'!H494 -'Ammo Input'!M494) * MAX(IF('Ammo Inpu"&amp;"t'!J494 &gt; 0, 'Ammo Input'!J494, 1), 1) * N494 / 1000))) / 'Ingredient stats'!$C$2) * IF(ISBLANK(VLOOKUP(B494,AmmoTypeFactors,15,False)),1,VLOOKUP(B494,AmmoTypeFactors,15,False))"),36)</f>
        <v>36</v>
      </c>
      <c r="R498">
        <f>IFERROR(__xludf.DUMMYFUNCTION("ROUNDUP((IF(REGEXMATCH(B494, ""Arrow"") + (B494 = ""Javelin""), 'Ammo Input'!E494) + IF(VLOOKUP(B494, AmmoTypeFactors, 9, FALSE) = ""Wood"", 'Ammo Input'!H494) + IF(B494 = ""Stick bomb"", 'Ammo Input'!E494)) * N494 / 'Ingredient stats'!$C$12 / 1000)"),0)</f>
        <v>0</v>
      </c>
      <c r="S498">
        <v>0</v>
      </c>
      <c r="T498">
        <v>0</v>
      </c>
      <c r="U498">
        <f>IF(VLOOKUP(B498,AmmoTypeFactors,9,FALSE)="Plasteel",ROUNDUP(('Ammo Input'!H498*MAX(IF('Ammo Input'!J498&gt;0,'Ammo Input'!J498,1)*N498/1000/'Ingredient stats'!$C$4)),0),0)</f>
        <v>0</v>
      </c>
      <c r="V498">
        <f>IFERROR(__xludf.DUMMYFUNCTION("ROUNDUP(IF(ISBLANK(VLOOKUP(B494,AmmoTypeFactors,16,False)),1,VLOOKUP(B494,AmmoTypeFactors,16,False)) * (IFS(REGEXMATCH(B494, ""EMP""), 'Ammo Input'!M494 * N494 / 'Ingredient stats'!$C$5, REGEXMATCH(B494, ""Charge""), (U494^0.75), true, 0) + (IF(VLOOKUP(B4"&amp;"94, AmmoTypeFactors, 10, false), 2,0) + IF('Ammo Input'!P494, 2,0) + IF('Ammo Input'!Q494,MIN(ROUNDUP(0.2*('Ammo Input'!H494/1000)*'Ammo Input'!O494,0),20),0))))"),0)</f>
        <v>0</v>
      </c>
      <c r="W498">
        <v>0</v>
      </c>
      <c r="X498">
        <v>0</v>
      </c>
      <c r="Y498">
        <v>0</v>
      </c>
      <c r="Z498">
        <v>0</v>
      </c>
      <c r="AA498">
        <v>0</v>
      </c>
      <c r="AB498" s="30">
        <f>IF(B498="Sling Bullet (Stone)",ROUNDUP(D498*0.02*E498/'Ingredient stats'!$C$8,0),0)</f>
        <v>0</v>
      </c>
      <c r="AC498" t="str">
        <f t="shared" si="20"/>
        <v>None</v>
      </c>
      <c r="AD498" t="str">
        <f>IF(OR(B498="Buck",B498="Bird",B498="Charge (Scatter)"),'Ammo Input'!J498,"None")</f>
        <v>None</v>
      </c>
      <c r="AE498" t="str">
        <f>_xlfn.IFS(ISTEXT(Calcs!N498),Calcs!N498,Calcs!N498&lt;=40,Calcs!N498,Calcs!N498&gt;41,"40")</f>
        <v>None</v>
      </c>
      <c r="AF498" t="str">
        <f>_xlfn.IFS(ISTEXT(Calcs!O498),Calcs!O498,Calcs!O498&lt;=80,Calcs!O498,Calcs!O498&gt;=81,"80")</f>
        <v>None</v>
      </c>
      <c r="AG498" s="25">
        <f t="shared" si="21"/>
        <v>1</v>
      </c>
      <c r="AH498" s="25">
        <f t="shared" si="22"/>
        <v>1.85</v>
      </c>
      <c r="AI498" s="25">
        <f t="shared" si="23"/>
        <v>1</v>
      </c>
    </row>
    <row r="499" ht="14.4" spans="1:35">
      <c r="A499" s="35" t="str">
        <f>'Ammo Input'!A499</f>
        <v>.50 Beowulf</v>
      </c>
      <c r="B499" t="str">
        <f>'Ammo Input'!B499</f>
        <v>AP</v>
      </c>
      <c r="C499">
        <f>ROUNDUP(('Ammo Input'!C499*(MAX('Ammo Input'!D499,'Ammo Input'!F499)*0.5)^2*PI())*3/1000000,2)</f>
        <v>0.03</v>
      </c>
      <c r="D499">
        <f>ROUNDUP(('Ammo Input'!E499+'Ammo Input'!H499*IF('Ammo Input'!J499&lt;&gt;"",MAX('Ammo Input'!J499,1),1))/1000,3)</f>
        <v>0.036</v>
      </c>
      <c r="E499">
        <f>MIN(5000,MAX(25,CEILING(Calcs!L499,_xlfn.IFS(Calcs!L499&lt;100,25,Calcs!L499&lt;250,50,Calcs!L499&lt;1000,250,Calcs!L499&gt;=1000,1000))))</f>
        <v>5000</v>
      </c>
      <c r="F499">
        <f>ROUNDUP('Ammo Input'!G499^(3/4),0)</f>
        <v>113</v>
      </c>
      <c r="G499">
        <f>ROUND((0.5*((IF(OR(B499="HEAT",B499="HEDP"),'Ammo Input'!N499,'Ammo Input'!H499)/1000)*(IF(B499="HEAT",9000,IF(B499="HEDP",1500,'Ammo Input'!G499))^2))),0)</f>
        <v>3164</v>
      </c>
      <c r="H499" s="25" t="str">
        <f>CONCATENATE(IF((B499="Foam")+(B499="Smoke"),"-",ROUND(Calcs!D499,0))," ",VLOOKUP(B499,AmmoTypeFactors,5,FALSE))</f>
        <v>14 Bullet</v>
      </c>
      <c r="I499" s="25" t="str">
        <f>IF(Calcs!E499=0,"None",CONCATENATE(ROUND(Calcs!E499,0)," ",VLOOKUP(B499,AmmoTypeFactors,6,FALSE)))</f>
        <v>None</v>
      </c>
      <c r="J499">
        <f>MROUND(2.42*'Ammo Input'!M499^(1/3)*VLOOKUP(B499,AmmoTypeFactors,3,FALSE),0.5)</f>
        <v>0</v>
      </c>
      <c r="K499" s="25" t="str">
        <f>IF(VLOOKUP(B499,AmmoTypeFactors,12,FALSE),MROUND(J499/3,0.5),"None")</f>
        <v>None</v>
      </c>
      <c r="L499" s="25">
        <f>IF(VLOOKUP(B499,AmmoTypeFactors,8,FALSE),"None",ROUNDUP(IF(Calcs!I499&gt;0,Calcs!I499,Calcs!H499),3))</f>
        <v>63.28</v>
      </c>
      <c r="M499" s="25">
        <f>IF(VLOOKUP(B499,AmmoTypeFactors,8,FALSE),"None",'Ammo Input'!L499)</f>
        <v>13</v>
      </c>
      <c r="N499">
        <f>'Ammo Input'!O499</f>
        <v>500</v>
      </c>
      <c r="O499" t="e">
        <f>ROUND((P499*0.0036+SUMPRODUCT(Q499:AB499,VLOOKUP($Q$1:$AB$1,IngredientStats,2,FALSE)))/N499*IF('Ammo Input'!R499,0.5,1),2)</f>
        <v>#VALUE!</v>
      </c>
      <c r="P499" t="e">
        <f>(SUMPRODUCT(Q499:AB499,VLOOKUP($Q$1:$AB$1,IngredientStats,4,FALSE))*VLOOKUP(B499,AmmoTypeFactors,14,FALSE)*IF('Ammo Input'!R499,1.1,1))</f>
        <v>#VALUE!</v>
      </c>
      <c r="Q499">
        <f>IFERROR(__xludf.DUMMYFUNCTION("((IF(NOT(OR(REGEXMATCH(B495, ""Arrow""), B495 = ""Javelin"", B495 = ""Stick bomb"")), ROUNDUP(('Ammo Input'!E495 / 1000) * N495)) + IF(VLOOKUP(B495, AmmoTypeFactors, 9, FALSE) = ""Steel"", ROUNDUP(('Ammo Input'!H495 -'Ammo Input'!M495) * MAX(IF('Ammo Inpu"&amp;"t'!J495 &gt; 0, 'Ammo Input'!J495, 1), 1) * N495 / 1000))) / 'Ingredient stats'!$C$2) * IF(ISBLANK(VLOOKUP(B495,AmmoTypeFactors,15,False)),1,VLOOKUP(B495,AmmoTypeFactors,15,False))"),36)</f>
        <v>36</v>
      </c>
      <c r="R499">
        <f>IFERROR(__xludf.DUMMYFUNCTION("ROUNDUP((IF(REGEXMATCH(B495, ""Arrow"") + (B495 = ""Javelin""), 'Ammo Input'!E495) + IF(VLOOKUP(B495, AmmoTypeFactors, 9, FALSE) = ""Wood"", 'Ammo Input'!H495) + IF(B495 = ""Stick bomb"", 'Ammo Input'!E495)) * N495 / 'Ingredient stats'!$C$12 / 1000)"),0)</f>
        <v>0</v>
      </c>
      <c r="S499">
        <v>0</v>
      </c>
      <c r="T499">
        <v>0</v>
      </c>
      <c r="U499">
        <f>IF(VLOOKUP(B499,AmmoTypeFactors,9,FALSE)="Plasteel",ROUNDUP(('Ammo Input'!H499*MAX(IF('Ammo Input'!J499&gt;0,'Ammo Input'!J499,1)*N499/1000/'Ingredient stats'!$C$4)),0),0)</f>
        <v>0</v>
      </c>
      <c r="V499">
        <f>IFERROR(__xludf.DUMMYFUNCTION("ROUNDUP(IF(ISBLANK(VLOOKUP(B495,AmmoTypeFactors,16,False)),1,VLOOKUP(B495,AmmoTypeFactors,16,False)) * (IFS(REGEXMATCH(B495, ""EMP""), 'Ammo Input'!M495 * N495 / 'Ingredient stats'!$C$5, REGEXMATCH(B495, ""Charge""), (U495^0.75), true, 0) + (IF(VLOOKUP(B4"&amp;"95, AmmoTypeFactors, 10, false), 2,0) + IF('Ammo Input'!P495, 2,0) + IF('Ammo Input'!Q495,MIN(ROUNDUP(0.2*('Ammo Input'!H495/1000)*'Ammo Input'!O495,0),20),0))))"),0)</f>
        <v>0</v>
      </c>
      <c r="W499">
        <v>0</v>
      </c>
      <c r="X499">
        <v>0</v>
      </c>
      <c r="Y499">
        <v>0</v>
      </c>
      <c r="Z499">
        <v>0</v>
      </c>
      <c r="AA499">
        <v>0</v>
      </c>
      <c r="AB499" s="30">
        <f>IF(B499="Sling Bullet (Stone)",ROUNDUP(D499*0.02*E499/'Ingredient stats'!$C$8,0),0)</f>
        <v>0</v>
      </c>
      <c r="AC499" t="str">
        <f t="shared" si="20"/>
        <v>None</v>
      </c>
      <c r="AD499" t="str">
        <f>IF(OR(B499="Buck",B499="Bird",B499="Charge (Scatter)"),'Ammo Input'!J499,"None")</f>
        <v>None</v>
      </c>
      <c r="AE499" t="str">
        <f>_xlfn.IFS(ISTEXT(Calcs!N499),Calcs!N499,Calcs!N499&lt;=40,Calcs!N499,Calcs!N499&gt;41,"40")</f>
        <v>None</v>
      </c>
      <c r="AF499" t="str">
        <f>_xlfn.IFS(ISTEXT(Calcs!O499),Calcs!O499,Calcs!O499&lt;=80,Calcs!O499,Calcs!O499&gt;=81,"80")</f>
        <v>None</v>
      </c>
      <c r="AG499" s="25">
        <f t="shared" si="21"/>
        <v>1</v>
      </c>
      <c r="AH499" s="25">
        <f t="shared" si="22"/>
        <v>1.85</v>
      </c>
      <c r="AI499" s="25">
        <f t="shared" si="23"/>
        <v>1</v>
      </c>
    </row>
    <row r="500" ht="14.4" spans="1:35">
      <c r="A500" s="35" t="str">
        <f>'Ammo Input'!A500</f>
        <v>.50 Beowulf</v>
      </c>
      <c r="B500" t="str">
        <f>'Ammo Input'!B500</f>
        <v>HP</v>
      </c>
      <c r="C500">
        <f>ROUNDUP(('Ammo Input'!C500*(MAX('Ammo Input'!D500,'Ammo Input'!F500)*0.5)^2*PI())*3/1000000,2)</f>
        <v>0.03</v>
      </c>
      <c r="D500">
        <f>ROUNDUP(('Ammo Input'!E500+'Ammo Input'!H500*IF('Ammo Input'!J500&lt;&gt;"",MAX('Ammo Input'!J500,1),1))/1000,3)</f>
        <v>0.036</v>
      </c>
      <c r="E500">
        <f>MIN(5000,MAX(25,CEILING(Calcs!L500,_xlfn.IFS(Calcs!L500&lt;100,25,Calcs!L500&lt;250,50,Calcs!L500&lt;1000,250,Calcs!L500&gt;=1000,1000))))</f>
        <v>5000</v>
      </c>
      <c r="F500">
        <f>ROUNDUP('Ammo Input'!G500^(3/4),0)</f>
        <v>113</v>
      </c>
      <c r="G500">
        <f>ROUND((0.5*((IF(OR(B500="HEAT",B500="HEDP"),'Ammo Input'!N500,'Ammo Input'!H500)/1000)*(IF(B500="HEAT",9000,IF(B500="HEDP",1500,'Ammo Input'!G500))^2))),0)</f>
        <v>3164</v>
      </c>
      <c r="H500" s="25" t="str">
        <f>CONCATENATE(IF((B500="Foam")+(B500="Smoke"),"-",ROUND(Calcs!D500,0))," ",VLOOKUP(B500,AmmoTypeFactors,5,FALSE))</f>
        <v>29 Bullet</v>
      </c>
      <c r="I500" s="25" t="str">
        <f>IF(Calcs!E500=0,"None",CONCATENATE(ROUND(Calcs!E500,0)," ",VLOOKUP(B500,AmmoTypeFactors,6,FALSE)))</f>
        <v>None</v>
      </c>
      <c r="J500">
        <f>MROUND(2.42*'Ammo Input'!M500^(1/3)*VLOOKUP(B500,AmmoTypeFactors,3,FALSE),0.5)</f>
        <v>0</v>
      </c>
      <c r="K500" s="25" t="str">
        <f>IF(VLOOKUP(B500,AmmoTypeFactors,12,FALSE),MROUND(J500/3,0.5),"None")</f>
        <v>None</v>
      </c>
      <c r="L500" s="25">
        <f>IF(VLOOKUP(B500,AmmoTypeFactors,8,FALSE),"None",ROUNDUP(IF(Calcs!I500&gt;0,Calcs!I500,Calcs!H500),3))</f>
        <v>63.28</v>
      </c>
      <c r="M500" s="25">
        <f>IF(VLOOKUP(B500,AmmoTypeFactors,8,FALSE),"None",'Ammo Input'!L500)</f>
        <v>3</v>
      </c>
      <c r="N500">
        <f>'Ammo Input'!O500</f>
        <v>500</v>
      </c>
      <c r="O500" t="e">
        <f>ROUND((P500*0.0036+SUMPRODUCT(Q500:AB500,VLOOKUP($Q$1:$AB$1,IngredientStats,2,FALSE)))/N500*IF('Ammo Input'!R500,0.5,1),2)</f>
        <v>#VALUE!</v>
      </c>
      <c r="P500" t="e">
        <f>(SUMPRODUCT(Q500:AB500,VLOOKUP($Q$1:$AB$1,IngredientStats,4,FALSE))*VLOOKUP(B500,AmmoTypeFactors,14,FALSE)*IF('Ammo Input'!R500,1.1,1))</f>
        <v>#VALUE!</v>
      </c>
      <c r="Q500">
        <f>IFERROR(__xludf.DUMMYFUNCTION("((IF(NOT(OR(REGEXMATCH(B496, ""Arrow""), B496 = ""Javelin"", B496 = ""Stick bomb"")), ROUNDUP(('Ammo Input'!E496 / 1000) * N496)) + IF(VLOOKUP(B496, AmmoTypeFactors, 9, FALSE) = ""Steel"", ROUNDUP(('Ammo Input'!H496 -'Ammo Input'!M496) * MAX(IF('Ammo Inpu"&amp;"t'!J496 &gt; 0, 'Ammo Input'!J496, 1), 1) * N496 / 1000))) / 'Ingredient stats'!$C$2) * IF(ISBLANK(VLOOKUP(B496,AmmoTypeFactors,15,False)),1,VLOOKUP(B496,AmmoTypeFactors,15,False))"),36)</f>
        <v>36</v>
      </c>
      <c r="R500">
        <f>IFERROR(__xludf.DUMMYFUNCTION("ROUNDUP((IF(REGEXMATCH(B496, ""Arrow"") + (B496 = ""Javelin""), 'Ammo Input'!E496) + IF(VLOOKUP(B496, AmmoTypeFactors, 9, FALSE) = ""Wood"", 'Ammo Input'!H496) + IF(B496 = ""Stick bomb"", 'Ammo Input'!E496)) * N496 / 'Ingredient stats'!$C$12 / 1000)"),0)</f>
        <v>0</v>
      </c>
      <c r="S500">
        <v>0</v>
      </c>
      <c r="T500">
        <v>0</v>
      </c>
      <c r="U500">
        <f>IF(VLOOKUP(B500,AmmoTypeFactors,9,FALSE)="Plasteel",ROUNDUP(('Ammo Input'!H500*MAX(IF('Ammo Input'!J500&gt;0,'Ammo Input'!J500,1)*N500/1000/'Ingredient stats'!$C$4)),0),0)</f>
        <v>0</v>
      </c>
      <c r="V500">
        <f>IFERROR(__xludf.DUMMYFUNCTION("ROUNDUP(IF(ISBLANK(VLOOKUP(B496,AmmoTypeFactors,16,False)),1,VLOOKUP(B496,AmmoTypeFactors,16,False)) * (IFS(REGEXMATCH(B496, ""EMP""), 'Ammo Input'!M496 * N496 / 'Ingredient stats'!$C$5, REGEXMATCH(B496, ""Charge""), (U496^0.75), true, 0) + (IF(VLOOKUP(B4"&amp;"96, AmmoTypeFactors, 10, false), 2,0) + IF('Ammo Input'!P496, 2,0) + IF('Ammo Input'!Q496,MIN(ROUNDUP(0.2*('Ammo Input'!H496/1000)*'Ammo Input'!O496,0),20),0))))"),0)</f>
        <v>0</v>
      </c>
      <c r="W500">
        <v>0</v>
      </c>
      <c r="X500">
        <v>0</v>
      </c>
      <c r="Y500">
        <v>0</v>
      </c>
      <c r="Z500">
        <v>0</v>
      </c>
      <c r="AA500">
        <v>0</v>
      </c>
      <c r="AB500" s="30">
        <f>IF(B500="Sling Bullet (Stone)",ROUNDUP(D500*0.02*E500/'Ingredient stats'!$C$8,0),0)</f>
        <v>0</v>
      </c>
      <c r="AC500" t="str">
        <f t="shared" si="20"/>
        <v>None</v>
      </c>
      <c r="AD500" t="str">
        <f>IF(OR(B500="Buck",B500="Bird",B500="Charge (Scatter)"),'Ammo Input'!J500,"None")</f>
        <v>None</v>
      </c>
      <c r="AE500" t="str">
        <f>_xlfn.IFS(ISTEXT(Calcs!N500),Calcs!N500,Calcs!N500&lt;=40,Calcs!N500,Calcs!N500&gt;41,"40")</f>
        <v>None</v>
      </c>
      <c r="AF500" t="str">
        <f>_xlfn.IFS(ISTEXT(Calcs!O500),Calcs!O500,Calcs!O500&lt;=80,Calcs!O500,Calcs!O500&gt;=81,"80")</f>
        <v>None</v>
      </c>
      <c r="AG500" s="25">
        <f t="shared" si="21"/>
        <v>1</v>
      </c>
      <c r="AH500" s="25">
        <f t="shared" si="22"/>
        <v>1.85</v>
      </c>
      <c r="AI500" s="25">
        <f t="shared" si="23"/>
        <v>1</v>
      </c>
    </row>
    <row r="501" ht="14.4" spans="1:35">
      <c r="A501" s="35" t="str">
        <f>'Ammo Input'!A501</f>
        <v>.50 Beowulf</v>
      </c>
      <c r="B501" t="str">
        <f>'Ammo Input'!B501</f>
        <v>AP-I</v>
      </c>
      <c r="C501">
        <f>ROUNDUP(('Ammo Input'!C501*(MAX('Ammo Input'!D501,'Ammo Input'!F501)*0.5)^2*PI())*3/1000000,2)</f>
        <v>0.03</v>
      </c>
      <c r="D501">
        <f>ROUNDUP(('Ammo Input'!E501+'Ammo Input'!H501*IF('Ammo Input'!J501&lt;&gt;"",MAX('Ammo Input'!J501,1),1))/1000,3)</f>
        <v>0.036</v>
      </c>
      <c r="E501">
        <f>MIN(5000,MAX(25,CEILING(Calcs!L501,_xlfn.IFS(Calcs!L501&lt;100,25,Calcs!L501&lt;250,50,Calcs!L501&lt;1000,250,Calcs!L501&gt;=1000,1000))))</f>
        <v>5000</v>
      </c>
      <c r="F501">
        <f>ROUNDUP('Ammo Input'!G501^(3/4),0)</f>
        <v>113</v>
      </c>
      <c r="G501">
        <f>ROUND((0.5*((IF(OR(B501="HEAT",B501="HEDP"),'Ammo Input'!N501,'Ammo Input'!H501)/1000)*(IF(B501="HEAT",9000,IF(B501="HEDP",1500,'Ammo Input'!G501))^2))),0)</f>
        <v>3164</v>
      </c>
      <c r="H501" s="25" t="str">
        <f>CONCATENATE(IF((B501="Foam")+(B501="Smoke"),"-",ROUND(Calcs!D501,0))," ",VLOOKUP(B501,AmmoTypeFactors,5,FALSE))</f>
        <v>14 Bullet</v>
      </c>
      <c r="I501" s="25" t="str">
        <f>IF(Calcs!E501=0,"None",CONCATENATE(ROUND(Calcs!E501,0)," ",VLOOKUP(B501,AmmoTypeFactors,6,FALSE)))</f>
        <v>9 Flame_Secondary</v>
      </c>
      <c r="J501">
        <f>MROUND(2.42*'Ammo Input'!M501^(1/3)*VLOOKUP(B501,AmmoTypeFactors,3,FALSE),0.5)</f>
        <v>0</v>
      </c>
      <c r="K501" s="25" t="str">
        <f>IF(VLOOKUP(B501,AmmoTypeFactors,12,FALSE),MROUND(J501/3,0.5),"None")</f>
        <v>None</v>
      </c>
      <c r="L501" s="25">
        <f>IF(VLOOKUP(B501,AmmoTypeFactors,8,FALSE),"None",ROUNDUP(IF(Calcs!I501&gt;0,Calcs!I501,Calcs!H501),3))</f>
        <v>63.28</v>
      </c>
      <c r="M501" s="25">
        <f>IF(VLOOKUP(B501,AmmoTypeFactors,8,FALSE),"None",'Ammo Input'!L501)</f>
        <v>13</v>
      </c>
      <c r="N501">
        <f>'Ammo Input'!O501</f>
        <v>500</v>
      </c>
      <c r="O501" t="e">
        <f>ROUND((P501*0.0036+SUMPRODUCT(Q501:AB501,VLOOKUP($Q$1:$AB$1,IngredientStats,2,FALSE)))/N501*IF('Ammo Input'!R501,0.5,1),2)</f>
        <v>#VALUE!</v>
      </c>
      <c r="P501" t="e">
        <f>(SUMPRODUCT(Q501:AB501,VLOOKUP($Q$1:$AB$1,IngredientStats,4,FALSE))*VLOOKUP(B501,AmmoTypeFactors,14,FALSE)*IF('Ammo Input'!R501,1.1,1))</f>
        <v>#VALUE!</v>
      </c>
      <c r="Q501">
        <f>IFERROR(__xludf.DUMMYFUNCTION("((IF(NOT(OR(REGEXMATCH(B497, ""Arrow""), B497 = ""Javelin"", B497 = ""Stick bomb"")), ROUNDUP(('Ammo Input'!E497 / 1000) * N497)) + IF(VLOOKUP(B497, AmmoTypeFactors, 9, FALSE) = ""Steel"", ROUNDUP(('Ammo Input'!H497 -'Ammo Input'!M497) * MAX(IF('Ammo Inpu"&amp;"t'!J497 &gt; 0, 'Ammo Input'!J497, 1), 1) * N497 / 1000))) / 'Ingredient stats'!$C$2) * IF(ISBLANK(VLOOKUP(B497,AmmoTypeFactors,15,False)),1,VLOOKUP(B497,AmmoTypeFactors,15,False))"),36)</f>
        <v>36</v>
      </c>
      <c r="R501">
        <f>IFERROR(__xludf.DUMMYFUNCTION("ROUNDUP((IF(REGEXMATCH(B497, ""Arrow"") + (B497 = ""Javelin""), 'Ammo Input'!E497) + IF(VLOOKUP(B497, AmmoTypeFactors, 9, FALSE) = ""Wood"", 'Ammo Input'!H497) + IF(B497 = ""Stick bomb"", 'Ammo Input'!E497)) * N497 / 'Ingredient stats'!$C$12 / 1000)"),0)</f>
        <v>0</v>
      </c>
      <c r="S501">
        <v>0</v>
      </c>
      <c r="T501">
        <v>0</v>
      </c>
      <c r="U501">
        <f>IF(VLOOKUP(B501,AmmoTypeFactors,9,FALSE)="Plasteel",ROUNDUP(('Ammo Input'!H501*MAX(IF('Ammo Input'!J501&gt;0,'Ammo Input'!J501,1)*N501/1000/'Ingredient stats'!$C$4)),0),0)</f>
        <v>0</v>
      </c>
      <c r="V501">
        <f>IFERROR(__xludf.DUMMYFUNCTION("ROUNDUP(IF(ISBLANK(VLOOKUP(B497,AmmoTypeFactors,16,False)),1,VLOOKUP(B497,AmmoTypeFactors,16,False)) * (IFS(REGEXMATCH(B497, ""EMP""), 'Ammo Input'!M497 * N497 / 'Ingredient stats'!$C$5, REGEXMATCH(B497, ""Charge""), (U497^0.75), true, 0) + (IF(VLOOKUP(B4"&amp;"97, AmmoTypeFactors, 10, false), 2,0) + IF('Ammo Input'!P497, 2,0) + IF('Ammo Input'!Q497,MIN(ROUNDUP(0.2*('Ammo Input'!H497/1000)*'Ammo Input'!O497,0),20),0))))"),0)</f>
        <v>0</v>
      </c>
      <c r="W501">
        <v>6</v>
      </c>
      <c r="X501">
        <v>0</v>
      </c>
      <c r="Y501">
        <v>0</v>
      </c>
      <c r="Z501">
        <v>0</v>
      </c>
      <c r="AA501">
        <v>0</v>
      </c>
      <c r="AB501" s="30">
        <f>IF(B501="Sling Bullet (Stone)",ROUNDUP(D501*0.02*E501/'Ingredient stats'!$C$8,0),0)</f>
        <v>0</v>
      </c>
      <c r="AC501" t="str">
        <f t="shared" si="20"/>
        <v>None</v>
      </c>
      <c r="AD501" t="str">
        <f>IF(OR(B501="Buck",B501="Bird",B501="Charge (Scatter)"),'Ammo Input'!J501,"None")</f>
        <v>None</v>
      </c>
      <c r="AE501" t="str">
        <f>_xlfn.IFS(ISTEXT(Calcs!N501),Calcs!N501,Calcs!N501&lt;=40,Calcs!N501,Calcs!N501&gt;41,"40")</f>
        <v>None</v>
      </c>
      <c r="AF501" t="str">
        <f>_xlfn.IFS(ISTEXT(Calcs!O501),Calcs!O501,Calcs!O501&lt;=80,Calcs!O501,Calcs!O501&gt;=81,"80")</f>
        <v>None</v>
      </c>
      <c r="AG501" s="25">
        <f t="shared" si="21"/>
        <v>1</v>
      </c>
      <c r="AH501" s="25">
        <f t="shared" si="22"/>
        <v>1.85</v>
      </c>
      <c r="AI501" s="25">
        <f t="shared" si="23"/>
        <v>1</v>
      </c>
    </row>
    <row r="502" ht="14.4" spans="1:35">
      <c r="A502" s="35" t="str">
        <f>'Ammo Input'!A502</f>
        <v>.50 Beowulf</v>
      </c>
      <c r="B502" t="str">
        <f>'Ammo Input'!B502</f>
        <v>AP-HE</v>
      </c>
      <c r="C502">
        <f>ROUNDUP(('Ammo Input'!C502*(MAX('Ammo Input'!D502,'Ammo Input'!F502)*0.5)^2*PI())*3/1000000,2)</f>
        <v>0.03</v>
      </c>
      <c r="D502">
        <f>ROUNDUP(('Ammo Input'!E502+'Ammo Input'!H502*IF('Ammo Input'!J502&lt;&gt;"",MAX('Ammo Input'!J502,1),1))/1000,3)</f>
        <v>0.036</v>
      </c>
      <c r="E502">
        <f>MIN(5000,MAX(25,CEILING(Calcs!L502,_xlfn.IFS(Calcs!L502&lt;100,25,Calcs!L502&lt;250,50,Calcs!L502&lt;1000,250,Calcs!L502&gt;=1000,1000))))</f>
        <v>5000</v>
      </c>
      <c r="F502">
        <f>ROUNDUP('Ammo Input'!G502^(3/4),0)</f>
        <v>113</v>
      </c>
      <c r="G502">
        <f>ROUND((0.5*((IF(OR(B502="HEAT",B502="HEDP"),'Ammo Input'!N502,'Ammo Input'!H502)/1000)*(IF(B502="HEAT",9000,IF(B502="HEDP",1500,'Ammo Input'!G502))^2))),0)</f>
        <v>3164</v>
      </c>
      <c r="H502" s="25" t="str">
        <f>CONCATENATE(IF((B502="Foam")+(B502="Smoke"),"-",ROUND(Calcs!D502,0))," ",VLOOKUP(B502,AmmoTypeFactors,5,FALSE))</f>
        <v>23 Bullet</v>
      </c>
      <c r="I502" s="25" t="str">
        <f>IF(Calcs!E502=0,"None",CONCATENATE(ROUND(Calcs!E502,0)," ",VLOOKUP(B502,AmmoTypeFactors,6,FALSE)))</f>
        <v>13 Bomb_Secondary</v>
      </c>
      <c r="J502">
        <f>MROUND(2.42*'Ammo Input'!M502^(1/3)*VLOOKUP(B502,AmmoTypeFactors,3,FALSE),0.5)</f>
        <v>0</v>
      </c>
      <c r="K502" s="25" t="str">
        <f>IF(VLOOKUP(B502,AmmoTypeFactors,12,FALSE),MROUND(J502/3,0.5),"None")</f>
        <v>None</v>
      </c>
      <c r="L502" s="25">
        <f>IF(VLOOKUP(B502,AmmoTypeFactors,8,FALSE),"None",ROUNDUP(IF(Calcs!I502&gt;0,Calcs!I502,Calcs!H502),3))</f>
        <v>63.28</v>
      </c>
      <c r="M502" s="25">
        <f>IF(VLOOKUP(B502,AmmoTypeFactors,8,FALSE),"None",'Ammo Input'!L502)</f>
        <v>6.5</v>
      </c>
      <c r="N502">
        <f>'Ammo Input'!O502</f>
        <v>500</v>
      </c>
      <c r="O502" t="e">
        <f>ROUND((P502*0.0036+SUMPRODUCT(Q502:AB502,VLOOKUP($Q$1:$AB$1,IngredientStats,2,FALSE)))/N502*IF('Ammo Input'!R502,0.5,1),2)</f>
        <v>#VALUE!</v>
      </c>
      <c r="P502" t="e">
        <f>(SUMPRODUCT(Q502:AB502,VLOOKUP($Q$1:$AB$1,IngredientStats,4,FALSE))*VLOOKUP(B502,AmmoTypeFactors,14,FALSE)*IF('Ammo Input'!R502,1.1,1))</f>
        <v>#VALUE!</v>
      </c>
      <c r="Q502">
        <f>IFERROR(__xludf.DUMMYFUNCTION("((IF(NOT(OR(REGEXMATCH(B498, ""Arrow""), B498 = ""Javelin"", B498 = ""Stick bomb"")), ROUNDUP(('Ammo Input'!E498 / 1000) * N498)) + IF(VLOOKUP(B498, AmmoTypeFactors, 9, FALSE) = ""Steel"", ROUNDUP(('Ammo Input'!H498 -'Ammo Input'!M498) * MAX(IF('Ammo Inpu"&amp;"t'!J498 &gt; 0, 'Ammo Input'!J498, 1), 1) * N498 / 1000))) / 'Ingredient stats'!$C$2) * IF(ISBLANK(VLOOKUP(B498,AmmoTypeFactors,15,False)),1,VLOOKUP(B498,AmmoTypeFactors,15,False))"),36)</f>
        <v>36</v>
      </c>
      <c r="R502">
        <f>IFERROR(__xludf.DUMMYFUNCTION("ROUNDUP((IF(REGEXMATCH(B498, ""Arrow"") + (B498 = ""Javelin""), 'Ammo Input'!E498) + IF(VLOOKUP(B498, AmmoTypeFactors, 9, FALSE) = ""Wood"", 'Ammo Input'!H498) + IF(B498 = ""Stick bomb"", 'Ammo Input'!E498)) * N498 / 'Ingredient stats'!$C$12 / 1000)"),0)</f>
        <v>0</v>
      </c>
      <c r="S502">
        <v>0</v>
      </c>
      <c r="T502">
        <v>0</v>
      </c>
      <c r="U502">
        <f>IF(VLOOKUP(B502,AmmoTypeFactors,9,FALSE)="Plasteel",ROUNDUP(('Ammo Input'!H502*MAX(IF('Ammo Input'!J502&gt;0,'Ammo Input'!J502,1)*N502/1000/'Ingredient stats'!$C$4)),0),0)</f>
        <v>0</v>
      </c>
      <c r="V502">
        <f>IFERROR(__xludf.DUMMYFUNCTION("ROUNDUP(IF(ISBLANK(VLOOKUP(B498,AmmoTypeFactors,16,False)),1,VLOOKUP(B498,AmmoTypeFactors,16,False)) * (IFS(REGEXMATCH(B498, ""EMP""), 'Ammo Input'!M498 * N498 / 'Ingredient stats'!$C$5, REGEXMATCH(B498, ""Charge""), (U498^0.75), true, 0) + (IF(VLOOKUP(B4"&amp;"98, AmmoTypeFactors, 10, false), 2,0) + IF('Ammo Input'!P498, 2,0) + IF('Ammo Input'!Q498,MIN(ROUNDUP(0.2*('Ammo Input'!H498/1000)*'Ammo Input'!O498,0),20),0))))"),0)</f>
        <v>0</v>
      </c>
      <c r="W502">
        <v>0</v>
      </c>
      <c r="X502">
        <v>11</v>
      </c>
      <c r="Y502">
        <v>0</v>
      </c>
      <c r="Z502">
        <v>0</v>
      </c>
      <c r="AA502">
        <v>0</v>
      </c>
      <c r="AB502" s="30">
        <f>IF(B502="Sling Bullet (Stone)",ROUNDUP(D502*0.02*E502/'Ingredient stats'!$C$8,0),0)</f>
        <v>0</v>
      </c>
      <c r="AC502" t="str">
        <f t="shared" si="20"/>
        <v>None</v>
      </c>
      <c r="AD502" t="str">
        <f>IF(OR(B502="Buck",B502="Bird",B502="Charge (Scatter)"),'Ammo Input'!J502,"None")</f>
        <v>None</v>
      </c>
      <c r="AE502" t="str">
        <f>_xlfn.IFS(ISTEXT(Calcs!N502),Calcs!N502,Calcs!N502&lt;=40,Calcs!N502,Calcs!N502&gt;41,"40")</f>
        <v>None</v>
      </c>
      <c r="AF502" t="str">
        <f>_xlfn.IFS(ISTEXT(Calcs!O502),Calcs!O502,Calcs!O502&lt;=80,Calcs!O502,Calcs!O502&gt;=81,"80")</f>
        <v>None</v>
      </c>
      <c r="AG502" s="25">
        <f t="shared" si="21"/>
        <v>1</v>
      </c>
      <c r="AH502" s="25">
        <f t="shared" si="22"/>
        <v>1.85</v>
      </c>
      <c r="AI502" s="25">
        <f t="shared" si="23"/>
        <v>1</v>
      </c>
    </row>
    <row r="503" ht="14.4" spans="1:35">
      <c r="A503" s="35" t="str">
        <f>'Ammo Input'!A503</f>
        <v>.50 Beowulf</v>
      </c>
      <c r="B503" t="str">
        <f>'Ammo Input'!B503</f>
        <v>Sabot</v>
      </c>
      <c r="C503">
        <f>ROUNDUP(('Ammo Input'!C503*(MAX('Ammo Input'!D503,'Ammo Input'!F503)*0.5)^2*PI())*3/1000000,2)</f>
        <v>0.03</v>
      </c>
      <c r="D503">
        <f>ROUNDUP(('Ammo Input'!E503+'Ammo Input'!H503*IF('Ammo Input'!J503&lt;&gt;"",MAX('Ammo Input'!J503,1),1))/1000,3)</f>
        <v>0.027</v>
      </c>
      <c r="E503">
        <f>MIN(5000,MAX(25,CEILING(Calcs!L503,_xlfn.IFS(Calcs!L503&lt;100,25,Calcs!L503&lt;250,50,Calcs!L503&lt;1000,250,Calcs!L503&gt;=1000,1000))))</f>
        <v>5000</v>
      </c>
      <c r="F503">
        <f>ROUNDUP('Ammo Input'!G503^(3/4),0)</f>
        <v>152</v>
      </c>
      <c r="G503">
        <f>ROUND((0.5*((IF(OR(B503="HEAT",B503="HEDP"),'Ammo Input'!N503,'Ammo Input'!H503)/1000)*(IF(B503="HEAT",9000,IF(B503="HEDP",1500,'Ammo Input'!G503))^2))),0)</f>
        <v>4068</v>
      </c>
      <c r="H503" s="25" t="str">
        <f>CONCATENATE(IF((B503="Foam")+(B503="Smoke"),"-",ROUND(Calcs!D503,0))," ",VLOOKUP(B503,AmmoTypeFactors,5,FALSE))</f>
        <v>12 Bullet</v>
      </c>
      <c r="I503" s="25" t="str">
        <f>IF(Calcs!E503=0,"None",CONCATENATE(ROUND(Calcs!E503,0)," ",VLOOKUP(B503,AmmoTypeFactors,6,FALSE)))</f>
        <v>None</v>
      </c>
      <c r="J503">
        <f>MROUND(2.42*'Ammo Input'!M503^(1/3)*VLOOKUP(B503,AmmoTypeFactors,3,FALSE),0.5)</f>
        <v>0</v>
      </c>
      <c r="K503" s="25" t="str">
        <f>IF(VLOOKUP(B503,AmmoTypeFactors,12,FALSE),MROUND(J503/3,0.5),"None")</f>
        <v>None</v>
      </c>
      <c r="L503" s="25">
        <f>IF(VLOOKUP(B503,AmmoTypeFactors,8,FALSE),"None",ROUNDUP(IF(Calcs!I503&gt;0,Calcs!I503,Calcs!H503),3))</f>
        <v>81.36</v>
      </c>
      <c r="M503" s="25">
        <f>IF(VLOOKUP(B503,AmmoTypeFactors,8,FALSE),"None",'Ammo Input'!L503)</f>
        <v>22.75</v>
      </c>
      <c r="N503">
        <f>'Ammo Input'!O503</f>
        <v>500</v>
      </c>
      <c r="O503" t="e">
        <f>ROUND((P503*0.0036+SUMPRODUCT(Q503:AB503,VLOOKUP($Q$1:$AB$1,IngredientStats,2,FALSE)))/N503*IF('Ammo Input'!R503,0.5,1),2)</f>
        <v>#VALUE!</v>
      </c>
      <c r="P503" t="e">
        <f>(SUMPRODUCT(Q503:AB503,VLOOKUP($Q$1:$AB$1,IngredientStats,4,FALSE))*VLOOKUP(B503,AmmoTypeFactors,14,FALSE)*IF('Ammo Input'!R503,1.1,1))</f>
        <v>#VALUE!</v>
      </c>
      <c r="Q503">
        <f>IFERROR(__xludf.DUMMYFUNCTION("((IF(NOT(OR(REGEXMATCH(B499, ""Arrow""), B499 = ""Javelin"", B499 = ""Stick bomb"")), ROUNDUP(('Ammo Input'!E499 / 1000) * N499)) + IF(VLOOKUP(B499, AmmoTypeFactors, 9, FALSE) = ""Steel"", ROUNDUP(('Ammo Input'!H499 -'Ammo Input'!M499) * MAX(IF('Ammo Inpu"&amp;"t'!J499 &gt; 0, 'Ammo Input'!J499, 1), 1) * N499 / 1000))) / 'Ingredient stats'!$C$2) * IF(ISBLANK(VLOOKUP(B499,AmmoTypeFactors,15,False)),1,VLOOKUP(B499,AmmoTypeFactors,15,False))"),14)</f>
        <v>14</v>
      </c>
      <c r="R503">
        <f>IFERROR(__xludf.DUMMYFUNCTION("ROUNDUP((IF(REGEXMATCH(B499, ""Arrow"") + (B499 = ""Javelin""), 'Ammo Input'!E499) + IF(VLOOKUP(B499, AmmoTypeFactors, 9, FALSE) = ""Wood"", 'Ammo Input'!H499) + IF(B499 = ""Stick bomb"", 'Ammo Input'!E499)) * N499 / 'Ingredient stats'!$C$12 / 1000)"),0)</f>
        <v>0</v>
      </c>
      <c r="S503">
        <v>7</v>
      </c>
      <c r="T503">
        <v>7</v>
      </c>
      <c r="U503">
        <f>IF(VLOOKUP(B503,AmmoTypeFactors,9,FALSE)="Plasteel",ROUNDUP(('Ammo Input'!H503*MAX(IF('Ammo Input'!J503&gt;0,'Ammo Input'!J503,1)*N503/1000/'Ingredient stats'!$C$4)),0),0)</f>
        <v>0</v>
      </c>
      <c r="V503">
        <f>IFERROR(__xludf.DUMMYFUNCTION("ROUNDUP(IF(ISBLANK(VLOOKUP(B499,AmmoTypeFactors,16,False)),1,VLOOKUP(B499,AmmoTypeFactors,16,False)) * (IFS(REGEXMATCH(B499, ""EMP""), 'Ammo Input'!M499 * N499 / 'Ingredient stats'!$C$5, REGEXMATCH(B499, ""Charge""), (U499^0.75), true, 0) + (IF(VLOOKUP(B4"&amp;"99, AmmoTypeFactors, 10, false), 2,0) + IF('Ammo Input'!P499, 2,0) + IF('Ammo Input'!Q499,MIN(ROUNDUP(0.2*('Ammo Input'!H499/1000)*'Ammo Input'!O499,0),20),0))))"),0)</f>
        <v>0</v>
      </c>
      <c r="W503">
        <v>0</v>
      </c>
      <c r="X503">
        <v>0</v>
      </c>
      <c r="Y503">
        <v>0</v>
      </c>
      <c r="Z503">
        <v>0</v>
      </c>
      <c r="AA503">
        <v>0</v>
      </c>
      <c r="AB503" s="30">
        <f>IF(B503="Sling Bullet (Stone)",ROUNDUP(D503*0.02*E503/'Ingredient stats'!$C$8,0),0)</f>
        <v>0</v>
      </c>
      <c r="AC503" t="str">
        <f t="shared" si="20"/>
        <v>None</v>
      </c>
      <c r="AD503" t="str">
        <f>IF(OR(B503="Buck",B503="Bird",B503="Charge (Scatter)"),'Ammo Input'!J503,"None")</f>
        <v>None</v>
      </c>
      <c r="AE503" t="str">
        <f>_xlfn.IFS(ISTEXT(Calcs!N503),Calcs!N503,Calcs!N503&lt;=40,Calcs!N503,Calcs!N503&gt;41,"40")</f>
        <v>None</v>
      </c>
      <c r="AF503" t="str">
        <f>_xlfn.IFS(ISTEXT(Calcs!O503),Calcs!O503,Calcs!O503&lt;=80,Calcs!O503,Calcs!O503&gt;=81,"80")</f>
        <v>None</v>
      </c>
      <c r="AG503" s="25">
        <f t="shared" si="21"/>
        <v>1</v>
      </c>
      <c r="AH503" s="25">
        <f t="shared" si="22"/>
        <v>2.5</v>
      </c>
      <c r="AI503" s="25">
        <f t="shared" si="23"/>
        <v>1</v>
      </c>
    </row>
    <row r="504" ht="14.4" spans="1:35">
      <c r="A504" s="24" t="str">
        <f>'Ammo Input'!A504</f>
        <v>4.73x33mm caseless</v>
      </c>
      <c r="B504" t="str">
        <f>'Ammo Input'!B504</f>
        <v>FMJ</v>
      </c>
      <c r="C504">
        <f>ROUNDUP(('Ammo Input'!C504*(MAX('Ammo Input'!D504,'Ammo Input'!F504)*0.5)^2*PI())*3/1000000,2)</f>
        <v>0.01</v>
      </c>
      <c r="D504">
        <f>ROUNDUP(('Ammo Input'!E504+'Ammo Input'!H504*IF('Ammo Input'!J504&lt;&gt;"",MAX('Ammo Input'!J504,1),1))/1000,3)</f>
        <v>0.009</v>
      </c>
      <c r="E504">
        <f>MIN(5000,MAX(25,CEILING(Calcs!L504,_xlfn.IFS(Calcs!L504&lt;100,25,Calcs!L504&lt;250,50,Calcs!L504&lt;1000,250,Calcs!L504&gt;=1000,1000))))</f>
        <v>5000</v>
      </c>
      <c r="F504">
        <f>ROUNDUP('Ammo Input'!G504^(3/4),0)</f>
        <v>168</v>
      </c>
      <c r="G504">
        <f>ROUND((0.5*((IF(OR(B504="HEAT",B504="HEDP"),'Ammo Input'!N504,'Ammo Input'!H504)/1000)*(IF(B504="HEAT",9000,IF(B504="HEDP",1500,'Ammo Input'!G504))^2))),0)</f>
        <v>1425</v>
      </c>
      <c r="H504" s="25" t="str">
        <f>CONCATENATE(IF((B504="Foam")+(B504="Smoke"),"-",ROUND(Calcs!D504,0))," ",VLOOKUP(B504,AmmoTypeFactors,5,FALSE))</f>
        <v>12 Bullet</v>
      </c>
      <c r="I504" s="25" t="str">
        <f>IF(Calcs!E504=0,"None",CONCATENATE(ROUND(Calcs!E504,0)," ",VLOOKUP(B504,AmmoTypeFactors,6,FALSE)))</f>
        <v>None</v>
      </c>
      <c r="J504">
        <f>MROUND(2.42*'Ammo Input'!M504^(1/3)*VLOOKUP(B504,AmmoTypeFactors,3,FALSE),0.5)</f>
        <v>0</v>
      </c>
      <c r="K504" s="25" t="str">
        <f>IF(VLOOKUP(B504,AmmoTypeFactors,12,FALSE),MROUND(J504/3,0.5),"None")</f>
        <v>None</v>
      </c>
      <c r="L504" s="25">
        <f>IF(VLOOKUP(B504,AmmoTypeFactors,8,FALSE),"None",ROUNDUP(IF(Calcs!I504&gt;0,Calcs!I504,Calcs!H504),3))</f>
        <v>28.5</v>
      </c>
      <c r="M504" s="25">
        <f>IF(VLOOKUP(B504,AmmoTypeFactors,8,FALSE),"None",'Ammo Input'!L504)</f>
        <v>6</v>
      </c>
      <c r="N504">
        <f>'Ammo Input'!O504</f>
        <v>500</v>
      </c>
      <c r="O504" t="e">
        <f>ROUND((P504*0.0036+SUMPRODUCT(Q504:AB504,VLOOKUP($Q$1:$AB$1,IngredientStats,2,FALSE)))/N504*IF('Ammo Input'!R504,0.5,1),2)</f>
        <v>#VALUE!</v>
      </c>
      <c r="P504" t="e">
        <f>(SUMPRODUCT(Q504:AB504,VLOOKUP($Q$1:$AB$1,IngredientStats,4,FALSE))*VLOOKUP(B504,AmmoTypeFactors,14,FALSE)*IF('Ammo Input'!R504,1.1,1))</f>
        <v>#VALUE!</v>
      </c>
      <c r="Q504">
        <f>IFERROR(__xludf.DUMMYFUNCTION("((IF(NOT(OR(REGEXMATCH(B500, ""Arrow""), B500 = ""Javelin"", B500 = ""Stick bomb"")), ROUNDUP(('Ammo Input'!E500 / 1000) * N500)) + IF(VLOOKUP(B500, AmmoTypeFactors, 9, FALSE) = ""Steel"", ROUNDUP(('Ammo Input'!H500 -'Ammo Input'!M500) * MAX(IF('Ammo Inpu"&amp;"t'!J500 &gt; 0, 'Ammo Input'!J500, 1), 1) * N500 / 1000))) / 'Ingredient stats'!$C$2) * IF(ISBLANK(VLOOKUP(B500,AmmoTypeFactors,15,False)),1,VLOOKUP(B500,AmmoTypeFactors,15,False))"),10)</f>
        <v>10</v>
      </c>
      <c r="R504">
        <f>IFERROR(__xludf.DUMMYFUNCTION("ROUNDUP((IF(REGEXMATCH(B500, ""Arrow"") + (B500 = ""Javelin""), 'Ammo Input'!E500) + IF(VLOOKUP(B500, AmmoTypeFactors, 9, FALSE) = ""Wood"", 'Ammo Input'!H500) + IF(B500 = ""Stick bomb"", 'Ammo Input'!E500)) * N500 / 'Ingredient stats'!$C$12 / 1000)"),0)</f>
        <v>0</v>
      </c>
      <c r="S504">
        <v>0</v>
      </c>
      <c r="T504">
        <v>0</v>
      </c>
      <c r="U504">
        <f>IF(VLOOKUP(B504,AmmoTypeFactors,9,FALSE)="Plasteel",ROUNDUP(('Ammo Input'!H504*MAX(IF('Ammo Input'!J504&gt;0,'Ammo Input'!J504,1)*N504/1000/'Ingredient stats'!$C$4)),0),0)</f>
        <v>0</v>
      </c>
      <c r="V504">
        <f>IFERROR(__xludf.DUMMYFUNCTION("ROUNDUP(IF(ISBLANK(VLOOKUP(B500,AmmoTypeFactors,16,False)),1,VLOOKUP(B500,AmmoTypeFactors,16,False)) * (IFS(REGEXMATCH(B500, ""EMP""), 'Ammo Input'!M500 * N500 / 'Ingredient stats'!$C$5, REGEXMATCH(B500, ""Charge""), (U500^0.75), true, 0) + (IF(VLOOKUP(B5"&amp;"00, AmmoTypeFactors, 10, false), 2,0) + IF('Ammo Input'!P500, 2,0) + IF('Ammo Input'!Q500,MIN(ROUNDUP(0.2*('Ammo Input'!H500/1000)*'Ammo Input'!O500,0),20),0))))"),0)</f>
        <v>0</v>
      </c>
      <c r="W504">
        <v>0</v>
      </c>
      <c r="X504">
        <v>0</v>
      </c>
      <c r="Y504">
        <v>0</v>
      </c>
      <c r="Z504">
        <v>0</v>
      </c>
      <c r="AA504">
        <v>0</v>
      </c>
      <c r="AB504" s="30">
        <f>IF(B504="Sling Bullet (Stone)",ROUNDUP(D504*0.02*E504/'Ingredient stats'!$C$8,0),0)</f>
        <v>0</v>
      </c>
      <c r="AC504" t="str">
        <f t="shared" si="20"/>
        <v>None</v>
      </c>
      <c r="AD504" t="str">
        <f>IF(OR(B504="Buck",B504="Bird",B504="Charge (Scatter)"),'Ammo Input'!J504,"None")</f>
        <v>None</v>
      </c>
      <c r="AE504" t="str">
        <f>_xlfn.IFS(ISTEXT(Calcs!N504),Calcs!N504,Calcs!N504&lt;=40,Calcs!N504,Calcs!N504&gt;41,"40")</f>
        <v>None</v>
      </c>
      <c r="AF504" t="str">
        <f>_xlfn.IFS(ISTEXT(Calcs!O504),Calcs!O504,Calcs!O504&lt;=80,Calcs!O504,Calcs!O504&gt;=81,"80")</f>
        <v>None</v>
      </c>
      <c r="AG504" s="25">
        <f t="shared" si="21"/>
        <v>1</v>
      </c>
      <c r="AH504" s="25">
        <f t="shared" si="22"/>
        <v>2.74</v>
      </c>
      <c r="AI504" s="25">
        <f t="shared" si="23"/>
        <v>1</v>
      </c>
    </row>
    <row r="505" ht="14.4" spans="1:35">
      <c r="A505" s="24" t="str">
        <f>'Ammo Input'!A505</f>
        <v>4.73x33mm caseless</v>
      </c>
      <c r="B505" t="str">
        <f>'Ammo Input'!B505</f>
        <v>AP</v>
      </c>
      <c r="C505">
        <f>ROUNDUP(('Ammo Input'!C505*(MAX('Ammo Input'!D505,'Ammo Input'!F505)*0.5)^2*PI())*3/1000000,2)</f>
        <v>0.01</v>
      </c>
      <c r="D505">
        <f>ROUNDUP(('Ammo Input'!E505+'Ammo Input'!H505*IF('Ammo Input'!J505&lt;&gt;"",MAX('Ammo Input'!J505,1),1))/1000,3)</f>
        <v>0.009</v>
      </c>
      <c r="E505">
        <f>MIN(5000,MAX(25,CEILING(Calcs!L505,_xlfn.IFS(Calcs!L505&lt;100,25,Calcs!L505&lt;250,50,Calcs!L505&lt;1000,250,Calcs!L505&gt;=1000,1000))))</f>
        <v>5000</v>
      </c>
      <c r="F505">
        <f>ROUNDUP('Ammo Input'!G505^(3/4),0)</f>
        <v>168</v>
      </c>
      <c r="G505">
        <f>ROUND((0.5*((IF(OR(B505="HEAT",B505="HEDP"),'Ammo Input'!N505,'Ammo Input'!H505)/1000)*(IF(B505="HEAT",9000,IF(B505="HEDP",1500,'Ammo Input'!G505))^2))),0)</f>
        <v>1425</v>
      </c>
      <c r="H505" s="25" t="str">
        <f>CONCATENATE(IF((B505="Foam")+(B505="Smoke"),"-",ROUND(Calcs!D505,0))," ",VLOOKUP(B505,AmmoTypeFactors,5,FALSE))</f>
        <v>8 Bullet</v>
      </c>
      <c r="I505" s="25" t="str">
        <f>IF(Calcs!E505=0,"None",CONCATENATE(ROUND(Calcs!E505,0)," ",VLOOKUP(B505,AmmoTypeFactors,6,FALSE)))</f>
        <v>None</v>
      </c>
      <c r="J505">
        <f>MROUND(2.42*'Ammo Input'!M505^(1/3)*VLOOKUP(B505,AmmoTypeFactors,3,FALSE),0.5)</f>
        <v>0</v>
      </c>
      <c r="K505" s="25" t="str">
        <f>IF(VLOOKUP(B505,AmmoTypeFactors,12,FALSE),MROUND(J505/3,0.5),"None")</f>
        <v>None</v>
      </c>
      <c r="L505" s="25">
        <f>IF(VLOOKUP(B505,AmmoTypeFactors,8,FALSE),"None",ROUNDUP(IF(Calcs!I505&gt;0,Calcs!I505,Calcs!H505),3))</f>
        <v>28.5</v>
      </c>
      <c r="M505" s="25">
        <f>IF(VLOOKUP(B505,AmmoTypeFactors,8,FALSE),"None",'Ammo Input'!L505)</f>
        <v>12</v>
      </c>
      <c r="N505">
        <f>'Ammo Input'!O505</f>
        <v>500</v>
      </c>
      <c r="O505" t="e">
        <f>ROUND((P505*0.0036+SUMPRODUCT(Q505:AB505,VLOOKUP($Q$1:$AB$1,IngredientStats,2,FALSE)))/N505*IF('Ammo Input'!R505,0.5,1),2)</f>
        <v>#VALUE!</v>
      </c>
      <c r="P505" t="e">
        <f>(SUMPRODUCT(Q505:AB505,VLOOKUP($Q$1:$AB$1,IngredientStats,4,FALSE))*VLOOKUP(B505,AmmoTypeFactors,14,FALSE)*IF('Ammo Input'!R505,1.1,1))</f>
        <v>#VALUE!</v>
      </c>
      <c r="Q505">
        <f>IFERROR(__xludf.DUMMYFUNCTION("((IF(NOT(OR(REGEXMATCH(B501, ""Arrow""), B501 = ""Javelin"", B501 = ""Stick bomb"")), ROUNDUP(('Ammo Input'!E501 / 1000) * N501)) + IF(VLOOKUP(B501, AmmoTypeFactors, 9, FALSE) = ""Steel"", ROUNDUP(('Ammo Input'!H501 -'Ammo Input'!M501) * MAX(IF('Ammo Inpu"&amp;"t'!J501 &gt; 0, 'Ammo Input'!J501, 1), 1) * N501 / 1000))) / 'Ingredient stats'!$C$2) * IF(ISBLANK(VLOOKUP(B501,AmmoTypeFactors,15,False)),1,VLOOKUP(B501,AmmoTypeFactors,15,False))"),10)</f>
        <v>10</v>
      </c>
      <c r="R505">
        <f>IFERROR(__xludf.DUMMYFUNCTION("ROUNDUP((IF(REGEXMATCH(B501, ""Arrow"") + (B501 = ""Javelin""), 'Ammo Input'!E501) + IF(VLOOKUP(B501, AmmoTypeFactors, 9, FALSE) = ""Wood"", 'Ammo Input'!H501) + IF(B501 = ""Stick bomb"", 'Ammo Input'!E501)) * N501 / 'Ingredient stats'!$C$12 / 1000)"),0)</f>
        <v>0</v>
      </c>
      <c r="S505">
        <v>0</v>
      </c>
      <c r="T505">
        <v>0</v>
      </c>
      <c r="U505">
        <f>IF(VLOOKUP(B505,AmmoTypeFactors,9,FALSE)="Plasteel",ROUNDUP(('Ammo Input'!H505*MAX(IF('Ammo Input'!J505&gt;0,'Ammo Input'!J505,1)*N505/1000/'Ingredient stats'!$C$4)),0),0)</f>
        <v>0</v>
      </c>
      <c r="V505">
        <f>IFERROR(__xludf.DUMMYFUNCTION("ROUNDUP(IF(ISBLANK(VLOOKUP(B501,AmmoTypeFactors,16,False)),1,VLOOKUP(B501,AmmoTypeFactors,16,False)) * (IFS(REGEXMATCH(B501, ""EMP""), 'Ammo Input'!M501 * N501 / 'Ingredient stats'!$C$5, REGEXMATCH(B501, ""Charge""), (U501^0.75), true, 0) + (IF(VLOOKUP(B5"&amp;"01, AmmoTypeFactors, 10, false), 2,0) + IF('Ammo Input'!P501, 2,0) + IF('Ammo Input'!Q501,MIN(ROUNDUP(0.2*('Ammo Input'!H501/1000)*'Ammo Input'!O501,0),20),0))))"),0)</f>
        <v>0</v>
      </c>
      <c r="W505">
        <v>0</v>
      </c>
      <c r="X505">
        <v>0</v>
      </c>
      <c r="Y505">
        <v>0</v>
      </c>
      <c r="Z505">
        <v>0</v>
      </c>
      <c r="AA505">
        <v>0</v>
      </c>
      <c r="AB505" s="30">
        <f>IF(B505="Sling Bullet (Stone)",ROUNDUP(D505*0.02*E505/'Ingredient stats'!$C$8,0),0)</f>
        <v>0</v>
      </c>
      <c r="AC505" t="str">
        <f t="shared" si="20"/>
        <v>None</v>
      </c>
      <c r="AD505" t="str">
        <f>IF(OR(B505="Buck",B505="Bird",B505="Charge (Scatter)"),'Ammo Input'!J505,"None")</f>
        <v>None</v>
      </c>
      <c r="AE505" t="str">
        <f>_xlfn.IFS(ISTEXT(Calcs!N505),Calcs!N505,Calcs!N505&lt;=40,Calcs!N505,Calcs!N505&gt;41,"40")</f>
        <v>None</v>
      </c>
      <c r="AF505" t="str">
        <f>_xlfn.IFS(ISTEXT(Calcs!O505),Calcs!O505,Calcs!O505&lt;=80,Calcs!O505,Calcs!O505&gt;=81,"80")</f>
        <v>None</v>
      </c>
      <c r="AG505" s="25">
        <f t="shared" si="21"/>
        <v>1</v>
      </c>
      <c r="AH505" s="25">
        <f t="shared" si="22"/>
        <v>2.74</v>
      </c>
      <c r="AI505" s="25">
        <f t="shared" si="23"/>
        <v>1</v>
      </c>
    </row>
    <row r="506" ht="14.4" spans="1:35">
      <c r="A506" s="24" t="str">
        <f>'Ammo Input'!A506</f>
        <v>4.73x33mm caseless</v>
      </c>
      <c r="B506" t="str">
        <f>'Ammo Input'!B506</f>
        <v>HP</v>
      </c>
      <c r="C506">
        <f>ROUNDUP(('Ammo Input'!C506*(MAX('Ammo Input'!D506,'Ammo Input'!F506)*0.5)^2*PI())*3/1000000,2)</f>
        <v>0.01</v>
      </c>
      <c r="D506">
        <f>ROUNDUP(('Ammo Input'!E506+'Ammo Input'!H506*IF('Ammo Input'!J506&lt;&gt;"",MAX('Ammo Input'!J506,1),1))/1000,3)</f>
        <v>0.009</v>
      </c>
      <c r="E506">
        <f>MIN(5000,MAX(25,CEILING(Calcs!L506,_xlfn.IFS(Calcs!L506&lt;100,25,Calcs!L506&lt;250,50,Calcs!L506&lt;1000,250,Calcs!L506&gt;=1000,1000))))</f>
        <v>5000</v>
      </c>
      <c r="F506">
        <f>ROUNDUP('Ammo Input'!G506^(3/4),0)</f>
        <v>168</v>
      </c>
      <c r="G506">
        <f>ROUND((0.5*((IF(OR(B506="HEAT",B506="HEDP"),'Ammo Input'!N506,'Ammo Input'!H506)/1000)*(IF(B506="HEAT",9000,IF(B506="HEDP",1500,'Ammo Input'!G506))^2))),0)</f>
        <v>1425</v>
      </c>
      <c r="H506" s="25" t="str">
        <f>CONCATENATE(IF((B506="Foam")+(B506="Smoke"),"-",ROUND(Calcs!D506,0))," ",VLOOKUP(B506,AmmoTypeFactors,5,FALSE))</f>
        <v>16 Bullet</v>
      </c>
      <c r="I506" s="25" t="str">
        <f>IF(Calcs!E506=0,"None",CONCATENATE(ROUND(Calcs!E506,0)," ",VLOOKUP(B506,AmmoTypeFactors,6,FALSE)))</f>
        <v>None</v>
      </c>
      <c r="J506">
        <f>MROUND(2.42*'Ammo Input'!M506^(1/3)*VLOOKUP(B506,AmmoTypeFactors,3,FALSE),0.5)</f>
        <v>0</v>
      </c>
      <c r="K506" s="25" t="str">
        <f>IF(VLOOKUP(B506,AmmoTypeFactors,12,FALSE),MROUND(J506/3,0.5),"None")</f>
        <v>None</v>
      </c>
      <c r="L506" s="25">
        <f>IF(VLOOKUP(B506,AmmoTypeFactors,8,FALSE),"None",ROUNDUP(IF(Calcs!I506&gt;0,Calcs!I506,Calcs!H506),3))</f>
        <v>28.5</v>
      </c>
      <c r="M506" s="25">
        <f>IF(VLOOKUP(B506,AmmoTypeFactors,8,FALSE),"None",'Ammo Input'!L506)</f>
        <v>3</v>
      </c>
      <c r="N506">
        <f>'Ammo Input'!O506</f>
        <v>500</v>
      </c>
      <c r="O506" t="e">
        <f>ROUND((P506*0.0036+SUMPRODUCT(Q506:AB506,VLOOKUP($Q$1:$AB$1,IngredientStats,2,FALSE)))/N506*IF('Ammo Input'!R506,0.5,1),2)</f>
        <v>#VALUE!</v>
      </c>
      <c r="P506" t="e">
        <f>(SUMPRODUCT(Q506:AB506,VLOOKUP($Q$1:$AB$1,IngredientStats,4,FALSE))*VLOOKUP(B506,AmmoTypeFactors,14,FALSE)*IF('Ammo Input'!R506,1.1,1))</f>
        <v>#VALUE!</v>
      </c>
      <c r="Q506">
        <f>IFERROR(__xludf.DUMMYFUNCTION("((IF(NOT(OR(REGEXMATCH(B502, ""Arrow""), B502 = ""Javelin"", B502 = ""Stick bomb"")), ROUNDUP(('Ammo Input'!E502 / 1000) * N502)) + IF(VLOOKUP(B502, AmmoTypeFactors, 9, FALSE) = ""Steel"", ROUNDUP(('Ammo Input'!H502 -'Ammo Input'!M502) * MAX(IF('Ammo Inpu"&amp;"t'!J502 &gt; 0, 'Ammo Input'!J502, 1), 1) * N502 / 1000))) / 'Ingredient stats'!$C$2) * IF(ISBLANK(VLOOKUP(B502,AmmoTypeFactors,15,False)),1,VLOOKUP(B502,AmmoTypeFactors,15,False))"),10)</f>
        <v>10</v>
      </c>
      <c r="R506">
        <f>IFERROR(__xludf.DUMMYFUNCTION("ROUNDUP((IF(REGEXMATCH(B502, ""Arrow"") + (B502 = ""Javelin""), 'Ammo Input'!E502) + IF(VLOOKUP(B502, AmmoTypeFactors, 9, FALSE) = ""Wood"", 'Ammo Input'!H502) + IF(B502 = ""Stick bomb"", 'Ammo Input'!E502)) * N502 / 'Ingredient stats'!$C$12 / 1000)"),0)</f>
        <v>0</v>
      </c>
      <c r="S506">
        <v>0</v>
      </c>
      <c r="T506">
        <v>0</v>
      </c>
      <c r="U506">
        <f>IF(VLOOKUP(B506,AmmoTypeFactors,9,FALSE)="Plasteel",ROUNDUP(('Ammo Input'!H506*MAX(IF('Ammo Input'!J506&gt;0,'Ammo Input'!J506,1)*N506/1000/'Ingredient stats'!$C$4)),0),0)</f>
        <v>0</v>
      </c>
      <c r="V506">
        <f>IFERROR(__xludf.DUMMYFUNCTION("ROUNDUP(IF(ISBLANK(VLOOKUP(B502,AmmoTypeFactors,16,False)),1,VLOOKUP(B502,AmmoTypeFactors,16,False)) * (IFS(REGEXMATCH(B502, ""EMP""), 'Ammo Input'!M502 * N502 / 'Ingredient stats'!$C$5, REGEXMATCH(B502, ""Charge""), (U502^0.75), true, 0) + (IF(VLOOKUP(B5"&amp;"02, AmmoTypeFactors, 10, false), 2,0) + IF('Ammo Input'!P502, 2,0) + IF('Ammo Input'!Q502,MIN(ROUNDUP(0.2*('Ammo Input'!H502/1000)*'Ammo Input'!O502,0),20),0))))"),0)</f>
        <v>0</v>
      </c>
      <c r="W506">
        <v>0</v>
      </c>
      <c r="X506">
        <v>0</v>
      </c>
      <c r="Y506">
        <v>0</v>
      </c>
      <c r="Z506">
        <v>0</v>
      </c>
      <c r="AA506">
        <v>0</v>
      </c>
      <c r="AB506" s="30">
        <f>IF(B506="Sling Bullet (Stone)",ROUNDUP(D506*0.02*E506/'Ingredient stats'!$C$8,0),0)</f>
        <v>0</v>
      </c>
      <c r="AC506" t="str">
        <f t="shared" si="20"/>
        <v>None</v>
      </c>
      <c r="AD506" t="str">
        <f>IF(OR(B506="Buck",B506="Bird",B506="Charge (Scatter)"),'Ammo Input'!J506,"None")</f>
        <v>None</v>
      </c>
      <c r="AE506" t="str">
        <f>_xlfn.IFS(ISTEXT(Calcs!N506),Calcs!N506,Calcs!N506&lt;=40,Calcs!N506,Calcs!N506&gt;41,"40")</f>
        <v>None</v>
      </c>
      <c r="AF506" t="str">
        <f>_xlfn.IFS(ISTEXT(Calcs!O506),Calcs!O506,Calcs!O506&lt;=80,Calcs!O506,Calcs!O506&gt;=81,"80")</f>
        <v>None</v>
      </c>
      <c r="AG506" s="25">
        <f t="shared" si="21"/>
        <v>1</v>
      </c>
      <c r="AH506" s="25">
        <f t="shared" si="22"/>
        <v>2.74</v>
      </c>
      <c r="AI506" s="25">
        <f t="shared" si="23"/>
        <v>1</v>
      </c>
    </row>
    <row r="507" ht="14.4" spans="1:35">
      <c r="A507" s="24" t="str">
        <f>'Ammo Input'!A507</f>
        <v>4.73x33mm caseless</v>
      </c>
      <c r="B507" t="str">
        <f>'Ammo Input'!B507</f>
        <v>AP-I</v>
      </c>
      <c r="C507">
        <f>ROUNDUP(('Ammo Input'!C507*(MAX('Ammo Input'!D507,'Ammo Input'!F507)*0.5)^2*PI())*3/1000000,2)</f>
        <v>0.01</v>
      </c>
      <c r="D507">
        <f>ROUNDUP(('Ammo Input'!E507+'Ammo Input'!H507*IF('Ammo Input'!J507&lt;&gt;"",MAX('Ammo Input'!J507,1),1))/1000,3)</f>
        <v>0.009</v>
      </c>
      <c r="E507">
        <f>MIN(5000,MAX(25,CEILING(Calcs!L507,_xlfn.IFS(Calcs!L507&lt;100,25,Calcs!L507&lt;250,50,Calcs!L507&lt;1000,250,Calcs!L507&gt;=1000,1000))))</f>
        <v>5000</v>
      </c>
      <c r="F507">
        <f>ROUNDUP('Ammo Input'!G507^(3/4),0)</f>
        <v>168</v>
      </c>
      <c r="G507">
        <f>ROUND((0.5*((IF(OR(B507="HEAT",B507="HEDP"),'Ammo Input'!N507,'Ammo Input'!H507)/1000)*(IF(B507="HEAT",9000,IF(B507="HEDP",1500,'Ammo Input'!G507))^2))),0)</f>
        <v>1425</v>
      </c>
      <c r="H507" s="25" t="str">
        <f>CONCATENATE(IF((B507="Foam")+(B507="Smoke"),"-",ROUND(Calcs!D507,0))," ",VLOOKUP(B507,AmmoTypeFactors,5,FALSE))</f>
        <v>8 Bullet</v>
      </c>
      <c r="I507" s="25" t="str">
        <f>IF(Calcs!E507=0,"None",CONCATENATE(ROUND(Calcs!E507,0)," ",VLOOKUP(B507,AmmoTypeFactors,6,FALSE)))</f>
        <v>3 Flame_Secondary</v>
      </c>
      <c r="J507">
        <f>MROUND(2.42*'Ammo Input'!M507^(1/3)*VLOOKUP(B507,AmmoTypeFactors,3,FALSE),0.5)</f>
        <v>0</v>
      </c>
      <c r="K507" s="25" t="str">
        <f>IF(VLOOKUP(B507,AmmoTypeFactors,12,FALSE),MROUND(J507/3,0.5),"None")</f>
        <v>None</v>
      </c>
      <c r="L507" s="25">
        <f>IF(VLOOKUP(B507,AmmoTypeFactors,8,FALSE),"None",ROUNDUP(IF(Calcs!I507&gt;0,Calcs!I507,Calcs!H507),3))</f>
        <v>28.5</v>
      </c>
      <c r="M507" s="25">
        <f>IF(VLOOKUP(B507,AmmoTypeFactors,8,FALSE),"None",'Ammo Input'!L507)</f>
        <v>12</v>
      </c>
      <c r="N507">
        <f>'Ammo Input'!O507</f>
        <v>500</v>
      </c>
      <c r="O507" t="e">
        <f>ROUND((P507*0.0036+SUMPRODUCT(Q507:AB507,VLOOKUP($Q$1:$AB$1,IngredientStats,2,FALSE)))/N507*IF('Ammo Input'!R507,0.5,1),2)</f>
        <v>#VALUE!</v>
      </c>
      <c r="P507" t="e">
        <f>(SUMPRODUCT(Q507:AB507,VLOOKUP($Q$1:$AB$1,IngredientStats,4,FALSE))*VLOOKUP(B507,AmmoTypeFactors,14,FALSE)*IF('Ammo Input'!R507,1.1,1))</f>
        <v>#VALUE!</v>
      </c>
      <c r="Q507">
        <f>IFERROR(__xludf.DUMMYFUNCTION("((IF(NOT(OR(REGEXMATCH(B503, ""Arrow""), B503 = ""Javelin"", B503 = ""Stick bomb"")), ROUNDUP(('Ammo Input'!E503 / 1000) * N503)) + IF(VLOOKUP(B503, AmmoTypeFactors, 9, FALSE) = ""Steel"", ROUNDUP(('Ammo Input'!H503 -'Ammo Input'!M503) * MAX(IF('Ammo Inpu"&amp;"t'!J503 &gt; 0, 'Ammo Input'!J503, 1), 1) * N503 / 1000))) / 'Ingredient stats'!$C$2) * IF(ISBLANK(VLOOKUP(B503,AmmoTypeFactors,15,False)),1,VLOOKUP(B503,AmmoTypeFactors,15,False))"),10)</f>
        <v>10</v>
      </c>
      <c r="R507">
        <f>IFERROR(__xludf.DUMMYFUNCTION("ROUNDUP((IF(REGEXMATCH(B503, ""Arrow"") + (B503 = ""Javelin""), 'Ammo Input'!E503) + IF(VLOOKUP(B503, AmmoTypeFactors, 9, FALSE) = ""Wood"", 'Ammo Input'!H503) + IF(B503 = ""Stick bomb"", 'Ammo Input'!E503)) * N503 / 'Ingredient stats'!$C$12 / 1000)"),0)</f>
        <v>0</v>
      </c>
      <c r="S507">
        <v>0</v>
      </c>
      <c r="T507">
        <v>0</v>
      </c>
      <c r="U507">
        <f>IF(VLOOKUP(B507,AmmoTypeFactors,9,FALSE)="Plasteel",ROUNDUP(('Ammo Input'!H507*MAX(IF('Ammo Input'!J507&gt;0,'Ammo Input'!J507,1)*N507/1000/'Ingredient stats'!$C$4)),0),0)</f>
        <v>0</v>
      </c>
      <c r="V507">
        <f>IFERROR(__xludf.DUMMYFUNCTION("ROUNDUP(IF(ISBLANK(VLOOKUP(B503,AmmoTypeFactors,16,False)),1,VLOOKUP(B503,AmmoTypeFactors,16,False)) * (IFS(REGEXMATCH(B503, ""EMP""), 'Ammo Input'!M503 * N503 / 'Ingredient stats'!$C$5, REGEXMATCH(B503, ""Charge""), (U503^0.75), true, 0) + (IF(VLOOKUP(B5"&amp;"03, AmmoTypeFactors, 10, false), 2,0) + IF('Ammo Input'!P503, 2,0) + IF('Ammo Input'!Q503,MIN(ROUNDUP(0.2*('Ammo Input'!H503/1000)*'Ammo Input'!O503,0),20),0))))"),0)</f>
        <v>0</v>
      </c>
      <c r="W507">
        <v>1</v>
      </c>
      <c r="X507">
        <v>0</v>
      </c>
      <c r="Y507">
        <v>0</v>
      </c>
      <c r="Z507">
        <v>0</v>
      </c>
      <c r="AA507">
        <v>0</v>
      </c>
      <c r="AB507" s="30">
        <f>IF(B507="Sling Bullet (Stone)",ROUNDUP(D507*0.02*E507/'Ingredient stats'!$C$8,0),0)</f>
        <v>0</v>
      </c>
      <c r="AC507" t="str">
        <f t="shared" si="20"/>
        <v>None</v>
      </c>
      <c r="AD507" t="str">
        <f>IF(OR(B507="Buck",B507="Bird",B507="Charge (Scatter)"),'Ammo Input'!J507,"None")</f>
        <v>None</v>
      </c>
      <c r="AE507" t="str">
        <f>_xlfn.IFS(ISTEXT(Calcs!N507),Calcs!N507,Calcs!N507&lt;=40,Calcs!N507,Calcs!N507&gt;41,"40")</f>
        <v>None</v>
      </c>
      <c r="AF507" t="str">
        <f>_xlfn.IFS(ISTEXT(Calcs!O507),Calcs!O507,Calcs!O507&lt;=80,Calcs!O507,Calcs!O507&gt;=81,"80")</f>
        <v>None</v>
      </c>
      <c r="AG507" s="25">
        <f t="shared" si="21"/>
        <v>1</v>
      </c>
      <c r="AH507" s="25">
        <f t="shared" si="22"/>
        <v>2.74</v>
      </c>
      <c r="AI507" s="25">
        <f t="shared" si="23"/>
        <v>1</v>
      </c>
    </row>
    <row r="508" ht="14.4" spans="1:35">
      <c r="A508" s="24" t="str">
        <f>'Ammo Input'!A508</f>
        <v>4.73x33mm caseless</v>
      </c>
      <c r="B508" t="str">
        <f>'Ammo Input'!B508</f>
        <v>AP-HE</v>
      </c>
      <c r="C508">
        <f>ROUNDUP(('Ammo Input'!C508*(MAX('Ammo Input'!D508,'Ammo Input'!F508)*0.5)^2*PI())*3/1000000,2)</f>
        <v>0.01</v>
      </c>
      <c r="D508">
        <f>ROUNDUP(('Ammo Input'!E508+'Ammo Input'!H508*IF('Ammo Input'!J508&lt;&gt;"",MAX('Ammo Input'!J508,1),1))/1000,3)</f>
        <v>0.009</v>
      </c>
      <c r="E508">
        <f>MIN(5000,MAX(25,CEILING(Calcs!L508,_xlfn.IFS(Calcs!L508&lt;100,25,Calcs!L508&lt;250,50,Calcs!L508&lt;1000,250,Calcs!L508&gt;=1000,1000))))</f>
        <v>5000</v>
      </c>
      <c r="F508">
        <f>ROUNDUP('Ammo Input'!G508^(3/4),0)</f>
        <v>168</v>
      </c>
      <c r="G508">
        <f>ROUND((0.5*((IF(OR(B508="HEAT",B508="HEDP"),'Ammo Input'!N508,'Ammo Input'!H508)/1000)*(IF(B508="HEAT",9000,IF(B508="HEDP",1500,'Ammo Input'!G508))^2))),0)</f>
        <v>1425</v>
      </c>
      <c r="H508" s="25" t="str">
        <f>CONCATENATE(IF((B508="Foam")+(B508="Smoke"),"-",ROUND(Calcs!D508,0))," ",VLOOKUP(B508,AmmoTypeFactors,5,FALSE))</f>
        <v>12 Bullet</v>
      </c>
      <c r="I508" s="25" t="str">
        <f>IF(Calcs!E508=0,"None",CONCATENATE(ROUND(Calcs!E508,0)," ",VLOOKUP(B508,AmmoTypeFactors,6,FALSE)))</f>
        <v>4 Bomb_Secondary</v>
      </c>
      <c r="J508">
        <f>MROUND(2.42*'Ammo Input'!M508^(1/3)*VLOOKUP(B508,AmmoTypeFactors,3,FALSE),0.5)</f>
        <v>0</v>
      </c>
      <c r="K508" s="25" t="str">
        <f>IF(VLOOKUP(B508,AmmoTypeFactors,12,FALSE),MROUND(J508/3,0.5),"None")</f>
        <v>None</v>
      </c>
      <c r="L508" s="25">
        <f>IF(VLOOKUP(B508,AmmoTypeFactors,8,FALSE),"None",ROUNDUP(IF(Calcs!I508&gt;0,Calcs!I508,Calcs!H508),3))</f>
        <v>28.5</v>
      </c>
      <c r="M508" s="25">
        <f>IF(VLOOKUP(B508,AmmoTypeFactors,8,FALSE),"None",'Ammo Input'!L508)</f>
        <v>6</v>
      </c>
      <c r="N508">
        <f>'Ammo Input'!O508</f>
        <v>500</v>
      </c>
      <c r="O508" t="e">
        <f>ROUND((P508*0.0036+SUMPRODUCT(Q508:AB508,VLOOKUP($Q$1:$AB$1,IngredientStats,2,FALSE)))/N508*IF('Ammo Input'!R508,0.5,1),2)</f>
        <v>#VALUE!</v>
      </c>
      <c r="P508" t="e">
        <f>(SUMPRODUCT(Q508:AB508,VLOOKUP($Q$1:$AB$1,IngredientStats,4,FALSE))*VLOOKUP(B508,AmmoTypeFactors,14,FALSE)*IF('Ammo Input'!R508,1.1,1))</f>
        <v>#VALUE!</v>
      </c>
      <c r="Q508">
        <f>IFERROR(__xludf.DUMMYFUNCTION("((IF(NOT(OR(REGEXMATCH(B504, ""Arrow""), B504 = ""Javelin"", B504 = ""Stick bomb"")), ROUNDUP(('Ammo Input'!E504 / 1000) * N504)) + IF(VLOOKUP(B504, AmmoTypeFactors, 9, FALSE) = ""Steel"", ROUNDUP(('Ammo Input'!H504 -'Ammo Input'!M504) * MAX(IF('Ammo Inpu"&amp;"t'!J504 &gt; 0, 'Ammo Input'!J504, 1), 1) * N504 / 1000))) / 'Ingredient stats'!$C$2) * IF(ISBLANK(VLOOKUP(B504,AmmoTypeFactors,15,False)),1,VLOOKUP(B504,AmmoTypeFactors,15,False))"),10)</f>
        <v>10</v>
      </c>
      <c r="R508">
        <f>IFERROR(__xludf.DUMMYFUNCTION("ROUNDUP((IF(REGEXMATCH(B504, ""Arrow"") + (B504 = ""Javelin""), 'Ammo Input'!E504) + IF(VLOOKUP(B504, AmmoTypeFactors, 9, FALSE) = ""Wood"", 'Ammo Input'!H504) + IF(B504 = ""Stick bomb"", 'Ammo Input'!E504)) * N504 / 'Ingredient stats'!$C$12 / 1000)"),0)</f>
        <v>0</v>
      </c>
      <c r="S508">
        <v>0</v>
      </c>
      <c r="T508">
        <v>0</v>
      </c>
      <c r="U508">
        <f>IF(VLOOKUP(B508,AmmoTypeFactors,9,FALSE)="Plasteel",ROUNDUP(('Ammo Input'!H508*MAX(IF('Ammo Input'!J508&gt;0,'Ammo Input'!J508,1)*N508/1000/'Ingredient stats'!$C$4)),0),0)</f>
        <v>0</v>
      </c>
      <c r="V508">
        <f>IFERROR(__xludf.DUMMYFUNCTION("ROUNDUP(IF(ISBLANK(VLOOKUP(B504,AmmoTypeFactors,16,False)),1,VLOOKUP(B504,AmmoTypeFactors,16,False)) * (IFS(REGEXMATCH(B504, ""EMP""), 'Ammo Input'!M504 * N504 / 'Ingredient stats'!$C$5, REGEXMATCH(B504, ""Charge""), (U504^0.75), true, 0) + (IF(VLOOKUP(B5"&amp;"04, AmmoTypeFactors, 10, false), 2,0) + IF('Ammo Input'!P504, 2,0) + IF('Ammo Input'!Q504,MIN(ROUNDUP(0.2*('Ammo Input'!H504/1000)*'Ammo Input'!O504,0),20),0))))"),0)</f>
        <v>0</v>
      </c>
      <c r="W508">
        <v>0</v>
      </c>
      <c r="X508">
        <v>2</v>
      </c>
      <c r="Y508">
        <v>0</v>
      </c>
      <c r="Z508">
        <v>0</v>
      </c>
      <c r="AA508">
        <v>0</v>
      </c>
      <c r="AB508" s="30">
        <f>IF(B508="Sling Bullet (Stone)",ROUNDUP(D508*0.02*E508/'Ingredient stats'!$C$8,0),0)</f>
        <v>0</v>
      </c>
      <c r="AC508" t="str">
        <f t="shared" si="20"/>
        <v>None</v>
      </c>
      <c r="AD508" t="str">
        <f>IF(OR(B508="Buck",B508="Bird",B508="Charge (Scatter)"),'Ammo Input'!J508,"None")</f>
        <v>None</v>
      </c>
      <c r="AE508" t="str">
        <f>_xlfn.IFS(ISTEXT(Calcs!N508),Calcs!N508,Calcs!N508&lt;=40,Calcs!N508,Calcs!N508&gt;41,"40")</f>
        <v>None</v>
      </c>
      <c r="AF508" t="str">
        <f>_xlfn.IFS(ISTEXT(Calcs!O508),Calcs!O508,Calcs!O508&lt;=80,Calcs!O508,Calcs!O508&gt;=81,"80")</f>
        <v>None</v>
      </c>
      <c r="AG508" s="25">
        <f t="shared" si="21"/>
        <v>1</v>
      </c>
      <c r="AH508" s="25">
        <f t="shared" si="22"/>
        <v>2.74</v>
      </c>
      <c r="AI508" s="25">
        <f t="shared" si="23"/>
        <v>1</v>
      </c>
    </row>
    <row r="509" ht="14.4" spans="1:35">
      <c r="A509" s="24" t="str">
        <f>'Ammo Input'!A509</f>
        <v>4.73x33mm caseless</v>
      </c>
      <c r="B509" t="str">
        <f>'Ammo Input'!B509</f>
        <v>Sabot</v>
      </c>
      <c r="C509">
        <f>ROUNDUP(('Ammo Input'!C509*(MAX('Ammo Input'!D509,'Ammo Input'!F509)*0.5)^2*PI())*3/1000000,2)</f>
        <v>0.01</v>
      </c>
      <c r="D509">
        <f>ROUNDUP(('Ammo Input'!E509+'Ammo Input'!H509*IF('Ammo Input'!J509&lt;&gt;"",MAX('Ammo Input'!J509,1),1))/1000,3)</f>
        <v>0.008</v>
      </c>
      <c r="E509">
        <f>MIN(5000,MAX(25,CEILING(Calcs!L509,_xlfn.IFS(Calcs!L509&lt;100,25,Calcs!L509&lt;250,50,Calcs!L509&lt;1000,250,Calcs!L509&gt;=1000,1000))))</f>
        <v>5000</v>
      </c>
      <c r="F509">
        <f>ROUNDUP('Ammo Input'!G509^(3/4),0)</f>
        <v>228</v>
      </c>
      <c r="G509">
        <f>ROUND((0.5*((IF(OR(B509="HEAT",B509="HEDP"),'Ammo Input'!N509,'Ammo Input'!H509)/1000)*(IF(B509="HEAT",9000,IF(B509="HEDP",1500,'Ammo Input'!G509))^2))),0)</f>
        <v>1829</v>
      </c>
      <c r="H509" s="25" t="str">
        <f>CONCATENATE(IF((B509="Foam")+(B509="Smoke"),"-",ROUND(Calcs!D509,0))," ",VLOOKUP(B509,AmmoTypeFactors,5,FALSE))</f>
        <v>6 Bullet</v>
      </c>
      <c r="I509" s="25" t="str">
        <f>IF(Calcs!E509=0,"None",CONCATENATE(ROUND(Calcs!E509,0)," ",VLOOKUP(B509,AmmoTypeFactors,6,FALSE)))</f>
        <v>None</v>
      </c>
      <c r="J509">
        <f>MROUND(2.42*'Ammo Input'!M509^(1/3)*VLOOKUP(B509,AmmoTypeFactors,3,FALSE),0.5)</f>
        <v>0</v>
      </c>
      <c r="K509" s="25" t="str">
        <f>IF(VLOOKUP(B509,AmmoTypeFactors,12,FALSE),MROUND(J509/3,0.5),"None")</f>
        <v>None</v>
      </c>
      <c r="L509" s="25">
        <f>IF(VLOOKUP(B509,AmmoTypeFactors,8,FALSE),"None",ROUNDUP(IF(Calcs!I509&gt;0,Calcs!I509,Calcs!H509),3))</f>
        <v>36.58</v>
      </c>
      <c r="M509" s="25">
        <f>IF(VLOOKUP(B509,AmmoTypeFactors,8,FALSE),"None",'Ammo Input'!L509)</f>
        <v>21</v>
      </c>
      <c r="N509">
        <f>'Ammo Input'!O509</f>
        <v>500</v>
      </c>
      <c r="O509" t="e">
        <f>ROUND((P509*0.0036+SUMPRODUCT(Q509:AB509,VLOOKUP($Q$1:$AB$1,IngredientStats,2,FALSE)))/N509*IF('Ammo Input'!R509,0.5,1),2)</f>
        <v>#VALUE!</v>
      </c>
      <c r="P509" t="e">
        <f>(SUMPRODUCT(Q509:AB509,VLOOKUP($Q$1:$AB$1,IngredientStats,4,FALSE))*VLOOKUP(B509,AmmoTypeFactors,14,FALSE)*IF('Ammo Input'!R509,1.1,1))</f>
        <v>#VALUE!</v>
      </c>
      <c r="Q509">
        <f>IFERROR(__xludf.DUMMYFUNCTION("((IF(NOT(OR(REGEXMATCH(B505, ""Arrow""), B505 = ""Javelin"", B505 = ""Stick bomb"")), ROUNDUP(('Ammo Input'!E505 / 1000) * N505)) + IF(VLOOKUP(B505, AmmoTypeFactors, 9, FALSE) = ""Steel"", ROUNDUP(('Ammo Input'!H505 -'Ammo Input'!M505) * MAX(IF('Ammo Inpu"&amp;"t'!J505 &gt; 0, 'Ammo Input'!J505, 1), 1) * N505 / 1000))) / 'Ingredient stats'!$C$2) * IF(ISBLANK(VLOOKUP(B505,AmmoTypeFactors,15,False)),1,VLOOKUP(B505,AmmoTypeFactors,15,False))"),6)</f>
        <v>6</v>
      </c>
      <c r="R509">
        <f>IFERROR(__xludf.DUMMYFUNCTION("ROUNDUP((IF(REGEXMATCH(B505, ""Arrow"") + (B505 = ""Javelin""), 'Ammo Input'!E505) + IF(VLOOKUP(B505, AmmoTypeFactors, 9, FALSE) = ""Wood"", 'Ammo Input'!H505) + IF(B505 = ""Stick bomb"", 'Ammo Input'!E505)) * N505 / 'Ingredient stats'!$C$12 / 1000)"),0)</f>
        <v>0</v>
      </c>
      <c r="S509">
        <v>1</v>
      </c>
      <c r="T509">
        <v>1</v>
      </c>
      <c r="U509">
        <f>IF(VLOOKUP(B509,AmmoTypeFactors,9,FALSE)="Plasteel",ROUNDUP(('Ammo Input'!H509*MAX(IF('Ammo Input'!J509&gt;0,'Ammo Input'!J509,1)*N509/1000/'Ingredient stats'!$C$4)),0),0)</f>
        <v>0</v>
      </c>
      <c r="V509">
        <f>IFERROR(__xludf.DUMMYFUNCTION("ROUNDUP(IF(ISBLANK(VLOOKUP(B505,AmmoTypeFactors,16,False)),1,VLOOKUP(B505,AmmoTypeFactors,16,False)) * (IFS(REGEXMATCH(B505, ""EMP""), 'Ammo Input'!M505 * N505 / 'Ingredient stats'!$C$5, REGEXMATCH(B505, ""Charge""), (U505^0.75), true, 0) + (IF(VLOOKUP(B5"&amp;"05, AmmoTypeFactors, 10, false), 2,0) + IF('Ammo Input'!P505, 2,0) + IF('Ammo Input'!Q505,MIN(ROUNDUP(0.2*('Ammo Input'!H505/1000)*'Ammo Input'!O505,0),20),0))))"),0)</f>
        <v>0</v>
      </c>
      <c r="W509">
        <v>0</v>
      </c>
      <c r="X509">
        <v>0</v>
      </c>
      <c r="Y509">
        <v>0</v>
      </c>
      <c r="Z509">
        <v>0</v>
      </c>
      <c r="AA509">
        <v>0</v>
      </c>
      <c r="AB509" s="30">
        <f>IF(B509="Sling Bullet (Stone)",ROUNDUP(D509*0.02*E509/'Ingredient stats'!$C$8,0),0)</f>
        <v>0</v>
      </c>
      <c r="AC509" t="str">
        <f t="shared" si="20"/>
        <v>None</v>
      </c>
      <c r="AD509" t="str">
        <f>IF(OR(B509="Buck",B509="Bird",B509="Charge (Scatter)"),'Ammo Input'!J509,"None")</f>
        <v>None</v>
      </c>
      <c r="AE509" t="str">
        <f>_xlfn.IFS(ISTEXT(Calcs!N509),Calcs!N509,Calcs!N509&lt;=40,Calcs!N509,Calcs!N509&gt;41,"40")</f>
        <v>None</v>
      </c>
      <c r="AF509" t="str">
        <f>_xlfn.IFS(ISTEXT(Calcs!O509),Calcs!O509,Calcs!O509&lt;=80,Calcs!O509,Calcs!O509&gt;=81,"80")</f>
        <v>None</v>
      </c>
      <c r="AG509" s="25">
        <f t="shared" si="21"/>
        <v>1</v>
      </c>
      <c r="AH509" s="25">
        <f t="shared" si="22"/>
        <v>3.7</v>
      </c>
      <c r="AI509" s="25">
        <f t="shared" si="23"/>
        <v>1</v>
      </c>
    </row>
    <row r="510" ht="14.4" spans="1:35">
      <c r="A510" s="24" t="str">
        <f>'Ammo Input'!A510</f>
        <v>5.8x42mm DBP10</v>
      </c>
      <c r="B510" t="str">
        <f>'Ammo Input'!B510</f>
        <v>FMJ</v>
      </c>
      <c r="C510">
        <f>ROUNDUP(('Ammo Input'!C510*(MAX('Ammo Input'!D510,'Ammo Input'!F510)*0.5)^2*PI())*3/1000000,2)</f>
        <v>0.02</v>
      </c>
      <c r="D510">
        <f>ROUNDUP(('Ammo Input'!E510+'Ammo Input'!H510*IF('Ammo Input'!J510&lt;&gt;"",MAX('Ammo Input'!J510,1),1))/1000,3)</f>
        <v>0.015</v>
      </c>
      <c r="E510">
        <f>MIN(5000,MAX(25,CEILING(Calcs!L510,_xlfn.IFS(Calcs!L510&lt;100,25,Calcs!L510&lt;250,50,Calcs!L510&lt;1000,250,Calcs!L510&gt;=1000,1000))))</f>
        <v>5000</v>
      </c>
      <c r="F510">
        <f>ROUNDUP('Ammo Input'!G510^(3/4),0)</f>
        <v>169</v>
      </c>
      <c r="G510">
        <f>ROUND((0.5*((IF(OR(B510="HEAT",B510="HEDP"),'Ammo Input'!N510,'Ammo Input'!H510)/1000)*(IF(B510="HEAT",9000,IF(B510="HEDP",1500,'Ammo Input'!G510))^2))),0)</f>
        <v>1795</v>
      </c>
      <c r="H510" s="25" t="str">
        <f>CONCATENATE(IF((B510="Foam")+(B510="Smoke"),"-",ROUND(Calcs!D510,0))," ",VLOOKUP(B510,AmmoTypeFactors,5,FALSE))</f>
        <v>14 Bullet</v>
      </c>
      <c r="I510" s="25" t="str">
        <f>IF(Calcs!E510=0,"None",CONCATENATE(ROUND(Calcs!E510,0)," ",VLOOKUP(B510,AmmoTypeFactors,6,FALSE)))</f>
        <v>None</v>
      </c>
      <c r="J510">
        <f>MROUND(2.42*'Ammo Input'!M510^(1/3)*VLOOKUP(B510,AmmoTypeFactors,3,FALSE),0.5)</f>
        <v>0</v>
      </c>
      <c r="K510" s="25" t="str">
        <f>IF(VLOOKUP(B510,AmmoTypeFactors,12,FALSE),MROUND(J510/3,0.5),"None")</f>
        <v>None</v>
      </c>
      <c r="L510" s="25">
        <f>IF(VLOOKUP(B510,AmmoTypeFactors,8,FALSE),"None",ROUNDUP(IF(Calcs!I510&gt;0,Calcs!I510,Calcs!H510),3))</f>
        <v>35.9</v>
      </c>
      <c r="M510" s="25">
        <f>IF(VLOOKUP(B510,AmmoTypeFactors,8,FALSE),"None",'Ammo Input'!L510)</f>
        <v>6</v>
      </c>
      <c r="N510">
        <f>'Ammo Input'!O510</f>
        <v>500</v>
      </c>
      <c r="O510" t="e">
        <f>ROUND((P510*0.0036+SUMPRODUCT(Q510:AB510,VLOOKUP($Q$1:$AB$1,IngredientStats,2,FALSE)))/N510*IF('Ammo Input'!R510,0.5,1),2)</f>
        <v>#VALUE!</v>
      </c>
      <c r="P510" t="e">
        <f>(SUMPRODUCT(Q510:AB510,VLOOKUP($Q$1:$AB$1,IngredientStats,4,FALSE))*VLOOKUP(B510,AmmoTypeFactors,14,FALSE)*IF('Ammo Input'!R510,1.1,1))</f>
        <v>#VALUE!</v>
      </c>
      <c r="Q510">
        <f>IFERROR(__xludf.DUMMYFUNCTION("((IF(NOT(OR(REGEXMATCH(B506, ""Arrow""), B506 = ""Javelin"", B506 = ""Stick bomb"")), ROUNDUP(('Ammo Input'!E506 / 1000) * N506)) + IF(VLOOKUP(B506, AmmoTypeFactors, 9, FALSE) = ""Steel"", ROUNDUP(('Ammo Input'!H506 -'Ammo Input'!M506) * MAX(IF('Ammo Inpu"&amp;"t'!J506 &gt; 0, 'Ammo Input'!J506, 1), 1) * N506 / 1000))) / 'Ingredient stats'!$C$2) * IF(ISBLANK(VLOOKUP(B506,AmmoTypeFactors,15,False)),1,VLOOKUP(B506,AmmoTypeFactors,15,False))"),18)</f>
        <v>18</v>
      </c>
      <c r="R510">
        <f>IFERROR(__xludf.DUMMYFUNCTION("ROUNDUP((IF(REGEXMATCH(B506, ""Arrow"") + (B506 = ""Javelin""), 'Ammo Input'!E506) + IF(VLOOKUP(B506, AmmoTypeFactors, 9, FALSE) = ""Wood"", 'Ammo Input'!H506) + IF(B506 = ""Stick bomb"", 'Ammo Input'!E506)) * N506 / 'Ingredient stats'!$C$12 / 1000)"),0)</f>
        <v>0</v>
      </c>
      <c r="S510">
        <v>0</v>
      </c>
      <c r="T510">
        <v>0</v>
      </c>
      <c r="U510">
        <f>IF(VLOOKUP(B510,AmmoTypeFactors,9,FALSE)="Plasteel",ROUNDUP(('Ammo Input'!H510*MAX(IF('Ammo Input'!J510&gt;0,'Ammo Input'!J510,1)*N510/1000/'Ingredient stats'!$C$4)),0),0)</f>
        <v>0</v>
      </c>
      <c r="V510">
        <f>IFERROR(__xludf.DUMMYFUNCTION("ROUNDUP(IF(ISBLANK(VLOOKUP(B506,AmmoTypeFactors,16,False)),1,VLOOKUP(B506,AmmoTypeFactors,16,False)) * (IFS(REGEXMATCH(B506, ""EMP""), 'Ammo Input'!M506 * N506 / 'Ingredient stats'!$C$5, REGEXMATCH(B506, ""Charge""), (U506^0.75), true, 0) + (IF(VLOOKUP(B5"&amp;"06, AmmoTypeFactors, 10, false), 2,0) + IF('Ammo Input'!P506, 2,0) + IF('Ammo Input'!Q506,MIN(ROUNDUP(0.2*('Ammo Input'!H506/1000)*'Ammo Input'!O506,0),20),0))))"),0)</f>
        <v>0</v>
      </c>
      <c r="W510">
        <v>0</v>
      </c>
      <c r="X510">
        <v>0</v>
      </c>
      <c r="Y510">
        <v>0</v>
      </c>
      <c r="Z510">
        <v>0</v>
      </c>
      <c r="AA510">
        <v>0</v>
      </c>
      <c r="AB510" s="30">
        <f>IF(B510="Sling Bullet (Stone)",ROUNDUP(D510*0.02*E510/'Ingredient stats'!$C$8,0),0)</f>
        <v>0</v>
      </c>
      <c r="AC510" t="str">
        <f t="shared" si="20"/>
        <v>None</v>
      </c>
      <c r="AD510" t="str">
        <f>IF(OR(B510="Buck",B510="Bird",B510="Charge (Scatter)"),'Ammo Input'!J510,"None")</f>
        <v>None</v>
      </c>
      <c r="AE510" t="str">
        <f>_xlfn.IFS(ISTEXT(Calcs!N510),Calcs!N510,Calcs!N510&lt;=40,Calcs!N510,Calcs!N510&gt;41,"40")</f>
        <v>None</v>
      </c>
      <c r="AF510" t="str">
        <f>_xlfn.IFS(ISTEXT(Calcs!O510),Calcs!O510,Calcs!O510&lt;=80,Calcs!O510,Calcs!O510&gt;=81,"80")</f>
        <v>None</v>
      </c>
      <c r="AG510" s="25">
        <f t="shared" si="21"/>
        <v>1</v>
      </c>
      <c r="AH510" s="25">
        <f t="shared" si="22"/>
        <v>2.74</v>
      </c>
      <c r="AI510" s="25">
        <f t="shared" si="23"/>
        <v>1</v>
      </c>
    </row>
    <row r="511" ht="14.4" spans="1:35">
      <c r="A511" s="24" t="str">
        <f>'Ammo Input'!A511</f>
        <v>5.8x42mm DBP10</v>
      </c>
      <c r="B511" t="str">
        <f>'Ammo Input'!B511</f>
        <v>AP</v>
      </c>
      <c r="C511">
        <f>ROUNDUP(('Ammo Input'!C511*(MAX('Ammo Input'!D511,'Ammo Input'!F511)*0.5)^2*PI())*3/1000000,2)</f>
        <v>0.02</v>
      </c>
      <c r="D511">
        <f>ROUNDUP(('Ammo Input'!E511+'Ammo Input'!H511*IF('Ammo Input'!J511&lt;&gt;"",MAX('Ammo Input'!J511,1),1))/1000,3)</f>
        <v>0.015</v>
      </c>
      <c r="E511">
        <f>MIN(5000,MAX(25,CEILING(Calcs!L511,_xlfn.IFS(Calcs!L511&lt;100,25,Calcs!L511&lt;250,50,Calcs!L511&lt;1000,250,Calcs!L511&gt;=1000,1000))))</f>
        <v>5000</v>
      </c>
      <c r="F511">
        <f>ROUNDUP('Ammo Input'!G511^(3/4),0)</f>
        <v>169</v>
      </c>
      <c r="G511">
        <f>ROUND((0.5*((IF(OR(B511="HEAT",B511="HEDP"),'Ammo Input'!N511,'Ammo Input'!H511)/1000)*(IF(B511="HEAT",9000,IF(B511="HEDP",1500,'Ammo Input'!G511))^2))),0)</f>
        <v>1795</v>
      </c>
      <c r="H511" s="25" t="str">
        <f>CONCATENATE(IF((B511="Foam")+(B511="Smoke"),"-",ROUND(Calcs!D511,0))," ",VLOOKUP(B511,AmmoTypeFactors,5,FALSE))</f>
        <v>9 Bullet</v>
      </c>
      <c r="I511" s="25" t="str">
        <f>IF(Calcs!E511=0,"None",CONCATENATE(ROUND(Calcs!E511,0)," ",VLOOKUP(B511,AmmoTypeFactors,6,FALSE)))</f>
        <v>None</v>
      </c>
      <c r="J511">
        <f>MROUND(2.42*'Ammo Input'!M511^(1/3)*VLOOKUP(B511,AmmoTypeFactors,3,FALSE),0.5)</f>
        <v>0</v>
      </c>
      <c r="K511" s="25" t="str">
        <f>IF(VLOOKUP(B511,AmmoTypeFactors,12,FALSE),MROUND(J511/3,0.5),"None")</f>
        <v>None</v>
      </c>
      <c r="L511" s="25">
        <f>IF(VLOOKUP(B511,AmmoTypeFactors,8,FALSE),"None",ROUNDUP(IF(Calcs!I511&gt;0,Calcs!I511,Calcs!H511),3))</f>
        <v>35.9</v>
      </c>
      <c r="M511" s="25">
        <f>IF(VLOOKUP(B511,AmmoTypeFactors,8,FALSE),"None",'Ammo Input'!L511)</f>
        <v>12</v>
      </c>
      <c r="N511">
        <f>'Ammo Input'!O511</f>
        <v>500</v>
      </c>
      <c r="O511" t="e">
        <f>ROUND((P511*0.0036+SUMPRODUCT(Q511:AB511,VLOOKUP($Q$1:$AB$1,IngredientStats,2,FALSE)))/N511*IF('Ammo Input'!R511,0.5,1),2)</f>
        <v>#VALUE!</v>
      </c>
      <c r="P511" t="e">
        <f>(SUMPRODUCT(Q511:AB511,VLOOKUP($Q$1:$AB$1,IngredientStats,4,FALSE))*VLOOKUP(B511,AmmoTypeFactors,14,FALSE)*IF('Ammo Input'!R511,1.1,1))</f>
        <v>#VALUE!</v>
      </c>
      <c r="Q511">
        <f>IFERROR(__xludf.DUMMYFUNCTION("((IF(NOT(OR(REGEXMATCH(B507, ""Arrow""), B507 = ""Javelin"", B507 = ""Stick bomb"")), ROUNDUP(('Ammo Input'!E507 / 1000) * N507)) + IF(VLOOKUP(B507, AmmoTypeFactors, 9, FALSE) = ""Steel"", ROUNDUP(('Ammo Input'!H507 -'Ammo Input'!M507) * MAX(IF('Ammo Inpu"&amp;"t'!J507 &gt; 0, 'Ammo Input'!J507, 1), 1) * N507 / 1000))) / 'Ingredient stats'!$C$2) * IF(ISBLANK(VLOOKUP(B507,AmmoTypeFactors,15,False)),1,VLOOKUP(B507,AmmoTypeFactors,15,False))"),18)</f>
        <v>18</v>
      </c>
      <c r="R511">
        <f>IFERROR(__xludf.DUMMYFUNCTION("ROUNDUP((IF(REGEXMATCH(B507, ""Arrow"") + (B507 = ""Javelin""), 'Ammo Input'!E507) + IF(VLOOKUP(B507, AmmoTypeFactors, 9, FALSE) = ""Wood"", 'Ammo Input'!H507) + IF(B507 = ""Stick bomb"", 'Ammo Input'!E507)) * N507 / 'Ingredient stats'!$C$12 / 1000)"),0)</f>
        <v>0</v>
      </c>
      <c r="S511">
        <v>0</v>
      </c>
      <c r="T511">
        <v>0</v>
      </c>
      <c r="U511">
        <f>IF(VLOOKUP(B511,AmmoTypeFactors,9,FALSE)="Plasteel",ROUNDUP(('Ammo Input'!H511*MAX(IF('Ammo Input'!J511&gt;0,'Ammo Input'!J511,1)*N511/1000/'Ingredient stats'!$C$4)),0),0)</f>
        <v>0</v>
      </c>
      <c r="V511">
        <f>IFERROR(__xludf.DUMMYFUNCTION("ROUNDUP(IF(ISBLANK(VLOOKUP(B507,AmmoTypeFactors,16,False)),1,VLOOKUP(B507,AmmoTypeFactors,16,False)) * (IFS(REGEXMATCH(B507, ""EMP""), 'Ammo Input'!M507 * N507 / 'Ingredient stats'!$C$5, REGEXMATCH(B507, ""Charge""), (U507^0.75), true, 0) + (IF(VLOOKUP(B5"&amp;"07, AmmoTypeFactors, 10, false), 2,0) + IF('Ammo Input'!P507, 2,0) + IF('Ammo Input'!Q507,MIN(ROUNDUP(0.2*('Ammo Input'!H507/1000)*'Ammo Input'!O507,0),20),0))))"),0)</f>
        <v>0</v>
      </c>
      <c r="W511">
        <v>0</v>
      </c>
      <c r="X511">
        <v>0</v>
      </c>
      <c r="Y511">
        <v>0</v>
      </c>
      <c r="Z511">
        <v>0</v>
      </c>
      <c r="AA511">
        <v>0</v>
      </c>
      <c r="AB511" s="30">
        <f>IF(B511="Sling Bullet (Stone)",ROUNDUP(D511*0.02*E511/'Ingredient stats'!$C$8,0),0)</f>
        <v>0</v>
      </c>
      <c r="AC511" t="str">
        <f t="shared" si="20"/>
        <v>None</v>
      </c>
      <c r="AD511" t="str">
        <f>IF(OR(B511="Buck",B511="Bird",B511="Charge (Scatter)"),'Ammo Input'!J511,"None")</f>
        <v>None</v>
      </c>
      <c r="AE511" t="str">
        <f>_xlfn.IFS(ISTEXT(Calcs!N511),Calcs!N511,Calcs!N511&lt;=40,Calcs!N511,Calcs!N511&gt;41,"40")</f>
        <v>None</v>
      </c>
      <c r="AF511" t="str">
        <f>_xlfn.IFS(ISTEXT(Calcs!O511),Calcs!O511,Calcs!O511&lt;=80,Calcs!O511,Calcs!O511&gt;=81,"80")</f>
        <v>None</v>
      </c>
      <c r="AG511" s="25">
        <f t="shared" si="21"/>
        <v>1</v>
      </c>
      <c r="AH511" s="25">
        <f t="shared" si="22"/>
        <v>2.74</v>
      </c>
      <c r="AI511" s="25">
        <f t="shared" si="23"/>
        <v>1</v>
      </c>
    </row>
    <row r="512" ht="14.4" spans="1:35">
      <c r="A512" s="24" t="str">
        <f>'Ammo Input'!A512</f>
        <v>5.8x42mm DBP10</v>
      </c>
      <c r="B512" t="str">
        <f>'Ammo Input'!B512</f>
        <v>HP</v>
      </c>
      <c r="C512">
        <f>ROUNDUP(('Ammo Input'!C512*(MAX('Ammo Input'!D512,'Ammo Input'!F512)*0.5)^2*PI())*3/1000000,2)</f>
        <v>0.02</v>
      </c>
      <c r="D512">
        <f>ROUNDUP(('Ammo Input'!E512+'Ammo Input'!H512*IF('Ammo Input'!J512&lt;&gt;"",MAX('Ammo Input'!J512,1),1))/1000,3)</f>
        <v>0.015</v>
      </c>
      <c r="E512">
        <f>MIN(5000,MAX(25,CEILING(Calcs!L512,_xlfn.IFS(Calcs!L512&lt;100,25,Calcs!L512&lt;250,50,Calcs!L512&lt;1000,250,Calcs!L512&gt;=1000,1000))))</f>
        <v>5000</v>
      </c>
      <c r="F512">
        <f>ROUNDUP('Ammo Input'!G512^(3/4),0)</f>
        <v>169</v>
      </c>
      <c r="G512">
        <f>ROUND((0.5*((IF(OR(B512="HEAT",B512="HEDP"),'Ammo Input'!N512,'Ammo Input'!H512)/1000)*(IF(B512="HEAT",9000,IF(B512="HEDP",1500,'Ammo Input'!G512))^2))),0)</f>
        <v>1795</v>
      </c>
      <c r="H512" s="25" t="str">
        <f>CONCATENATE(IF((B512="Foam")+(B512="Smoke"),"-",ROUND(Calcs!D512,0))," ",VLOOKUP(B512,AmmoTypeFactors,5,FALSE))</f>
        <v>18 Bullet</v>
      </c>
      <c r="I512" s="25" t="str">
        <f>IF(Calcs!E512=0,"None",CONCATENATE(ROUND(Calcs!E512,0)," ",VLOOKUP(B512,AmmoTypeFactors,6,FALSE)))</f>
        <v>None</v>
      </c>
      <c r="J512">
        <f>MROUND(2.42*'Ammo Input'!M512^(1/3)*VLOOKUP(B512,AmmoTypeFactors,3,FALSE),0.5)</f>
        <v>0</v>
      </c>
      <c r="K512" s="25" t="str">
        <f>IF(VLOOKUP(B512,AmmoTypeFactors,12,FALSE),MROUND(J512/3,0.5),"None")</f>
        <v>None</v>
      </c>
      <c r="L512" s="25">
        <f>IF(VLOOKUP(B512,AmmoTypeFactors,8,FALSE),"None",ROUNDUP(IF(Calcs!I512&gt;0,Calcs!I512,Calcs!H512),3))</f>
        <v>35.9</v>
      </c>
      <c r="M512" s="25">
        <f>IF(VLOOKUP(B512,AmmoTypeFactors,8,FALSE),"None",'Ammo Input'!L512)</f>
        <v>3</v>
      </c>
      <c r="N512">
        <f>'Ammo Input'!O512</f>
        <v>500</v>
      </c>
      <c r="O512" t="e">
        <f>ROUND((P512*0.0036+SUMPRODUCT(Q512:AB512,VLOOKUP($Q$1:$AB$1,IngredientStats,2,FALSE)))/N512*IF('Ammo Input'!R512,0.5,1),2)</f>
        <v>#VALUE!</v>
      </c>
      <c r="P512" t="e">
        <f>(SUMPRODUCT(Q512:AB512,VLOOKUP($Q$1:$AB$1,IngredientStats,4,FALSE))*VLOOKUP(B512,AmmoTypeFactors,14,FALSE)*IF('Ammo Input'!R512,1.1,1))</f>
        <v>#VALUE!</v>
      </c>
      <c r="Q512">
        <f>IFERROR(__xludf.DUMMYFUNCTION("((IF(NOT(OR(REGEXMATCH(B508, ""Arrow""), B508 = ""Javelin"", B508 = ""Stick bomb"")), ROUNDUP(('Ammo Input'!E508 / 1000) * N508)) + IF(VLOOKUP(B508, AmmoTypeFactors, 9, FALSE) = ""Steel"", ROUNDUP(('Ammo Input'!H508 -'Ammo Input'!M508) * MAX(IF('Ammo Inpu"&amp;"t'!J508 &gt; 0, 'Ammo Input'!J508, 1), 1) * N508 / 1000))) / 'Ingredient stats'!$C$2) * IF(ISBLANK(VLOOKUP(B508,AmmoTypeFactors,15,False)),1,VLOOKUP(B508,AmmoTypeFactors,15,False))"),18)</f>
        <v>18</v>
      </c>
      <c r="R512">
        <f>IFERROR(__xludf.DUMMYFUNCTION("ROUNDUP((IF(REGEXMATCH(B508, ""Arrow"") + (B508 = ""Javelin""), 'Ammo Input'!E508) + IF(VLOOKUP(B508, AmmoTypeFactors, 9, FALSE) = ""Wood"", 'Ammo Input'!H508) + IF(B508 = ""Stick bomb"", 'Ammo Input'!E508)) * N508 / 'Ingredient stats'!$C$12 / 1000)"),0)</f>
        <v>0</v>
      </c>
      <c r="S512">
        <v>0</v>
      </c>
      <c r="T512">
        <v>0</v>
      </c>
      <c r="U512">
        <f>IF(VLOOKUP(B512,AmmoTypeFactors,9,FALSE)="Plasteel",ROUNDUP(('Ammo Input'!H512*MAX(IF('Ammo Input'!J512&gt;0,'Ammo Input'!J512,1)*N512/1000/'Ingredient stats'!$C$4)),0),0)</f>
        <v>0</v>
      </c>
      <c r="V512">
        <f>IFERROR(__xludf.DUMMYFUNCTION("ROUNDUP(IF(ISBLANK(VLOOKUP(B508,AmmoTypeFactors,16,False)),1,VLOOKUP(B508,AmmoTypeFactors,16,False)) * (IFS(REGEXMATCH(B508, ""EMP""), 'Ammo Input'!M508 * N508 / 'Ingredient stats'!$C$5, REGEXMATCH(B508, ""Charge""), (U508^0.75), true, 0) + (IF(VLOOKUP(B5"&amp;"08, AmmoTypeFactors, 10, false), 2,0) + IF('Ammo Input'!P508, 2,0) + IF('Ammo Input'!Q508,MIN(ROUNDUP(0.2*('Ammo Input'!H508/1000)*'Ammo Input'!O508,0),20),0))))"),0)</f>
        <v>0</v>
      </c>
      <c r="W512">
        <v>0</v>
      </c>
      <c r="X512">
        <v>0</v>
      </c>
      <c r="Y512">
        <v>0</v>
      </c>
      <c r="Z512">
        <v>0</v>
      </c>
      <c r="AA512">
        <v>0</v>
      </c>
      <c r="AB512" s="30">
        <f>IF(B512="Sling Bullet (Stone)",ROUNDUP(D512*0.02*E512/'Ingredient stats'!$C$8,0),0)</f>
        <v>0</v>
      </c>
      <c r="AC512" t="str">
        <f t="shared" si="20"/>
        <v>None</v>
      </c>
      <c r="AD512" t="str">
        <f>IF(OR(B512="Buck",B512="Bird",B512="Charge (Scatter)"),'Ammo Input'!J512,"None")</f>
        <v>None</v>
      </c>
      <c r="AE512" t="str">
        <f>_xlfn.IFS(ISTEXT(Calcs!N512),Calcs!N512,Calcs!N512&lt;=40,Calcs!N512,Calcs!N512&gt;41,"40")</f>
        <v>None</v>
      </c>
      <c r="AF512" t="str">
        <f>_xlfn.IFS(ISTEXT(Calcs!O512),Calcs!O512,Calcs!O512&lt;=80,Calcs!O512,Calcs!O512&gt;=81,"80")</f>
        <v>None</v>
      </c>
      <c r="AG512" s="25">
        <f t="shared" si="21"/>
        <v>1</v>
      </c>
      <c r="AH512" s="25">
        <f t="shared" si="22"/>
        <v>2.74</v>
      </c>
      <c r="AI512" s="25">
        <f t="shared" si="23"/>
        <v>1</v>
      </c>
    </row>
    <row r="513" ht="14.4" spans="1:35">
      <c r="A513" s="24" t="str">
        <f>'Ammo Input'!A513</f>
        <v>5.8x42mm DBP10</v>
      </c>
      <c r="B513" t="str">
        <f>'Ammo Input'!B513</f>
        <v>AP-I</v>
      </c>
      <c r="C513">
        <f>ROUNDUP(('Ammo Input'!C513*(MAX('Ammo Input'!D513,'Ammo Input'!F513)*0.5)^2*PI())*3/1000000,2)</f>
        <v>0.02</v>
      </c>
      <c r="D513">
        <f>ROUNDUP(('Ammo Input'!E513+'Ammo Input'!H513*IF('Ammo Input'!J513&lt;&gt;"",MAX('Ammo Input'!J513,1),1))/1000,3)</f>
        <v>0.015</v>
      </c>
      <c r="E513">
        <f>MIN(5000,MAX(25,CEILING(Calcs!L513,_xlfn.IFS(Calcs!L513&lt;100,25,Calcs!L513&lt;250,50,Calcs!L513&lt;1000,250,Calcs!L513&gt;=1000,1000))))</f>
        <v>5000</v>
      </c>
      <c r="F513">
        <f>ROUNDUP('Ammo Input'!G513^(3/4),0)</f>
        <v>169</v>
      </c>
      <c r="G513">
        <f>ROUND((0.5*((IF(OR(B513="HEAT",B513="HEDP"),'Ammo Input'!N513,'Ammo Input'!H513)/1000)*(IF(B513="HEAT",9000,IF(B513="HEDP",1500,'Ammo Input'!G513))^2))),0)</f>
        <v>1795</v>
      </c>
      <c r="H513" s="25" t="str">
        <f>CONCATENATE(IF((B513="Foam")+(B513="Smoke"),"-",ROUND(Calcs!D513,0))," ",VLOOKUP(B513,AmmoTypeFactors,5,FALSE))</f>
        <v>9 Bullet</v>
      </c>
      <c r="I513" s="25" t="str">
        <f>IF(Calcs!E513=0,"None",CONCATENATE(ROUND(Calcs!E513,0)," ",VLOOKUP(B513,AmmoTypeFactors,6,FALSE)))</f>
        <v>3 Flame_Secondary</v>
      </c>
      <c r="J513">
        <f>MROUND(2.42*'Ammo Input'!M513^(1/3)*VLOOKUP(B513,AmmoTypeFactors,3,FALSE),0.5)</f>
        <v>0</v>
      </c>
      <c r="K513" s="25" t="str">
        <f>IF(VLOOKUP(B513,AmmoTypeFactors,12,FALSE),MROUND(J513/3,0.5),"None")</f>
        <v>None</v>
      </c>
      <c r="L513" s="25">
        <f>IF(VLOOKUP(B513,AmmoTypeFactors,8,FALSE),"None",ROUNDUP(IF(Calcs!I513&gt;0,Calcs!I513,Calcs!H513),3))</f>
        <v>35.9</v>
      </c>
      <c r="M513" s="25">
        <f>IF(VLOOKUP(B513,AmmoTypeFactors,8,FALSE),"None",'Ammo Input'!L513)</f>
        <v>12</v>
      </c>
      <c r="N513">
        <f>'Ammo Input'!O513</f>
        <v>500</v>
      </c>
      <c r="O513" t="e">
        <f>ROUND((P513*0.0036+SUMPRODUCT(Q513:AB513,VLOOKUP($Q$1:$AB$1,IngredientStats,2,FALSE)))/N513*IF('Ammo Input'!R513,0.5,1),2)</f>
        <v>#VALUE!</v>
      </c>
      <c r="P513" t="e">
        <f>(SUMPRODUCT(Q513:AB513,VLOOKUP($Q$1:$AB$1,IngredientStats,4,FALSE))*VLOOKUP(B513,AmmoTypeFactors,14,FALSE)*IF('Ammo Input'!R513,1.1,1))</f>
        <v>#VALUE!</v>
      </c>
      <c r="Q513">
        <f>IFERROR(__xludf.DUMMYFUNCTION("((IF(NOT(OR(REGEXMATCH(B509, ""Arrow""), B509 = ""Javelin"", B509 = ""Stick bomb"")), ROUNDUP(('Ammo Input'!E509 / 1000) * N509)) + IF(VLOOKUP(B509, AmmoTypeFactors, 9, FALSE) = ""Steel"", ROUNDUP(('Ammo Input'!H509 -'Ammo Input'!M509) * MAX(IF('Ammo Inpu"&amp;"t'!J509 &gt; 0, 'Ammo Input'!J509, 1), 1) * N509 / 1000))) / 'Ingredient stats'!$C$2) * IF(ISBLANK(VLOOKUP(B509,AmmoTypeFactors,15,False)),1,VLOOKUP(B509,AmmoTypeFactors,15,False))"),18)</f>
        <v>18</v>
      </c>
      <c r="R513">
        <f>IFERROR(__xludf.DUMMYFUNCTION("ROUNDUP((IF(REGEXMATCH(B509, ""Arrow"") + (B509 = ""Javelin""), 'Ammo Input'!E509) + IF(VLOOKUP(B509, AmmoTypeFactors, 9, FALSE) = ""Wood"", 'Ammo Input'!H509) + IF(B509 = ""Stick bomb"", 'Ammo Input'!E509)) * N509 / 'Ingredient stats'!$C$12 / 1000)"),0)</f>
        <v>0</v>
      </c>
      <c r="S513">
        <v>0</v>
      </c>
      <c r="T513">
        <v>0</v>
      </c>
      <c r="U513">
        <f>IF(VLOOKUP(B513,AmmoTypeFactors,9,FALSE)="Plasteel",ROUNDUP(('Ammo Input'!H513*MAX(IF('Ammo Input'!J513&gt;0,'Ammo Input'!J513,1)*N513/1000/'Ingredient stats'!$C$4)),0),0)</f>
        <v>0</v>
      </c>
      <c r="V513">
        <f>IFERROR(__xludf.DUMMYFUNCTION("ROUNDUP(IF(ISBLANK(VLOOKUP(B509,AmmoTypeFactors,16,False)),1,VLOOKUP(B509,AmmoTypeFactors,16,False)) * (IFS(REGEXMATCH(B509, ""EMP""), 'Ammo Input'!M509 * N509 / 'Ingredient stats'!$C$5, REGEXMATCH(B509, ""Charge""), (U509^0.75), true, 0) + (IF(VLOOKUP(B5"&amp;"09, AmmoTypeFactors, 10, false), 2,0) + IF('Ammo Input'!P509, 2,0) + IF('Ammo Input'!Q509,MIN(ROUNDUP(0.2*('Ammo Input'!H509/1000)*'Ammo Input'!O509,0),20),0))))"),0)</f>
        <v>0</v>
      </c>
      <c r="W513">
        <v>1</v>
      </c>
      <c r="X513">
        <v>0</v>
      </c>
      <c r="Y513">
        <v>0</v>
      </c>
      <c r="Z513">
        <v>0</v>
      </c>
      <c r="AA513">
        <v>0</v>
      </c>
      <c r="AB513" s="30">
        <f>IF(B513="Sling Bullet (Stone)",ROUNDUP(D513*0.02*E513/'Ingredient stats'!$C$8,0),0)</f>
        <v>0</v>
      </c>
      <c r="AC513" t="str">
        <f t="shared" si="20"/>
        <v>None</v>
      </c>
      <c r="AD513" t="str">
        <f>IF(OR(B513="Buck",B513="Bird",B513="Charge (Scatter)"),'Ammo Input'!J513,"None")</f>
        <v>None</v>
      </c>
      <c r="AE513" t="str">
        <f>_xlfn.IFS(ISTEXT(Calcs!N513),Calcs!N513,Calcs!N513&lt;=40,Calcs!N513,Calcs!N513&gt;41,"40")</f>
        <v>None</v>
      </c>
      <c r="AF513" t="str">
        <f>_xlfn.IFS(ISTEXT(Calcs!O513),Calcs!O513,Calcs!O513&lt;=80,Calcs!O513,Calcs!O513&gt;=81,"80")</f>
        <v>None</v>
      </c>
      <c r="AG513" s="25">
        <f t="shared" si="21"/>
        <v>1</v>
      </c>
      <c r="AH513" s="25">
        <f t="shared" si="22"/>
        <v>2.74</v>
      </c>
      <c r="AI513" s="25">
        <f t="shared" si="23"/>
        <v>1</v>
      </c>
    </row>
    <row r="514" ht="14.4" spans="1:35">
      <c r="A514" s="24" t="str">
        <f>'Ammo Input'!A514</f>
        <v>5.8x42mm DBP10</v>
      </c>
      <c r="B514" t="str">
        <f>'Ammo Input'!B514</f>
        <v>AP-HE</v>
      </c>
      <c r="C514">
        <f>ROUNDUP(('Ammo Input'!C514*(MAX('Ammo Input'!D514,'Ammo Input'!F514)*0.5)^2*PI())*3/1000000,2)</f>
        <v>0.02</v>
      </c>
      <c r="D514">
        <f>ROUNDUP(('Ammo Input'!E514+'Ammo Input'!H514*IF('Ammo Input'!J514&lt;&gt;"",MAX('Ammo Input'!J514,1),1))/1000,3)</f>
        <v>0.015</v>
      </c>
      <c r="E514">
        <f>MIN(5000,MAX(25,CEILING(Calcs!L514,_xlfn.IFS(Calcs!L514&lt;100,25,Calcs!L514&lt;250,50,Calcs!L514&lt;1000,250,Calcs!L514&gt;=1000,1000))))</f>
        <v>5000</v>
      </c>
      <c r="F514">
        <f>ROUNDUP('Ammo Input'!G514^(3/4),0)</f>
        <v>169</v>
      </c>
      <c r="G514">
        <f>ROUND((0.5*((IF(OR(B514="HEAT",B514="HEDP"),'Ammo Input'!N514,'Ammo Input'!H514)/1000)*(IF(B514="HEAT",9000,IF(B514="HEDP",1500,'Ammo Input'!G514))^2))),0)</f>
        <v>1795</v>
      </c>
      <c r="H514" s="25" t="str">
        <f>CONCATENATE(IF((B514="Foam")+(B514="Smoke"),"-",ROUND(Calcs!D514,0))," ",VLOOKUP(B514,AmmoTypeFactors,5,FALSE))</f>
        <v>14 Bullet</v>
      </c>
      <c r="I514" s="25" t="str">
        <f>IF(Calcs!E514=0,"None",CONCATENATE(ROUND(Calcs!E514,0)," ",VLOOKUP(B514,AmmoTypeFactors,6,FALSE)))</f>
        <v>5 Bomb_Secondary</v>
      </c>
      <c r="J514">
        <f>MROUND(2.42*'Ammo Input'!M514^(1/3)*VLOOKUP(B514,AmmoTypeFactors,3,FALSE),0.5)</f>
        <v>0</v>
      </c>
      <c r="K514" s="25" t="str">
        <f>IF(VLOOKUP(B514,AmmoTypeFactors,12,FALSE),MROUND(J514/3,0.5),"None")</f>
        <v>None</v>
      </c>
      <c r="L514" s="25">
        <f>IF(VLOOKUP(B514,AmmoTypeFactors,8,FALSE),"None",ROUNDUP(IF(Calcs!I514&gt;0,Calcs!I514,Calcs!H514),3))</f>
        <v>35.9</v>
      </c>
      <c r="M514" s="25">
        <f>IF(VLOOKUP(B514,AmmoTypeFactors,8,FALSE),"None",'Ammo Input'!L514)</f>
        <v>6</v>
      </c>
      <c r="N514">
        <f>'Ammo Input'!O514</f>
        <v>500</v>
      </c>
      <c r="O514" t="e">
        <f>ROUND((P514*0.0036+SUMPRODUCT(Q514:AB514,VLOOKUP($Q$1:$AB$1,IngredientStats,2,FALSE)))/N514*IF('Ammo Input'!R514,0.5,1),2)</f>
        <v>#VALUE!</v>
      </c>
      <c r="P514" t="e">
        <f>(SUMPRODUCT(Q514:AB514,VLOOKUP($Q$1:$AB$1,IngredientStats,4,FALSE))*VLOOKUP(B514,AmmoTypeFactors,14,FALSE)*IF('Ammo Input'!R514,1.1,1))</f>
        <v>#VALUE!</v>
      </c>
      <c r="Q514">
        <f>IFERROR(__xludf.DUMMYFUNCTION("((IF(NOT(OR(REGEXMATCH(B510, ""Arrow""), B510 = ""Javelin"", B510 = ""Stick bomb"")), ROUNDUP(('Ammo Input'!E510 / 1000) * N510)) + IF(VLOOKUP(B510, AmmoTypeFactors, 9, FALSE) = ""Steel"", ROUNDUP(('Ammo Input'!H510 -'Ammo Input'!M510) * MAX(IF('Ammo Inpu"&amp;"t'!J510 &gt; 0, 'Ammo Input'!J510, 1), 1) * N510 / 1000))) / 'Ingredient stats'!$C$2) * IF(ISBLANK(VLOOKUP(B510,AmmoTypeFactors,15,False)),1,VLOOKUP(B510,AmmoTypeFactors,15,False))"),18)</f>
        <v>18</v>
      </c>
      <c r="R514">
        <f>IFERROR(__xludf.DUMMYFUNCTION("ROUNDUP((IF(REGEXMATCH(B510, ""Arrow"") + (B510 = ""Javelin""), 'Ammo Input'!E510) + IF(VLOOKUP(B510, AmmoTypeFactors, 9, FALSE) = ""Wood"", 'Ammo Input'!H510) + IF(B510 = ""Stick bomb"", 'Ammo Input'!E510)) * N510 / 'Ingredient stats'!$C$12 / 1000)"),0)</f>
        <v>0</v>
      </c>
      <c r="S514">
        <v>0</v>
      </c>
      <c r="T514">
        <v>0</v>
      </c>
      <c r="U514">
        <f>IF(VLOOKUP(B514,AmmoTypeFactors,9,FALSE)="Plasteel",ROUNDUP(('Ammo Input'!H514*MAX(IF('Ammo Input'!J514&gt;0,'Ammo Input'!J514,1)*N514/1000/'Ingredient stats'!$C$4)),0),0)</f>
        <v>0</v>
      </c>
      <c r="V514">
        <f>IFERROR(__xludf.DUMMYFUNCTION("ROUNDUP(IF(ISBLANK(VLOOKUP(B510,AmmoTypeFactors,16,False)),1,VLOOKUP(B510,AmmoTypeFactors,16,False)) * (IFS(REGEXMATCH(B510, ""EMP""), 'Ammo Input'!M510 * N510 / 'Ingredient stats'!$C$5, REGEXMATCH(B510, ""Charge""), (U510^0.75), true, 0) + (IF(VLOOKUP(B5"&amp;"10, AmmoTypeFactors, 10, false), 2,0) + IF('Ammo Input'!P510, 2,0) + IF('Ammo Input'!Q510,MIN(ROUNDUP(0.2*('Ammo Input'!H510/1000)*'Ammo Input'!O510,0),20),0))))"),0)</f>
        <v>0</v>
      </c>
      <c r="W514">
        <v>0</v>
      </c>
      <c r="X514">
        <v>4</v>
      </c>
      <c r="Y514">
        <v>0</v>
      </c>
      <c r="Z514">
        <v>0</v>
      </c>
      <c r="AA514">
        <v>0</v>
      </c>
      <c r="AB514" s="30">
        <f>IF(B514="Sling Bullet (Stone)",ROUNDUP(D514*0.02*E514/'Ingredient stats'!$C$8,0),0)</f>
        <v>0</v>
      </c>
      <c r="AC514" t="str">
        <f t="shared" si="20"/>
        <v>None</v>
      </c>
      <c r="AD514" t="str">
        <f>IF(OR(B514="Buck",B514="Bird",B514="Charge (Scatter)"),'Ammo Input'!J514,"None")</f>
        <v>None</v>
      </c>
      <c r="AE514" t="str">
        <f>_xlfn.IFS(ISTEXT(Calcs!N514),Calcs!N514,Calcs!N514&lt;=40,Calcs!N514,Calcs!N514&gt;41,"40")</f>
        <v>None</v>
      </c>
      <c r="AF514" t="str">
        <f>_xlfn.IFS(ISTEXT(Calcs!O514),Calcs!O514,Calcs!O514&lt;=80,Calcs!O514,Calcs!O514&gt;=81,"80")</f>
        <v>None</v>
      </c>
      <c r="AG514" s="25">
        <f t="shared" si="21"/>
        <v>1</v>
      </c>
      <c r="AH514" s="25">
        <f t="shared" si="22"/>
        <v>2.74</v>
      </c>
      <c r="AI514" s="25">
        <f t="shared" si="23"/>
        <v>1</v>
      </c>
    </row>
    <row r="515" ht="14.4" spans="1:35">
      <c r="A515" s="24" t="str">
        <f>'Ammo Input'!A515</f>
        <v>5.8x42mm DBP10</v>
      </c>
      <c r="B515" t="str">
        <f>'Ammo Input'!B515</f>
        <v>Sabot</v>
      </c>
      <c r="C515">
        <f>ROUNDUP(('Ammo Input'!C515*(MAX('Ammo Input'!D515,'Ammo Input'!F515)*0.5)^2*PI())*3/1000000,2)</f>
        <v>0.02</v>
      </c>
      <c r="D515">
        <f>ROUNDUP(('Ammo Input'!E515+'Ammo Input'!H515*IF('Ammo Input'!J515&lt;&gt;"",MAX('Ammo Input'!J515,1),1))/1000,3)</f>
        <v>0.013</v>
      </c>
      <c r="E515">
        <f>MIN(5000,MAX(25,CEILING(Calcs!L515,_xlfn.IFS(Calcs!L515&lt;100,25,Calcs!L515&lt;250,50,Calcs!L515&lt;1000,250,Calcs!L515&gt;=1000,1000))))</f>
        <v>5000</v>
      </c>
      <c r="F515">
        <f>ROUNDUP('Ammo Input'!G515^(3/4),0)</f>
        <v>229</v>
      </c>
      <c r="G515">
        <f>ROUND((0.5*((IF(OR(B515="HEAT",B515="HEDP"),'Ammo Input'!N515,'Ammo Input'!H515)/1000)*(IF(B515="HEAT",9000,IF(B515="HEDP",1500,'Ammo Input'!G515))^2))),0)</f>
        <v>2306</v>
      </c>
      <c r="H515" s="25" t="str">
        <f>CONCATENATE(IF((B515="Foam")+(B515="Smoke"),"-",ROUND(Calcs!D515,0))," ",VLOOKUP(B515,AmmoTypeFactors,5,FALSE))</f>
        <v>8 Bullet</v>
      </c>
      <c r="I515" s="25" t="str">
        <f>IF(Calcs!E515=0,"None",CONCATENATE(ROUND(Calcs!E515,0)," ",VLOOKUP(B515,AmmoTypeFactors,6,FALSE)))</f>
        <v>None</v>
      </c>
      <c r="J515">
        <f>MROUND(2.42*'Ammo Input'!M515^(1/3)*VLOOKUP(B515,AmmoTypeFactors,3,FALSE),0.5)</f>
        <v>0</v>
      </c>
      <c r="K515" s="25" t="str">
        <f>IF(VLOOKUP(B515,AmmoTypeFactors,12,FALSE),MROUND(J515/3,0.5),"None")</f>
        <v>None</v>
      </c>
      <c r="L515" s="25">
        <f>IF(VLOOKUP(B515,AmmoTypeFactors,8,FALSE),"None",ROUNDUP(IF(Calcs!I515&gt;0,Calcs!I515,Calcs!H515),3))</f>
        <v>46.12</v>
      </c>
      <c r="M515" s="25">
        <f>IF(VLOOKUP(B515,AmmoTypeFactors,8,FALSE),"None",'Ammo Input'!L515)</f>
        <v>21</v>
      </c>
      <c r="N515">
        <f>'Ammo Input'!O515</f>
        <v>500</v>
      </c>
      <c r="O515" t="e">
        <f>ROUND((P515*0.0036+SUMPRODUCT(Q515:AB515,VLOOKUP($Q$1:$AB$1,IngredientStats,2,FALSE)))/N515*IF('Ammo Input'!R515,0.5,1),2)</f>
        <v>#VALUE!</v>
      </c>
      <c r="P515" t="e">
        <f>(SUMPRODUCT(Q515:AB515,VLOOKUP($Q$1:$AB$1,IngredientStats,4,FALSE))*VLOOKUP(B515,AmmoTypeFactors,14,FALSE)*IF('Ammo Input'!R515,1.1,1))</f>
        <v>#VALUE!</v>
      </c>
      <c r="Q515">
        <f>IFERROR(__xludf.DUMMYFUNCTION("((IF(NOT(OR(REGEXMATCH(B511, ""Arrow""), B511 = ""Javelin"", B511 = ""Stick bomb"")), ROUNDUP(('Ammo Input'!E511 / 1000) * N511)) + IF(VLOOKUP(B511, AmmoTypeFactors, 9, FALSE) = ""Steel"", ROUNDUP(('Ammo Input'!H511 -'Ammo Input'!M511) * MAX(IF('Ammo Inpu"&amp;"t'!J511 &gt; 0, 'Ammo Input'!J511, 1), 1) * N511 / 1000))) / 'Ingredient stats'!$C$2) * IF(ISBLANK(VLOOKUP(B511,AmmoTypeFactors,15,False)),1,VLOOKUP(B511,AmmoTypeFactors,15,False))"),12)</f>
        <v>12</v>
      </c>
      <c r="R515">
        <f>IFERROR(__xludf.DUMMYFUNCTION("ROUNDUP((IF(REGEXMATCH(B511, ""Arrow"") + (B511 = ""Javelin""), 'Ammo Input'!E511) + IF(VLOOKUP(B511, AmmoTypeFactors, 9, FALSE) = ""Wood"", 'Ammo Input'!H511) + IF(B511 = ""Stick bomb"", 'Ammo Input'!E511)) * N511 / 'Ingredient stats'!$C$12 / 1000)"),0)</f>
        <v>0</v>
      </c>
      <c r="S515">
        <v>2</v>
      </c>
      <c r="T515">
        <v>2</v>
      </c>
      <c r="U515">
        <f>IF(VLOOKUP(B515,AmmoTypeFactors,9,FALSE)="Plasteel",ROUNDUP(('Ammo Input'!H515*MAX(IF('Ammo Input'!J515&gt;0,'Ammo Input'!J515,1)*N515/1000/'Ingredient stats'!$C$4)),0),0)</f>
        <v>0</v>
      </c>
      <c r="V515">
        <f>IFERROR(__xludf.DUMMYFUNCTION("ROUNDUP(IF(ISBLANK(VLOOKUP(B511,AmmoTypeFactors,16,False)),1,VLOOKUP(B511,AmmoTypeFactors,16,False)) * (IFS(REGEXMATCH(B511, ""EMP""), 'Ammo Input'!M511 * N511 / 'Ingredient stats'!$C$5, REGEXMATCH(B511, ""Charge""), (U511^0.75), true, 0) + (IF(VLOOKUP(B5"&amp;"11, AmmoTypeFactors, 10, false), 2,0) + IF('Ammo Input'!P511, 2,0) + IF('Ammo Input'!Q511,MIN(ROUNDUP(0.2*('Ammo Input'!H511/1000)*'Ammo Input'!O511,0),20),0))))"),0)</f>
        <v>0</v>
      </c>
      <c r="W515">
        <v>0</v>
      </c>
      <c r="X515">
        <v>0</v>
      </c>
      <c r="Y515">
        <v>0</v>
      </c>
      <c r="Z515">
        <v>0</v>
      </c>
      <c r="AA515">
        <v>0</v>
      </c>
      <c r="AB515" s="30">
        <f>IF(B515="Sling Bullet (Stone)",ROUNDUP(D515*0.02*E515/'Ingredient stats'!$C$8,0),0)</f>
        <v>0</v>
      </c>
      <c r="AC515" t="str">
        <f t="shared" si="20"/>
        <v>None</v>
      </c>
      <c r="AD515" t="str">
        <f>IF(OR(B515="Buck",B515="Bird",B515="Charge (Scatter)"),'Ammo Input'!J515,"None")</f>
        <v>None</v>
      </c>
      <c r="AE515" t="str">
        <f>_xlfn.IFS(ISTEXT(Calcs!N515),Calcs!N515,Calcs!N515&lt;=40,Calcs!N515,Calcs!N515&gt;41,"40")</f>
        <v>None</v>
      </c>
      <c r="AF515" t="str">
        <f>_xlfn.IFS(ISTEXT(Calcs!O515),Calcs!O515,Calcs!O515&lt;=80,Calcs!O515,Calcs!O515&gt;=81,"80")</f>
        <v>None</v>
      </c>
      <c r="AG515" s="25">
        <f t="shared" si="21"/>
        <v>1</v>
      </c>
      <c r="AH515" s="25">
        <f t="shared" si="22"/>
        <v>3.7</v>
      </c>
      <c r="AI515" s="25">
        <f t="shared" si="23"/>
        <v>1</v>
      </c>
    </row>
    <row r="516" ht="14.4" spans="1:35">
      <c r="A516" s="24" t="str">
        <f>'Ammo Input'!A516</f>
        <v>6.5×50mmSR Arisaka</v>
      </c>
      <c r="B516" t="str">
        <f>'Ammo Input'!B516</f>
        <v>FMJ</v>
      </c>
      <c r="C516">
        <f>ROUNDUP(('Ammo Input'!C516*(MAX('Ammo Input'!D516,'Ammo Input'!F516)*0.5)^2*PI())*3/1000000,2)</f>
        <v>0.03</v>
      </c>
      <c r="D516">
        <f>ROUNDUP(('Ammo Input'!E516+'Ammo Input'!H516*IF('Ammo Input'!J516&lt;&gt;"",MAX('Ammo Input'!J516,1),1))/1000,3)</f>
        <v>0.023</v>
      </c>
      <c r="E516">
        <f>MIN(5000,MAX(25,CEILING(Calcs!L516,_xlfn.IFS(Calcs!L516&lt;100,25,Calcs!L516&lt;250,50,Calcs!L516&lt;1000,250,Calcs!L516&gt;=1000,1000))))</f>
        <v>5000</v>
      </c>
      <c r="F516">
        <f>ROUNDUP('Ammo Input'!G516^(3/4),0)</f>
        <v>147</v>
      </c>
      <c r="G516">
        <f>ROUND((0.5*((IF(OR(B516="HEAT",B516="HEDP"),'Ammo Input'!N516,'Ammo Input'!H516)/1000)*(IF(B516="HEAT",9000,IF(B516="HEDP",1500,'Ammo Input'!G516))^2))),0)</f>
        <v>2698</v>
      </c>
      <c r="H516" s="25" t="str">
        <f>CONCATENATE(IF((B516="Foam")+(B516="Smoke"),"-",ROUND(Calcs!D516,0))," ",VLOOKUP(B516,AmmoTypeFactors,5,FALSE))</f>
        <v>17 Bullet</v>
      </c>
      <c r="I516" s="25" t="str">
        <f>IF(Calcs!E516=0,"None",CONCATENATE(ROUND(Calcs!E516,0)," ",VLOOKUP(B516,AmmoTypeFactors,6,FALSE)))</f>
        <v>None</v>
      </c>
      <c r="J516">
        <f>MROUND(2.42*'Ammo Input'!M516^(1/3)*VLOOKUP(B516,AmmoTypeFactors,3,FALSE),0.5)</f>
        <v>0</v>
      </c>
      <c r="K516" s="25" t="str">
        <f>IF(VLOOKUP(B516,AmmoTypeFactors,12,FALSE),MROUND(J516/3,0.5),"None")</f>
        <v>None</v>
      </c>
      <c r="L516" s="25">
        <f>IF(VLOOKUP(B516,AmmoTypeFactors,8,FALSE),"None",ROUNDUP(IF(Calcs!I516&gt;0,Calcs!I516,Calcs!H516),3))</f>
        <v>53.96</v>
      </c>
      <c r="M516" s="25">
        <f>IF(VLOOKUP(B516,AmmoTypeFactors,8,FALSE),"None",'Ammo Input'!L516)</f>
        <v>6</v>
      </c>
      <c r="N516">
        <f>'Ammo Input'!O516</f>
        <v>500</v>
      </c>
      <c r="O516" t="e">
        <f>ROUND((P516*0.0036+SUMPRODUCT(Q516:AB516,VLOOKUP($Q$1:$AB$1,IngredientStats,2,FALSE)))/N516*IF('Ammo Input'!R516,0.5,1),2)</f>
        <v>#VALUE!</v>
      </c>
      <c r="P516" t="e">
        <f>(SUMPRODUCT(Q516:AB516,VLOOKUP($Q$1:$AB$1,IngredientStats,4,FALSE))*VLOOKUP(B516,AmmoTypeFactors,14,FALSE)*IF('Ammo Input'!R516,1.1,1))</f>
        <v>#VALUE!</v>
      </c>
      <c r="Q516">
        <f>IFERROR(__xludf.DUMMYFUNCTION("((IF(NOT(OR(REGEXMATCH(B512, ""Arrow""), B512 = ""Javelin"", B512 = ""Stick bomb"")), ROUNDUP(('Ammo Input'!E512 / 1000) * N512)) + IF(VLOOKUP(B512, AmmoTypeFactors, 9, FALSE) = ""Steel"", ROUNDUP(('Ammo Input'!H512 -'Ammo Input'!M512) * MAX(IF('Ammo Inpu"&amp;"t'!J512 &gt; 0, 'Ammo Input'!J512, 1), 1) * N512 / 1000))) / 'Ingredient stats'!$C$2) * IF(ISBLANK(VLOOKUP(B512,AmmoTypeFactors,15,False)),1,VLOOKUP(B512,AmmoTypeFactors,15,False))"),24)</f>
        <v>24</v>
      </c>
      <c r="R516">
        <f>IFERROR(__xludf.DUMMYFUNCTION("ROUNDUP((IF(REGEXMATCH(B512, ""Arrow"") + (B512 = ""Javelin""), 'Ammo Input'!E512) + IF(VLOOKUP(B512, AmmoTypeFactors, 9, FALSE) = ""Wood"", 'Ammo Input'!H512) + IF(B512 = ""Stick bomb"", 'Ammo Input'!E512)) * N512 / 'Ingredient stats'!$C$12 / 1000)"),0)</f>
        <v>0</v>
      </c>
      <c r="S516">
        <v>0</v>
      </c>
      <c r="T516">
        <v>0</v>
      </c>
      <c r="U516">
        <f>IF(VLOOKUP(B516,AmmoTypeFactors,9,FALSE)="Plasteel",ROUNDUP(('Ammo Input'!H516*MAX(IF('Ammo Input'!J516&gt;0,'Ammo Input'!J516,1)*N516/1000/'Ingredient stats'!$C$4)),0),0)</f>
        <v>0</v>
      </c>
      <c r="V516">
        <f>IFERROR(__xludf.DUMMYFUNCTION("ROUNDUP(IF(ISBLANK(VLOOKUP(B512,AmmoTypeFactors,16,False)),1,VLOOKUP(B512,AmmoTypeFactors,16,False)) * (IFS(REGEXMATCH(B512, ""EMP""), 'Ammo Input'!M512 * N512 / 'Ingredient stats'!$C$5, REGEXMATCH(B512, ""Charge""), (U512^0.75), true, 0) + (IF(VLOOKUP(B5"&amp;"12, AmmoTypeFactors, 10, false), 2,0) + IF('Ammo Input'!P512, 2,0) + IF('Ammo Input'!Q512,MIN(ROUNDUP(0.2*('Ammo Input'!H512/1000)*'Ammo Input'!O512,0),20),0))))"),0)</f>
        <v>0</v>
      </c>
      <c r="W516">
        <v>0</v>
      </c>
      <c r="X516">
        <v>0</v>
      </c>
      <c r="Y516">
        <v>0</v>
      </c>
      <c r="Z516">
        <v>0</v>
      </c>
      <c r="AA516">
        <v>0</v>
      </c>
      <c r="AB516" s="30">
        <f>IF(B516="Sling Bullet (Stone)",ROUNDUP(D516*0.02*E516/'Ingredient stats'!$C$8,0),0)</f>
        <v>0</v>
      </c>
      <c r="AC516" t="str">
        <f t="shared" si="20"/>
        <v>None</v>
      </c>
      <c r="AD516" t="str">
        <f>IF(OR(B516="Buck",B516="Bird",B516="Charge (Scatter)"),'Ammo Input'!J516,"None")</f>
        <v>None</v>
      </c>
      <c r="AE516" t="str">
        <f>_xlfn.IFS(ISTEXT(Calcs!N516),Calcs!N516,Calcs!N516&lt;=40,Calcs!N516,Calcs!N516&gt;41,"40")</f>
        <v>None</v>
      </c>
      <c r="AF516" t="str">
        <f>_xlfn.IFS(ISTEXT(Calcs!O516),Calcs!O516,Calcs!O516&lt;=80,Calcs!O516,Calcs!O516&gt;=81,"80")</f>
        <v>None</v>
      </c>
      <c r="AG516" s="25">
        <f t="shared" si="21"/>
        <v>1</v>
      </c>
      <c r="AH516" s="25">
        <f t="shared" si="22"/>
        <v>2.41</v>
      </c>
      <c r="AI516" s="25">
        <f t="shared" si="23"/>
        <v>1</v>
      </c>
    </row>
    <row r="517" ht="14.4" spans="1:35">
      <c r="A517" s="24" t="str">
        <f>'Ammo Input'!A517</f>
        <v>6.5×50mmSR Arisaka</v>
      </c>
      <c r="B517" t="str">
        <f>'Ammo Input'!B517</f>
        <v>AP</v>
      </c>
      <c r="C517">
        <f>ROUNDUP(('Ammo Input'!C517*(MAX('Ammo Input'!D517,'Ammo Input'!F517)*0.5)^2*PI())*3/1000000,2)</f>
        <v>0.03</v>
      </c>
      <c r="D517">
        <f>ROUNDUP(('Ammo Input'!E517+'Ammo Input'!H517*IF('Ammo Input'!J517&lt;&gt;"",MAX('Ammo Input'!J517,1),1))/1000,3)</f>
        <v>0.023</v>
      </c>
      <c r="E517">
        <f>MIN(5000,MAX(25,CEILING(Calcs!L517,_xlfn.IFS(Calcs!L517&lt;100,25,Calcs!L517&lt;250,50,Calcs!L517&lt;1000,250,Calcs!L517&gt;=1000,1000))))</f>
        <v>5000</v>
      </c>
      <c r="F517">
        <f>ROUNDUP('Ammo Input'!G517^(3/4),0)</f>
        <v>147</v>
      </c>
      <c r="G517">
        <f>ROUND((0.5*((IF(OR(B517="HEAT",B517="HEDP"),'Ammo Input'!N517,'Ammo Input'!H517)/1000)*(IF(B517="HEAT",9000,IF(B517="HEDP",1500,'Ammo Input'!G517))^2))),0)</f>
        <v>2698</v>
      </c>
      <c r="H517" s="25" t="str">
        <f>CONCATENATE(IF((B517="Foam")+(B517="Smoke"),"-",ROUND(Calcs!D517,0))," ",VLOOKUP(B517,AmmoTypeFactors,5,FALSE))</f>
        <v>11 Bullet</v>
      </c>
      <c r="I517" s="25" t="str">
        <f>IF(Calcs!E517=0,"None",CONCATENATE(ROUND(Calcs!E517,0)," ",VLOOKUP(B517,AmmoTypeFactors,6,FALSE)))</f>
        <v>None</v>
      </c>
      <c r="J517">
        <f>MROUND(2.42*'Ammo Input'!M517^(1/3)*VLOOKUP(B517,AmmoTypeFactors,3,FALSE),0.5)</f>
        <v>0</v>
      </c>
      <c r="K517" s="25" t="str">
        <f>IF(VLOOKUP(B517,AmmoTypeFactors,12,FALSE),MROUND(J517/3,0.5),"None")</f>
        <v>None</v>
      </c>
      <c r="L517" s="25">
        <f>IF(VLOOKUP(B517,AmmoTypeFactors,8,FALSE),"None",ROUNDUP(IF(Calcs!I517&gt;0,Calcs!I517,Calcs!H517),3))</f>
        <v>53.96</v>
      </c>
      <c r="M517" s="25">
        <f>IF(VLOOKUP(B517,AmmoTypeFactors,8,FALSE),"None",'Ammo Input'!L517)</f>
        <v>12</v>
      </c>
      <c r="N517">
        <f>'Ammo Input'!O517</f>
        <v>500</v>
      </c>
      <c r="O517" t="e">
        <f>ROUND((P517*0.0036+SUMPRODUCT(Q517:AB517,VLOOKUP($Q$1:$AB$1,IngredientStats,2,FALSE)))/N517*IF('Ammo Input'!R517,0.5,1),2)</f>
        <v>#VALUE!</v>
      </c>
      <c r="P517" t="e">
        <f>(SUMPRODUCT(Q517:AB517,VLOOKUP($Q$1:$AB$1,IngredientStats,4,FALSE))*VLOOKUP(B517,AmmoTypeFactors,14,FALSE)*IF('Ammo Input'!R517,1.1,1))</f>
        <v>#VALUE!</v>
      </c>
      <c r="Q517">
        <f>IFERROR(__xludf.DUMMYFUNCTION("((IF(NOT(OR(REGEXMATCH(B513, ""Arrow""), B513 = ""Javelin"", B513 = ""Stick bomb"")), ROUNDUP(('Ammo Input'!E513 / 1000) * N513)) + IF(VLOOKUP(B513, AmmoTypeFactors, 9, FALSE) = ""Steel"", ROUNDUP(('Ammo Input'!H513 -'Ammo Input'!M513) * MAX(IF('Ammo Inpu"&amp;"t'!J513 &gt; 0, 'Ammo Input'!J513, 1), 1) * N513 / 1000))) / 'Ingredient stats'!$C$2) * IF(ISBLANK(VLOOKUP(B513,AmmoTypeFactors,15,False)),1,VLOOKUP(B513,AmmoTypeFactors,15,False))"),24)</f>
        <v>24</v>
      </c>
      <c r="R517">
        <f>IFERROR(__xludf.DUMMYFUNCTION("ROUNDUP((IF(REGEXMATCH(B513, ""Arrow"") + (B513 = ""Javelin""), 'Ammo Input'!E513) + IF(VLOOKUP(B513, AmmoTypeFactors, 9, FALSE) = ""Wood"", 'Ammo Input'!H513) + IF(B513 = ""Stick bomb"", 'Ammo Input'!E513)) * N513 / 'Ingredient stats'!$C$12 / 1000)"),0)</f>
        <v>0</v>
      </c>
      <c r="S517">
        <v>0</v>
      </c>
      <c r="T517">
        <v>0</v>
      </c>
      <c r="U517">
        <f>IF(VLOOKUP(B517,AmmoTypeFactors,9,FALSE)="Plasteel",ROUNDUP(('Ammo Input'!H517*MAX(IF('Ammo Input'!J517&gt;0,'Ammo Input'!J517,1)*N517/1000/'Ingredient stats'!$C$4)),0),0)</f>
        <v>0</v>
      </c>
      <c r="V517">
        <f>IFERROR(__xludf.DUMMYFUNCTION("ROUNDUP(IF(ISBLANK(VLOOKUP(B513,AmmoTypeFactors,16,False)),1,VLOOKUP(B513,AmmoTypeFactors,16,False)) * (IFS(REGEXMATCH(B513, ""EMP""), 'Ammo Input'!M513 * N513 / 'Ingredient stats'!$C$5, REGEXMATCH(B513, ""Charge""), (U513^0.75), true, 0) + (IF(VLOOKUP(B5"&amp;"13, AmmoTypeFactors, 10, false), 2,0) + IF('Ammo Input'!P513, 2,0) + IF('Ammo Input'!Q513,MIN(ROUNDUP(0.2*('Ammo Input'!H513/1000)*'Ammo Input'!O513,0),20),0))))"),0)</f>
        <v>0</v>
      </c>
      <c r="W517">
        <v>0</v>
      </c>
      <c r="X517">
        <v>0</v>
      </c>
      <c r="Y517">
        <v>0</v>
      </c>
      <c r="Z517">
        <v>0</v>
      </c>
      <c r="AA517">
        <v>0</v>
      </c>
      <c r="AB517" s="30">
        <f>IF(B517="Sling Bullet (Stone)",ROUNDUP(D517*0.02*E517/'Ingredient stats'!$C$8,0),0)</f>
        <v>0</v>
      </c>
      <c r="AC517" t="str">
        <f t="shared" si="20"/>
        <v>None</v>
      </c>
      <c r="AD517" t="str">
        <f>IF(OR(B517="Buck",B517="Bird",B517="Charge (Scatter)"),'Ammo Input'!J517,"None")</f>
        <v>None</v>
      </c>
      <c r="AE517" t="str">
        <f>_xlfn.IFS(ISTEXT(Calcs!N517),Calcs!N517,Calcs!N517&lt;=40,Calcs!N517,Calcs!N517&gt;41,"40")</f>
        <v>None</v>
      </c>
      <c r="AF517" t="str">
        <f>_xlfn.IFS(ISTEXT(Calcs!O517),Calcs!O517,Calcs!O517&lt;=80,Calcs!O517,Calcs!O517&gt;=81,"80")</f>
        <v>None</v>
      </c>
      <c r="AG517" s="25">
        <f t="shared" si="21"/>
        <v>1</v>
      </c>
      <c r="AH517" s="25">
        <f t="shared" si="22"/>
        <v>2.41</v>
      </c>
      <c r="AI517" s="25">
        <f t="shared" si="23"/>
        <v>1</v>
      </c>
    </row>
    <row r="518" ht="14.4" spans="1:35">
      <c r="A518" s="24" t="str">
        <f>'Ammo Input'!A518</f>
        <v>6.5×50mmSR Arisaka</v>
      </c>
      <c r="B518" t="str">
        <f>'Ammo Input'!B518</f>
        <v>HP</v>
      </c>
      <c r="C518">
        <f>ROUNDUP(('Ammo Input'!C518*(MAX('Ammo Input'!D518,'Ammo Input'!F518)*0.5)^2*PI())*3/1000000,2)</f>
        <v>0.03</v>
      </c>
      <c r="D518">
        <f>ROUNDUP(('Ammo Input'!E518+'Ammo Input'!H518*IF('Ammo Input'!J518&lt;&gt;"",MAX('Ammo Input'!J518,1),1))/1000,3)</f>
        <v>0.023</v>
      </c>
      <c r="E518">
        <f>MIN(5000,MAX(25,CEILING(Calcs!L518,_xlfn.IFS(Calcs!L518&lt;100,25,Calcs!L518&lt;250,50,Calcs!L518&lt;1000,250,Calcs!L518&gt;=1000,1000))))</f>
        <v>5000</v>
      </c>
      <c r="F518">
        <f>ROUNDUP('Ammo Input'!G518^(3/4),0)</f>
        <v>147</v>
      </c>
      <c r="G518">
        <f>ROUND((0.5*((IF(OR(B518="HEAT",B518="HEDP"),'Ammo Input'!N518,'Ammo Input'!H518)/1000)*(IF(B518="HEAT",9000,IF(B518="HEDP",1500,'Ammo Input'!G518))^2))),0)</f>
        <v>2698</v>
      </c>
      <c r="H518" s="25" t="str">
        <f>CONCATENATE(IF((B518="Foam")+(B518="Smoke"),"-",ROUND(Calcs!D518,0))," ",VLOOKUP(B518,AmmoTypeFactors,5,FALSE))</f>
        <v>22 Bullet</v>
      </c>
      <c r="I518" s="25" t="str">
        <f>IF(Calcs!E518=0,"None",CONCATENATE(ROUND(Calcs!E518,0)," ",VLOOKUP(B518,AmmoTypeFactors,6,FALSE)))</f>
        <v>None</v>
      </c>
      <c r="J518">
        <f>MROUND(2.42*'Ammo Input'!M518^(1/3)*VLOOKUP(B518,AmmoTypeFactors,3,FALSE),0.5)</f>
        <v>0</v>
      </c>
      <c r="K518" s="25" t="str">
        <f>IF(VLOOKUP(B518,AmmoTypeFactors,12,FALSE),MROUND(J518/3,0.5),"None")</f>
        <v>None</v>
      </c>
      <c r="L518" s="25">
        <f>IF(VLOOKUP(B518,AmmoTypeFactors,8,FALSE),"None",ROUNDUP(IF(Calcs!I518&gt;0,Calcs!I518,Calcs!H518),3))</f>
        <v>53.96</v>
      </c>
      <c r="M518" s="25">
        <f>IF(VLOOKUP(B518,AmmoTypeFactors,8,FALSE),"None",'Ammo Input'!L518)</f>
        <v>3</v>
      </c>
      <c r="N518">
        <f>'Ammo Input'!O518</f>
        <v>500</v>
      </c>
      <c r="O518" t="e">
        <f>ROUND((P518*0.0036+SUMPRODUCT(Q518:AB518,VLOOKUP($Q$1:$AB$1,IngredientStats,2,FALSE)))/N518*IF('Ammo Input'!R518,0.5,1),2)</f>
        <v>#VALUE!</v>
      </c>
      <c r="P518" t="e">
        <f>(SUMPRODUCT(Q518:AB518,VLOOKUP($Q$1:$AB$1,IngredientStats,4,FALSE))*VLOOKUP(B518,AmmoTypeFactors,14,FALSE)*IF('Ammo Input'!R518,1.1,1))</f>
        <v>#VALUE!</v>
      </c>
      <c r="Q518">
        <f>IFERROR(__xludf.DUMMYFUNCTION("((IF(NOT(OR(REGEXMATCH(B514, ""Arrow""), B514 = ""Javelin"", B514 = ""Stick bomb"")), ROUNDUP(('Ammo Input'!E514 / 1000) * N514)) + IF(VLOOKUP(B514, AmmoTypeFactors, 9, FALSE) = ""Steel"", ROUNDUP(('Ammo Input'!H514 -'Ammo Input'!M514) * MAX(IF('Ammo Inpu"&amp;"t'!J514 &gt; 0, 'Ammo Input'!J514, 1), 1) * N514 / 1000))) / 'Ingredient stats'!$C$2) * IF(ISBLANK(VLOOKUP(B514,AmmoTypeFactors,15,False)),1,VLOOKUP(B514,AmmoTypeFactors,15,False))"),24)</f>
        <v>24</v>
      </c>
      <c r="R518">
        <f>IFERROR(__xludf.DUMMYFUNCTION("ROUNDUP((IF(REGEXMATCH(B514, ""Arrow"") + (B514 = ""Javelin""), 'Ammo Input'!E514) + IF(VLOOKUP(B514, AmmoTypeFactors, 9, FALSE) = ""Wood"", 'Ammo Input'!H514) + IF(B514 = ""Stick bomb"", 'Ammo Input'!E514)) * N514 / 'Ingredient stats'!$C$12 / 1000)"),0)</f>
        <v>0</v>
      </c>
      <c r="S518">
        <v>0</v>
      </c>
      <c r="T518">
        <v>0</v>
      </c>
      <c r="U518">
        <f>IF(VLOOKUP(B518,AmmoTypeFactors,9,FALSE)="Plasteel",ROUNDUP(('Ammo Input'!H518*MAX(IF('Ammo Input'!J518&gt;0,'Ammo Input'!J518,1)*N518/1000/'Ingredient stats'!$C$4)),0),0)</f>
        <v>0</v>
      </c>
      <c r="V518">
        <f>IFERROR(__xludf.DUMMYFUNCTION("ROUNDUP(IF(ISBLANK(VLOOKUP(B514,AmmoTypeFactors,16,False)),1,VLOOKUP(B514,AmmoTypeFactors,16,False)) * (IFS(REGEXMATCH(B514, ""EMP""), 'Ammo Input'!M514 * N514 / 'Ingredient stats'!$C$5, REGEXMATCH(B514, ""Charge""), (U514^0.75), true, 0) + (IF(VLOOKUP(B5"&amp;"14, AmmoTypeFactors, 10, false), 2,0) + IF('Ammo Input'!P514, 2,0) + IF('Ammo Input'!Q514,MIN(ROUNDUP(0.2*('Ammo Input'!H514/1000)*'Ammo Input'!O514,0),20),0))))"),0)</f>
        <v>0</v>
      </c>
      <c r="W518">
        <v>0</v>
      </c>
      <c r="X518">
        <v>0</v>
      </c>
      <c r="Y518">
        <v>0</v>
      </c>
      <c r="Z518">
        <v>0</v>
      </c>
      <c r="AA518">
        <v>0</v>
      </c>
      <c r="AB518" s="30">
        <f>IF(B518="Sling Bullet (Stone)",ROUNDUP(D518*0.02*E518/'Ingredient stats'!$C$8,0),0)</f>
        <v>0</v>
      </c>
      <c r="AC518" t="str">
        <f t="shared" si="20"/>
        <v>None</v>
      </c>
      <c r="AD518" t="str">
        <f>IF(OR(B518="Buck",B518="Bird",B518="Charge (Scatter)"),'Ammo Input'!J518,"None")</f>
        <v>None</v>
      </c>
      <c r="AE518" t="str">
        <f>_xlfn.IFS(ISTEXT(Calcs!N518),Calcs!N518,Calcs!N518&lt;=40,Calcs!N518,Calcs!N518&gt;41,"40")</f>
        <v>None</v>
      </c>
      <c r="AF518" t="str">
        <f>_xlfn.IFS(ISTEXT(Calcs!O518),Calcs!O518,Calcs!O518&lt;=80,Calcs!O518,Calcs!O518&gt;=81,"80")</f>
        <v>None</v>
      </c>
      <c r="AG518" s="25">
        <f t="shared" si="21"/>
        <v>1</v>
      </c>
      <c r="AH518" s="25">
        <f t="shared" si="22"/>
        <v>2.41</v>
      </c>
      <c r="AI518" s="25">
        <f t="shared" si="23"/>
        <v>1</v>
      </c>
    </row>
    <row r="519" ht="14.4" spans="1:35">
      <c r="A519" s="24" t="str">
        <f>'Ammo Input'!A519</f>
        <v>6.5×50mmSR Arisaka</v>
      </c>
      <c r="B519" t="str">
        <f>'Ammo Input'!B519</f>
        <v>AP-I</v>
      </c>
      <c r="C519">
        <f>ROUNDUP(('Ammo Input'!C519*(MAX('Ammo Input'!D519,'Ammo Input'!F519)*0.5)^2*PI())*3/1000000,2)</f>
        <v>0.03</v>
      </c>
      <c r="D519">
        <f>ROUNDUP(('Ammo Input'!E519+'Ammo Input'!H519*IF('Ammo Input'!J519&lt;&gt;"",MAX('Ammo Input'!J519,1),1))/1000,3)</f>
        <v>0.023</v>
      </c>
      <c r="E519">
        <f>MIN(5000,MAX(25,CEILING(Calcs!L519,_xlfn.IFS(Calcs!L519&lt;100,25,Calcs!L519&lt;250,50,Calcs!L519&lt;1000,250,Calcs!L519&gt;=1000,1000))))</f>
        <v>5000</v>
      </c>
      <c r="F519">
        <f>ROUNDUP('Ammo Input'!G519^(3/4),0)</f>
        <v>147</v>
      </c>
      <c r="G519">
        <f>ROUND((0.5*((IF(OR(B519="HEAT",B519="HEDP"),'Ammo Input'!N519,'Ammo Input'!H519)/1000)*(IF(B519="HEAT",9000,IF(B519="HEDP",1500,'Ammo Input'!G519))^2))),0)</f>
        <v>2698</v>
      </c>
      <c r="H519" s="25" t="str">
        <f>CONCATENATE(IF((B519="Foam")+(B519="Smoke"),"-",ROUND(Calcs!D519,0))," ",VLOOKUP(B519,AmmoTypeFactors,5,FALSE))</f>
        <v>11 Bullet</v>
      </c>
      <c r="I519" s="25" t="str">
        <f>IF(Calcs!E519=0,"None",CONCATENATE(ROUND(Calcs!E519,0)," ",VLOOKUP(B519,AmmoTypeFactors,6,FALSE)))</f>
        <v>5 Flame_Secondary</v>
      </c>
      <c r="J519">
        <f>MROUND(2.42*'Ammo Input'!M519^(1/3)*VLOOKUP(B519,AmmoTypeFactors,3,FALSE),0.5)</f>
        <v>0</v>
      </c>
      <c r="K519" s="25" t="str">
        <f>IF(VLOOKUP(B519,AmmoTypeFactors,12,FALSE),MROUND(J519/3,0.5),"None")</f>
        <v>None</v>
      </c>
      <c r="L519" s="25">
        <f>IF(VLOOKUP(B519,AmmoTypeFactors,8,FALSE),"None",ROUNDUP(IF(Calcs!I519&gt;0,Calcs!I519,Calcs!H519),3))</f>
        <v>53.96</v>
      </c>
      <c r="M519" s="25">
        <f>IF(VLOOKUP(B519,AmmoTypeFactors,8,FALSE),"None",'Ammo Input'!L519)</f>
        <v>12</v>
      </c>
      <c r="N519">
        <f>'Ammo Input'!O519</f>
        <v>500</v>
      </c>
      <c r="O519" t="e">
        <f>ROUND((P519*0.0036+SUMPRODUCT(Q519:AB519,VLOOKUP($Q$1:$AB$1,IngredientStats,2,FALSE)))/N519*IF('Ammo Input'!R519,0.5,1),2)</f>
        <v>#VALUE!</v>
      </c>
      <c r="P519" t="e">
        <f>(SUMPRODUCT(Q519:AB519,VLOOKUP($Q$1:$AB$1,IngredientStats,4,FALSE))*VLOOKUP(B519,AmmoTypeFactors,14,FALSE)*IF('Ammo Input'!R519,1.1,1))</f>
        <v>#VALUE!</v>
      </c>
      <c r="Q519">
        <f>IFERROR(__xludf.DUMMYFUNCTION("((IF(NOT(OR(REGEXMATCH(B515, ""Arrow""), B515 = ""Javelin"", B515 = ""Stick bomb"")), ROUNDUP(('Ammo Input'!E515 / 1000) * N515)) + IF(VLOOKUP(B515, AmmoTypeFactors, 9, FALSE) = ""Steel"", ROUNDUP(('Ammo Input'!H515 -'Ammo Input'!M515) * MAX(IF('Ammo Inpu"&amp;"t'!J515 &gt; 0, 'Ammo Input'!J515, 1), 1) * N515 / 1000))) / 'Ingredient stats'!$C$2) * IF(ISBLANK(VLOOKUP(B515,AmmoTypeFactors,15,False)),1,VLOOKUP(B515,AmmoTypeFactors,15,False))"),24)</f>
        <v>24</v>
      </c>
      <c r="R519">
        <f>IFERROR(__xludf.DUMMYFUNCTION("ROUNDUP((IF(REGEXMATCH(B515, ""Arrow"") + (B515 = ""Javelin""), 'Ammo Input'!E515) + IF(VLOOKUP(B515, AmmoTypeFactors, 9, FALSE) = ""Wood"", 'Ammo Input'!H515) + IF(B515 = ""Stick bomb"", 'Ammo Input'!E515)) * N515 / 'Ingredient stats'!$C$12 / 1000)"),0)</f>
        <v>0</v>
      </c>
      <c r="S519">
        <v>0</v>
      </c>
      <c r="T519">
        <v>0</v>
      </c>
      <c r="U519">
        <f>IF(VLOOKUP(B519,AmmoTypeFactors,9,FALSE)="Plasteel",ROUNDUP(('Ammo Input'!H519*MAX(IF('Ammo Input'!J519&gt;0,'Ammo Input'!J519,1)*N519/1000/'Ingredient stats'!$C$4)),0),0)</f>
        <v>0</v>
      </c>
      <c r="V519">
        <f>IFERROR(__xludf.DUMMYFUNCTION("ROUNDUP(IF(ISBLANK(VLOOKUP(B515,AmmoTypeFactors,16,False)),1,VLOOKUP(B515,AmmoTypeFactors,16,False)) * (IFS(REGEXMATCH(B515, ""EMP""), 'Ammo Input'!M515 * N515 / 'Ingredient stats'!$C$5, REGEXMATCH(B515, ""Charge""), (U515^0.75), true, 0) + (IF(VLOOKUP(B5"&amp;"15, AmmoTypeFactors, 10, false), 2,0) + IF('Ammo Input'!P515, 2,0) + IF('Ammo Input'!Q515,MIN(ROUNDUP(0.2*('Ammo Input'!H515/1000)*'Ammo Input'!O515,0),20),0))))"),0)</f>
        <v>0</v>
      </c>
      <c r="W519">
        <v>3</v>
      </c>
      <c r="X519">
        <v>0</v>
      </c>
      <c r="Y519">
        <v>0</v>
      </c>
      <c r="Z519">
        <v>0</v>
      </c>
      <c r="AA519">
        <v>0</v>
      </c>
      <c r="AB519" s="30">
        <f>IF(B519="Sling Bullet (Stone)",ROUNDUP(D519*0.02*E519/'Ingredient stats'!$C$8,0),0)</f>
        <v>0</v>
      </c>
      <c r="AC519" t="str">
        <f t="shared" si="20"/>
        <v>None</v>
      </c>
      <c r="AD519" t="str">
        <f>IF(OR(B519="Buck",B519="Bird",B519="Charge (Scatter)"),'Ammo Input'!J519,"None")</f>
        <v>None</v>
      </c>
      <c r="AE519" t="str">
        <f>_xlfn.IFS(ISTEXT(Calcs!N519),Calcs!N519,Calcs!N519&lt;=40,Calcs!N519,Calcs!N519&gt;41,"40")</f>
        <v>None</v>
      </c>
      <c r="AF519" t="str">
        <f>_xlfn.IFS(ISTEXT(Calcs!O519),Calcs!O519,Calcs!O519&lt;=80,Calcs!O519,Calcs!O519&gt;=81,"80")</f>
        <v>None</v>
      </c>
      <c r="AG519" s="25">
        <f t="shared" si="21"/>
        <v>1</v>
      </c>
      <c r="AH519" s="25">
        <f t="shared" si="22"/>
        <v>2.41</v>
      </c>
      <c r="AI519" s="25">
        <f t="shared" si="23"/>
        <v>1</v>
      </c>
    </row>
    <row r="520" ht="14.4" spans="1:35">
      <c r="A520" s="24" t="str">
        <f>'Ammo Input'!A520</f>
        <v>6.5×50mmSR Arisaka</v>
      </c>
      <c r="B520" t="str">
        <f>'Ammo Input'!B520</f>
        <v>AP-HE</v>
      </c>
      <c r="C520">
        <f>ROUNDUP(('Ammo Input'!C520*(MAX('Ammo Input'!D520,'Ammo Input'!F520)*0.5)^2*PI())*3/1000000,2)</f>
        <v>0.03</v>
      </c>
      <c r="D520">
        <f>ROUNDUP(('Ammo Input'!E520+'Ammo Input'!H520*IF('Ammo Input'!J520&lt;&gt;"",MAX('Ammo Input'!J520,1),1))/1000,3)</f>
        <v>0.023</v>
      </c>
      <c r="E520">
        <f>MIN(5000,MAX(25,CEILING(Calcs!L520,_xlfn.IFS(Calcs!L520&lt;100,25,Calcs!L520&lt;250,50,Calcs!L520&lt;1000,250,Calcs!L520&gt;=1000,1000))))</f>
        <v>5000</v>
      </c>
      <c r="F520">
        <f>ROUNDUP('Ammo Input'!G520^(3/4),0)</f>
        <v>147</v>
      </c>
      <c r="G520">
        <f>ROUND((0.5*((IF(OR(B520="HEAT",B520="HEDP"),'Ammo Input'!N520,'Ammo Input'!H520)/1000)*(IF(B520="HEAT",9000,IF(B520="HEDP",1500,'Ammo Input'!G520))^2))),0)</f>
        <v>2698</v>
      </c>
      <c r="H520" s="25" t="str">
        <f>CONCATENATE(IF((B520="Foam")+(B520="Smoke"),"-",ROUND(Calcs!D520,0))," ",VLOOKUP(B520,AmmoTypeFactors,5,FALSE))</f>
        <v>17 Bullet</v>
      </c>
      <c r="I520" s="25" t="str">
        <f>IF(Calcs!E520=0,"None",CONCATENATE(ROUND(Calcs!E520,0)," ",VLOOKUP(B520,AmmoTypeFactors,6,FALSE)))</f>
        <v>7 Bomb_Secondary</v>
      </c>
      <c r="J520">
        <f>MROUND(2.42*'Ammo Input'!M520^(1/3)*VLOOKUP(B520,AmmoTypeFactors,3,FALSE),0.5)</f>
        <v>0</v>
      </c>
      <c r="K520" s="25" t="str">
        <f>IF(VLOOKUP(B520,AmmoTypeFactors,12,FALSE),MROUND(J520/3,0.5),"None")</f>
        <v>None</v>
      </c>
      <c r="L520" s="25">
        <f>IF(VLOOKUP(B520,AmmoTypeFactors,8,FALSE),"None",ROUNDUP(IF(Calcs!I520&gt;0,Calcs!I520,Calcs!H520),3))</f>
        <v>53.96</v>
      </c>
      <c r="M520" s="25">
        <f>IF(VLOOKUP(B520,AmmoTypeFactors,8,FALSE),"None",'Ammo Input'!L520)</f>
        <v>21</v>
      </c>
      <c r="N520">
        <f>'Ammo Input'!O520</f>
        <v>500</v>
      </c>
      <c r="O520" t="e">
        <f>ROUND((P520*0.0036+SUMPRODUCT(Q520:AB520,VLOOKUP($Q$1:$AB$1,IngredientStats,2,FALSE)))/N520*IF('Ammo Input'!R520,0.5,1),2)</f>
        <v>#VALUE!</v>
      </c>
      <c r="P520" t="e">
        <f>(SUMPRODUCT(Q520:AB520,VLOOKUP($Q$1:$AB$1,IngredientStats,4,FALSE))*VLOOKUP(B520,AmmoTypeFactors,14,FALSE)*IF('Ammo Input'!R520,1.1,1))</f>
        <v>#VALUE!</v>
      </c>
      <c r="Q520">
        <f>IFERROR(__xludf.DUMMYFUNCTION("((IF(NOT(OR(REGEXMATCH(B516, ""Arrow""), B516 = ""Javelin"", B516 = ""Stick bomb"")), ROUNDUP(('Ammo Input'!E516 / 1000) * N516)) + IF(VLOOKUP(B516, AmmoTypeFactors, 9, FALSE) = ""Steel"", ROUNDUP(('Ammo Input'!H516 -'Ammo Input'!M516) * MAX(IF('Ammo Inpu"&amp;"t'!J516 &gt; 0, 'Ammo Input'!J516, 1), 1) * N516 / 1000))) / 'Ingredient stats'!$C$2) * IF(ISBLANK(VLOOKUP(B516,AmmoTypeFactors,15,False)),1,VLOOKUP(B516,AmmoTypeFactors,15,False))"),24)</f>
        <v>24</v>
      </c>
      <c r="R520">
        <f>IFERROR(__xludf.DUMMYFUNCTION("ROUNDUP((IF(REGEXMATCH(B516, ""Arrow"") + (B516 = ""Javelin""), 'Ammo Input'!E516) + IF(VLOOKUP(B516, AmmoTypeFactors, 9, FALSE) = ""Wood"", 'Ammo Input'!H516) + IF(B516 = ""Stick bomb"", 'Ammo Input'!E516)) * N516 / 'Ingredient stats'!$C$12 / 1000)"),0)</f>
        <v>0</v>
      </c>
      <c r="S520">
        <v>0</v>
      </c>
      <c r="T520">
        <v>0</v>
      </c>
      <c r="U520">
        <f>IF(VLOOKUP(B520,AmmoTypeFactors,9,FALSE)="Plasteel",ROUNDUP(('Ammo Input'!H520*MAX(IF('Ammo Input'!J520&gt;0,'Ammo Input'!J520,1)*N520/1000/'Ingredient stats'!$C$4)),0),0)</f>
        <v>0</v>
      </c>
      <c r="V520">
        <f>IFERROR(__xludf.DUMMYFUNCTION("ROUNDUP(IF(ISBLANK(VLOOKUP(B516,AmmoTypeFactors,16,False)),1,VLOOKUP(B516,AmmoTypeFactors,16,False)) * (IFS(REGEXMATCH(B516, ""EMP""), 'Ammo Input'!M516 * N516 / 'Ingredient stats'!$C$5, REGEXMATCH(B516, ""Charge""), (U516^0.75), true, 0) + (IF(VLOOKUP(B5"&amp;"16, AmmoTypeFactors, 10, false), 2,0) + IF('Ammo Input'!P516, 2,0) + IF('Ammo Input'!Q516,MIN(ROUNDUP(0.2*('Ammo Input'!H516/1000)*'Ammo Input'!O516,0),20),0))))"),0)</f>
        <v>0</v>
      </c>
      <c r="W520">
        <v>0</v>
      </c>
      <c r="X520">
        <v>5</v>
      </c>
      <c r="Y520">
        <v>0</v>
      </c>
      <c r="Z520">
        <v>0</v>
      </c>
      <c r="AA520">
        <v>0</v>
      </c>
      <c r="AB520" s="30">
        <f>IF(B520="Sling Bullet (Stone)",ROUNDUP(D520*0.02*E520/'Ingredient stats'!$C$8,0),0)</f>
        <v>0</v>
      </c>
      <c r="AC520" t="str">
        <f t="shared" si="20"/>
        <v>None</v>
      </c>
      <c r="AD520" t="str">
        <f>IF(OR(B520="Buck",B520="Bird",B520="Charge (Scatter)"),'Ammo Input'!J520,"None")</f>
        <v>None</v>
      </c>
      <c r="AE520" t="str">
        <f>_xlfn.IFS(ISTEXT(Calcs!N520),Calcs!N520,Calcs!N520&lt;=40,Calcs!N520,Calcs!N520&gt;41,"40")</f>
        <v>None</v>
      </c>
      <c r="AF520" t="str">
        <f>_xlfn.IFS(ISTEXT(Calcs!O520),Calcs!O520,Calcs!O520&lt;=80,Calcs!O520,Calcs!O520&gt;=81,"80")</f>
        <v>None</v>
      </c>
      <c r="AG520" s="25">
        <f t="shared" si="21"/>
        <v>1</v>
      </c>
      <c r="AH520" s="25">
        <f t="shared" si="22"/>
        <v>2.41</v>
      </c>
      <c r="AI520" s="25">
        <f t="shared" si="23"/>
        <v>1</v>
      </c>
    </row>
    <row r="521" ht="14.4" spans="1:35">
      <c r="A521" s="24" t="str">
        <f>'Ammo Input'!A521</f>
        <v>6.5×50mmSR Arisaka</v>
      </c>
      <c r="B521" t="str">
        <f>'Ammo Input'!B521</f>
        <v>Sabot</v>
      </c>
      <c r="C521">
        <f>ROUNDUP(('Ammo Input'!C521*(MAX('Ammo Input'!D521,'Ammo Input'!F521)*0.5)^2*PI())*3/1000000,2)</f>
        <v>0.03</v>
      </c>
      <c r="D521">
        <f>ROUNDUP(('Ammo Input'!E521+'Ammo Input'!H521*IF('Ammo Input'!J521&lt;&gt;"",MAX('Ammo Input'!J521,1),1))/1000,3)</f>
        <v>0.019</v>
      </c>
      <c r="E521">
        <f>MIN(5000,MAX(25,CEILING(Calcs!L521,_xlfn.IFS(Calcs!L521&lt;100,25,Calcs!L521&lt;250,50,Calcs!L521&lt;1000,250,Calcs!L521&gt;=1000,1000))))</f>
        <v>5000</v>
      </c>
      <c r="F521">
        <f>ROUNDUP('Ammo Input'!G521^(3/4),0)</f>
        <v>199</v>
      </c>
      <c r="G521">
        <f>ROUND((0.5*((IF(OR(B521="HEAT",B521="HEDP"),'Ammo Input'!N521,'Ammo Input'!H521)/1000)*(IF(B521="HEAT",9000,IF(B521="HEDP",1500,'Ammo Input'!G521))^2))),0)</f>
        <v>3462</v>
      </c>
      <c r="H521" s="25" t="str">
        <f>CONCATENATE(IF((B521="Foam")+(B521="Smoke"),"-",ROUND(Calcs!D521,0))," ",VLOOKUP(B521,AmmoTypeFactors,5,FALSE))</f>
        <v>9 Bullet</v>
      </c>
      <c r="I521" s="25" t="str">
        <f>IF(Calcs!E521=0,"None",CONCATENATE(ROUND(Calcs!E521,0)," ",VLOOKUP(B521,AmmoTypeFactors,6,FALSE)))</f>
        <v>None</v>
      </c>
      <c r="J521">
        <f>MROUND(2.42*'Ammo Input'!M521^(1/3)*VLOOKUP(B521,AmmoTypeFactors,3,FALSE),0.5)</f>
        <v>0</v>
      </c>
      <c r="K521" s="25" t="str">
        <f>IF(VLOOKUP(B521,AmmoTypeFactors,12,FALSE),MROUND(J521/3,0.5),"None")</f>
        <v>None</v>
      </c>
      <c r="L521" s="25">
        <f>IF(VLOOKUP(B521,AmmoTypeFactors,8,FALSE),"None",ROUNDUP(IF(Calcs!I521&gt;0,Calcs!I521,Calcs!H521),3))</f>
        <v>69.24</v>
      </c>
      <c r="M521" s="25">
        <f>IF(VLOOKUP(B521,AmmoTypeFactors,8,FALSE),"None",'Ammo Input'!L521)</f>
        <v>6</v>
      </c>
      <c r="N521">
        <f>'Ammo Input'!O521</f>
        <v>500</v>
      </c>
      <c r="O521" t="e">
        <f>ROUND((P521*0.0036+SUMPRODUCT(Q521:AB521,VLOOKUP($Q$1:$AB$1,IngredientStats,2,FALSE)))/N521*IF('Ammo Input'!R521,0.5,1),2)</f>
        <v>#VALUE!</v>
      </c>
      <c r="P521" t="e">
        <f>(SUMPRODUCT(Q521:AB521,VLOOKUP($Q$1:$AB$1,IngredientStats,4,FALSE))*VLOOKUP(B521,AmmoTypeFactors,14,FALSE)*IF('Ammo Input'!R521,1.1,1))</f>
        <v>#VALUE!</v>
      </c>
      <c r="Q521">
        <f>IFERROR(__xludf.DUMMYFUNCTION("((IF(NOT(OR(REGEXMATCH(B517, ""Arrow""), B517 = ""Javelin"", B517 = ""Stick bomb"")), ROUNDUP(('Ammo Input'!E517 / 1000) * N517)) + IF(VLOOKUP(B517, AmmoTypeFactors, 9, FALSE) = ""Steel"", ROUNDUP(('Ammo Input'!H517 -'Ammo Input'!M517) * MAX(IF('Ammo Inpu"&amp;"t'!J517 &gt; 0, 'Ammo Input'!J517, 1), 1) * N517 / 1000))) / 'Ingredient stats'!$C$2) * IF(ISBLANK(VLOOKUP(B517,AmmoTypeFactors,15,False)),1,VLOOKUP(B517,AmmoTypeFactors,15,False))"),14)</f>
        <v>14</v>
      </c>
      <c r="R521">
        <f>IFERROR(__xludf.DUMMYFUNCTION("ROUNDUP((IF(REGEXMATCH(B517, ""Arrow"") + (B517 = ""Javelin""), 'Ammo Input'!E517) + IF(VLOOKUP(B517, AmmoTypeFactors, 9, FALSE) = ""Wood"", 'Ammo Input'!H517) + IF(B517 = ""Stick bomb"", 'Ammo Input'!E517)) * N517 / 'Ingredient stats'!$C$12 / 1000)"),0)</f>
        <v>0</v>
      </c>
      <c r="S521">
        <v>3</v>
      </c>
      <c r="T521">
        <v>3</v>
      </c>
      <c r="U521">
        <f>IF(VLOOKUP(B521,AmmoTypeFactors,9,FALSE)="Plasteel",ROUNDUP(('Ammo Input'!H521*MAX(IF('Ammo Input'!J521&gt;0,'Ammo Input'!J521,1)*N521/1000/'Ingredient stats'!$C$4)),0),0)</f>
        <v>0</v>
      </c>
      <c r="V521">
        <f>IFERROR(__xludf.DUMMYFUNCTION("ROUNDUP(IF(ISBLANK(VLOOKUP(B517,AmmoTypeFactors,16,False)),1,VLOOKUP(B517,AmmoTypeFactors,16,False)) * (IFS(REGEXMATCH(B517, ""EMP""), 'Ammo Input'!M517 * N517 / 'Ingredient stats'!$C$5, REGEXMATCH(B517, ""Charge""), (U517^0.75), true, 0) + (IF(VLOOKUP(B5"&amp;"17, AmmoTypeFactors, 10, false), 2,0) + IF('Ammo Input'!P517, 2,0) + IF('Ammo Input'!Q517,MIN(ROUNDUP(0.2*('Ammo Input'!H517/1000)*'Ammo Input'!O517,0),20),0))))"),0)</f>
        <v>0</v>
      </c>
      <c r="W521">
        <v>0</v>
      </c>
      <c r="X521">
        <v>0</v>
      </c>
      <c r="Y521">
        <v>0</v>
      </c>
      <c r="Z521">
        <v>0</v>
      </c>
      <c r="AA521">
        <v>0</v>
      </c>
      <c r="AB521" s="30">
        <f>IF(B521="Sling Bullet (Stone)",ROUNDUP(D521*0.02*E521/'Ingredient stats'!$C$8,0),0)</f>
        <v>0</v>
      </c>
      <c r="AC521" t="str">
        <f t="shared" si="20"/>
        <v>None</v>
      </c>
      <c r="AD521" t="str">
        <f>IF(OR(B521="Buck",B521="Bird",B521="Charge (Scatter)"),'Ammo Input'!J521,"None")</f>
        <v>None</v>
      </c>
      <c r="AE521" t="str">
        <f>_xlfn.IFS(ISTEXT(Calcs!N521),Calcs!N521,Calcs!N521&lt;=40,Calcs!N521,Calcs!N521&gt;41,"40")</f>
        <v>None</v>
      </c>
      <c r="AF521" t="str">
        <f>_xlfn.IFS(ISTEXT(Calcs!O521),Calcs!O521,Calcs!O521&lt;=80,Calcs!O521,Calcs!O521&gt;=81,"80")</f>
        <v>None</v>
      </c>
      <c r="AG521" s="25">
        <f t="shared" si="21"/>
        <v>1</v>
      </c>
      <c r="AH521" s="25">
        <f t="shared" si="22"/>
        <v>3.23</v>
      </c>
      <c r="AI521" s="25">
        <f t="shared" si="23"/>
        <v>1</v>
      </c>
    </row>
    <row r="522" ht="14.4" spans="1:35">
      <c r="A522" s="24" t="str">
        <f>'Ammo Input'!A522</f>
        <v>6.5×52mm Carcano</v>
      </c>
      <c r="B522" t="str">
        <f>'Ammo Input'!B522</f>
        <v>FMJ</v>
      </c>
      <c r="C522">
        <f>ROUNDUP(('Ammo Input'!C522*(MAX('Ammo Input'!D522,'Ammo Input'!F522)*0.5)^2*PI())*3/1000000,2)</f>
        <v>0.03</v>
      </c>
      <c r="D522">
        <f>ROUNDUP(('Ammo Input'!E522+'Ammo Input'!H522*IF('Ammo Input'!J522&lt;&gt;"",MAX('Ammo Input'!J522,1),1))/1000,3)</f>
        <v>0.025</v>
      </c>
      <c r="E522">
        <f>MIN(5000,MAX(25,CEILING(Calcs!L522,_xlfn.IFS(Calcs!L522&lt;100,25,Calcs!L522&lt;250,50,Calcs!L522&lt;1000,250,Calcs!L522&gt;=1000,1000))))</f>
        <v>5000</v>
      </c>
      <c r="F522">
        <f>ROUNDUP('Ammo Input'!G522^(3/4),0)</f>
        <v>137</v>
      </c>
      <c r="G522">
        <f>ROUND((0.5*((IF(OR(B522="HEAT",B522="HEDP"),'Ammo Input'!N522,'Ammo Input'!H522)/1000)*(IF(B522="HEAT",9000,IF(B522="HEDP",1500,'Ammo Input'!G522))^2))),0)</f>
        <v>2573</v>
      </c>
      <c r="H522" s="25" t="str">
        <f>CONCATENATE(IF((B522="Foam")+(B522="Smoke"),"-",ROUND(Calcs!D522,0))," ",VLOOKUP(B522,AmmoTypeFactors,5,FALSE))</f>
        <v>17 Bullet</v>
      </c>
      <c r="I522" s="25" t="str">
        <f>IF(Calcs!E522=0,"None",CONCATENATE(ROUND(Calcs!E522,0)," ",VLOOKUP(B522,AmmoTypeFactors,6,FALSE)))</f>
        <v>None</v>
      </c>
      <c r="J522">
        <f>MROUND(2.42*'Ammo Input'!M522^(1/3)*VLOOKUP(B522,AmmoTypeFactors,3,FALSE),0.5)</f>
        <v>0</v>
      </c>
      <c r="K522" s="25" t="str">
        <f>IF(VLOOKUP(B522,AmmoTypeFactors,12,FALSE),MROUND(J522/3,0.5),"None")</f>
        <v>None</v>
      </c>
      <c r="L522" s="25">
        <f>IF(VLOOKUP(B522,AmmoTypeFactors,8,FALSE),"None",ROUNDUP(IF(Calcs!I522&gt;0,Calcs!I522,Calcs!H522),3))</f>
        <v>51.46</v>
      </c>
      <c r="M522" s="25">
        <f>IF(VLOOKUP(B522,AmmoTypeFactors,8,FALSE),"None",'Ammo Input'!L522)</f>
        <v>6</v>
      </c>
      <c r="N522">
        <f>'Ammo Input'!O522</f>
        <v>500</v>
      </c>
      <c r="O522" t="e">
        <f>ROUND((P522*0.0036+SUMPRODUCT(Q522:AB522,VLOOKUP($Q$1:$AB$1,IngredientStats,2,FALSE)))/N522*IF('Ammo Input'!R522,0.5,1),2)</f>
        <v>#VALUE!</v>
      </c>
      <c r="P522" t="e">
        <f>(SUMPRODUCT(Q522:AB522,VLOOKUP($Q$1:$AB$1,IngredientStats,4,FALSE))*VLOOKUP(B522,AmmoTypeFactors,14,FALSE)*IF('Ammo Input'!R522,1.1,1))</f>
        <v>#VALUE!</v>
      </c>
      <c r="Q522">
        <f>IFERROR(__xludf.DUMMYFUNCTION("((IF(NOT(OR(REGEXMATCH(B518, ""Arrow""), B518 = ""Javelin"", B518 = ""Stick bomb"")), ROUNDUP(('Ammo Input'!E518 / 1000) * N518)) + IF(VLOOKUP(B518, AmmoTypeFactors, 9, FALSE) = ""Steel"", ROUNDUP(('Ammo Input'!H518 -'Ammo Input'!M518) * MAX(IF('Ammo Inpu"&amp;"t'!J518 &gt; 0, 'Ammo Input'!J518, 1), 1) * N518 / 1000))) / 'Ingredient stats'!$C$2) * IF(ISBLANK(VLOOKUP(B518,AmmoTypeFactors,15,False)),1,VLOOKUP(B518,AmmoTypeFactors,15,False))"),26)</f>
        <v>26</v>
      </c>
      <c r="R522">
        <f>IFERROR(__xludf.DUMMYFUNCTION("ROUNDUP((IF(REGEXMATCH(B518, ""Arrow"") + (B518 = ""Javelin""), 'Ammo Input'!E518) + IF(VLOOKUP(B518, AmmoTypeFactors, 9, FALSE) = ""Wood"", 'Ammo Input'!H518) + IF(B518 = ""Stick bomb"", 'Ammo Input'!E518)) * N518 / 'Ingredient stats'!$C$12 / 1000)"),0)</f>
        <v>0</v>
      </c>
      <c r="S522">
        <v>0</v>
      </c>
      <c r="T522">
        <v>0</v>
      </c>
      <c r="U522">
        <f>IF(VLOOKUP(B522,AmmoTypeFactors,9,FALSE)="Plasteel",ROUNDUP(('Ammo Input'!H522*MAX(IF('Ammo Input'!J522&gt;0,'Ammo Input'!J522,1)*N522/1000/'Ingredient stats'!$C$4)),0),0)</f>
        <v>0</v>
      </c>
      <c r="V522">
        <f>IFERROR(__xludf.DUMMYFUNCTION("ROUNDUP(IF(ISBLANK(VLOOKUP(B518,AmmoTypeFactors,16,False)),1,VLOOKUP(B518,AmmoTypeFactors,16,False)) * (IFS(REGEXMATCH(B518, ""EMP""), 'Ammo Input'!M518 * N518 / 'Ingredient stats'!$C$5, REGEXMATCH(B518, ""Charge""), (U518^0.75), true, 0) + (IF(VLOOKUP(B5"&amp;"18, AmmoTypeFactors, 10, false), 2,0) + IF('Ammo Input'!P518, 2,0) + IF('Ammo Input'!Q518,MIN(ROUNDUP(0.2*('Ammo Input'!H518/1000)*'Ammo Input'!O518,0),20),0))))"),0)</f>
        <v>0</v>
      </c>
      <c r="W522">
        <v>0</v>
      </c>
      <c r="X522">
        <v>0</v>
      </c>
      <c r="Y522">
        <v>0</v>
      </c>
      <c r="Z522">
        <v>0</v>
      </c>
      <c r="AA522">
        <v>0</v>
      </c>
      <c r="AB522" s="30">
        <f>IF(B522="Sling Bullet (Stone)",ROUNDUP(D522*0.02*E522/'Ingredient stats'!$C$8,0),0)</f>
        <v>0</v>
      </c>
      <c r="AC522" t="str">
        <f t="shared" si="20"/>
        <v>None</v>
      </c>
      <c r="AD522" t="str">
        <f>IF(OR(B522="Buck",B522="Bird",B522="Charge (Scatter)"),'Ammo Input'!J522,"None")</f>
        <v>None</v>
      </c>
      <c r="AE522" t="str">
        <f>_xlfn.IFS(ISTEXT(Calcs!N522),Calcs!N522,Calcs!N522&lt;=40,Calcs!N522,Calcs!N522&gt;41,"40")</f>
        <v>None</v>
      </c>
      <c r="AF522" t="str">
        <f>_xlfn.IFS(ISTEXT(Calcs!O522),Calcs!O522,Calcs!O522&lt;=80,Calcs!O522,Calcs!O522&gt;=81,"80")</f>
        <v>None</v>
      </c>
      <c r="AG522" s="25">
        <f t="shared" si="21"/>
        <v>1</v>
      </c>
      <c r="AH522" s="25">
        <f t="shared" si="22"/>
        <v>2.25</v>
      </c>
      <c r="AI522" s="25">
        <f t="shared" si="23"/>
        <v>1</v>
      </c>
    </row>
    <row r="523" ht="14.4" spans="1:35">
      <c r="A523" s="24" t="str">
        <f>'Ammo Input'!A523</f>
        <v>6.5×52mm Carcano</v>
      </c>
      <c r="B523" t="str">
        <f>'Ammo Input'!B523</f>
        <v>AP</v>
      </c>
      <c r="C523">
        <f>ROUNDUP(('Ammo Input'!C523*(MAX('Ammo Input'!D523,'Ammo Input'!F523)*0.5)^2*PI())*3/1000000,2)</f>
        <v>0.03</v>
      </c>
      <c r="D523">
        <f>ROUNDUP(('Ammo Input'!E523+'Ammo Input'!H523*IF('Ammo Input'!J523&lt;&gt;"",MAX('Ammo Input'!J523,1),1))/1000,3)</f>
        <v>0.025</v>
      </c>
      <c r="E523">
        <f>MIN(5000,MAX(25,CEILING(Calcs!L523,_xlfn.IFS(Calcs!L523&lt;100,25,Calcs!L523&lt;250,50,Calcs!L523&lt;1000,250,Calcs!L523&gt;=1000,1000))))</f>
        <v>5000</v>
      </c>
      <c r="F523">
        <f>ROUNDUP('Ammo Input'!G523^(3/4),0)</f>
        <v>137</v>
      </c>
      <c r="G523">
        <f>ROUND((0.5*((IF(OR(B523="HEAT",B523="HEDP"),'Ammo Input'!N523,'Ammo Input'!H523)/1000)*(IF(B523="HEAT",9000,IF(B523="HEDP",1500,'Ammo Input'!G523))^2))),0)</f>
        <v>2573</v>
      </c>
      <c r="H523" s="25" t="str">
        <f>CONCATENATE(IF((B523="Foam")+(B523="Smoke"),"-",ROUND(Calcs!D523,0))," ",VLOOKUP(B523,AmmoTypeFactors,5,FALSE))</f>
        <v>11 Bullet</v>
      </c>
      <c r="I523" s="25" t="str">
        <f>IF(Calcs!E523=0,"None",CONCATENATE(ROUND(Calcs!E523,0)," ",VLOOKUP(B523,AmmoTypeFactors,6,FALSE)))</f>
        <v>None</v>
      </c>
      <c r="J523">
        <f>MROUND(2.42*'Ammo Input'!M523^(1/3)*VLOOKUP(B523,AmmoTypeFactors,3,FALSE),0.5)</f>
        <v>0</v>
      </c>
      <c r="K523" s="25" t="str">
        <f>IF(VLOOKUP(B523,AmmoTypeFactors,12,FALSE),MROUND(J523/3,0.5),"None")</f>
        <v>None</v>
      </c>
      <c r="L523" s="25">
        <f>IF(VLOOKUP(B523,AmmoTypeFactors,8,FALSE),"None",ROUNDUP(IF(Calcs!I523&gt;0,Calcs!I523,Calcs!H523),3))</f>
        <v>51.46</v>
      </c>
      <c r="M523" s="25">
        <f>IF(VLOOKUP(B523,AmmoTypeFactors,8,FALSE),"None",'Ammo Input'!L523)</f>
        <v>12</v>
      </c>
      <c r="N523">
        <f>'Ammo Input'!O523</f>
        <v>500</v>
      </c>
      <c r="O523" t="e">
        <f>ROUND((P523*0.0036+SUMPRODUCT(Q523:AB523,VLOOKUP($Q$1:$AB$1,IngredientStats,2,FALSE)))/N523*IF('Ammo Input'!R523,0.5,1),2)</f>
        <v>#VALUE!</v>
      </c>
      <c r="P523" t="e">
        <f>(SUMPRODUCT(Q523:AB523,VLOOKUP($Q$1:$AB$1,IngredientStats,4,FALSE))*VLOOKUP(B523,AmmoTypeFactors,14,FALSE)*IF('Ammo Input'!R523,1.1,1))</f>
        <v>#VALUE!</v>
      </c>
      <c r="Q523">
        <f>IFERROR(__xludf.DUMMYFUNCTION("((IF(NOT(OR(REGEXMATCH(B519, ""Arrow""), B519 = ""Javelin"", B519 = ""Stick bomb"")), ROUNDUP(('Ammo Input'!E519 / 1000) * N519)) + IF(VLOOKUP(B519, AmmoTypeFactors, 9, FALSE) = ""Steel"", ROUNDUP(('Ammo Input'!H519 -'Ammo Input'!M519) * MAX(IF('Ammo Inpu"&amp;"t'!J519 &gt; 0, 'Ammo Input'!J519, 1), 1) * N519 / 1000))) / 'Ingredient stats'!$C$2) * IF(ISBLANK(VLOOKUP(B519,AmmoTypeFactors,15,False)),1,VLOOKUP(B519,AmmoTypeFactors,15,False))"),26)</f>
        <v>26</v>
      </c>
      <c r="R523">
        <f>IFERROR(__xludf.DUMMYFUNCTION("ROUNDUP((IF(REGEXMATCH(B519, ""Arrow"") + (B519 = ""Javelin""), 'Ammo Input'!E519) + IF(VLOOKUP(B519, AmmoTypeFactors, 9, FALSE) = ""Wood"", 'Ammo Input'!H519) + IF(B519 = ""Stick bomb"", 'Ammo Input'!E519)) * N519 / 'Ingredient stats'!$C$12 / 1000)"),0)</f>
        <v>0</v>
      </c>
      <c r="S523">
        <v>0</v>
      </c>
      <c r="T523">
        <v>0</v>
      </c>
      <c r="U523">
        <f>IF(VLOOKUP(B523,AmmoTypeFactors,9,FALSE)="Plasteel",ROUNDUP(('Ammo Input'!H523*MAX(IF('Ammo Input'!J523&gt;0,'Ammo Input'!J523,1)*N523/1000/'Ingredient stats'!$C$4)),0),0)</f>
        <v>0</v>
      </c>
      <c r="V523">
        <f>IFERROR(__xludf.DUMMYFUNCTION("ROUNDUP(IF(ISBLANK(VLOOKUP(B519,AmmoTypeFactors,16,False)),1,VLOOKUP(B519,AmmoTypeFactors,16,False)) * (IFS(REGEXMATCH(B519, ""EMP""), 'Ammo Input'!M519 * N519 / 'Ingredient stats'!$C$5, REGEXMATCH(B519, ""Charge""), (U519^0.75), true, 0) + (IF(VLOOKUP(B5"&amp;"19, AmmoTypeFactors, 10, false), 2,0) + IF('Ammo Input'!P519, 2,0) + IF('Ammo Input'!Q519,MIN(ROUNDUP(0.2*('Ammo Input'!H519/1000)*'Ammo Input'!O519,0),20),0))))"),0)</f>
        <v>0</v>
      </c>
      <c r="W523">
        <v>0</v>
      </c>
      <c r="X523">
        <v>0</v>
      </c>
      <c r="Y523">
        <v>0</v>
      </c>
      <c r="Z523">
        <v>0</v>
      </c>
      <c r="AA523">
        <v>0</v>
      </c>
      <c r="AB523" s="30">
        <f>IF(B523="Sling Bullet (Stone)",ROUNDUP(D523*0.02*E523/'Ingredient stats'!$C$8,0),0)</f>
        <v>0</v>
      </c>
      <c r="AC523" t="str">
        <f t="shared" si="20"/>
        <v>None</v>
      </c>
      <c r="AD523" t="str">
        <f>IF(OR(B523="Buck",B523="Bird",B523="Charge (Scatter)"),'Ammo Input'!J523,"None")</f>
        <v>None</v>
      </c>
      <c r="AE523" t="str">
        <f>_xlfn.IFS(ISTEXT(Calcs!N523),Calcs!N523,Calcs!N523&lt;=40,Calcs!N523,Calcs!N523&gt;41,"40")</f>
        <v>None</v>
      </c>
      <c r="AF523" t="str">
        <f>_xlfn.IFS(ISTEXT(Calcs!O523),Calcs!O523,Calcs!O523&lt;=80,Calcs!O523,Calcs!O523&gt;=81,"80")</f>
        <v>None</v>
      </c>
      <c r="AG523" s="25">
        <f t="shared" si="21"/>
        <v>1</v>
      </c>
      <c r="AH523" s="25">
        <f t="shared" si="22"/>
        <v>2.25</v>
      </c>
      <c r="AI523" s="25">
        <f t="shared" si="23"/>
        <v>1</v>
      </c>
    </row>
    <row r="524" ht="14.4" spans="1:35">
      <c r="A524" s="24" t="str">
        <f>'Ammo Input'!A524</f>
        <v>6.5×52mm Carcano</v>
      </c>
      <c r="B524" t="str">
        <f>'Ammo Input'!B524</f>
        <v>HP</v>
      </c>
      <c r="C524">
        <f>ROUNDUP(('Ammo Input'!C524*(MAX('Ammo Input'!D524,'Ammo Input'!F524)*0.5)^2*PI())*3/1000000,2)</f>
        <v>0.03</v>
      </c>
      <c r="D524">
        <f>ROUNDUP(('Ammo Input'!E524+'Ammo Input'!H524*IF('Ammo Input'!J524&lt;&gt;"",MAX('Ammo Input'!J524,1),1))/1000,3)</f>
        <v>0.025</v>
      </c>
      <c r="E524">
        <f>MIN(5000,MAX(25,CEILING(Calcs!L524,_xlfn.IFS(Calcs!L524&lt;100,25,Calcs!L524&lt;250,50,Calcs!L524&lt;1000,250,Calcs!L524&gt;=1000,1000))))</f>
        <v>5000</v>
      </c>
      <c r="F524">
        <f>ROUNDUP('Ammo Input'!G524^(3/4),0)</f>
        <v>137</v>
      </c>
      <c r="G524">
        <f>ROUND((0.5*((IF(OR(B524="HEAT",B524="HEDP"),'Ammo Input'!N524,'Ammo Input'!H524)/1000)*(IF(B524="HEAT",9000,IF(B524="HEDP",1500,'Ammo Input'!G524))^2))),0)</f>
        <v>2573</v>
      </c>
      <c r="H524" s="25" t="str">
        <f>CONCATENATE(IF((B524="Foam")+(B524="Smoke"),"-",ROUND(Calcs!D524,0))," ",VLOOKUP(B524,AmmoTypeFactors,5,FALSE))</f>
        <v>22 Bullet</v>
      </c>
      <c r="I524" s="25" t="str">
        <f>IF(Calcs!E524=0,"None",CONCATENATE(ROUND(Calcs!E524,0)," ",VLOOKUP(B524,AmmoTypeFactors,6,FALSE)))</f>
        <v>None</v>
      </c>
      <c r="J524">
        <f>MROUND(2.42*'Ammo Input'!M524^(1/3)*VLOOKUP(B524,AmmoTypeFactors,3,FALSE),0.5)</f>
        <v>0</v>
      </c>
      <c r="K524" s="25" t="str">
        <f>IF(VLOOKUP(B524,AmmoTypeFactors,12,FALSE),MROUND(J524/3,0.5),"None")</f>
        <v>None</v>
      </c>
      <c r="L524" s="25">
        <f>IF(VLOOKUP(B524,AmmoTypeFactors,8,FALSE),"None",ROUNDUP(IF(Calcs!I524&gt;0,Calcs!I524,Calcs!H524),3))</f>
        <v>51.46</v>
      </c>
      <c r="M524" s="25">
        <f>IF(VLOOKUP(B524,AmmoTypeFactors,8,FALSE),"None",'Ammo Input'!L524)</f>
        <v>3</v>
      </c>
      <c r="N524">
        <f>'Ammo Input'!O524</f>
        <v>500</v>
      </c>
      <c r="O524" t="e">
        <f>ROUND((P524*0.0036+SUMPRODUCT(Q524:AB524,VLOOKUP($Q$1:$AB$1,IngredientStats,2,FALSE)))/N524*IF('Ammo Input'!R524,0.5,1),2)</f>
        <v>#VALUE!</v>
      </c>
      <c r="P524" t="e">
        <f>(SUMPRODUCT(Q524:AB524,VLOOKUP($Q$1:$AB$1,IngredientStats,4,FALSE))*VLOOKUP(B524,AmmoTypeFactors,14,FALSE)*IF('Ammo Input'!R524,1.1,1))</f>
        <v>#VALUE!</v>
      </c>
      <c r="Q524">
        <f>IFERROR(__xludf.DUMMYFUNCTION("((IF(NOT(OR(REGEXMATCH(B520, ""Arrow""), B520 = ""Javelin"", B520 = ""Stick bomb"")), ROUNDUP(('Ammo Input'!E520 / 1000) * N520)) + IF(VLOOKUP(B520, AmmoTypeFactors, 9, FALSE) = ""Steel"", ROUNDUP(('Ammo Input'!H520 -'Ammo Input'!M520) * MAX(IF('Ammo Inpu"&amp;"t'!J520 &gt; 0, 'Ammo Input'!J520, 1), 1) * N520 / 1000))) / 'Ingredient stats'!$C$2) * IF(ISBLANK(VLOOKUP(B520,AmmoTypeFactors,15,False)),1,VLOOKUP(B520,AmmoTypeFactors,15,False))"),26)</f>
        <v>26</v>
      </c>
      <c r="R524">
        <f>IFERROR(__xludf.DUMMYFUNCTION("ROUNDUP((IF(REGEXMATCH(B520, ""Arrow"") + (B520 = ""Javelin""), 'Ammo Input'!E520) + IF(VLOOKUP(B520, AmmoTypeFactors, 9, FALSE) = ""Wood"", 'Ammo Input'!H520) + IF(B520 = ""Stick bomb"", 'Ammo Input'!E520)) * N520 / 'Ingredient stats'!$C$12 / 1000)"),0)</f>
        <v>0</v>
      </c>
      <c r="S524">
        <v>0</v>
      </c>
      <c r="T524">
        <v>0</v>
      </c>
      <c r="U524">
        <f>IF(VLOOKUP(B524,AmmoTypeFactors,9,FALSE)="Plasteel",ROUNDUP(('Ammo Input'!H524*MAX(IF('Ammo Input'!J524&gt;0,'Ammo Input'!J524,1)*N524/1000/'Ingredient stats'!$C$4)),0),0)</f>
        <v>0</v>
      </c>
      <c r="V524">
        <f>IFERROR(__xludf.DUMMYFUNCTION("ROUNDUP(IF(ISBLANK(VLOOKUP(B520,AmmoTypeFactors,16,False)),1,VLOOKUP(B520,AmmoTypeFactors,16,False)) * (IFS(REGEXMATCH(B520, ""EMP""), 'Ammo Input'!M520 * N520 / 'Ingredient stats'!$C$5, REGEXMATCH(B520, ""Charge""), (U520^0.75), true, 0) + (IF(VLOOKUP(B5"&amp;"20, AmmoTypeFactors, 10, false), 2,0) + IF('Ammo Input'!P520, 2,0) + IF('Ammo Input'!Q520,MIN(ROUNDUP(0.2*('Ammo Input'!H520/1000)*'Ammo Input'!O520,0),20),0))))"),0)</f>
        <v>0</v>
      </c>
      <c r="W524">
        <v>0</v>
      </c>
      <c r="X524">
        <v>0</v>
      </c>
      <c r="Y524">
        <v>0</v>
      </c>
      <c r="Z524">
        <v>0</v>
      </c>
      <c r="AA524">
        <v>0</v>
      </c>
      <c r="AB524" s="30">
        <f>IF(B524="Sling Bullet (Stone)",ROUNDUP(D524*0.02*E524/'Ingredient stats'!$C$8,0),0)</f>
        <v>0</v>
      </c>
      <c r="AC524" t="str">
        <f t="shared" si="20"/>
        <v>None</v>
      </c>
      <c r="AD524" t="str">
        <f>IF(OR(B524="Buck",B524="Bird",B524="Charge (Scatter)"),'Ammo Input'!J524,"None")</f>
        <v>None</v>
      </c>
      <c r="AE524" t="str">
        <f>_xlfn.IFS(ISTEXT(Calcs!N524),Calcs!N524,Calcs!N524&lt;=40,Calcs!N524,Calcs!N524&gt;41,"40")</f>
        <v>None</v>
      </c>
      <c r="AF524" t="str">
        <f>_xlfn.IFS(ISTEXT(Calcs!O524),Calcs!O524,Calcs!O524&lt;=80,Calcs!O524,Calcs!O524&gt;=81,"80")</f>
        <v>None</v>
      </c>
      <c r="AG524" s="25">
        <f t="shared" si="21"/>
        <v>1</v>
      </c>
      <c r="AH524" s="25">
        <f t="shared" si="22"/>
        <v>2.25</v>
      </c>
      <c r="AI524" s="25">
        <f t="shared" si="23"/>
        <v>1</v>
      </c>
    </row>
    <row r="525" ht="14.4" spans="1:35">
      <c r="A525" s="24" t="str">
        <f>'Ammo Input'!A525</f>
        <v>6.5×52mm Carcano</v>
      </c>
      <c r="B525" t="str">
        <f>'Ammo Input'!B525</f>
        <v>AP-I</v>
      </c>
      <c r="C525">
        <f>ROUNDUP(('Ammo Input'!C525*(MAX('Ammo Input'!D525,'Ammo Input'!F525)*0.5)^2*PI())*3/1000000,2)</f>
        <v>0.03</v>
      </c>
      <c r="D525">
        <f>ROUNDUP(('Ammo Input'!E525+'Ammo Input'!H525*IF('Ammo Input'!J525&lt;&gt;"",MAX('Ammo Input'!J525,1),1))/1000,3)</f>
        <v>0.025</v>
      </c>
      <c r="E525">
        <f>MIN(5000,MAX(25,CEILING(Calcs!L525,_xlfn.IFS(Calcs!L525&lt;100,25,Calcs!L525&lt;250,50,Calcs!L525&lt;1000,250,Calcs!L525&gt;=1000,1000))))</f>
        <v>5000</v>
      </c>
      <c r="F525">
        <f>ROUNDUP('Ammo Input'!G525^(3/4),0)</f>
        <v>137</v>
      </c>
      <c r="G525">
        <f>ROUND((0.5*((IF(OR(B525="HEAT",B525="HEDP"),'Ammo Input'!N525,'Ammo Input'!H525)/1000)*(IF(B525="HEAT",9000,IF(B525="HEDP",1500,'Ammo Input'!G525))^2))),0)</f>
        <v>2573</v>
      </c>
      <c r="H525" s="25" t="str">
        <f>CONCATENATE(IF((B525="Foam")+(B525="Smoke"),"-",ROUND(Calcs!D525,0))," ",VLOOKUP(B525,AmmoTypeFactors,5,FALSE))</f>
        <v>11 Bullet</v>
      </c>
      <c r="I525" s="25" t="str">
        <f>IF(Calcs!E525=0,"None",CONCATENATE(ROUND(Calcs!E525,0)," ",VLOOKUP(B525,AmmoTypeFactors,6,FALSE)))</f>
        <v>6 Flame_Secondary</v>
      </c>
      <c r="J525">
        <f>MROUND(2.42*'Ammo Input'!M525^(1/3)*VLOOKUP(B525,AmmoTypeFactors,3,FALSE),0.5)</f>
        <v>0</v>
      </c>
      <c r="K525" s="25" t="str">
        <f>IF(VLOOKUP(B525,AmmoTypeFactors,12,FALSE),MROUND(J525/3,0.5),"None")</f>
        <v>None</v>
      </c>
      <c r="L525" s="25">
        <f>IF(VLOOKUP(B525,AmmoTypeFactors,8,FALSE),"None",ROUNDUP(IF(Calcs!I525&gt;0,Calcs!I525,Calcs!H525),3))</f>
        <v>51.46</v>
      </c>
      <c r="M525" s="25">
        <f>IF(VLOOKUP(B525,AmmoTypeFactors,8,FALSE),"None",'Ammo Input'!L525)</f>
        <v>12</v>
      </c>
      <c r="N525">
        <f>'Ammo Input'!O525</f>
        <v>500</v>
      </c>
      <c r="O525" t="e">
        <f>ROUND((P525*0.0036+SUMPRODUCT(Q525:AB525,VLOOKUP($Q$1:$AB$1,IngredientStats,2,FALSE)))/N525*IF('Ammo Input'!R525,0.5,1),2)</f>
        <v>#VALUE!</v>
      </c>
      <c r="P525" t="e">
        <f>(SUMPRODUCT(Q525:AB525,VLOOKUP($Q$1:$AB$1,IngredientStats,4,FALSE))*VLOOKUP(B525,AmmoTypeFactors,14,FALSE)*IF('Ammo Input'!R525,1.1,1))</f>
        <v>#VALUE!</v>
      </c>
      <c r="Q525">
        <f>IFERROR(__xludf.DUMMYFUNCTION("((IF(NOT(OR(REGEXMATCH(B521, ""Arrow""), B521 = ""Javelin"", B521 = ""Stick bomb"")), ROUNDUP(('Ammo Input'!E521 / 1000) * N521)) + IF(VLOOKUP(B521, AmmoTypeFactors, 9, FALSE) = ""Steel"", ROUNDUP(('Ammo Input'!H521 -'Ammo Input'!M521) * MAX(IF('Ammo Inpu"&amp;"t'!J521 &gt; 0, 'Ammo Input'!J521, 1), 1) * N521 / 1000))) / 'Ingredient stats'!$C$2) * IF(ISBLANK(VLOOKUP(B521,AmmoTypeFactors,15,False)),1,VLOOKUP(B521,AmmoTypeFactors,15,False))"),26)</f>
        <v>26</v>
      </c>
      <c r="R525">
        <f>IFERROR(__xludf.DUMMYFUNCTION("ROUNDUP((IF(REGEXMATCH(B521, ""Arrow"") + (B521 = ""Javelin""), 'Ammo Input'!E521) + IF(VLOOKUP(B521, AmmoTypeFactors, 9, FALSE) = ""Wood"", 'Ammo Input'!H521) + IF(B521 = ""Stick bomb"", 'Ammo Input'!E521)) * N521 / 'Ingredient stats'!$C$12 / 1000)"),0)</f>
        <v>0</v>
      </c>
      <c r="S525">
        <v>0</v>
      </c>
      <c r="T525">
        <v>0</v>
      </c>
      <c r="U525">
        <f>IF(VLOOKUP(B525,AmmoTypeFactors,9,FALSE)="Plasteel",ROUNDUP(('Ammo Input'!H525*MAX(IF('Ammo Input'!J525&gt;0,'Ammo Input'!J525,1)*N525/1000/'Ingredient stats'!$C$4)),0),0)</f>
        <v>0</v>
      </c>
      <c r="V525">
        <f>IFERROR(__xludf.DUMMYFUNCTION("ROUNDUP(IF(ISBLANK(VLOOKUP(B521,AmmoTypeFactors,16,False)),1,VLOOKUP(B521,AmmoTypeFactors,16,False)) * (IFS(REGEXMATCH(B521, ""EMP""), 'Ammo Input'!M521 * N521 / 'Ingredient stats'!$C$5, REGEXMATCH(B521, ""Charge""), (U521^0.75), true, 0) + (IF(VLOOKUP(B5"&amp;"21, AmmoTypeFactors, 10, false), 2,0) + IF('Ammo Input'!P521, 2,0) + IF('Ammo Input'!Q521,MIN(ROUNDUP(0.2*('Ammo Input'!H521/1000)*'Ammo Input'!O521,0),20),0))))"),0)</f>
        <v>0</v>
      </c>
      <c r="W525">
        <v>3</v>
      </c>
      <c r="X525">
        <v>0</v>
      </c>
      <c r="Y525">
        <v>0</v>
      </c>
      <c r="Z525">
        <v>0</v>
      </c>
      <c r="AA525">
        <v>0</v>
      </c>
      <c r="AB525" s="30">
        <f>IF(B525="Sling Bullet (Stone)",ROUNDUP(D525*0.02*E525/'Ingredient stats'!$C$8,0),0)</f>
        <v>0</v>
      </c>
      <c r="AC525" t="str">
        <f t="shared" si="20"/>
        <v>None</v>
      </c>
      <c r="AD525" t="str">
        <f>IF(OR(B525="Buck",B525="Bird",B525="Charge (Scatter)"),'Ammo Input'!J525,"None")</f>
        <v>None</v>
      </c>
      <c r="AE525" t="str">
        <f>_xlfn.IFS(ISTEXT(Calcs!N525),Calcs!N525,Calcs!N525&lt;=40,Calcs!N525,Calcs!N525&gt;41,"40")</f>
        <v>None</v>
      </c>
      <c r="AF525" t="str">
        <f>_xlfn.IFS(ISTEXT(Calcs!O525),Calcs!O525,Calcs!O525&lt;=80,Calcs!O525,Calcs!O525&gt;=81,"80")</f>
        <v>None</v>
      </c>
      <c r="AG525" s="25">
        <f t="shared" si="21"/>
        <v>1</v>
      </c>
      <c r="AH525" s="25">
        <f t="shared" si="22"/>
        <v>2.25</v>
      </c>
      <c r="AI525" s="25">
        <f t="shared" si="23"/>
        <v>1</v>
      </c>
    </row>
    <row r="526" ht="14.4" spans="1:35">
      <c r="A526" s="24" t="str">
        <f>'Ammo Input'!A526</f>
        <v>6.5×52mm Carcano</v>
      </c>
      <c r="B526" t="str">
        <f>'Ammo Input'!B526</f>
        <v>AP-HE</v>
      </c>
      <c r="C526">
        <f>ROUNDUP(('Ammo Input'!C526*(MAX('Ammo Input'!D526,'Ammo Input'!F526)*0.5)^2*PI())*3/1000000,2)</f>
        <v>0.03</v>
      </c>
      <c r="D526">
        <f>ROUNDUP(('Ammo Input'!E526+'Ammo Input'!H526*IF('Ammo Input'!J526&lt;&gt;"",MAX('Ammo Input'!J526,1),1))/1000,3)</f>
        <v>0.025</v>
      </c>
      <c r="E526">
        <f>MIN(5000,MAX(25,CEILING(Calcs!L526,_xlfn.IFS(Calcs!L526&lt;100,25,Calcs!L526&lt;250,50,Calcs!L526&lt;1000,250,Calcs!L526&gt;=1000,1000))))</f>
        <v>5000</v>
      </c>
      <c r="F526">
        <f>ROUNDUP('Ammo Input'!G526^(3/4),0)</f>
        <v>137</v>
      </c>
      <c r="G526">
        <f>ROUND((0.5*((IF(OR(B526="HEAT",B526="HEDP"),'Ammo Input'!N526,'Ammo Input'!H526)/1000)*(IF(B526="HEAT",9000,IF(B526="HEDP",1500,'Ammo Input'!G526))^2))),0)</f>
        <v>2573</v>
      </c>
      <c r="H526" s="25" t="str">
        <f>CONCATENATE(IF((B526="Foam")+(B526="Smoke"),"-",ROUND(Calcs!D526,0))," ",VLOOKUP(B526,AmmoTypeFactors,5,FALSE))</f>
        <v>17 Bullet</v>
      </c>
      <c r="I526" s="25" t="str">
        <f>IF(Calcs!E526=0,"None",CONCATENATE(ROUND(Calcs!E526,0)," ",VLOOKUP(B526,AmmoTypeFactors,6,FALSE)))</f>
        <v>8 Bomb_Secondary</v>
      </c>
      <c r="J526">
        <f>MROUND(2.42*'Ammo Input'!M526^(1/3)*VLOOKUP(B526,AmmoTypeFactors,3,FALSE),0.5)</f>
        <v>0</v>
      </c>
      <c r="K526" s="25" t="str">
        <f>IF(VLOOKUP(B526,AmmoTypeFactors,12,FALSE),MROUND(J526/3,0.5),"None")</f>
        <v>None</v>
      </c>
      <c r="L526" s="25">
        <f>IF(VLOOKUP(B526,AmmoTypeFactors,8,FALSE),"None",ROUNDUP(IF(Calcs!I526&gt;0,Calcs!I526,Calcs!H526),3))</f>
        <v>51.46</v>
      </c>
      <c r="M526" s="25">
        <f>IF(VLOOKUP(B526,AmmoTypeFactors,8,FALSE),"None",'Ammo Input'!L526)</f>
        <v>6</v>
      </c>
      <c r="N526">
        <f>'Ammo Input'!O526</f>
        <v>500</v>
      </c>
      <c r="O526" t="e">
        <f>ROUND((P526*0.0036+SUMPRODUCT(Q526:AB526,VLOOKUP($Q$1:$AB$1,IngredientStats,2,FALSE)))/N526*IF('Ammo Input'!R526,0.5,1),2)</f>
        <v>#VALUE!</v>
      </c>
      <c r="P526" t="e">
        <f>(SUMPRODUCT(Q526:AB526,VLOOKUP($Q$1:$AB$1,IngredientStats,4,FALSE))*VLOOKUP(B526,AmmoTypeFactors,14,FALSE)*IF('Ammo Input'!R526,1.1,1))</f>
        <v>#VALUE!</v>
      </c>
      <c r="Q526">
        <f>IFERROR(__xludf.DUMMYFUNCTION("((IF(NOT(OR(REGEXMATCH(B522, ""Arrow""), B522 = ""Javelin"", B522 = ""Stick bomb"")), ROUNDUP(('Ammo Input'!E522 / 1000) * N522)) + IF(VLOOKUP(B522, AmmoTypeFactors, 9, FALSE) = ""Steel"", ROUNDUP(('Ammo Input'!H522 -'Ammo Input'!M522) * MAX(IF('Ammo Inpu"&amp;"t'!J522 &gt; 0, 'Ammo Input'!J522, 1), 1) * N522 / 1000))) / 'Ingredient stats'!$C$2) * IF(ISBLANK(VLOOKUP(B522,AmmoTypeFactors,15,False)),1,VLOOKUP(B522,AmmoTypeFactors,15,False))"),26)</f>
        <v>26</v>
      </c>
      <c r="R526">
        <f>IFERROR(__xludf.DUMMYFUNCTION("ROUNDUP((IF(REGEXMATCH(B522, ""Arrow"") + (B522 = ""Javelin""), 'Ammo Input'!E522) + IF(VLOOKUP(B522, AmmoTypeFactors, 9, FALSE) = ""Wood"", 'Ammo Input'!H522) + IF(B522 = ""Stick bomb"", 'Ammo Input'!E522)) * N522 / 'Ingredient stats'!$C$12 / 1000)"),0)</f>
        <v>0</v>
      </c>
      <c r="S526">
        <v>0</v>
      </c>
      <c r="T526">
        <v>0</v>
      </c>
      <c r="U526">
        <f>IF(VLOOKUP(B526,AmmoTypeFactors,9,FALSE)="Plasteel",ROUNDUP(('Ammo Input'!H526*MAX(IF('Ammo Input'!J526&gt;0,'Ammo Input'!J526,1)*N526/1000/'Ingredient stats'!$C$4)),0),0)</f>
        <v>0</v>
      </c>
      <c r="V526">
        <f>IFERROR(__xludf.DUMMYFUNCTION("ROUNDUP(IF(ISBLANK(VLOOKUP(B522,AmmoTypeFactors,16,False)),1,VLOOKUP(B522,AmmoTypeFactors,16,False)) * (IFS(REGEXMATCH(B522, ""EMP""), 'Ammo Input'!M522 * N522 / 'Ingredient stats'!$C$5, REGEXMATCH(B522, ""Charge""), (U522^0.75), true, 0) + (IF(VLOOKUP(B5"&amp;"22, AmmoTypeFactors, 10, false), 2,0) + IF('Ammo Input'!P522, 2,0) + IF('Ammo Input'!Q522,MIN(ROUNDUP(0.2*('Ammo Input'!H522/1000)*'Ammo Input'!O522,0),20),0))))"),0)</f>
        <v>0</v>
      </c>
      <c r="W526">
        <v>0</v>
      </c>
      <c r="X526">
        <v>7</v>
      </c>
      <c r="Y526">
        <v>0</v>
      </c>
      <c r="Z526">
        <v>0</v>
      </c>
      <c r="AA526">
        <v>0</v>
      </c>
      <c r="AB526" s="30">
        <f>IF(B526="Sling Bullet (Stone)",ROUNDUP(D526*0.02*E526/'Ingredient stats'!$C$8,0),0)</f>
        <v>0</v>
      </c>
      <c r="AC526" t="str">
        <f t="shared" si="20"/>
        <v>None</v>
      </c>
      <c r="AD526" t="str">
        <f>IF(OR(B526="Buck",B526="Bird",B526="Charge (Scatter)"),'Ammo Input'!J526,"None")</f>
        <v>None</v>
      </c>
      <c r="AE526" t="str">
        <f>_xlfn.IFS(ISTEXT(Calcs!N526),Calcs!N526,Calcs!N526&lt;=40,Calcs!N526,Calcs!N526&gt;41,"40")</f>
        <v>None</v>
      </c>
      <c r="AF526" t="str">
        <f>_xlfn.IFS(ISTEXT(Calcs!O526),Calcs!O526,Calcs!O526&lt;=80,Calcs!O526,Calcs!O526&gt;=81,"80")</f>
        <v>None</v>
      </c>
      <c r="AG526" s="25">
        <f t="shared" si="21"/>
        <v>1</v>
      </c>
      <c r="AH526" s="25">
        <f t="shared" si="22"/>
        <v>2.25</v>
      </c>
      <c r="AI526" s="25">
        <f t="shared" si="23"/>
        <v>1</v>
      </c>
    </row>
    <row r="527" ht="14.4" spans="1:35">
      <c r="A527" s="24" t="str">
        <f>'Ammo Input'!A527</f>
        <v>6.5×52mm Carcano</v>
      </c>
      <c r="B527" t="str">
        <f>'Ammo Input'!B527</f>
        <v>Sabot</v>
      </c>
      <c r="C527">
        <f>ROUNDUP(('Ammo Input'!C527*(MAX('Ammo Input'!D527,'Ammo Input'!F527)*0.5)^2*PI())*3/1000000,2)</f>
        <v>0.03</v>
      </c>
      <c r="D527">
        <f>ROUNDUP(('Ammo Input'!E527+'Ammo Input'!H527*IF('Ammo Input'!J527&lt;&gt;"",MAX('Ammo Input'!J527,1),1))/1000,3)</f>
        <v>0.02</v>
      </c>
      <c r="E527">
        <f>MIN(5000,MAX(25,CEILING(Calcs!L527,_xlfn.IFS(Calcs!L527&lt;100,25,Calcs!L527&lt;250,50,Calcs!L527&lt;1000,250,Calcs!L527&gt;=1000,1000))))</f>
        <v>5000</v>
      </c>
      <c r="F527">
        <f>ROUNDUP('Ammo Input'!G527^(3/4),0)</f>
        <v>185</v>
      </c>
      <c r="G527">
        <f>ROUND((0.5*((IF(OR(B527="HEAT",B527="HEDP"),'Ammo Input'!N527,'Ammo Input'!H527)/1000)*(IF(B527="HEAT",9000,IF(B527="HEDP",1500,'Ammo Input'!G527))^2))),0)</f>
        <v>3302</v>
      </c>
      <c r="H527" s="25" t="str">
        <f>CONCATENATE(IF((B527="Foam")+(B527="Smoke"),"-",ROUND(Calcs!D527,0))," ",VLOOKUP(B527,AmmoTypeFactors,5,FALSE))</f>
        <v>9 Bullet</v>
      </c>
      <c r="I527" s="25" t="str">
        <f>IF(Calcs!E527=0,"None",CONCATENATE(ROUND(Calcs!E527,0)," ",VLOOKUP(B527,AmmoTypeFactors,6,FALSE)))</f>
        <v>None</v>
      </c>
      <c r="J527">
        <f>MROUND(2.42*'Ammo Input'!M527^(1/3)*VLOOKUP(B527,AmmoTypeFactors,3,FALSE),0.5)</f>
        <v>0</v>
      </c>
      <c r="K527" s="25" t="str">
        <f>IF(VLOOKUP(B527,AmmoTypeFactors,12,FALSE),MROUND(J527/3,0.5),"None")</f>
        <v>None</v>
      </c>
      <c r="L527" s="25">
        <f>IF(VLOOKUP(B527,AmmoTypeFactors,8,FALSE),"None",ROUNDUP(IF(Calcs!I527&gt;0,Calcs!I527,Calcs!H527),3))</f>
        <v>66.04</v>
      </c>
      <c r="M527" s="25">
        <f>IF(VLOOKUP(B527,AmmoTypeFactors,8,FALSE),"None",'Ammo Input'!L527)</f>
        <v>21</v>
      </c>
      <c r="N527">
        <f>'Ammo Input'!O527</f>
        <v>500</v>
      </c>
      <c r="O527" t="e">
        <f>ROUND((P527*0.0036+SUMPRODUCT(Q527:AB527,VLOOKUP($Q$1:$AB$1,IngredientStats,2,FALSE)))/N527*IF('Ammo Input'!R527,0.5,1),2)</f>
        <v>#VALUE!</v>
      </c>
      <c r="P527" t="e">
        <f>(SUMPRODUCT(Q527:AB527,VLOOKUP($Q$1:$AB$1,IngredientStats,4,FALSE))*VLOOKUP(B527,AmmoTypeFactors,14,FALSE)*IF('Ammo Input'!R527,1.1,1))</f>
        <v>#VALUE!</v>
      </c>
      <c r="Q527">
        <f>IFERROR(__xludf.DUMMYFUNCTION("((IF(NOT(OR(REGEXMATCH(B523, ""Arrow""), B523 = ""Javelin"", B523 = ""Stick bomb"")), ROUNDUP(('Ammo Input'!E523 / 1000) * N523)) + IF(VLOOKUP(B523, AmmoTypeFactors, 9, FALSE) = ""Steel"", ROUNDUP(('Ammo Input'!H523 -'Ammo Input'!M523) * MAX(IF('Ammo Inpu"&amp;"t'!J523 &gt; 0, 'Ammo Input'!J523, 1), 1) * N523 / 1000))) / 'Ingredient stats'!$C$2) * IF(ISBLANK(VLOOKUP(B523,AmmoTypeFactors,15,False)),1,VLOOKUP(B523,AmmoTypeFactors,15,False))"),14)</f>
        <v>14</v>
      </c>
      <c r="R527">
        <f>IFERROR(__xludf.DUMMYFUNCTION("ROUNDUP((IF(REGEXMATCH(B523, ""Arrow"") + (B523 = ""Javelin""), 'Ammo Input'!E523) + IF(VLOOKUP(B523, AmmoTypeFactors, 9, FALSE) = ""Wood"", 'Ammo Input'!H523) + IF(B523 = ""Stick bomb"", 'Ammo Input'!E523)) * N523 / 'Ingredient stats'!$C$12 / 1000)"),0)</f>
        <v>0</v>
      </c>
      <c r="S527">
        <v>3</v>
      </c>
      <c r="T527">
        <v>3</v>
      </c>
      <c r="U527">
        <f>IF(VLOOKUP(B527,AmmoTypeFactors,9,FALSE)="Plasteel",ROUNDUP(('Ammo Input'!H527*MAX(IF('Ammo Input'!J527&gt;0,'Ammo Input'!J527,1)*N527/1000/'Ingredient stats'!$C$4)),0),0)</f>
        <v>0</v>
      </c>
      <c r="V527">
        <f>IFERROR(__xludf.DUMMYFUNCTION("ROUNDUP(IF(ISBLANK(VLOOKUP(B523,AmmoTypeFactors,16,False)),1,VLOOKUP(B523,AmmoTypeFactors,16,False)) * (IFS(REGEXMATCH(B523, ""EMP""), 'Ammo Input'!M523 * N523 / 'Ingredient stats'!$C$5, REGEXMATCH(B523, ""Charge""), (U523^0.75), true, 0) + (IF(VLOOKUP(B5"&amp;"23, AmmoTypeFactors, 10, false), 2,0) + IF('Ammo Input'!P523, 2,0) + IF('Ammo Input'!Q523,MIN(ROUNDUP(0.2*('Ammo Input'!H523/1000)*'Ammo Input'!O523,0),20),0))))"),0)</f>
        <v>0</v>
      </c>
      <c r="W527">
        <v>0</v>
      </c>
      <c r="X527">
        <v>0</v>
      </c>
      <c r="Y527">
        <v>0</v>
      </c>
      <c r="Z527">
        <v>0</v>
      </c>
      <c r="AA527">
        <v>0</v>
      </c>
      <c r="AB527" s="30">
        <f>IF(B527="Sling Bullet (Stone)",ROUNDUP(D527*0.02*E527/'Ingredient stats'!$C$8,0),0)</f>
        <v>0</v>
      </c>
      <c r="AC527" t="str">
        <f t="shared" si="20"/>
        <v>None</v>
      </c>
      <c r="AD527" t="str">
        <f>IF(OR(B527="Buck",B527="Bird",B527="Charge (Scatter)"),'Ammo Input'!J527,"None")</f>
        <v>None</v>
      </c>
      <c r="AE527" t="str">
        <f>_xlfn.IFS(ISTEXT(Calcs!N527),Calcs!N527,Calcs!N527&lt;=40,Calcs!N527,Calcs!N527&gt;41,"40")</f>
        <v>None</v>
      </c>
      <c r="AF527" t="str">
        <f>_xlfn.IFS(ISTEXT(Calcs!O527),Calcs!O527,Calcs!O527&lt;=80,Calcs!O527,Calcs!O527&gt;=81,"80")</f>
        <v>None</v>
      </c>
      <c r="AG527" s="25">
        <f t="shared" si="21"/>
        <v>1</v>
      </c>
      <c r="AH527" s="25">
        <f t="shared" si="22"/>
        <v>3.03</v>
      </c>
      <c r="AI527" s="25">
        <f t="shared" si="23"/>
        <v>1</v>
      </c>
    </row>
    <row r="528" ht="14.4" spans="1:35">
      <c r="A528" s="24" t="str">
        <f>'Ammo Input'!A528</f>
        <v>7.92x57mm Mauser</v>
      </c>
      <c r="B528" t="str">
        <f>'Ammo Input'!B528</f>
        <v>FMJ</v>
      </c>
      <c r="C528">
        <f>ROUNDUP(('Ammo Input'!C528*(MAX('Ammo Input'!D528,'Ammo Input'!F528)*0.5)^2*PI())*3/1000000,2)</f>
        <v>0.03</v>
      </c>
      <c r="D528">
        <f>ROUNDUP(('Ammo Input'!E528+'Ammo Input'!H528*IF('Ammo Input'!J528&lt;&gt;"",MAX('Ammo Input'!J528,1),1))/1000,3)</f>
        <v>0.028</v>
      </c>
      <c r="E528">
        <f>MIN(5000,MAX(25,CEILING(Calcs!L528,_xlfn.IFS(Calcs!L528&lt;100,25,Calcs!L528&lt;250,50,Calcs!L528&lt;1000,250,Calcs!L528&gt;=1000,1000))))</f>
        <v>5000</v>
      </c>
      <c r="F528">
        <f>ROUNDUP('Ammo Input'!G528^(3/4),0)</f>
        <v>154</v>
      </c>
      <c r="G528">
        <f>ROUND((0.5*((IF(OR(B528="HEAT",B528="HEDP"),'Ammo Input'!N528,'Ammo Input'!H528)/1000)*(IF(B528="HEAT",9000,IF(B528="HEDP",1500,'Ammo Input'!G528))^2))),0)</f>
        <v>3934</v>
      </c>
      <c r="H528" s="25" t="str">
        <f>CONCATENATE(IF((B528="Foam")+(B528="Smoke"),"-",ROUND(Calcs!D528,0))," ",VLOOKUP(B528,AmmoTypeFactors,5,FALSE))</f>
        <v>21 Bullet</v>
      </c>
      <c r="I528" s="25" t="str">
        <f>IF(Calcs!E528=0,"None",CONCATENATE(ROUND(Calcs!E528,0)," ",VLOOKUP(B528,AmmoTypeFactors,6,FALSE)))</f>
        <v>None</v>
      </c>
      <c r="J528">
        <f>MROUND(2.42*'Ammo Input'!M528^(1/3)*VLOOKUP(B528,AmmoTypeFactors,3,FALSE),0.5)</f>
        <v>0</v>
      </c>
      <c r="K528" s="25" t="str">
        <f>IF(VLOOKUP(B528,AmmoTypeFactors,12,FALSE),MROUND(J528/3,0.5),"None")</f>
        <v>None</v>
      </c>
      <c r="L528" s="25">
        <f>IF(VLOOKUP(B528,AmmoTypeFactors,8,FALSE),"None",ROUNDUP(IF(Calcs!I528&gt;0,Calcs!I528,Calcs!H528),3))</f>
        <v>78.68</v>
      </c>
      <c r="M528" s="25">
        <f>IF(VLOOKUP(B528,AmmoTypeFactors,8,FALSE),"None",'Ammo Input'!L528)</f>
        <v>7</v>
      </c>
      <c r="N528">
        <f>'Ammo Input'!O528</f>
        <v>500</v>
      </c>
      <c r="O528" t="e">
        <f>ROUND((P528*0.0036+SUMPRODUCT(Q528:AB528,VLOOKUP($Q$1:$AB$1,IngredientStats,2,FALSE)))/N528*IF('Ammo Input'!R528,0.5,1),2)</f>
        <v>#VALUE!</v>
      </c>
      <c r="P528" t="e">
        <f>(SUMPRODUCT(Q528:AB528,VLOOKUP($Q$1:$AB$1,IngredientStats,4,FALSE))*VLOOKUP(B528,AmmoTypeFactors,14,FALSE)*IF('Ammo Input'!R528,1.1,1))</f>
        <v>#VALUE!</v>
      </c>
      <c r="Q528">
        <f>IFERROR(__xludf.DUMMYFUNCTION("((IF(NOT(OR(REGEXMATCH(B524, ""Arrow""), B524 = ""Javelin"", B524 = ""Stick bomb"")), ROUNDUP(('Ammo Input'!E524 / 1000) * N524)) + IF(VLOOKUP(B524, AmmoTypeFactors, 9, FALSE) = ""Steel"", ROUNDUP(('Ammo Input'!H524 -'Ammo Input'!M524) * MAX(IF('Ammo Inpu"&amp;"t'!J524 &gt; 0, 'Ammo Input'!J524, 1), 1) * N524 / 1000))) / 'Ingredient stats'!$C$2) * IF(ISBLANK(VLOOKUP(B524,AmmoTypeFactors,15,False)),1,VLOOKUP(B524,AmmoTypeFactors,15,False))"),30)</f>
        <v>30</v>
      </c>
      <c r="R528">
        <f>IFERROR(__xludf.DUMMYFUNCTION("ROUNDUP((IF(REGEXMATCH(B524, ""Arrow"") + (B524 = ""Javelin""), 'Ammo Input'!E524) + IF(VLOOKUP(B524, AmmoTypeFactors, 9, FALSE) = ""Wood"", 'Ammo Input'!H524) + IF(B524 = ""Stick bomb"", 'Ammo Input'!E524)) * N524 / 'Ingredient stats'!$C$12 / 1000)"),0)</f>
        <v>0</v>
      </c>
      <c r="S528">
        <v>0</v>
      </c>
      <c r="T528">
        <v>0</v>
      </c>
      <c r="U528">
        <f>IF(VLOOKUP(B528,AmmoTypeFactors,9,FALSE)="Plasteel",ROUNDUP(('Ammo Input'!H528*MAX(IF('Ammo Input'!J528&gt;0,'Ammo Input'!J528,1)*N528/1000/'Ingredient stats'!$C$4)),0),0)</f>
        <v>0</v>
      </c>
      <c r="V528">
        <f>IFERROR(__xludf.DUMMYFUNCTION("ROUNDUP(IF(ISBLANK(VLOOKUP(B524,AmmoTypeFactors,16,False)),1,VLOOKUP(B524,AmmoTypeFactors,16,False)) * (IFS(REGEXMATCH(B524, ""EMP""), 'Ammo Input'!M524 * N524 / 'Ingredient stats'!$C$5, REGEXMATCH(B524, ""Charge""), (U524^0.75), true, 0) + (IF(VLOOKUP(B5"&amp;"24, AmmoTypeFactors, 10, false), 2,0) + IF('Ammo Input'!P524, 2,0) + IF('Ammo Input'!Q524,MIN(ROUNDUP(0.2*('Ammo Input'!H524/1000)*'Ammo Input'!O524,0),20),0))))"),0)</f>
        <v>0</v>
      </c>
      <c r="W528">
        <v>0</v>
      </c>
      <c r="X528">
        <v>0</v>
      </c>
      <c r="Y528">
        <v>0</v>
      </c>
      <c r="Z528">
        <v>0</v>
      </c>
      <c r="AA528">
        <v>0</v>
      </c>
      <c r="AB528" s="30">
        <f>IF(B528="Sling Bullet (Stone)",ROUNDUP(D528*0.02*E528/'Ingredient stats'!$C$8,0),0)</f>
        <v>0</v>
      </c>
      <c r="AC528" t="str">
        <f t="shared" si="20"/>
        <v>None</v>
      </c>
      <c r="AD528" t="str">
        <f>IF(OR(B528="Buck",B528="Bird",B528="Charge (Scatter)"),'Ammo Input'!J528,"None")</f>
        <v>None</v>
      </c>
      <c r="AE528" t="str">
        <f>_xlfn.IFS(ISTEXT(Calcs!N528),Calcs!N528,Calcs!N528&lt;=40,Calcs!N528,Calcs!N528&gt;41,"40")</f>
        <v>None</v>
      </c>
      <c r="AF528" t="str">
        <f>_xlfn.IFS(ISTEXT(Calcs!O528),Calcs!O528,Calcs!O528&lt;=80,Calcs!O528,Calcs!O528&gt;=81,"80")</f>
        <v>None</v>
      </c>
      <c r="AG528" s="25">
        <f t="shared" si="21"/>
        <v>1</v>
      </c>
      <c r="AH528" s="25">
        <f t="shared" si="22"/>
        <v>2.53</v>
      </c>
      <c r="AI528" s="25">
        <f t="shared" si="23"/>
        <v>1</v>
      </c>
    </row>
    <row r="529" ht="14.4" spans="1:35">
      <c r="A529" s="24" t="str">
        <f>'Ammo Input'!A529</f>
        <v>7.92x57mm Mauser</v>
      </c>
      <c r="B529" t="str">
        <f>'Ammo Input'!B529</f>
        <v>AP</v>
      </c>
      <c r="C529">
        <f>ROUNDUP(('Ammo Input'!C529*(MAX('Ammo Input'!D529,'Ammo Input'!F529)*0.5)^2*PI())*3/1000000,2)</f>
        <v>0.03</v>
      </c>
      <c r="D529">
        <f>ROUNDUP(('Ammo Input'!E529+'Ammo Input'!H529*IF('Ammo Input'!J529&lt;&gt;"",MAX('Ammo Input'!J529,1),1))/1000,3)</f>
        <v>0.028</v>
      </c>
      <c r="E529">
        <f>MIN(5000,MAX(25,CEILING(Calcs!L529,_xlfn.IFS(Calcs!L529&lt;100,25,Calcs!L529&lt;250,50,Calcs!L529&lt;1000,250,Calcs!L529&gt;=1000,1000))))</f>
        <v>5000</v>
      </c>
      <c r="F529">
        <f>ROUNDUP('Ammo Input'!G529^(3/4),0)</f>
        <v>154</v>
      </c>
      <c r="G529">
        <f>ROUND((0.5*((IF(OR(B529="HEAT",B529="HEDP"),'Ammo Input'!N529,'Ammo Input'!H529)/1000)*(IF(B529="HEAT",9000,IF(B529="HEDP",1500,'Ammo Input'!G529))^2))),0)</f>
        <v>3934</v>
      </c>
      <c r="H529" s="25" t="str">
        <f>CONCATENATE(IF((B529="Foam")+(B529="Smoke"),"-",ROUND(Calcs!D529,0))," ",VLOOKUP(B529,AmmoTypeFactors,5,FALSE))</f>
        <v>13 Bullet</v>
      </c>
      <c r="I529" s="25" t="str">
        <f>IF(Calcs!E529=0,"None",CONCATENATE(ROUND(Calcs!E529,0)," ",VLOOKUP(B529,AmmoTypeFactors,6,FALSE)))</f>
        <v>None</v>
      </c>
      <c r="J529">
        <f>MROUND(2.42*'Ammo Input'!M529^(1/3)*VLOOKUP(B529,AmmoTypeFactors,3,FALSE),0.5)</f>
        <v>0</v>
      </c>
      <c r="K529" s="25" t="str">
        <f>IF(VLOOKUP(B529,AmmoTypeFactors,12,FALSE),MROUND(J529/3,0.5),"None")</f>
        <v>None</v>
      </c>
      <c r="L529" s="25">
        <f>IF(VLOOKUP(B529,AmmoTypeFactors,8,FALSE),"None",ROUNDUP(IF(Calcs!I529&gt;0,Calcs!I529,Calcs!H529),3))</f>
        <v>78.68</v>
      </c>
      <c r="M529" s="25">
        <f>IF(VLOOKUP(B529,AmmoTypeFactors,8,FALSE),"None",'Ammo Input'!L529)</f>
        <v>14</v>
      </c>
      <c r="N529">
        <f>'Ammo Input'!O529</f>
        <v>500</v>
      </c>
      <c r="O529" t="e">
        <f>ROUND((P529*0.0036+SUMPRODUCT(Q529:AB529,VLOOKUP($Q$1:$AB$1,IngredientStats,2,FALSE)))/N529*IF('Ammo Input'!R529,0.5,1),2)</f>
        <v>#VALUE!</v>
      </c>
      <c r="P529" t="e">
        <f>(SUMPRODUCT(Q529:AB529,VLOOKUP($Q$1:$AB$1,IngredientStats,4,FALSE))*VLOOKUP(B529,AmmoTypeFactors,14,FALSE)*IF('Ammo Input'!R529,1.1,1))</f>
        <v>#VALUE!</v>
      </c>
      <c r="Q529">
        <f>IFERROR(__xludf.DUMMYFUNCTION("((IF(NOT(OR(REGEXMATCH(B525, ""Arrow""), B525 = ""Javelin"", B525 = ""Stick bomb"")), ROUNDUP(('Ammo Input'!E525 / 1000) * N525)) + IF(VLOOKUP(B525, AmmoTypeFactors, 9, FALSE) = ""Steel"", ROUNDUP(('Ammo Input'!H525 -'Ammo Input'!M525) * MAX(IF('Ammo Inpu"&amp;"t'!J525 &gt; 0, 'Ammo Input'!J525, 1), 1) * N525 / 1000))) / 'Ingredient stats'!$C$2) * IF(ISBLANK(VLOOKUP(B525,AmmoTypeFactors,15,False)),1,VLOOKUP(B525,AmmoTypeFactors,15,False))"),30)</f>
        <v>30</v>
      </c>
      <c r="R529">
        <f>IFERROR(__xludf.DUMMYFUNCTION("ROUNDUP((IF(REGEXMATCH(B525, ""Arrow"") + (B525 = ""Javelin""), 'Ammo Input'!E525) + IF(VLOOKUP(B525, AmmoTypeFactors, 9, FALSE) = ""Wood"", 'Ammo Input'!H525) + IF(B525 = ""Stick bomb"", 'Ammo Input'!E525)) * N525 / 'Ingredient stats'!$C$12 / 1000)"),0)</f>
        <v>0</v>
      </c>
      <c r="S529">
        <v>0</v>
      </c>
      <c r="T529">
        <v>0</v>
      </c>
      <c r="U529">
        <f>IF(VLOOKUP(B529,AmmoTypeFactors,9,FALSE)="Plasteel",ROUNDUP(('Ammo Input'!H529*MAX(IF('Ammo Input'!J529&gt;0,'Ammo Input'!J529,1)*N529/1000/'Ingredient stats'!$C$4)),0),0)</f>
        <v>0</v>
      </c>
      <c r="V529">
        <f>IFERROR(__xludf.DUMMYFUNCTION("ROUNDUP(IF(ISBLANK(VLOOKUP(B525,AmmoTypeFactors,16,False)),1,VLOOKUP(B525,AmmoTypeFactors,16,False)) * (IFS(REGEXMATCH(B525, ""EMP""), 'Ammo Input'!M525 * N525 / 'Ingredient stats'!$C$5, REGEXMATCH(B525, ""Charge""), (U525^0.75), true, 0) + (IF(VLOOKUP(B5"&amp;"25, AmmoTypeFactors, 10, false), 2,0) + IF('Ammo Input'!P525, 2,0) + IF('Ammo Input'!Q525,MIN(ROUNDUP(0.2*('Ammo Input'!H525/1000)*'Ammo Input'!O525,0),20),0))))"),0)</f>
        <v>0</v>
      </c>
      <c r="W529">
        <v>0</v>
      </c>
      <c r="X529">
        <v>0</v>
      </c>
      <c r="Y529">
        <v>0</v>
      </c>
      <c r="Z529">
        <v>0</v>
      </c>
      <c r="AA529">
        <v>0</v>
      </c>
      <c r="AB529" s="30">
        <f>IF(B529="Sling Bullet (Stone)",ROUNDUP(D529*0.02*E529/'Ingredient stats'!$C$8,0),0)</f>
        <v>0</v>
      </c>
      <c r="AC529" t="str">
        <f t="shared" si="20"/>
        <v>None</v>
      </c>
      <c r="AD529" t="str">
        <f>IF(OR(B529="Buck",B529="Bird",B529="Charge (Scatter)"),'Ammo Input'!J529,"None")</f>
        <v>None</v>
      </c>
      <c r="AE529" t="str">
        <f>_xlfn.IFS(ISTEXT(Calcs!N529),Calcs!N529,Calcs!N529&lt;=40,Calcs!N529,Calcs!N529&gt;41,"40")</f>
        <v>None</v>
      </c>
      <c r="AF529" t="str">
        <f>_xlfn.IFS(ISTEXT(Calcs!O529),Calcs!O529,Calcs!O529&lt;=80,Calcs!O529,Calcs!O529&gt;=81,"80")</f>
        <v>None</v>
      </c>
      <c r="AG529" s="25">
        <f t="shared" si="21"/>
        <v>1</v>
      </c>
      <c r="AH529" s="25">
        <f t="shared" si="22"/>
        <v>2.53</v>
      </c>
      <c r="AI529" s="25">
        <f t="shared" si="23"/>
        <v>1</v>
      </c>
    </row>
    <row r="530" ht="14.4" spans="1:35">
      <c r="A530" s="24" t="str">
        <f>'Ammo Input'!A530</f>
        <v>7.92x57mm Mauser</v>
      </c>
      <c r="B530" t="str">
        <f>'Ammo Input'!B530</f>
        <v>HP</v>
      </c>
      <c r="C530">
        <f>ROUNDUP(('Ammo Input'!C530*(MAX('Ammo Input'!D530,'Ammo Input'!F530)*0.5)^2*PI())*3/1000000,2)</f>
        <v>0.03</v>
      </c>
      <c r="D530">
        <f>ROUNDUP(('Ammo Input'!E530+'Ammo Input'!H530*IF('Ammo Input'!J530&lt;&gt;"",MAX('Ammo Input'!J530,1),1))/1000,3)</f>
        <v>0.028</v>
      </c>
      <c r="E530">
        <f>MIN(5000,MAX(25,CEILING(Calcs!L530,_xlfn.IFS(Calcs!L530&lt;100,25,Calcs!L530&lt;250,50,Calcs!L530&lt;1000,250,Calcs!L530&gt;=1000,1000))))</f>
        <v>5000</v>
      </c>
      <c r="F530">
        <f>ROUNDUP('Ammo Input'!G530^(3/4),0)</f>
        <v>154</v>
      </c>
      <c r="G530">
        <f>ROUND((0.5*((IF(OR(B530="HEAT",B530="HEDP"),'Ammo Input'!N530,'Ammo Input'!H530)/1000)*(IF(B530="HEAT",9000,IF(B530="HEDP",1500,'Ammo Input'!G530))^2))),0)</f>
        <v>3934</v>
      </c>
      <c r="H530" s="25" t="str">
        <f>CONCATENATE(IF((B530="Foam")+(B530="Smoke"),"-",ROUND(Calcs!D530,0))," ",VLOOKUP(B530,AmmoTypeFactors,5,FALSE))</f>
        <v>27 Bullet</v>
      </c>
      <c r="I530" s="25" t="str">
        <f>IF(Calcs!E530=0,"None",CONCATENATE(ROUND(Calcs!E530,0)," ",VLOOKUP(B530,AmmoTypeFactors,6,FALSE)))</f>
        <v>None</v>
      </c>
      <c r="J530">
        <f>MROUND(2.42*'Ammo Input'!M530^(1/3)*VLOOKUP(B530,AmmoTypeFactors,3,FALSE),0.5)</f>
        <v>0</v>
      </c>
      <c r="K530" s="25" t="str">
        <f>IF(VLOOKUP(B530,AmmoTypeFactors,12,FALSE),MROUND(J530/3,0.5),"None")</f>
        <v>None</v>
      </c>
      <c r="L530" s="25">
        <f>IF(VLOOKUP(B530,AmmoTypeFactors,8,FALSE),"None",ROUNDUP(IF(Calcs!I530&gt;0,Calcs!I530,Calcs!H530),3))</f>
        <v>78.68</v>
      </c>
      <c r="M530" s="25">
        <f>IF(VLOOKUP(B530,AmmoTypeFactors,8,FALSE),"None",'Ammo Input'!L530)</f>
        <v>4</v>
      </c>
      <c r="N530">
        <f>'Ammo Input'!O530</f>
        <v>500</v>
      </c>
      <c r="O530" t="e">
        <f>ROUND((P530*0.0036+SUMPRODUCT(Q530:AB530,VLOOKUP($Q$1:$AB$1,IngredientStats,2,FALSE)))/N530*IF('Ammo Input'!R530,0.5,1),2)</f>
        <v>#VALUE!</v>
      </c>
      <c r="P530" t="e">
        <f>(SUMPRODUCT(Q530:AB530,VLOOKUP($Q$1:$AB$1,IngredientStats,4,FALSE))*VLOOKUP(B530,AmmoTypeFactors,14,FALSE)*IF('Ammo Input'!R530,1.1,1))</f>
        <v>#VALUE!</v>
      </c>
      <c r="Q530">
        <f>IFERROR(__xludf.DUMMYFUNCTION("((IF(NOT(OR(REGEXMATCH(B526, ""Arrow""), B526 = ""Javelin"", B526 = ""Stick bomb"")), ROUNDUP(('Ammo Input'!E526 / 1000) * N526)) + IF(VLOOKUP(B526, AmmoTypeFactors, 9, FALSE) = ""Steel"", ROUNDUP(('Ammo Input'!H526 -'Ammo Input'!M526) * MAX(IF('Ammo Inpu"&amp;"t'!J526 &gt; 0, 'Ammo Input'!J526, 1), 1) * N526 / 1000))) / 'Ingredient stats'!$C$2) * IF(ISBLANK(VLOOKUP(B526,AmmoTypeFactors,15,False)),1,VLOOKUP(B526,AmmoTypeFactors,15,False))"),30)</f>
        <v>30</v>
      </c>
      <c r="R530">
        <f>IFERROR(__xludf.DUMMYFUNCTION("ROUNDUP((IF(REGEXMATCH(B526, ""Arrow"") + (B526 = ""Javelin""), 'Ammo Input'!E526) + IF(VLOOKUP(B526, AmmoTypeFactors, 9, FALSE) = ""Wood"", 'Ammo Input'!H526) + IF(B526 = ""Stick bomb"", 'Ammo Input'!E526)) * N526 / 'Ingredient stats'!$C$12 / 1000)"),0)</f>
        <v>0</v>
      </c>
      <c r="S530">
        <v>0</v>
      </c>
      <c r="T530">
        <v>0</v>
      </c>
      <c r="U530">
        <f>IF(VLOOKUP(B530,AmmoTypeFactors,9,FALSE)="Plasteel",ROUNDUP(('Ammo Input'!H530*MAX(IF('Ammo Input'!J530&gt;0,'Ammo Input'!J530,1)*N530/1000/'Ingredient stats'!$C$4)),0),0)</f>
        <v>0</v>
      </c>
      <c r="V530">
        <f>IFERROR(__xludf.DUMMYFUNCTION("ROUNDUP(IF(ISBLANK(VLOOKUP(B526,AmmoTypeFactors,16,False)),1,VLOOKUP(B526,AmmoTypeFactors,16,False)) * (IFS(REGEXMATCH(B526, ""EMP""), 'Ammo Input'!M526 * N526 / 'Ingredient stats'!$C$5, REGEXMATCH(B526, ""Charge""), (U526^0.75), true, 0) + (IF(VLOOKUP(B5"&amp;"26, AmmoTypeFactors, 10, false), 2,0) + IF('Ammo Input'!P526, 2,0) + IF('Ammo Input'!Q526,MIN(ROUNDUP(0.2*('Ammo Input'!H526/1000)*'Ammo Input'!O526,0),20),0))))"),0)</f>
        <v>0</v>
      </c>
      <c r="W530">
        <v>0</v>
      </c>
      <c r="X530">
        <v>0</v>
      </c>
      <c r="Y530">
        <v>0</v>
      </c>
      <c r="Z530">
        <v>0</v>
      </c>
      <c r="AA530">
        <v>0</v>
      </c>
      <c r="AB530" s="30">
        <f>IF(B530="Sling Bullet (Stone)",ROUNDUP(D530*0.02*E530/'Ingredient stats'!$C$8,0),0)</f>
        <v>0</v>
      </c>
      <c r="AC530" t="str">
        <f t="shared" si="20"/>
        <v>None</v>
      </c>
      <c r="AD530" t="str">
        <f>IF(OR(B530="Buck",B530="Bird",B530="Charge (Scatter)"),'Ammo Input'!J530,"None")</f>
        <v>None</v>
      </c>
      <c r="AE530" t="str">
        <f>_xlfn.IFS(ISTEXT(Calcs!N530),Calcs!N530,Calcs!N530&lt;=40,Calcs!N530,Calcs!N530&gt;41,"40")</f>
        <v>None</v>
      </c>
      <c r="AF530" t="str">
        <f>_xlfn.IFS(ISTEXT(Calcs!O530),Calcs!O530,Calcs!O530&lt;=80,Calcs!O530,Calcs!O530&gt;=81,"80")</f>
        <v>None</v>
      </c>
      <c r="AG530" s="25">
        <f t="shared" si="21"/>
        <v>1</v>
      </c>
      <c r="AH530" s="25">
        <f t="shared" si="22"/>
        <v>2.53</v>
      </c>
      <c r="AI530" s="25">
        <f t="shared" si="23"/>
        <v>1</v>
      </c>
    </row>
    <row r="531" ht="14.4" spans="1:35">
      <c r="A531" s="24" t="str">
        <f>'Ammo Input'!A531</f>
        <v>7.92x57mm Mauser</v>
      </c>
      <c r="B531" t="str">
        <f>'Ammo Input'!B531</f>
        <v>AP-I</v>
      </c>
      <c r="C531">
        <f>ROUNDUP(('Ammo Input'!C531*(MAX('Ammo Input'!D531,'Ammo Input'!F531)*0.5)^2*PI())*3/1000000,2)</f>
        <v>0.03</v>
      </c>
      <c r="D531">
        <f>ROUNDUP(('Ammo Input'!E531+'Ammo Input'!H531*IF('Ammo Input'!J531&lt;&gt;"",MAX('Ammo Input'!J531,1),1))/1000,3)</f>
        <v>0.028</v>
      </c>
      <c r="E531">
        <f>MIN(5000,MAX(25,CEILING(Calcs!L531,_xlfn.IFS(Calcs!L531&lt;100,25,Calcs!L531&lt;250,50,Calcs!L531&lt;1000,250,Calcs!L531&gt;=1000,1000))))</f>
        <v>5000</v>
      </c>
      <c r="F531">
        <f>ROUNDUP('Ammo Input'!G531^(3/4),0)</f>
        <v>154</v>
      </c>
      <c r="G531">
        <f>ROUND((0.5*((IF(OR(B531="HEAT",B531="HEDP"),'Ammo Input'!N531,'Ammo Input'!H531)/1000)*(IF(B531="HEAT",9000,IF(B531="HEDP",1500,'Ammo Input'!G531))^2))),0)</f>
        <v>3934</v>
      </c>
      <c r="H531" s="25" t="str">
        <f>CONCATENATE(IF((B531="Foam")+(B531="Smoke"),"-",ROUND(Calcs!D531,0))," ",VLOOKUP(B531,AmmoTypeFactors,5,FALSE))</f>
        <v>13 Bullet</v>
      </c>
      <c r="I531" s="25" t="str">
        <f>IF(Calcs!E531=0,"None",CONCATENATE(ROUND(Calcs!E531,0)," ",VLOOKUP(B531,AmmoTypeFactors,6,FALSE)))</f>
        <v>6 Flame_Secondary</v>
      </c>
      <c r="J531">
        <f>MROUND(2.42*'Ammo Input'!M531^(1/3)*VLOOKUP(B531,AmmoTypeFactors,3,FALSE),0.5)</f>
        <v>0</v>
      </c>
      <c r="K531" s="25" t="str">
        <f>IF(VLOOKUP(B531,AmmoTypeFactors,12,FALSE),MROUND(J531/3,0.5),"None")</f>
        <v>None</v>
      </c>
      <c r="L531" s="25">
        <f>IF(VLOOKUP(B531,AmmoTypeFactors,8,FALSE),"None",ROUNDUP(IF(Calcs!I531&gt;0,Calcs!I531,Calcs!H531),3))</f>
        <v>78.68</v>
      </c>
      <c r="M531" s="25">
        <f>IF(VLOOKUP(B531,AmmoTypeFactors,8,FALSE),"None",'Ammo Input'!L531)</f>
        <v>14</v>
      </c>
      <c r="N531">
        <f>'Ammo Input'!O531</f>
        <v>500</v>
      </c>
      <c r="O531" t="e">
        <f>ROUND((P531*0.0036+SUMPRODUCT(Q531:AB531,VLOOKUP($Q$1:$AB$1,IngredientStats,2,FALSE)))/N531*IF('Ammo Input'!R531,0.5,1),2)</f>
        <v>#VALUE!</v>
      </c>
      <c r="P531" t="e">
        <f>(SUMPRODUCT(Q531:AB531,VLOOKUP($Q$1:$AB$1,IngredientStats,4,FALSE))*VLOOKUP(B531,AmmoTypeFactors,14,FALSE)*IF('Ammo Input'!R531,1.1,1))</f>
        <v>#VALUE!</v>
      </c>
      <c r="Q531">
        <f>IFERROR(__xludf.DUMMYFUNCTION("((IF(NOT(OR(REGEXMATCH(B527, ""Arrow""), B527 = ""Javelin"", B527 = ""Stick bomb"")), ROUNDUP(('Ammo Input'!E527 / 1000) * N527)) + IF(VLOOKUP(B527, AmmoTypeFactors, 9, FALSE) = ""Steel"", ROUNDUP(('Ammo Input'!H527 -'Ammo Input'!M527) * MAX(IF('Ammo Inpu"&amp;"t'!J527 &gt; 0, 'Ammo Input'!J527, 1), 1) * N527 / 1000))) / 'Ingredient stats'!$C$2) * IF(ISBLANK(VLOOKUP(B527,AmmoTypeFactors,15,False)),1,VLOOKUP(B527,AmmoTypeFactors,15,False))"),30)</f>
        <v>30</v>
      </c>
      <c r="R531">
        <f>IFERROR(__xludf.DUMMYFUNCTION("ROUNDUP((IF(REGEXMATCH(B527, ""Arrow"") + (B527 = ""Javelin""), 'Ammo Input'!E527) + IF(VLOOKUP(B527, AmmoTypeFactors, 9, FALSE) = ""Wood"", 'Ammo Input'!H527) + IF(B527 = ""Stick bomb"", 'Ammo Input'!E527)) * N527 / 'Ingredient stats'!$C$12 / 1000)"),0)</f>
        <v>0</v>
      </c>
      <c r="S531">
        <v>0</v>
      </c>
      <c r="T531">
        <v>0</v>
      </c>
      <c r="U531">
        <f>IF(VLOOKUP(B531,AmmoTypeFactors,9,FALSE)="Plasteel",ROUNDUP(('Ammo Input'!H531*MAX(IF('Ammo Input'!J531&gt;0,'Ammo Input'!J531,1)*N531/1000/'Ingredient stats'!$C$4)),0),0)</f>
        <v>0</v>
      </c>
      <c r="V531">
        <f>IFERROR(__xludf.DUMMYFUNCTION("ROUNDUP(IF(ISBLANK(VLOOKUP(B527,AmmoTypeFactors,16,False)),1,VLOOKUP(B527,AmmoTypeFactors,16,False)) * (IFS(REGEXMATCH(B527, ""EMP""), 'Ammo Input'!M527 * N527 / 'Ingredient stats'!$C$5, REGEXMATCH(B527, ""Charge""), (U527^0.75), true, 0) + (IF(VLOOKUP(B5"&amp;"27, AmmoTypeFactors, 10, false), 2,0) + IF('Ammo Input'!P527, 2,0) + IF('Ammo Input'!Q527,MIN(ROUNDUP(0.2*('Ammo Input'!H527/1000)*'Ammo Input'!O527,0),20),0))))"),0)</f>
        <v>0</v>
      </c>
      <c r="W531">
        <v>3</v>
      </c>
      <c r="X531">
        <v>0</v>
      </c>
      <c r="Y531">
        <v>0</v>
      </c>
      <c r="Z531">
        <v>0</v>
      </c>
      <c r="AA531">
        <v>0</v>
      </c>
      <c r="AB531" s="30">
        <f>IF(B531="Sling Bullet (Stone)",ROUNDUP(D531*0.02*E531/'Ingredient stats'!$C$8,0),0)</f>
        <v>0</v>
      </c>
      <c r="AC531" t="str">
        <f t="shared" si="20"/>
        <v>None</v>
      </c>
      <c r="AD531" t="str">
        <f>IF(OR(B531="Buck",B531="Bird",B531="Charge (Scatter)"),'Ammo Input'!J531,"None")</f>
        <v>None</v>
      </c>
      <c r="AE531" t="str">
        <f>_xlfn.IFS(ISTEXT(Calcs!N531),Calcs!N531,Calcs!N531&lt;=40,Calcs!N531,Calcs!N531&gt;41,"40")</f>
        <v>None</v>
      </c>
      <c r="AF531" t="str">
        <f>_xlfn.IFS(ISTEXT(Calcs!O531),Calcs!O531,Calcs!O531&lt;=80,Calcs!O531,Calcs!O531&gt;=81,"80")</f>
        <v>None</v>
      </c>
      <c r="AG531" s="25">
        <f t="shared" si="21"/>
        <v>1</v>
      </c>
      <c r="AH531" s="25">
        <f t="shared" si="22"/>
        <v>2.53</v>
      </c>
      <c r="AI531" s="25">
        <f t="shared" si="23"/>
        <v>1</v>
      </c>
    </row>
    <row r="532" ht="14.4" spans="1:35">
      <c r="A532" s="24" t="str">
        <f>'Ammo Input'!A532</f>
        <v>7.92x57mm Mauser</v>
      </c>
      <c r="B532" t="str">
        <f>'Ammo Input'!B532</f>
        <v>AP-HE</v>
      </c>
      <c r="C532">
        <f>ROUNDUP(('Ammo Input'!C532*(MAX('Ammo Input'!D532,'Ammo Input'!F532)*0.5)^2*PI())*3/1000000,2)</f>
        <v>0.03</v>
      </c>
      <c r="D532">
        <f>ROUNDUP(('Ammo Input'!E532+'Ammo Input'!H532*IF('Ammo Input'!J532&lt;&gt;"",MAX('Ammo Input'!J532,1),1))/1000,3)</f>
        <v>0.028</v>
      </c>
      <c r="E532">
        <f>MIN(5000,MAX(25,CEILING(Calcs!L532,_xlfn.IFS(Calcs!L532&lt;100,25,Calcs!L532&lt;250,50,Calcs!L532&lt;1000,250,Calcs!L532&gt;=1000,1000))))</f>
        <v>5000</v>
      </c>
      <c r="F532">
        <f>ROUNDUP('Ammo Input'!G532^(3/4),0)</f>
        <v>154</v>
      </c>
      <c r="G532">
        <f>ROUND((0.5*((IF(OR(B532="HEAT",B532="HEDP"),'Ammo Input'!N532,'Ammo Input'!H532)/1000)*(IF(B532="HEAT",9000,IF(B532="HEDP",1500,'Ammo Input'!G532))^2))),0)</f>
        <v>3934</v>
      </c>
      <c r="H532" s="25" t="str">
        <f>CONCATENATE(IF((B532="Foam")+(B532="Smoke"),"-",ROUND(Calcs!D532,0))," ",VLOOKUP(B532,AmmoTypeFactors,5,FALSE))</f>
        <v>21 Bullet</v>
      </c>
      <c r="I532" s="25" t="str">
        <f>IF(Calcs!E532=0,"None",CONCATENATE(ROUND(Calcs!E532,0)," ",VLOOKUP(B532,AmmoTypeFactors,6,FALSE)))</f>
        <v>9 Bomb_Secondary</v>
      </c>
      <c r="J532">
        <f>MROUND(2.42*'Ammo Input'!M532^(1/3)*VLOOKUP(B532,AmmoTypeFactors,3,FALSE),0.5)</f>
        <v>0</v>
      </c>
      <c r="K532" s="25" t="str">
        <f>IF(VLOOKUP(B532,AmmoTypeFactors,12,FALSE),MROUND(J532/3,0.5),"None")</f>
        <v>None</v>
      </c>
      <c r="L532" s="25">
        <f>IF(VLOOKUP(B532,AmmoTypeFactors,8,FALSE),"None",ROUNDUP(IF(Calcs!I532&gt;0,Calcs!I532,Calcs!H532),3))</f>
        <v>78.68</v>
      </c>
      <c r="M532" s="25">
        <f>IF(VLOOKUP(B532,AmmoTypeFactors,8,FALSE),"None",'Ammo Input'!L532)</f>
        <v>6</v>
      </c>
      <c r="N532">
        <f>'Ammo Input'!O532</f>
        <v>500</v>
      </c>
      <c r="O532" t="e">
        <f>ROUND((P532*0.0036+SUMPRODUCT(Q532:AB532,VLOOKUP($Q$1:$AB$1,IngredientStats,2,FALSE)))/N532*IF('Ammo Input'!R532,0.5,1),2)</f>
        <v>#VALUE!</v>
      </c>
      <c r="P532" t="e">
        <f>(SUMPRODUCT(Q532:AB532,VLOOKUP($Q$1:$AB$1,IngredientStats,4,FALSE))*VLOOKUP(B532,AmmoTypeFactors,14,FALSE)*IF('Ammo Input'!R532,1.1,1))</f>
        <v>#VALUE!</v>
      </c>
      <c r="Q532">
        <f>IFERROR(__xludf.DUMMYFUNCTION("((IF(NOT(OR(REGEXMATCH(B528, ""Arrow""), B528 = ""Javelin"", B528 = ""Stick bomb"")), ROUNDUP(('Ammo Input'!E528 / 1000) * N528)) + IF(VLOOKUP(B528, AmmoTypeFactors, 9, FALSE) = ""Steel"", ROUNDUP(('Ammo Input'!H528 -'Ammo Input'!M528) * MAX(IF('Ammo Inpu"&amp;"t'!J528 &gt; 0, 'Ammo Input'!J528, 1), 1) * N528 / 1000))) / 'Ingredient stats'!$C$2) * IF(ISBLANK(VLOOKUP(B528,AmmoTypeFactors,15,False)),1,VLOOKUP(B528,AmmoTypeFactors,15,False))"),30)</f>
        <v>30</v>
      </c>
      <c r="R532">
        <f>IFERROR(__xludf.DUMMYFUNCTION("ROUNDUP((IF(REGEXMATCH(B528, ""Arrow"") + (B528 = ""Javelin""), 'Ammo Input'!E528) + IF(VLOOKUP(B528, AmmoTypeFactors, 9, FALSE) = ""Wood"", 'Ammo Input'!H528) + IF(B528 = ""Stick bomb"", 'Ammo Input'!E528)) * N528 / 'Ingredient stats'!$C$12 / 1000)"),0)</f>
        <v>0</v>
      </c>
      <c r="S532">
        <v>0</v>
      </c>
      <c r="T532">
        <v>0</v>
      </c>
      <c r="U532">
        <f>IF(VLOOKUP(B532,AmmoTypeFactors,9,FALSE)="Plasteel",ROUNDUP(('Ammo Input'!H532*MAX(IF('Ammo Input'!J532&gt;0,'Ammo Input'!J532,1)*N532/1000/'Ingredient stats'!$C$4)),0),0)</f>
        <v>0</v>
      </c>
      <c r="V532">
        <f>IFERROR(__xludf.DUMMYFUNCTION("ROUNDUP(IF(ISBLANK(VLOOKUP(B528,AmmoTypeFactors,16,False)),1,VLOOKUP(B528,AmmoTypeFactors,16,False)) * (IFS(REGEXMATCH(B528, ""EMP""), 'Ammo Input'!M528 * N528 / 'Ingredient stats'!$C$5, REGEXMATCH(B528, ""Charge""), (U528^0.75), true, 0) + (IF(VLOOKUP(B5"&amp;"28, AmmoTypeFactors, 10, false), 2,0) + IF('Ammo Input'!P528, 2,0) + IF('Ammo Input'!Q528,MIN(ROUNDUP(0.2*('Ammo Input'!H528/1000)*'Ammo Input'!O528,0),20),0))))"),0)</f>
        <v>0</v>
      </c>
      <c r="W532">
        <v>0</v>
      </c>
      <c r="X532">
        <v>7</v>
      </c>
      <c r="Y532">
        <v>0</v>
      </c>
      <c r="Z532">
        <v>0</v>
      </c>
      <c r="AA532">
        <v>0</v>
      </c>
      <c r="AB532" s="30">
        <f>IF(B532="Sling Bullet (Stone)",ROUNDUP(D532*0.02*E532/'Ingredient stats'!$C$8,0),0)</f>
        <v>0</v>
      </c>
      <c r="AC532" t="str">
        <f t="shared" si="20"/>
        <v>None</v>
      </c>
      <c r="AD532" t="str">
        <f>IF(OR(B532="Buck",B532="Bird",B532="Charge (Scatter)"),'Ammo Input'!J532,"None")</f>
        <v>None</v>
      </c>
      <c r="AE532" t="str">
        <f>_xlfn.IFS(ISTEXT(Calcs!N532),Calcs!N532,Calcs!N532&lt;=40,Calcs!N532,Calcs!N532&gt;41,"40")</f>
        <v>None</v>
      </c>
      <c r="AF532" t="str">
        <f>_xlfn.IFS(ISTEXT(Calcs!O532),Calcs!O532,Calcs!O532&lt;=80,Calcs!O532,Calcs!O532&gt;=81,"80")</f>
        <v>None</v>
      </c>
      <c r="AG532" s="25">
        <f t="shared" si="21"/>
        <v>1</v>
      </c>
      <c r="AH532" s="25">
        <f t="shared" si="22"/>
        <v>2.53</v>
      </c>
      <c r="AI532" s="25">
        <f t="shared" si="23"/>
        <v>1</v>
      </c>
    </row>
    <row r="533" ht="14.4" spans="1:35">
      <c r="A533" s="24" t="str">
        <f>'Ammo Input'!A533</f>
        <v>7.92x57mm Mauser</v>
      </c>
      <c r="B533" t="str">
        <f>'Ammo Input'!B533</f>
        <v>Sabot</v>
      </c>
      <c r="C533">
        <f>ROUNDUP(('Ammo Input'!C533*(MAX('Ammo Input'!D533,'Ammo Input'!F533)*0.5)^2*PI())*3/1000000,2)</f>
        <v>0.03</v>
      </c>
      <c r="D533">
        <f>ROUNDUP(('Ammo Input'!E533+'Ammo Input'!H533*IF('Ammo Input'!J533&lt;&gt;"",MAX('Ammo Input'!J533,1),1))/1000,3)</f>
        <v>0.023</v>
      </c>
      <c r="E533">
        <f>MIN(5000,MAX(25,CEILING(Calcs!L533,_xlfn.IFS(Calcs!L533&lt;100,25,Calcs!L533&lt;250,50,Calcs!L533&lt;1000,250,Calcs!L533&gt;=1000,1000))))</f>
        <v>5000</v>
      </c>
      <c r="F533">
        <f>ROUNDUP('Ammo Input'!G533^(3/4),0)</f>
        <v>208</v>
      </c>
      <c r="G533">
        <f>ROUND((0.5*((IF(OR(B533="HEAT",B533="HEDP"),'Ammo Input'!N533,'Ammo Input'!H533)/1000)*(IF(B533="HEAT",9000,IF(B533="HEDP",1500,'Ammo Input'!G533))^2))),0)</f>
        <v>5046</v>
      </c>
      <c r="H533" s="25" t="str">
        <f>CONCATENATE(IF((B533="Foam")+(B533="Smoke"),"-",ROUND(Calcs!D533,0))," ",VLOOKUP(B533,AmmoTypeFactors,5,FALSE))</f>
        <v>13 Bullet</v>
      </c>
      <c r="I533" s="25" t="str">
        <f>IF(Calcs!E533=0,"None",CONCATENATE(ROUND(Calcs!E533,0)," ",VLOOKUP(B533,AmmoTypeFactors,6,FALSE)))</f>
        <v>None</v>
      </c>
      <c r="J533">
        <f>MROUND(2.42*'Ammo Input'!M533^(1/3)*VLOOKUP(B533,AmmoTypeFactors,3,FALSE),0.5)</f>
        <v>0</v>
      </c>
      <c r="K533" s="25" t="str">
        <f>IF(VLOOKUP(B533,AmmoTypeFactors,12,FALSE),MROUND(J533/3,0.5),"None")</f>
        <v>None</v>
      </c>
      <c r="L533" s="25">
        <f>IF(VLOOKUP(B533,AmmoTypeFactors,8,FALSE),"None",ROUNDUP(IF(Calcs!I533&gt;0,Calcs!I533,Calcs!H533),3))</f>
        <v>100.92</v>
      </c>
      <c r="M533" s="25">
        <f>IF(VLOOKUP(B533,AmmoTypeFactors,8,FALSE),"None",'Ammo Input'!L533)</f>
        <v>21</v>
      </c>
      <c r="N533">
        <f>'Ammo Input'!O533</f>
        <v>500</v>
      </c>
      <c r="O533" t="e">
        <f>ROUND((P533*0.0036+SUMPRODUCT(Q533:AB533,VLOOKUP($Q$1:$AB$1,IngredientStats,2,FALSE)))/N533*IF('Ammo Input'!R533,0.5,1),2)</f>
        <v>#VALUE!</v>
      </c>
      <c r="P533" t="e">
        <f>(SUMPRODUCT(Q533:AB533,VLOOKUP($Q$1:$AB$1,IngredientStats,4,FALSE))*VLOOKUP(B533,AmmoTypeFactors,14,FALSE)*IF('Ammo Input'!R533,1.1,1))</f>
        <v>#VALUE!</v>
      </c>
      <c r="Q533">
        <f>IFERROR(__xludf.DUMMYFUNCTION("((IF(NOT(OR(REGEXMATCH(B529, ""Arrow""), B529 = ""Javelin"", B529 = ""Stick bomb"")), ROUNDUP(('Ammo Input'!E529 / 1000) * N529)) + IF(VLOOKUP(B529, AmmoTypeFactors, 9, FALSE) = ""Steel"", ROUNDUP(('Ammo Input'!H529 -'Ammo Input'!M529) * MAX(IF('Ammo Inpu"&amp;"t'!J529 &gt; 0, 'Ammo Input'!J529, 1), 1) * N529 / 1000))) / 'Ingredient stats'!$C$2) * IF(ISBLANK(VLOOKUP(B529,AmmoTypeFactors,15,False)),1,VLOOKUP(B529,AmmoTypeFactors,15,False))"),18)</f>
        <v>18</v>
      </c>
      <c r="R533">
        <f>IFERROR(__xludf.DUMMYFUNCTION("ROUNDUP((IF(REGEXMATCH(B529, ""Arrow"") + (B529 = ""Javelin""), 'Ammo Input'!E529) + IF(VLOOKUP(B529, AmmoTypeFactors, 9, FALSE) = ""Wood"", 'Ammo Input'!H529) + IF(B529 = ""Stick bomb"", 'Ammo Input'!E529)) * N529 / 'Ingredient stats'!$C$12 / 1000)"),0)</f>
        <v>0</v>
      </c>
      <c r="S533">
        <v>4</v>
      </c>
      <c r="T533">
        <v>4</v>
      </c>
      <c r="U533">
        <f>IF(VLOOKUP(B533,AmmoTypeFactors,9,FALSE)="Plasteel",ROUNDUP(('Ammo Input'!H533*MAX(IF('Ammo Input'!J533&gt;0,'Ammo Input'!J533,1)*N533/1000/'Ingredient stats'!$C$4)),0),0)</f>
        <v>0</v>
      </c>
      <c r="V533">
        <f>IFERROR(__xludf.DUMMYFUNCTION("ROUNDUP(IF(ISBLANK(VLOOKUP(B529,AmmoTypeFactors,16,False)),1,VLOOKUP(B529,AmmoTypeFactors,16,False)) * (IFS(REGEXMATCH(B529, ""EMP""), 'Ammo Input'!M529 * N529 / 'Ingredient stats'!$C$5, REGEXMATCH(B529, ""Charge""), (U529^0.75), true, 0) + (IF(VLOOKUP(B5"&amp;"29, AmmoTypeFactors, 10, false), 2,0) + IF('Ammo Input'!P529, 2,0) + IF('Ammo Input'!Q529,MIN(ROUNDUP(0.2*('Ammo Input'!H529/1000)*'Ammo Input'!O529,0),20),0))))"),0)</f>
        <v>0</v>
      </c>
      <c r="W533">
        <v>0</v>
      </c>
      <c r="X533">
        <v>0</v>
      </c>
      <c r="Y533">
        <v>0</v>
      </c>
      <c r="Z533">
        <v>0</v>
      </c>
      <c r="AA533">
        <v>0</v>
      </c>
      <c r="AB533" s="30">
        <f>IF(B533="Sling Bullet (Stone)",ROUNDUP(D533*0.02*E533/'Ingredient stats'!$C$8,0),0)</f>
        <v>0</v>
      </c>
      <c r="AC533" t="str">
        <f t="shared" si="20"/>
        <v>None</v>
      </c>
      <c r="AD533" t="str">
        <f>IF(OR(B533="Buck",B533="Bird",B533="Charge (Scatter)"),'Ammo Input'!J533,"None")</f>
        <v>None</v>
      </c>
      <c r="AE533" t="str">
        <f>_xlfn.IFS(ISTEXT(Calcs!N533),Calcs!N533,Calcs!N533&lt;=40,Calcs!N533,Calcs!N533&gt;41,"40")</f>
        <v>None</v>
      </c>
      <c r="AF533" t="str">
        <f>_xlfn.IFS(ISTEXT(Calcs!O533),Calcs!O533,Calcs!O533&lt;=80,Calcs!O533,Calcs!O533&gt;=81,"80")</f>
        <v>None</v>
      </c>
      <c r="AG533" s="25">
        <f t="shared" si="21"/>
        <v>1</v>
      </c>
      <c r="AH533" s="25">
        <f t="shared" si="22"/>
        <v>3.39</v>
      </c>
      <c r="AI533" s="25">
        <f t="shared" si="23"/>
        <v>1</v>
      </c>
    </row>
    <row r="534" ht="14.4" spans="1:35">
      <c r="A534" s="24" t="str">
        <f>'Ammo Input'!A534</f>
        <v>7.5x54mm French</v>
      </c>
      <c r="B534" t="str">
        <f>'Ammo Input'!B534</f>
        <v>FMJ</v>
      </c>
      <c r="C534">
        <f>ROUNDUP(('Ammo Input'!C534*(MAX('Ammo Input'!D534,'Ammo Input'!F534)*0.5)^2*PI())*3/1000000,2)</f>
        <v>0.03</v>
      </c>
      <c r="D534">
        <f>ROUNDUP(('Ammo Input'!E534+'Ammo Input'!H534*IF('Ammo Input'!J534&lt;&gt;"",MAX('Ammo Input'!J534,1),1))/1000,3)</f>
        <v>0.025</v>
      </c>
      <c r="E534">
        <f>MIN(5000,MAX(25,CEILING(Calcs!L534,_xlfn.IFS(Calcs!L534&lt;100,25,Calcs!L534&lt;250,50,Calcs!L534&lt;1000,250,Calcs!L534&gt;=1000,1000))))</f>
        <v>5000</v>
      </c>
      <c r="F534">
        <f>ROUNDUP('Ammo Input'!G534^(3/4),0)</f>
        <v>154</v>
      </c>
      <c r="G534">
        <f>ROUND((0.5*((IF(OR(B534="HEAT",B534="HEDP"),'Ammo Input'!N534,'Ammo Input'!H534)/1000)*(IF(B534="HEAT",9000,IF(B534="HEDP",1500,'Ammo Input'!G534))^2))),0)</f>
        <v>3026</v>
      </c>
      <c r="H534" s="25" t="str">
        <f>CONCATENATE(IF((B534="Foam")+(B534="Smoke"),"-",ROUND(Calcs!D534,0))," ",VLOOKUP(B534,AmmoTypeFactors,5,FALSE))</f>
        <v>19 Bullet</v>
      </c>
      <c r="I534" s="25" t="str">
        <f>IF(Calcs!E534=0,"None",CONCATENATE(ROUND(Calcs!E534,0)," ",VLOOKUP(B534,AmmoTypeFactors,6,FALSE)))</f>
        <v>None</v>
      </c>
      <c r="J534">
        <f>MROUND(2.42*'Ammo Input'!M534^(1/3)*VLOOKUP(B534,AmmoTypeFactors,3,FALSE),0.5)</f>
        <v>0</v>
      </c>
      <c r="K534" s="25" t="str">
        <f>IF(VLOOKUP(B534,AmmoTypeFactors,12,FALSE),MROUND(J534/3,0.5),"None")</f>
        <v>None</v>
      </c>
      <c r="L534" s="25">
        <f>IF(VLOOKUP(B534,AmmoTypeFactors,8,FALSE),"None",ROUNDUP(IF(Calcs!I534&gt;0,Calcs!I534,Calcs!H534),3))</f>
        <v>60.52</v>
      </c>
      <c r="M534" s="25">
        <f>IF(VLOOKUP(B534,AmmoTypeFactors,8,FALSE),"None",'Ammo Input'!L534)</f>
        <v>6</v>
      </c>
      <c r="N534">
        <f>'Ammo Input'!O534</f>
        <v>500</v>
      </c>
      <c r="O534" t="e">
        <f>ROUND((P534*0.0036+SUMPRODUCT(Q534:AB534,VLOOKUP($Q$1:$AB$1,IngredientStats,2,FALSE)))/N534*IF('Ammo Input'!R534,0.5,1),2)</f>
        <v>#VALUE!</v>
      </c>
      <c r="P534" t="e">
        <f>(SUMPRODUCT(Q534:AB534,VLOOKUP($Q$1:$AB$1,IngredientStats,4,FALSE))*VLOOKUP(B534,AmmoTypeFactors,14,FALSE)*IF('Ammo Input'!R534,1.1,1))</f>
        <v>#VALUE!</v>
      </c>
      <c r="Q534">
        <f>IFERROR(__xludf.DUMMYFUNCTION("((IF(NOT(OR(REGEXMATCH(B530, ""Arrow""), B530 = ""Javelin"", B530 = ""Stick bomb"")), ROUNDUP(('Ammo Input'!E530 / 1000) * N530)) + IF(VLOOKUP(B530, AmmoTypeFactors, 9, FALSE) = ""Steel"", ROUNDUP(('Ammo Input'!H530 -'Ammo Input'!M530) * MAX(IF('Ammo Inpu"&amp;"t'!J530 &gt; 0, 'Ammo Input'!J530, 1), 1) * N530 / 1000))) / 'Ingredient stats'!$C$2) * IF(ISBLANK(VLOOKUP(B530,AmmoTypeFactors,15,False)),1,VLOOKUP(B530,AmmoTypeFactors,15,False))"),26)</f>
        <v>26</v>
      </c>
      <c r="R534">
        <f>IFERROR(__xludf.DUMMYFUNCTION("ROUNDUP((IF(REGEXMATCH(B530, ""Arrow"") + (B530 = ""Javelin""), 'Ammo Input'!E530) + IF(VLOOKUP(B530, AmmoTypeFactors, 9, FALSE) = ""Wood"", 'Ammo Input'!H530) + IF(B530 = ""Stick bomb"", 'Ammo Input'!E530)) * N530 / 'Ingredient stats'!$C$12 / 1000)"),0)</f>
        <v>0</v>
      </c>
      <c r="S534">
        <v>0</v>
      </c>
      <c r="T534">
        <v>0</v>
      </c>
      <c r="U534">
        <f>IF(VLOOKUP(B534,AmmoTypeFactors,9,FALSE)="Plasteel",ROUNDUP(('Ammo Input'!H534*MAX(IF('Ammo Input'!J534&gt;0,'Ammo Input'!J534,1)*N534/1000/'Ingredient stats'!$C$4)),0),0)</f>
        <v>0</v>
      </c>
      <c r="V534">
        <f>IFERROR(__xludf.DUMMYFUNCTION("ROUNDUP(IF(ISBLANK(VLOOKUP(B530,AmmoTypeFactors,16,False)),1,VLOOKUP(B530,AmmoTypeFactors,16,False)) * (IFS(REGEXMATCH(B530, ""EMP""), 'Ammo Input'!M530 * N530 / 'Ingredient stats'!$C$5, REGEXMATCH(B530, ""Charge""), (U530^0.75), true, 0) + (IF(VLOOKUP(B5"&amp;"30, AmmoTypeFactors, 10, false), 2,0) + IF('Ammo Input'!P530, 2,0) + IF('Ammo Input'!Q530,MIN(ROUNDUP(0.2*('Ammo Input'!H530/1000)*'Ammo Input'!O530,0),20),0))))"),0)</f>
        <v>0</v>
      </c>
      <c r="W534">
        <v>0</v>
      </c>
      <c r="X534">
        <v>0</v>
      </c>
      <c r="Y534">
        <v>0</v>
      </c>
      <c r="Z534">
        <v>0</v>
      </c>
      <c r="AA534">
        <v>0</v>
      </c>
      <c r="AB534" s="30">
        <f>IF(B534="Sling Bullet (Stone)",ROUNDUP(D534*0.02*E534/'Ingredient stats'!$C$8,0),0)</f>
        <v>0</v>
      </c>
      <c r="AC534" t="str">
        <f t="shared" si="20"/>
        <v>None</v>
      </c>
      <c r="AD534" t="str">
        <f>IF(OR(B534="Buck",B534="Bird",B534="Charge (Scatter)"),'Ammo Input'!J534,"None")</f>
        <v>None</v>
      </c>
      <c r="AE534" t="str">
        <f>_xlfn.IFS(ISTEXT(Calcs!N534),Calcs!N534,Calcs!N534&lt;=40,Calcs!N534,Calcs!N534&gt;41,"40")</f>
        <v>None</v>
      </c>
      <c r="AF534" t="str">
        <f>_xlfn.IFS(ISTEXT(Calcs!O534),Calcs!O534,Calcs!O534&lt;=80,Calcs!O534,Calcs!O534&gt;=81,"80")</f>
        <v>None</v>
      </c>
      <c r="AG534" s="25">
        <f t="shared" si="21"/>
        <v>1</v>
      </c>
      <c r="AH534" s="25">
        <f t="shared" si="22"/>
        <v>2.53</v>
      </c>
      <c r="AI534" s="25">
        <f t="shared" si="23"/>
        <v>1</v>
      </c>
    </row>
    <row r="535" ht="14.4" spans="1:35">
      <c r="A535" s="24" t="str">
        <f>'Ammo Input'!A535</f>
        <v>7.5x54mm French</v>
      </c>
      <c r="B535" t="str">
        <f>'Ammo Input'!B535</f>
        <v>AP</v>
      </c>
      <c r="C535">
        <f>ROUNDUP(('Ammo Input'!C535*(MAX('Ammo Input'!D535,'Ammo Input'!F535)*0.5)^2*PI())*3/1000000,2)</f>
        <v>0.03</v>
      </c>
      <c r="D535">
        <f>ROUNDUP(('Ammo Input'!E535+'Ammo Input'!H535*IF('Ammo Input'!J535&lt;&gt;"",MAX('Ammo Input'!J535,1),1))/1000,3)</f>
        <v>0.025</v>
      </c>
      <c r="E535">
        <f>MIN(5000,MAX(25,CEILING(Calcs!L535,_xlfn.IFS(Calcs!L535&lt;100,25,Calcs!L535&lt;250,50,Calcs!L535&lt;1000,250,Calcs!L535&gt;=1000,1000))))</f>
        <v>5000</v>
      </c>
      <c r="F535">
        <f>ROUNDUP('Ammo Input'!G535^(3/4),0)</f>
        <v>154</v>
      </c>
      <c r="G535">
        <f>ROUND((0.5*((IF(OR(B535="HEAT",B535="HEDP"),'Ammo Input'!N535,'Ammo Input'!H535)/1000)*(IF(B535="HEAT",9000,IF(B535="HEDP",1500,'Ammo Input'!G535))^2))),0)</f>
        <v>3026</v>
      </c>
      <c r="H535" s="25" t="str">
        <f>CONCATENATE(IF((B535="Foam")+(B535="Smoke"),"-",ROUND(Calcs!D535,0))," ",VLOOKUP(B535,AmmoTypeFactors,5,FALSE))</f>
        <v>12 Bullet</v>
      </c>
      <c r="I535" s="25" t="str">
        <f>IF(Calcs!E535=0,"None",CONCATENATE(ROUND(Calcs!E535,0)," ",VLOOKUP(B535,AmmoTypeFactors,6,FALSE)))</f>
        <v>None</v>
      </c>
      <c r="J535">
        <f>MROUND(2.42*'Ammo Input'!M535^(1/3)*VLOOKUP(B535,AmmoTypeFactors,3,FALSE),0.5)</f>
        <v>0</v>
      </c>
      <c r="K535" s="25" t="str">
        <f>IF(VLOOKUP(B535,AmmoTypeFactors,12,FALSE),MROUND(J535/3,0.5),"None")</f>
        <v>None</v>
      </c>
      <c r="L535" s="25">
        <f>IF(VLOOKUP(B535,AmmoTypeFactors,8,FALSE),"None",ROUNDUP(IF(Calcs!I535&gt;0,Calcs!I535,Calcs!H535),3))</f>
        <v>60.52</v>
      </c>
      <c r="M535" s="25">
        <f>IF(VLOOKUP(B535,AmmoTypeFactors,8,FALSE),"None",'Ammo Input'!L535)</f>
        <v>12</v>
      </c>
      <c r="N535">
        <f>'Ammo Input'!O535</f>
        <v>500</v>
      </c>
      <c r="O535" t="e">
        <f>ROUND((P535*0.0036+SUMPRODUCT(Q535:AB535,VLOOKUP($Q$1:$AB$1,IngredientStats,2,FALSE)))/N535*IF('Ammo Input'!R535,0.5,1),2)</f>
        <v>#VALUE!</v>
      </c>
      <c r="P535" t="e">
        <f>(SUMPRODUCT(Q535:AB535,VLOOKUP($Q$1:$AB$1,IngredientStats,4,FALSE))*VLOOKUP(B535,AmmoTypeFactors,14,FALSE)*IF('Ammo Input'!R535,1.1,1))</f>
        <v>#VALUE!</v>
      </c>
      <c r="Q535">
        <f>IFERROR(__xludf.DUMMYFUNCTION("((IF(NOT(OR(REGEXMATCH(B531, ""Arrow""), B531 = ""Javelin"", B531 = ""Stick bomb"")), ROUNDUP(('Ammo Input'!E531 / 1000) * N531)) + IF(VLOOKUP(B531, AmmoTypeFactors, 9, FALSE) = ""Steel"", ROUNDUP(('Ammo Input'!H531 -'Ammo Input'!M531) * MAX(IF('Ammo Inpu"&amp;"t'!J531 &gt; 0, 'Ammo Input'!J531, 1), 1) * N531 / 1000))) / 'Ingredient stats'!$C$2) * IF(ISBLANK(VLOOKUP(B531,AmmoTypeFactors,15,False)),1,VLOOKUP(B531,AmmoTypeFactors,15,False))"),26)</f>
        <v>26</v>
      </c>
      <c r="R535">
        <f>IFERROR(__xludf.DUMMYFUNCTION("ROUNDUP((IF(REGEXMATCH(B531, ""Arrow"") + (B531 = ""Javelin""), 'Ammo Input'!E531) + IF(VLOOKUP(B531, AmmoTypeFactors, 9, FALSE) = ""Wood"", 'Ammo Input'!H531) + IF(B531 = ""Stick bomb"", 'Ammo Input'!E531)) * N531 / 'Ingredient stats'!$C$12 / 1000)"),0)</f>
        <v>0</v>
      </c>
      <c r="S535">
        <v>0</v>
      </c>
      <c r="T535">
        <v>0</v>
      </c>
      <c r="U535">
        <f>IF(VLOOKUP(B535,AmmoTypeFactors,9,FALSE)="Plasteel",ROUNDUP(('Ammo Input'!H535*MAX(IF('Ammo Input'!J535&gt;0,'Ammo Input'!J535,1)*N535/1000/'Ingredient stats'!$C$4)),0),0)</f>
        <v>0</v>
      </c>
      <c r="V535">
        <f>IFERROR(__xludf.DUMMYFUNCTION("ROUNDUP(IF(ISBLANK(VLOOKUP(B531,AmmoTypeFactors,16,False)),1,VLOOKUP(B531,AmmoTypeFactors,16,False)) * (IFS(REGEXMATCH(B531, ""EMP""), 'Ammo Input'!M531 * N531 / 'Ingredient stats'!$C$5, REGEXMATCH(B531, ""Charge""), (U531^0.75), true, 0) + (IF(VLOOKUP(B5"&amp;"31, AmmoTypeFactors, 10, false), 2,0) + IF('Ammo Input'!P531, 2,0) + IF('Ammo Input'!Q531,MIN(ROUNDUP(0.2*('Ammo Input'!H531/1000)*'Ammo Input'!O531,0),20),0))))"),0)</f>
        <v>0</v>
      </c>
      <c r="W535">
        <v>0</v>
      </c>
      <c r="X535">
        <v>0</v>
      </c>
      <c r="Y535">
        <v>0</v>
      </c>
      <c r="Z535">
        <v>0</v>
      </c>
      <c r="AA535">
        <v>0</v>
      </c>
      <c r="AB535" s="30">
        <f>IF(B535="Sling Bullet (Stone)",ROUNDUP(D535*0.02*E535/'Ingredient stats'!$C$8,0),0)</f>
        <v>0</v>
      </c>
      <c r="AC535" t="str">
        <f t="shared" si="20"/>
        <v>None</v>
      </c>
      <c r="AD535" t="str">
        <f>IF(OR(B535="Buck",B535="Bird",B535="Charge (Scatter)"),'Ammo Input'!J535,"None")</f>
        <v>None</v>
      </c>
      <c r="AE535" t="str">
        <f>_xlfn.IFS(ISTEXT(Calcs!N535),Calcs!N535,Calcs!N535&lt;=40,Calcs!N535,Calcs!N535&gt;41,"40")</f>
        <v>None</v>
      </c>
      <c r="AF535" t="str">
        <f>_xlfn.IFS(ISTEXT(Calcs!O535),Calcs!O535,Calcs!O535&lt;=80,Calcs!O535,Calcs!O535&gt;=81,"80")</f>
        <v>None</v>
      </c>
      <c r="AG535" s="25">
        <f t="shared" si="21"/>
        <v>1</v>
      </c>
      <c r="AH535" s="25">
        <f t="shared" si="22"/>
        <v>2.53</v>
      </c>
      <c r="AI535" s="25">
        <f t="shared" si="23"/>
        <v>1</v>
      </c>
    </row>
    <row r="536" ht="14.4" spans="1:35">
      <c r="A536" s="24" t="str">
        <f>'Ammo Input'!A536</f>
        <v>7.5x54mm French</v>
      </c>
      <c r="B536" t="str">
        <f>'Ammo Input'!B536</f>
        <v>HP</v>
      </c>
      <c r="C536">
        <f>ROUNDUP(('Ammo Input'!C536*(MAX('Ammo Input'!D536,'Ammo Input'!F536)*0.5)^2*PI())*3/1000000,2)</f>
        <v>0.03</v>
      </c>
      <c r="D536">
        <f>ROUNDUP(('Ammo Input'!E536+'Ammo Input'!H536*IF('Ammo Input'!J536&lt;&gt;"",MAX('Ammo Input'!J536,1),1))/1000,3)</f>
        <v>0.025</v>
      </c>
      <c r="E536">
        <f>MIN(5000,MAX(25,CEILING(Calcs!L536,_xlfn.IFS(Calcs!L536&lt;100,25,Calcs!L536&lt;250,50,Calcs!L536&lt;1000,250,Calcs!L536&gt;=1000,1000))))</f>
        <v>5000</v>
      </c>
      <c r="F536">
        <f>ROUNDUP('Ammo Input'!G536^(3/4),0)</f>
        <v>154</v>
      </c>
      <c r="G536">
        <f>ROUND((0.5*((IF(OR(B536="HEAT",B536="HEDP"),'Ammo Input'!N536,'Ammo Input'!H536)/1000)*(IF(B536="HEAT",9000,IF(B536="HEDP",1500,'Ammo Input'!G536))^2))),0)</f>
        <v>3026</v>
      </c>
      <c r="H536" s="25" t="str">
        <f>CONCATENATE(IF((B536="Foam")+(B536="Smoke"),"-",ROUND(Calcs!D536,0))," ",VLOOKUP(B536,AmmoTypeFactors,5,FALSE))</f>
        <v>24 Bullet</v>
      </c>
      <c r="I536" s="25" t="str">
        <f>IF(Calcs!E536=0,"None",CONCATENATE(ROUND(Calcs!E536,0)," ",VLOOKUP(B536,AmmoTypeFactors,6,FALSE)))</f>
        <v>None</v>
      </c>
      <c r="J536">
        <f>MROUND(2.42*'Ammo Input'!M536^(1/3)*VLOOKUP(B536,AmmoTypeFactors,3,FALSE),0.5)</f>
        <v>0</v>
      </c>
      <c r="K536" s="25" t="str">
        <f>IF(VLOOKUP(B536,AmmoTypeFactors,12,FALSE),MROUND(J536/3,0.5),"None")</f>
        <v>None</v>
      </c>
      <c r="L536" s="25">
        <f>IF(VLOOKUP(B536,AmmoTypeFactors,8,FALSE),"None",ROUNDUP(IF(Calcs!I536&gt;0,Calcs!I536,Calcs!H536),3))</f>
        <v>60.52</v>
      </c>
      <c r="M536" s="25">
        <f>IF(VLOOKUP(B536,AmmoTypeFactors,8,FALSE),"None",'Ammo Input'!L536)</f>
        <v>3</v>
      </c>
      <c r="N536">
        <f>'Ammo Input'!O536</f>
        <v>500</v>
      </c>
      <c r="O536" t="e">
        <f>ROUND((P536*0.0036+SUMPRODUCT(Q536:AB536,VLOOKUP($Q$1:$AB$1,IngredientStats,2,FALSE)))/N536*IF('Ammo Input'!R536,0.5,1),2)</f>
        <v>#VALUE!</v>
      </c>
      <c r="P536" t="e">
        <f>(SUMPRODUCT(Q536:AB536,VLOOKUP($Q$1:$AB$1,IngredientStats,4,FALSE))*VLOOKUP(B536,AmmoTypeFactors,14,FALSE)*IF('Ammo Input'!R536,1.1,1))</f>
        <v>#VALUE!</v>
      </c>
      <c r="Q536">
        <f>IFERROR(__xludf.DUMMYFUNCTION("((IF(NOT(OR(REGEXMATCH(B532, ""Arrow""), B532 = ""Javelin"", B532 = ""Stick bomb"")), ROUNDUP(('Ammo Input'!E532 / 1000) * N532)) + IF(VLOOKUP(B532, AmmoTypeFactors, 9, FALSE) = ""Steel"", ROUNDUP(('Ammo Input'!H532 -'Ammo Input'!M532) * MAX(IF('Ammo Inpu"&amp;"t'!J532 &gt; 0, 'Ammo Input'!J532, 1), 1) * N532 / 1000))) / 'Ingredient stats'!$C$2) * IF(ISBLANK(VLOOKUP(B532,AmmoTypeFactors,15,False)),1,VLOOKUP(B532,AmmoTypeFactors,15,False))"),26)</f>
        <v>26</v>
      </c>
      <c r="R536">
        <f>IFERROR(__xludf.DUMMYFUNCTION("ROUNDUP((IF(REGEXMATCH(B532, ""Arrow"") + (B532 = ""Javelin""), 'Ammo Input'!E532) + IF(VLOOKUP(B532, AmmoTypeFactors, 9, FALSE) = ""Wood"", 'Ammo Input'!H532) + IF(B532 = ""Stick bomb"", 'Ammo Input'!E532)) * N532 / 'Ingredient stats'!$C$12 / 1000)"),0)</f>
        <v>0</v>
      </c>
      <c r="S536">
        <v>0</v>
      </c>
      <c r="T536">
        <v>0</v>
      </c>
      <c r="U536">
        <f>IF(VLOOKUP(B536,AmmoTypeFactors,9,FALSE)="Plasteel",ROUNDUP(('Ammo Input'!H536*MAX(IF('Ammo Input'!J536&gt;0,'Ammo Input'!J536,1)*N536/1000/'Ingredient stats'!$C$4)),0),0)</f>
        <v>0</v>
      </c>
      <c r="V536">
        <f>IFERROR(__xludf.DUMMYFUNCTION("ROUNDUP(IF(ISBLANK(VLOOKUP(B532,AmmoTypeFactors,16,False)),1,VLOOKUP(B532,AmmoTypeFactors,16,False)) * (IFS(REGEXMATCH(B532, ""EMP""), 'Ammo Input'!M532 * N532 / 'Ingredient stats'!$C$5, REGEXMATCH(B532, ""Charge""), (U532^0.75), true, 0) + (IF(VLOOKUP(B5"&amp;"32, AmmoTypeFactors, 10, false), 2,0) + IF('Ammo Input'!P532, 2,0) + IF('Ammo Input'!Q532,MIN(ROUNDUP(0.2*('Ammo Input'!H532/1000)*'Ammo Input'!O532,0),20),0))))"),0)</f>
        <v>0</v>
      </c>
      <c r="W536">
        <v>0</v>
      </c>
      <c r="X536">
        <v>0</v>
      </c>
      <c r="Y536">
        <v>0</v>
      </c>
      <c r="Z536">
        <v>0</v>
      </c>
      <c r="AA536">
        <v>0</v>
      </c>
      <c r="AB536" s="30">
        <f>IF(B536="Sling Bullet (Stone)",ROUNDUP(D536*0.02*E536/'Ingredient stats'!$C$8,0),0)</f>
        <v>0</v>
      </c>
      <c r="AC536" t="str">
        <f t="shared" si="20"/>
        <v>None</v>
      </c>
      <c r="AD536" t="str">
        <f>IF(OR(B536="Buck",B536="Bird",B536="Charge (Scatter)"),'Ammo Input'!J536,"None")</f>
        <v>None</v>
      </c>
      <c r="AE536" t="str">
        <f>_xlfn.IFS(ISTEXT(Calcs!N536),Calcs!N536,Calcs!N536&lt;=40,Calcs!N536,Calcs!N536&gt;41,"40")</f>
        <v>None</v>
      </c>
      <c r="AF536" t="str">
        <f>_xlfn.IFS(ISTEXT(Calcs!O536),Calcs!O536,Calcs!O536&lt;=80,Calcs!O536,Calcs!O536&gt;=81,"80")</f>
        <v>None</v>
      </c>
      <c r="AG536" s="25">
        <f t="shared" si="21"/>
        <v>1</v>
      </c>
      <c r="AH536" s="25">
        <f t="shared" si="22"/>
        <v>2.53</v>
      </c>
      <c r="AI536" s="25">
        <f t="shared" si="23"/>
        <v>1</v>
      </c>
    </row>
    <row r="537" ht="14.4" spans="1:35">
      <c r="A537" s="24" t="str">
        <f>'Ammo Input'!A537</f>
        <v>7.5x54mm French</v>
      </c>
      <c r="B537" t="str">
        <f>'Ammo Input'!B537</f>
        <v>AP-I</v>
      </c>
      <c r="C537">
        <f>ROUNDUP(('Ammo Input'!C537*(MAX('Ammo Input'!D537,'Ammo Input'!F537)*0.5)^2*PI())*3/1000000,2)</f>
        <v>0.03</v>
      </c>
      <c r="D537">
        <f>ROUNDUP(('Ammo Input'!E537+'Ammo Input'!H537*IF('Ammo Input'!J537&lt;&gt;"",MAX('Ammo Input'!J537,1),1))/1000,3)</f>
        <v>0.025</v>
      </c>
      <c r="E537">
        <f>MIN(5000,MAX(25,CEILING(Calcs!L537,_xlfn.IFS(Calcs!L537&lt;100,25,Calcs!L537&lt;250,50,Calcs!L537&lt;1000,250,Calcs!L537&gt;=1000,1000))))</f>
        <v>5000</v>
      </c>
      <c r="F537">
        <f>ROUNDUP('Ammo Input'!G537^(3/4),0)</f>
        <v>154</v>
      </c>
      <c r="G537">
        <f>ROUND((0.5*((IF(OR(B537="HEAT",B537="HEDP"),'Ammo Input'!N537,'Ammo Input'!H537)/1000)*(IF(B537="HEAT",9000,IF(B537="HEDP",1500,'Ammo Input'!G537))^2))),0)</f>
        <v>3026</v>
      </c>
      <c r="H537" s="25" t="str">
        <f>CONCATENATE(IF((B537="Foam")+(B537="Smoke"),"-",ROUND(Calcs!D537,0))," ",VLOOKUP(B537,AmmoTypeFactors,5,FALSE))</f>
        <v>12 Bullet</v>
      </c>
      <c r="I537" s="25" t="str">
        <f>IF(Calcs!E537=0,"None",CONCATENATE(ROUND(Calcs!E537,0)," ",VLOOKUP(B537,AmmoTypeFactors,6,FALSE)))</f>
        <v>5 Flame_Secondary</v>
      </c>
      <c r="J537">
        <f>MROUND(2.42*'Ammo Input'!M537^(1/3)*VLOOKUP(B537,AmmoTypeFactors,3,FALSE),0.5)</f>
        <v>0</v>
      </c>
      <c r="K537" s="25" t="str">
        <f>IF(VLOOKUP(B537,AmmoTypeFactors,12,FALSE),MROUND(J537/3,0.5),"None")</f>
        <v>None</v>
      </c>
      <c r="L537" s="25">
        <f>IF(VLOOKUP(B537,AmmoTypeFactors,8,FALSE),"None",ROUNDUP(IF(Calcs!I537&gt;0,Calcs!I537,Calcs!H537),3))</f>
        <v>60.52</v>
      </c>
      <c r="M537" s="25">
        <f>IF(VLOOKUP(B537,AmmoTypeFactors,8,FALSE),"None",'Ammo Input'!L537)</f>
        <v>12</v>
      </c>
      <c r="N537">
        <f>'Ammo Input'!O537</f>
        <v>500</v>
      </c>
      <c r="O537" t="e">
        <f>ROUND((P537*0.0036+SUMPRODUCT(Q537:AB537,VLOOKUP($Q$1:$AB$1,IngredientStats,2,FALSE)))/N537*IF('Ammo Input'!R537,0.5,1),2)</f>
        <v>#VALUE!</v>
      </c>
      <c r="P537" t="e">
        <f>(SUMPRODUCT(Q537:AB537,VLOOKUP($Q$1:$AB$1,IngredientStats,4,FALSE))*VLOOKUP(B537,AmmoTypeFactors,14,FALSE)*IF('Ammo Input'!R537,1.1,1))</f>
        <v>#VALUE!</v>
      </c>
      <c r="Q537">
        <f>IFERROR(__xludf.DUMMYFUNCTION("((IF(NOT(OR(REGEXMATCH(B533, ""Arrow""), B533 = ""Javelin"", B533 = ""Stick bomb"")), ROUNDUP(('Ammo Input'!E533 / 1000) * N533)) + IF(VLOOKUP(B533, AmmoTypeFactors, 9, FALSE) = ""Steel"", ROUNDUP(('Ammo Input'!H533 -'Ammo Input'!M533) * MAX(IF('Ammo Inpu"&amp;"t'!J533 &gt; 0, 'Ammo Input'!J533, 1), 1) * N533 / 1000))) / 'Ingredient stats'!$C$2) * IF(ISBLANK(VLOOKUP(B533,AmmoTypeFactors,15,False)),1,VLOOKUP(B533,AmmoTypeFactors,15,False))"),26)</f>
        <v>26</v>
      </c>
      <c r="R537">
        <f>IFERROR(__xludf.DUMMYFUNCTION("ROUNDUP((IF(REGEXMATCH(B533, ""Arrow"") + (B533 = ""Javelin""), 'Ammo Input'!E533) + IF(VLOOKUP(B533, AmmoTypeFactors, 9, FALSE) = ""Wood"", 'Ammo Input'!H533) + IF(B533 = ""Stick bomb"", 'Ammo Input'!E533)) * N533 / 'Ingredient stats'!$C$12 / 1000)"),0)</f>
        <v>0</v>
      </c>
      <c r="S537">
        <v>0</v>
      </c>
      <c r="T537">
        <v>0</v>
      </c>
      <c r="U537">
        <f>IF(VLOOKUP(B537,AmmoTypeFactors,9,FALSE)="Plasteel",ROUNDUP(('Ammo Input'!H537*MAX(IF('Ammo Input'!J537&gt;0,'Ammo Input'!J537,1)*N537/1000/'Ingredient stats'!$C$4)),0),0)</f>
        <v>0</v>
      </c>
      <c r="V537">
        <f>IFERROR(__xludf.DUMMYFUNCTION("ROUNDUP(IF(ISBLANK(VLOOKUP(B533,AmmoTypeFactors,16,False)),1,VLOOKUP(B533,AmmoTypeFactors,16,False)) * (IFS(REGEXMATCH(B533, ""EMP""), 'Ammo Input'!M533 * N533 / 'Ingredient stats'!$C$5, REGEXMATCH(B533, ""Charge""), (U533^0.75), true, 0) + (IF(VLOOKUP(B5"&amp;"33, AmmoTypeFactors, 10, false), 2,0) + IF('Ammo Input'!P533, 2,0) + IF('Ammo Input'!Q533,MIN(ROUNDUP(0.2*('Ammo Input'!H533/1000)*'Ammo Input'!O533,0),20),0))))"),0)</f>
        <v>0</v>
      </c>
      <c r="W537">
        <v>3</v>
      </c>
      <c r="X537">
        <v>0</v>
      </c>
      <c r="Y537">
        <v>0</v>
      </c>
      <c r="Z537">
        <v>0</v>
      </c>
      <c r="AA537">
        <v>0</v>
      </c>
      <c r="AB537" s="30">
        <f>IF(B537="Sling Bullet (Stone)",ROUNDUP(D537*0.02*E537/'Ingredient stats'!$C$8,0),0)</f>
        <v>0</v>
      </c>
      <c r="AC537" t="str">
        <f t="shared" si="20"/>
        <v>None</v>
      </c>
      <c r="AD537" t="str">
        <f>IF(OR(B537="Buck",B537="Bird",B537="Charge (Scatter)"),'Ammo Input'!J537,"None")</f>
        <v>None</v>
      </c>
      <c r="AE537" t="str">
        <f>_xlfn.IFS(ISTEXT(Calcs!N537),Calcs!N537,Calcs!N537&lt;=40,Calcs!N537,Calcs!N537&gt;41,"40")</f>
        <v>None</v>
      </c>
      <c r="AF537" t="str">
        <f>_xlfn.IFS(ISTEXT(Calcs!O537),Calcs!O537,Calcs!O537&lt;=80,Calcs!O537,Calcs!O537&gt;=81,"80")</f>
        <v>None</v>
      </c>
      <c r="AG537" s="25">
        <f t="shared" si="21"/>
        <v>1</v>
      </c>
      <c r="AH537" s="25">
        <f t="shared" si="22"/>
        <v>2.53</v>
      </c>
      <c r="AI537" s="25">
        <f t="shared" si="23"/>
        <v>1</v>
      </c>
    </row>
    <row r="538" ht="14.4" spans="1:35">
      <c r="A538" s="24" t="str">
        <f>'Ammo Input'!A538</f>
        <v>7.5x54mm French</v>
      </c>
      <c r="B538" t="str">
        <f>'Ammo Input'!B538</f>
        <v>AP-HE</v>
      </c>
      <c r="C538">
        <f>ROUNDUP(('Ammo Input'!C538*(MAX('Ammo Input'!D538,'Ammo Input'!F538)*0.5)^2*PI())*3/1000000,2)</f>
        <v>0.03</v>
      </c>
      <c r="D538">
        <f>ROUNDUP(('Ammo Input'!E538+'Ammo Input'!H538*IF('Ammo Input'!J538&lt;&gt;"",MAX('Ammo Input'!J538,1),1))/1000,3)</f>
        <v>0.025</v>
      </c>
      <c r="E538">
        <f>MIN(5000,MAX(25,CEILING(Calcs!L538,_xlfn.IFS(Calcs!L538&lt;100,25,Calcs!L538&lt;250,50,Calcs!L538&lt;1000,250,Calcs!L538&gt;=1000,1000))))</f>
        <v>5000</v>
      </c>
      <c r="F538">
        <f>ROUNDUP('Ammo Input'!G538^(3/4),0)</f>
        <v>154</v>
      </c>
      <c r="G538">
        <f>ROUND((0.5*((IF(OR(B538="HEAT",B538="HEDP"),'Ammo Input'!N538,'Ammo Input'!H538)/1000)*(IF(B538="HEAT",9000,IF(B538="HEDP",1500,'Ammo Input'!G538))^2))),0)</f>
        <v>3026</v>
      </c>
      <c r="H538" s="25" t="str">
        <f>CONCATENATE(IF((B538="Foam")+(B538="Smoke"),"-",ROUND(Calcs!D538,0))," ",VLOOKUP(B538,AmmoTypeFactors,5,FALSE))</f>
        <v>19 Bullet</v>
      </c>
      <c r="I538" s="25" t="str">
        <f>IF(Calcs!E538=0,"None",CONCATENATE(ROUND(Calcs!E538,0)," ",VLOOKUP(B538,AmmoTypeFactors,6,FALSE)))</f>
        <v>7 Bomb_Secondary</v>
      </c>
      <c r="J538">
        <f>MROUND(2.42*'Ammo Input'!M538^(1/3)*VLOOKUP(B538,AmmoTypeFactors,3,FALSE),0.5)</f>
        <v>0</v>
      </c>
      <c r="K538" s="25" t="str">
        <f>IF(VLOOKUP(B538,AmmoTypeFactors,12,FALSE),MROUND(J538/3,0.5),"None")</f>
        <v>None</v>
      </c>
      <c r="L538" s="25">
        <f>IF(VLOOKUP(B538,AmmoTypeFactors,8,FALSE),"None",ROUNDUP(IF(Calcs!I538&gt;0,Calcs!I538,Calcs!H538),3))</f>
        <v>60.52</v>
      </c>
      <c r="M538" s="25">
        <f>IF(VLOOKUP(B538,AmmoTypeFactors,8,FALSE),"None",'Ammo Input'!L538)</f>
        <v>6</v>
      </c>
      <c r="N538">
        <f>'Ammo Input'!O538</f>
        <v>500</v>
      </c>
      <c r="O538" t="e">
        <f>ROUND((P538*0.0036+SUMPRODUCT(Q538:AB538,VLOOKUP($Q$1:$AB$1,IngredientStats,2,FALSE)))/N538*IF('Ammo Input'!R538,0.5,1),2)</f>
        <v>#VALUE!</v>
      </c>
      <c r="P538" t="e">
        <f>(SUMPRODUCT(Q538:AB538,VLOOKUP($Q$1:$AB$1,IngredientStats,4,FALSE))*VLOOKUP(B538,AmmoTypeFactors,14,FALSE)*IF('Ammo Input'!R538,1.1,1))</f>
        <v>#VALUE!</v>
      </c>
      <c r="Q538">
        <f>IFERROR(__xludf.DUMMYFUNCTION("((IF(NOT(OR(REGEXMATCH(B534, ""Arrow""), B534 = ""Javelin"", B534 = ""Stick bomb"")), ROUNDUP(('Ammo Input'!E534 / 1000) * N534)) + IF(VLOOKUP(B534, AmmoTypeFactors, 9, FALSE) = ""Steel"", ROUNDUP(('Ammo Input'!H534 -'Ammo Input'!M534) * MAX(IF('Ammo Inpu"&amp;"t'!J534 &gt; 0, 'Ammo Input'!J534, 1), 1) * N534 / 1000))) / 'Ingredient stats'!$C$2) * IF(ISBLANK(VLOOKUP(B534,AmmoTypeFactors,15,False)),1,VLOOKUP(B534,AmmoTypeFactors,15,False))"),26)</f>
        <v>26</v>
      </c>
      <c r="R538">
        <f>IFERROR(__xludf.DUMMYFUNCTION("ROUNDUP((IF(REGEXMATCH(B534, ""Arrow"") + (B534 = ""Javelin""), 'Ammo Input'!E534) + IF(VLOOKUP(B534, AmmoTypeFactors, 9, FALSE) = ""Wood"", 'Ammo Input'!H534) + IF(B534 = ""Stick bomb"", 'Ammo Input'!E534)) * N534 / 'Ingredient stats'!$C$12 / 1000)"),0)</f>
        <v>0</v>
      </c>
      <c r="S538">
        <v>0</v>
      </c>
      <c r="T538">
        <v>0</v>
      </c>
      <c r="U538">
        <f>IF(VLOOKUP(B538,AmmoTypeFactors,9,FALSE)="Plasteel",ROUNDUP(('Ammo Input'!H538*MAX(IF('Ammo Input'!J538&gt;0,'Ammo Input'!J538,1)*N538/1000/'Ingredient stats'!$C$4)),0),0)</f>
        <v>0</v>
      </c>
      <c r="V538">
        <f>IFERROR(__xludf.DUMMYFUNCTION("ROUNDUP(IF(ISBLANK(VLOOKUP(B534,AmmoTypeFactors,16,False)),1,VLOOKUP(B534,AmmoTypeFactors,16,False)) * (IFS(REGEXMATCH(B534, ""EMP""), 'Ammo Input'!M534 * N534 / 'Ingredient stats'!$C$5, REGEXMATCH(B534, ""Charge""), (U534^0.75), true, 0) + (IF(VLOOKUP(B5"&amp;"34, AmmoTypeFactors, 10, false), 2,0) + IF('Ammo Input'!P534, 2,0) + IF('Ammo Input'!Q534,MIN(ROUNDUP(0.2*('Ammo Input'!H534/1000)*'Ammo Input'!O534,0),20),0))))"),0)</f>
        <v>0</v>
      </c>
      <c r="W538">
        <v>0</v>
      </c>
      <c r="X538">
        <v>5</v>
      </c>
      <c r="Y538">
        <v>0</v>
      </c>
      <c r="Z538">
        <v>0</v>
      </c>
      <c r="AA538">
        <v>0</v>
      </c>
      <c r="AB538" s="30">
        <f>IF(B538="Sling Bullet (Stone)",ROUNDUP(D538*0.02*E538/'Ingredient stats'!$C$8,0),0)</f>
        <v>0</v>
      </c>
      <c r="AC538" t="str">
        <f t="shared" si="20"/>
        <v>None</v>
      </c>
      <c r="AD538" t="str">
        <f>IF(OR(B538="Buck",B538="Bird",B538="Charge (Scatter)"),'Ammo Input'!J538,"None")</f>
        <v>None</v>
      </c>
      <c r="AE538" t="str">
        <f>_xlfn.IFS(ISTEXT(Calcs!N538),Calcs!N538,Calcs!N538&lt;=40,Calcs!N538,Calcs!N538&gt;41,"40")</f>
        <v>None</v>
      </c>
      <c r="AF538" t="str">
        <f>_xlfn.IFS(ISTEXT(Calcs!O538),Calcs!O538,Calcs!O538&lt;=80,Calcs!O538,Calcs!O538&gt;=81,"80")</f>
        <v>None</v>
      </c>
      <c r="AG538" s="25">
        <f t="shared" si="21"/>
        <v>1</v>
      </c>
      <c r="AH538" s="25">
        <f t="shared" si="22"/>
        <v>2.53</v>
      </c>
      <c r="AI538" s="25">
        <f t="shared" si="23"/>
        <v>1</v>
      </c>
    </row>
    <row r="539" ht="14.4" spans="1:35">
      <c r="A539" s="24" t="str">
        <f>'Ammo Input'!A539</f>
        <v>7.5x54mm French</v>
      </c>
      <c r="B539" t="str">
        <f>'Ammo Input'!B539</f>
        <v>Sabot</v>
      </c>
      <c r="C539">
        <f>ROUNDUP(('Ammo Input'!C539*(MAX('Ammo Input'!D539,'Ammo Input'!F539)*0.5)^2*PI())*3/1000000,2)</f>
        <v>0.03</v>
      </c>
      <c r="D539">
        <f>ROUNDUP(('Ammo Input'!E539+'Ammo Input'!H539*IF('Ammo Input'!J539&lt;&gt;"",MAX('Ammo Input'!J539,1),1))/1000,3)</f>
        <v>0.021</v>
      </c>
      <c r="E539">
        <f>MIN(5000,MAX(25,CEILING(Calcs!L539,_xlfn.IFS(Calcs!L539&lt;100,25,Calcs!L539&lt;250,50,Calcs!L539&lt;1000,250,Calcs!L539&gt;=1000,1000))))</f>
        <v>5000</v>
      </c>
      <c r="F539">
        <f>ROUNDUP('Ammo Input'!G539^(3/4),0)</f>
        <v>208</v>
      </c>
      <c r="G539">
        <f>ROUND((0.5*((IF(OR(B539="HEAT",B539="HEDP"),'Ammo Input'!N539,'Ammo Input'!H539)/1000)*(IF(B539="HEAT",9000,IF(B539="HEDP",1500,'Ammo Input'!G539))^2))),0)</f>
        <v>3881</v>
      </c>
      <c r="H539" s="25" t="str">
        <f>CONCATENATE(IF((B539="Foam")+(B539="Smoke"),"-",ROUND(Calcs!D539,0))," ",VLOOKUP(B539,AmmoTypeFactors,5,FALSE))</f>
        <v>10 Bullet</v>
      </c>
      <c r="I539" s="25" t="str">
        <f>IF(Calcs!E539=0,"None",CONCATENATE(ROUND(Calcs!E539,0)," ",VLOOKUP(B539,AmmoTypeFactors,6,FALSE)))</f>
        <v>None</v>
      </c>
      <c r="J539">
        <f>MROUND(2.42*'Ammo Input'!M539^(1/3)*VLOOKUP(B539,AmmoTypeFactors,3,FALSE),0.5)</f>
        <v>0</v>
      </c>
      <c r="K539" s="25" t="str">
        <f>IF(VLOOKUP(B539,AmmoTypeFactors,12,FALSE),MROUND(J539/3,0.5),"None")</f>
        <v>None</v>
      </c>
      <c r="L539" s="25">
        <f>IF(VLOOKUP(B539,AmmoTypeFactors,8,FALSE),"None",ROUNDUP(IF(Calcs!I539&gt;0,Calcs!I539,Calcs!H539),3))</f>
        <v>77.62</v>
      </c>
      <c r="M539" s="25">
        <f>IF(VLOOKUP(B539,AmmoTypeFactors,8,FALSE),"None",'Ammo Input'!L539)</f>
        <v>21</v>
      </c>
      <c r="N539">
        <f>'Ammo Input'!O539</f>
        <v>500</v>
      </c>
      <c r="O539" t="e">
        <f>ROUND((P539*0.0036+SUMPRODUCT(Q539:AB539,VLOOKUP($Q$1:$AB$1,IngredientStats,2,FALSE)))/N539*IF('Ammo Input'!R539,0.5,1),2)</f>
        <v>#VALUE!</v>
      </c>
      <c r="P539" t="e">
        <f>(SUMPRODUCT(Q539:AB539,VLOOKUP($Q$1:$AB$1,IngredientStats,4,FALSE))*VLOOKUP(B539,AmmoTypeFactors,14,FALSE)*IF('Ammo Input'!R539,1.1,1))</f>
        <v>#VALUE!</v>
      </c>
      <c r="Q539">
        <f>IFERROR(__xludf.DUMMYFUNCTION("((IF(NOT(OR(REGEXMATCH(B535, ""Arrow""), B535 = ""Javelin"", B535 = ""Stick bomb"")), ROUNDUP(('Ammo Input'!E535 / 1000) * N535)) + IF(VLOOKUP(B535, AmmoTypeFactors, 9, FALSE) = ""Steel"", ROUNDUP(('Ammo Input'!H535 -'Ammo Input'!M535) * MAX(IF('Ammo Inpu"&amp;"t'!J535 &gt; 0, 'Ammo Input'!J535, 1), 1) * N535 / 1000))) / 'Ingredient stats'!$C$2) * IF(ISBLANK(VLOOKUP(B535,AmmoTypeFactors,15,False)),1,VLOOKUP(B535,AmmoTypeFactors,15,False))"),16)</f>
        <v>16</v>
      </c>
      <c r="R539">
        <f>IFERROR(__xludf.DUMMYFUNCTION("ROUNDUP((IF(REGEXMATCH(B535, ""Arrow"") + (B535 = ""Javelin""), 'Ammo Input'!E535) + IF(VLOOKUP(B535, AmmoTypeFactors, 9, FALSE) = ""Wood"", 'Ammo Input'!H535) + IF(B535 = ""Stick bomb"", 'Ammo Input'!E535)) * N535 / 'Ingredient stats'!$C$12 / 1000)"),0)</f>
        <v>0</v>
      </c>
      <c r="S539">
        <v>3</v>
      </c>
      <c r="T539">
        <v>3</v>
      </c>
      <c r="U539">
        <f>IF(VLOOKUP(B539,AmmoTypeFactors,9,FALSE)="Plasteel",ROUNDUP(('Ammo Input'!H539*MAX(IF('Ammo Input'!J539&gt;0,'Ammo Input'!J539,1)*N539/1000/'Ingredient stats'!$C$4)),0),0)</f>
        <v>0</v>
      </c>
      <c r="V539">
        <f>IFERROR(__xludf.DUMMYFUNCTION("ROUNDUP(IF(ISBLANK(VLOOKUP(B535,AmmoTypeFactors,16,False)),1,VLOOKUP(B535,AmmoTypeFactors,16,False)) * (IFS(REGEXMATCH(B535, ""EMP""), 'Ammo Input'!M535 * N535 / 'Ingredient stats'!$C$5, REGEXMATCH(B535, ""Charge""), (U535^0.75), true, 0) + (IF(VLOOKUP(B5"&amp;"35, AmmoTypeFactors, 10, false), 2,0) + IF('Ammo Input'!P535, 2,0) + IF('Ammo Input'!Q535,MIN(ROUNDUP(0.2*('Ammo Input'!H535/1000)*'Ammo Input'!O535,0),20),0))))"),0)</f>
        <v>0</v>
      </c>
      <c r="W539">
        <v>0</v>
      </c>
      <c r="X539">
        <v>0</v>
      </c>
      <c r="Y539">
        <v>0</v>
      </c>
      <c r="Z539">
        <v>0</v>
      </c>
      <c r="AA539">
        <v>0</v>
      </c>
      <c r="AB539" s="30">
        <f>IF(B539="Sling Bullet (Stone)",ROUNDUP(D539*0.02*E539/'Ingredient stats'!$C$8,0),0)</f>
        <v>0</v>
      </c>
      <c r="AC539" t="str">
        <f t="shared" si="20"/>
        <v>None</v>
      </c>
      <c r="AD539" t="str">
        <f>IF(OR(B539="Buck",B539="Bird",B539="Charge (Scatter)"),'Ammo Input'!J539,"None")</f>
        <v>None</v>
      </c>
      <c r="AE539" t="str">
        <f>_xlfn.IFS(ISTEXT(Calcs!N539),Calcs!N539,Calcs!N539&lt;=40,Calcs!N539,Calcs!N539&gt;41,"40")</f>
        <v>None</v>
      </c>
      <c r="AF539" t="str">
        <f>_xlfn.IFS(ISTEXT(Calcs!O539),Calcs!O539,Calcs!O539&lt;=80,Calcs!O539,Calcs!O539&gt;=81,"80")</f>
        <v>None</v>
      </c>
      <c r="AG539" s="25">
        <f t="shared" si="21"/>
        <v>1</v>
      </c>
      <c r="AH539" s="25">
        <f t="shared" si="22"/>
        <v>3.39</v>
      </c>
      <c r="AI539" s="25">
        <f t="shared" si="23"/>
        <v>1</v>
      </c>
    </row>
    <row r="540" ht="14.4" spans="1:35">
      <c r="A540" s="24" t="str">
        <f>'Ammo Input'!A540</f>
        <v>7.7×58mm Arisaka</v>
      </c>
      <c r="B540" t="str">
        <f>'Ammo Input'!B540</f>
        <v>FMJ</v>
      </c>
      <c r="C540">
        <f>ROUNDUP(('Ammo Input'!C540*(MAX('Ammo Input'!D540,'Ammo Input'!F540)*0.5)^2*PI())*3/1000000,2)</f>
        <v>0.03</v>
      </c>
      <c r="D540">
        <f>ROUNDUP(('Ammo Input'!E540+'Ammo Input'!H540*IF('Ammo Input'!J540&lt;&gt;"",MAX('Ammo Input'!J540,1),1))/1000,3)</f>
        <v>0.028</v>
      </c>
      <c r="E540">
        <f>MIN(5000,MAX(25,CEILING(Calcs!L540,_xlfn.IFS(Calcs!L540&lt;100,25,Calcs!L540&lt;250,50,Calcs!L540&lt;1000,250,Calcs!L540&gt;=1000,1000))))</f>
        <v>5000</v>
      </c>
      <c r="F540">
        <f>ROUNDUP('Ammo Input'!G540^(3/4),0)</f>
        <v>142</v>
      </c>
      <c r="G540">
        <f>ROUND((0.5*((IF(OR(B540="HEAT",B540="HEDP"),'Ammo Input'!N540,'Ammo Input'!H540)/1000)*(IF(B540="HEAT",9000,IF(B540="HEDP",1500,'Ammo Input'!G540))^2))),0)</f>
        <v>3012</v>
      </c>
      <c r="H540" s="25" t="str">
        <f>CONCATENATE(IF((B540="Foam")+(B540="Smoke"),"-",ROUND(Calcs!D540,0))," ",VLOOKUP(B540,AmmoTypeFactors,5,FALSE))</f>
        <v>19 Bullet</v>
      </c>
      <c r="I540" s="25" t="str">
        <f>IF(Calcs!E540=0,"None",CONCATENATE(ROUND(Calcs!E540,0)," ",VLOOKUP(B540,AmmoTypeFactors,6,FALSE)))</f>
        <v>None</v>
      </c>
      <c r="J540">
        <f>MROUND(2.42*'Ammo Input'!M540^(1/3)*VLOOKUP(B540,AmmoTypeFactors,3,FALSE),0.5)</f>
        <v>0</v>
      </c>
      <c r="K540" s="25" t="str">
        <f>IF(VLOOKUP(B540,AmmoTypeFactors,12,FALSE),MROUND(J540/3,0.5),"None")</f>
        <v>None</v>
      </c>
      <c r="L540" s="25">
        <f>IF(VLOOKUP(B540,AmmoTypeFactors,8,FALSE),"None",ROUNDUP(IF(Calcs!I540&gt;0,Calcs!I540,Calcs!H540),3))</f>
        <v>60.24</v>
      </c>
      <c r="M540" s="25">
        <f>IF(VLOOKUP(B540,AmmoTypeFactors,8,FALSE),"None",'Ammo Input'!L540)</f>
        <v>6</v>
      </c>
      <c r="N540">
        <f>'Ammo Input'!O540</f>
        <v>500</v>
      </c>
      <c r="O540" t="e">
        <f>ROUND((P540*0.0036+SUMPRODUCT(Q540:AB540,VLOOKUP($Q$1:$AB$1,IngredientStats,2,FALSE)))/N540*IF('Ammo Input'!R540,0.5,1),2)</f>
        <v>#VALUE!</v>
      </c>
      <c r="P540" t="e">
        <f>(SUMPRODUCT(Q540:AB540,VLOOKUP($Q$1:$AB$1,IngredientStats,4,FALSE))*VLOOKUP(B540,AmmoTypeFactors,14,FALSE)*IF('Ammo Input'!R540,1.1,1))</f>
        <v>#VALUE!</v>
      </c>
      <c r="Q540">
        <f>IFERROR(__xludf.DUMMYFUNCTION("((IF(NOT(OR(REGEXMATCH(B536, ""Arrow""), B536 = ""Javelin"", B536 = ""Stick bomb"")), ROUNDUP(('Ammo Input'!E536 / 1000) * N536)) + IF(VLOOKUP(B536, AmmoTypeFactors, 9, FALSE) = ""Steel"", ROUNDUP(('Ammo Input'!H536 -'Ammo Input'!M536) * MAX(IF('Ammo Inpu"&amp;"t'!J536 &gt; 0, 'Ammo Input'!J536, 1), 1) * N536 / 1000))) / 'Ingredient stats'!$C$2) * IF(ISBLANK(VLOOKUP(B536,AmmoTypeFactors,15,False)),1,VLOOKUP(B536,AmmoTypeFactors,15,False))"),30)</f>
        <v>30</v>
      </c>
      <c r="R540">
        <f>IFERROR(__xludf.DUMMYFUNCTION("ROUNDUP((IF(REGEXMATCH(B536, ""Arrow"") + (B536 = ""Javelin""), 'Ammo Input'!E536) + IF(VLOOKUP(B536, AmmoTypeFactors, 9, FALSE) = ""Wood"", 'Ammo Input'!H536) + IF(B536 = ""Stick bomb"", 'Ammo Input'!E536)) * N536 / 'Ingredient stats'!$C$12 / 1000)"),0)</f>
        <v>0</v>
      </c>
      <c r="S540">
        <v>0</v>
      </c>
      <c r="T540">
        <v>0</v>
      </c>
      <c r="U540">
        <f>IF(VLOOKUP(B540,AmmoTypeFactors,9,FALSE)="Plasteel",ROUNDUP(('Ammo Input'!H540*MAX(IF('Ammo Input'!J540&gt;0,'Ammo Input'!J540,1)*N540/1000/'Ingredient stats'!$C$4)),0),0)</f>
        <v>0</v>
      </c>
      <c r="V540">
        <f>IFERROR(__xludf.DUMMYFUNCTION("ROUNDUP(IF(ISBLANK(VLOOKUP(B536,AmmoTypeFactors,16,False)),1,VLOOKUP(B536,AmmoTypeFactors,16,False)) * (IFS(REGEXMATCH(B536, ""EMP""), 'Ammo Input'!M536 * N536 / 'Ingredient stats'!$C$5, REGEXMATCH(B536, ""Charge""), (U536^0.75), true, 0) + (IF(VLOOKUP(B5"&amp;"36, AmmoTypeFactors, 10, false), 2,0) + IF('Ammo Input'!P536, 2,0) + IF('Ammo Input'!Q536,MIN(ROUNDUP(0.2*('Ammo Input'!H536/1000)*'Ammo Input'!O536,0),20),0))))"),0)</f>
        <v>0</v>
      </c>
      <c r="W540">
        <v>0</v>
      </c>
      <c r="X540">
        <v>0</v>
      </c>
      <c r="Y540">
        <v>0</v>
      </c>
      <c r="Z540">
        <v>0</v>
      </c>
      <c r="AA540">
        <v>0</v>
      </c>
      <c r="AB540" s="30">
        <f>IF(B540="Sling Bullet (Stone)",ROUNDUP(D540*0.02*E540/'Ingredient stats'!$C$8,0),0)</f>
        <v>0</v>
      </c>
      <c r="AC540" t="str">
        <f t="shared" si="20"/>
        <v>None</v>
      </c>
      <c r="AD540" t="str">
        <f>IF(OR(B540="Buck",B540="Bird",B540="Charge (Scatter)"),'Ammo Input'!J540,"None")</f>
        <v>None</v>
      </c>
      <c r="AE540" t="str">
        <f>_xlfn.IFS(ISTEXT(Calcs!N540),Calcs!N540,Calcs!N540&lt;=40,Calcs!N540,Calcs!N540&gt;41,"40")</f>
        <v>None</v>
      </c>
      <c r="AF540" t="str">
        <f>_xlfn.IFS(ISTEXT(Calcs!O540),Calcs!O540,Calcs!O540&lt;=80,Calcs!O540,Calcs!O540&gt;=81,"80")</f>
        <v>None</v>
      </c>
      <c r="AG540" s="25">
        <f t="shared" si="21"/>
        <v>1</v>
      </c>
      <c r="AH540" s="25">
        <f t="shared" si="22"/>
        <v>2.33</v>
      </c>
      <c r="AI540" s="25">
        <f t="shared" si="23"/>
        <v>1</v>
      </c>
    </row>
    <row r="541" ht="14.4" spans="1:35">
      <c r="A541" s="24" t="str">
        <f>'Ammo Input'!A541</f>
        <v>7.7×58mm Arisaka</v>
      </c>
      <c r="B541" t="str">
        <f>'Ammo Input'!B541</f>
        <v>AP</v>
      </c>
      <c r="C541">
        <f>ROUNDUP(('Ammo Input'!C541*(MAX('Ammo Input'!D541,'Ammo Input'!F541)*0.5)^2*PI())*3/1000000,2)</f>
        <v>0.03</v>
      </c>
      <c r="D541">
        <f>ROUNDUP(('Ammo Input'!E541+'Ammo Input'!H541*IF('Ammo Input'!J541&lt;&gt;"",MAX('Ammo Input'!J541,1),1))/1000,3)</f>
        <v>0.028</v>
      </c>
      <c r="E541">
        <f>MIN(5000,MAX(25,CEILING(Calcs!L541,_xlfn.IFS(Calcs!L541&lt;100,25,Calcs!L541&lt;250,50,Calcs!L541&lt;1000,250,Calcs!L541&gt;=1000,1000))))</f>
        <v>5000</v>
      </c>
      <c r="F541">
        <f>ROUNDUP('Ammo Input'!G541^(3/4),0)</f>
        <v>142</v>
      </c>
      <c r="G541">
        <f>ROUND((0.5*((IF(OR(B541="HEAT",B541="HEDP"),'Ammo Input'!N541,'Ammo Input'!H541)/1000)*(IF(B541="HEAT",9000,IF(B541="HEDP",1500,'Ammo Input'!G541))^2))),0)</f>
        <v>3012</v>
      </c>
      <c r="H541" s="25" t="str">
        <f>CONCATENATE(IF((B541="Foam")+(B541="Smoke"),"-",ROUND(Calcs!D541,0))," ",VLOOKUP(B541,AmmoTypeFactors,5,FALSE))</f>
        <v>12 Bullet</v>
      </c>
      <c r="I541" s="25" t="str">
        <f>IF(Calcs!E541=0,"None",CONCATENATE(ROUND(Calcs!E541,0)," ",VLOOKUP(B541,AmmoTypeFactors,6,FALSE)))</f>
        <v>None</v>
      </c>
      <c r="J541">
        <f>MROUND(2.42*'Ammo Input'!M541^(1/3)*VLOOKUP(B541,AmmoTypeFactors,3,FALSE),0.5)</f>
        <v>0</v>
      </c>
      <c r="K541" s="25" t="str">
        <f>IF(VLOOKUP(B541,AmmoTypeFactors,12,FALSE),MROUND(J541/3,0.5),"None")</f>
        <v>None</v>
      </c>
      <c r="L541" s="25">
        <f>IF(VLOOKUP(B541,AmmoTypeFactors,8,FALSE),"None",ROUNDUP(IF(Calcs!I541&gt;0,Calcs!I541,Calcs!H541),3))</f>
        <v>60.24</v>
      </c>
      <c r="M541" s="25">
        <f>IF(VLOOKUP(B541,AmmoTypeFactors,8,FALSE),"None",'Ammo Input'!L541)</f>
        <v>12</v>
      </c>
      <c r="N541">
        <f>'Ammo Input'!O541</f>
        <v>500</v>
      </c>
      <c r="O541" t="e">
        <f>ROUND((P541*0.0036+SUMPRODUCT(Q541:AB541,VLOOKUP($Q$1:$AB$1,IngredientStats,2,FALSE)))/N541*IF('Ammo Input'!R541,0.5,1),2)</f>
        <v>#VALUE!</v>
      </c>
      <c r="P541" t="e">
        <f>(SUMPRODUCT(Q541:AB541,VLOOKUP($Q$1:$AB$1,IngredientStats,4,FALSE))*VLOOKUP(B541,AmmoTypeFactors,14,FALSE)*IF('Ammo Input'!R541,1.1,1))</f>
        <v>#VALUE!</v>
      </c>
      <c r="Q541">
        <f>IFERROR(__xludf.DUMMYFUNCTION("((IF(NOT(OR(REGEXMATCH(B537, ""Arrow""), B537 = ""Javelin"", B537 = ""Stick bomb"")), ROUNDUP(('Ammo Input'!E537 / 1000) * N537)) + IF(VLOOKUP(B537, AmmoTypeFactors, 9, FALSE) = ""Steel"", ROUNDUP(('Ammo Input'!H537 -'Ammo Input'!M537) * MAX(IF('Ammo Inpu"&amp;"t'!J537 &gt; 0, 'Ammo Input'!J537, 1), 1) * N537 / 1000))) / 'Ingredient stats'!$C$2) * IF(ISBLANK(VLOOKUP(B537,AmmoTypeFactors,15,False)),1,VLOOKUP(B537,AmmoTypeFactors,15,False))"),30)</f>
        <v>30</v>
      </c>
      <c r="R541">
        <f>IFERROR(__xludf.DUMMYFUNCTION("ROUNDUP((IF(REGEXMATCH(B537, ""Arrow"") + (B537 = ""Javelin""), 'Ammo Input'!E537) + IF(VLOOKUP(B537, AmmoTypeFactors, 9, FALSE) = ""Wood"", 'Ammo Input'!H537) + IF(B537 = ""Stick bomb"", 'Ammo Input'!E537)) * N537 / 'Ingredient stats'!$C$12 / 1000)"),0)</f>
        <v>0</v>
      </c>
      <c r="S541">
        <v>0</v>
      </c>
      <c r="T541">
        <v>0</v>
      </c>
      <c r="U541">
        <f>IF(VLOOKUP(B541,AmmoTypeFactors,9,FALSE)="Plasteel",ROUNDUP(('Ammo Input'!H541*MAX(IF('Ammo Input'!J541&gt;0,'Ammo Input'!J541,1)*N541/1000/'Ingredient stats'!$C$4)),0),0)</f>
        <v>0</v>
      </c>
      <c r="V541">
        <f>IFERROR(__xludf.DUMMYFUNCTION("ROUNDUP(IF(ISBLANK(VLOOKUP(B537,AmmoTypeFactors,16,False)),1,VLOOKUP(B537,AmmoTypeFactors,16,False)) * (IFS(REGEXMATCH(B537, ""EMP""), 'Ammo Input'!M537 * N537 / 'Ingredient stats'!$C$5, REGEXMATCH(B537, ""Charge""), (U537^0.75), true, 0) + (IF(VLOOKUP(B5"&amp;"37, AmmoTypeFactors, 10, false), 2,0) + IF('Ammo Input'!P537, 2,0) + IF('Ammo Input'!Q537,MIN(ROUNDUP(0.2*('Ammo Input'!H537/1000)*'Ammo Input'!O537,0),20),0))))"),0)</f>
        <v>0</v>
      </c>
      <c r="W541">
        <v>0</v>
      </c>
      <c r="X541">
        <v>0</v>
      </c>
      <c r="Y541">
        <v>0</v>
      </c>
      <c r="Z541">
        <v>0</v>
      </c>
      <c r="AA541">
        <v>0</v>
      </c>
      <c r="AB541" s="30">
        <f>IF(B541="Sling Bullet (Stone)",ROUNDUP(D541*0.02*E541/'Ingredient stats'!$C$8,0),0)</f>
        <v>0</v>
      </c>
      <c r="AC541" t="str">
        <f t="shared" si="20"/>
        <v>None</v>
      </c>
      <c r="AD541" t="str">
        <f>IF(OR(B541="Buck",B541="Bird",B541="Charge (Scatter)"),'Ammo Input'!J541,"None")</f>
        <v>None</v>
      </c>
      <c r="AE541" t="str">
        <f>_xlfn.IFS(ISTEXT(Calcs!N541),Calcs!N541,Calcs!N541&lt;=40,Calcs!N541,Calcs!N541&gt;41,"40")</f>
        <v>None</v>
      </c>
      <c r="AF541" t="str">
        <f>_xlfn.IFS(ISTEXT(Calcs!O541),Calcs!O541,Calcs!O541&lt;=80,Calcs!O541,Calcs!O541&gt;=81,"80")</f>
        <v>None</v>
      </c>
      <c r="AG541" s="25">
        <f t="shared" si="21"/>
        <v>1</v>
      </c>
      <c r="AH541" s="25">
        <f t="shared" si="22"/>
        <v>2.33</v>
      </c>
      <c r="AI541" s="25">
        <f t="shared" si="23"/>
        <v>1</v>
      </c>
    </row>
    <row r="542" ht="14.4" spans="1:35">
      <c r="A542" s="24" t="str">
        <f>'Ammo Input'!A542</f>
        <v>7.7×58mm Arisaka</v>
      </c>
      <c r="B542" t="str">
        <f>'Ammo Input'!B542</f>
        <v>HP</v>
      </c>
      <c r="C542">
        <f>ROUNDUP(('Ammo Input'!C542*(MAX('Ammo Input'!D542,'Ammo Input'!F542)*0.5)^2*PI())*3/1000000,2)</f>
        <v>0.03</v>
      </c>
      <c r="D542">
        <f>ROUNDUP(('Ammo Input'!E542+'Ammo Input'!H542*IF('Ammo Input'!J542&lt;&gt;"",MAX('Ammo Input'!J542,1),1))/1000,3)</f>
        <v>0.028</v>
      </c>
      <c r="E542">
        <f>MIN(5000,MAX(25,CEILING(Calcs!L542,_xlfn.IFS(Calcs!L542&lt;100,25,Calcs!L542&lt;250,50,Calcs!L542&lt;1000,250,Calcs!L542&gt;=1000,1000))))</f>
        <v>5000</v>
      </c>
      <c r="F542">
        <f>ROUNDUP('Ammo Input'!G542^(3/4),0)</f>
        <v>142</v>
      </c>
      <c r="G542">
        <f>ROUND((0.5*((IF(OR(B542="HEAT",B542="HEDP"),'Ammo Input'!N542,'Ammo Input'!H542)/1000)*(IF(B542="HEAT",9000,IF(B542="HEDP",1500,'Ammo Input'!G542))^2))),0)</f>
        <v>3012</v>
      </c>
      <c r="H542" s="25" t="str">
        <f>CONCATENATE(IF((B542="Foam")+(B542="Smoke"),"-",ROUND(Calcs!D542,0))," ",VLOOKUP(B542,AmmoTypeFactors,5,FALSE))</f>
        <v>24 Bullet</v>
      </c>
      <c r="I542" s="25" t="str">
        <f>IF(Calcs!E542=0,"None",CONCATENATE(ROUND(Calcs!E542,0)," ",VLOOKUP(B542,AmmoTypeFactors,6,FALSE)))</f>
        <v>None</v>
      </c>
      <c r="J542">
        <f>MROUND(2.42*'Ammo Input'!M542^(1/3)*VLOOKUP(B542,AmmoTypeFactors,3,FALSE),0.5)</f>
        <v>0</v>
      </c>
      <c r="K542" s="25" t="str">
        <f>IF(VLOOKUP(B542,AmmoTypeFactors,12,FALSE),MROUND(J542/3,0.5),"None")</f>
        <v>None</v>
      </c>
      <c r="L542" s="25">
        <f>IF(VLOOKUP(B542,AmmoTypeFactors,8,FALSE),"None",ROUNDUP(IF(Calcs!I542&gt;0,Calcs!I542,Calcs!H542),3))</f>
        <v>60.24</v>
      </c>
      <c r="M542" s="25">
        <f>IF(VLOOKUP(B542,AmmoTypeFactors,8,FALSE),"None",'Ammo Input'!L542)</f>
        <v>3</v>
      </c>
      <c r="N542">
        <f>'Ammo Input'!O542</f>
        <v>500</v>
      </c>
      <c r="O542" t="e">
        <f>ROUND((P542*0.0036+SUMPRODUCT(Q542:AB542,VLOOKUP($Q$1:$AB$1,IngredientStats,2,FALSE)))/N542*IF('Ammo Input'!R542,0.5,1),2)</f>
        <v>#VALUE!</v>
      </c>
      <c r="P542" t="e">
        <f>(SUMPRODUCT(Q542:AB542,VLOOKUP($Q$1:$AB$1,IngredientStats,4,FALSE))*VLOOKUP(B542,AmmoTypeFactors,14,FALSE)*IF('Ammo Input'!R542,1.1,1))</f>
        <v>#VALUE!</v>
      </c>
      <c r="Q542">
        <f>IFERROR(__xludf.DUMMYFUNCTION("((IF(NOT(OR(REGEXMATCH(B538, ""Arrow""), B538 = ""Javelin"", B538 = ""Stick bomb"")), ROUNDUP(('Ammo Input'!E538 / 1000) * N538)) + IF(VLOOKUP(B538, AmmoTypeFactors, 9, FALSE) = ""Steel"", ROUNDUP(('Ammo Input'!H538 -'Ammo Input'!M538) * MAX(IF('Ammo Inpu"&amp;"t'!J538 &gt; 0, 'Ammo Input'!J538, 1), 1) * N538 / 1000))) / 'Ingredient stats'!$C$2) * IF(ISBLANK(VLOOKUP(B538,AmmoTypeFactors,15,False)),1,VLOOKUP(B538,AmmoTypeFactors,15,False))"),30)</f>
        <v>30</v>
      </c>
      <c r="R542">
        <f>IFERROR(__xludf.DUMMYFUNCTION("ROUNDUP((IF(REGEXMATCH(B538, ""Arrow"") + (B538 = ""Javelin""), 'Ammo Input'!E538) + IF(VLOOKUP(B538, AmmoTypeFactors, 9, FALSE) = ""Wood"", 'Ammo Input'!H538) + IF(B538 = ""Stick bomb"", 'Ammo Input'!E538)) * N538 / 'Ingredient stats'!$C$12 / 1000)"),0)</f>
        <v>0</v>
      </c>
      <c r="S542">
        <v>0</v>
      </c>
      <c r="T542">
        <v>0</v>
      </c>
      <c r="U542">
        <f>IF(VLOOKUP(B542,AmmoTypeFactors,9,FALSE)="Plasteel",ROUNDUP(('Ammo Input'!H542*MAX(IF('Ammo Input'!J542&gt;0,'Ammo Input'!J542,1)*N542/1000/'Ingredient stats'!$C$4)),0),0)</f>
        <v>0</v>
      </c>
      <c r="V542">
        <f>IFERROR(__xludf.DUMMYFUNCTION("ROUNDUP(IF(ISBLANK(VLOOKUP(B538,AmmoTypeFactors,16,False)),1,VLOOKUP(B538,AmmoTypeFactors,16,False)) * (IFS(REGEXMATCH(B538, ""EMP""), 'Ammo Input'!M538 * N538 / 'Ingredient stats'!$C$5, REGEXMATCH(B538, ""Charge""), (U538^0.75), true, 0) + (IF(VLOOKUP(B5"&amp;"38, AmmoTypeFactors, 10, false), 2,0) + IF('Ammo Input'!P538, 2,0) + IF('Ammo Input'!Q538,MIN(ROUNDUP(0.2*('Ammo Input'!H538/1000)*'Ammo Input'!O538,0),20),0))))"),0)</f>
        <v>0</v>
      </c>
      <c r="W542">
        <v>0</v>
      </c>
      <c r="X542">
        <v>0</v>
      </c>
      <c r="Y542">
        <v>0</v>
      </c>
      <c r="Z542">
        <v>0</v>
      </c>
      <c r="AA542">
        <v>0</v>
      </c>
      <c r="AB542" s="30">
        <f>IF(B542="Sling Bullet (Stone)",ROUNDUP(D542*0.02*E542/'Ingredient stats'!$C$8,0),0)</f>
        <v>0</v>
      </c>
      <c r="AC542" t="str">
        <f t="shared" si="20"/>
        <v>None</v>
      </c>
      <c r="AD542" t="str">
        <f>IF(OR(B542="Buck",B542="Bird",B542="Charge (Scatter)"),'Ammo Input'!J542,"None")</f>
        <v>None</v>
      </c>
      <c r="AE542" t="str">
        <f>_xlfn.IFS(ISTEXT(Calcs!N542),Calcs!N542,Calcs!N542&lt;=40,Calcs!N542,Calcs!N542&gt;41,"40")</f>
        <v>None</v>
      </c>
      <c r="AF542" t="str">
        <f>_xlfn.IFS(ISTEXT(Calcs!O542),Calcs!O542,Calcs!O542&lt;=80,Calcs!O542,Calcs!O542&gt;=81,"80")</f>
        <v>None</v>
      </c>
      <c r="AG542" s="25">
        <f t="shared" si="21"/>
        <v>1</v>
      </c>
      <c r="AH542" s="25">
        <f t="shared" si="22"/>
        <v>2.33</v>
      </c>
      <c r="AI542" s="25">
        <f t="shared" si="23"/>
        <v>1</v>
      </c>
    </row>
    <row r="543" ht="14.4" spans="1:35">
      <c r="A543" s="24" t="str">
        <f>'Ammo Input'!A543</f>
        <v>7.7×58mm Arisaka</v>
      </c>
      <c r="B543" t="str">
        <f>'Ammo Input'!B543</f>
        <v>AP-I</v>
      </c>
      <c r="C543">
        <f>ROUNDUP(('Ammo Input'!C543*(MAX('Ammo Input'!D543,'Ammo Input'!F543)*0.5)^2*PI())*3/1000000,2)</f>
        <v>0.03</v>
      </c>
      <c r="D543">
        <f>ROUNDUP(('Ammo Input'!E543+'Ammo Input'!H543*IF('Ammo Input'!J543&lt;&gt;"",MAX('Ammo Input'!J543,1),1))/1000,3)</f>
        <v>0.028</v>
      </c>
      <c r="E543">
        <f>MIN(5000,MAX(25,CEILING(Calcs!L543,_xlfn.IFS(Calcs!L543&lt;100,25,Calcs!L543&lt;250,50,Calcs!L543&lt;1000,250,Calcs!L543&gt;=1000,1000))))</f>
        <v>5000</v>
      </c>
      <c r="F543">
        <f>ROUNDUP('Ammo Input'!G543^(3/4),0)</f>
        <v>142</v>
      </c>
      <c r="G543">
        <f>ROUND((0.5*((IF(OR(B543="HEAT",B543="HEDP"),'Ammo Input'!N543,'Ammo Input'!H543)/1000)*(IF(B543="HEAT",9000,IF(B543="HEDP",1500,'Ammo Input'!G543))^2))),0)</f>
        <v>3012</v>
      </c>
      <c r="H543" s="25" t="str">
        <f>CONCATENATE(IF((B543="Foam")+(B543="Smoke"),"-",ROUND(Calcs!D543,0))," ",VLOOKUP(B543,AmmoTypeFactors,5,FALSE))</f>
        <v>12 Bullet</v>
      </c>
      <c r="I543" s="25" t="str">
        <f>IF(Calcs!E543=0,"None",CONCATENATE(ROUND(Calcs!E543,0)," ",VLOOKUP(B543,AmmoTypeFactors,6,FALSE)))</f>
        <v>6 Flame_Secondary</v>
      </c>
      <c r="J543">
        <f>MROUND(2.42*'Ammo Input'!M543^(1/3)*VLOOKUP(B543,AmmoTypeFactors,3,FALSE),0.5)</f>
        <v>0</v>
      </c>
      <c r="K543" s="25" t="str">
        <f>IF(VLOOKUP(B543,AmmoTypeFactors,12,FALSE),MROUND(J543/3,0.5),"None")</f>
        <v>None</v>
      </c>
      <c r="L543" s="25">
        <f>IF(VLOOKUP(B543,AmmoTypeFactors,8,FALSE),"None",ROUNDUP(IF(Calcs!I543&gt;0,Calcs!I543,Calcs!H543),3))</f>
        <v>60.24</v>
      </c>
      <c r="M543" s="25">
        <f>IF(VLOOKUP(B543,AmmoTypeFactors,8,FALSE),"None",'Ammo Input'!L543)</f>
        <v>12</v>
      </c>
      <c r="N543">
        <f>'Ammo Input'!O543</f>
        <v>500</v>
      </c>
      <c r="O543" t="e">
        <f>ROUND((P543*0.0036+SUMPRODUCT(Q543:AB543,VLOOKUP($Q$1:$AB$1,IngredientStats,2,FALSE)))/N543*IF('Ammo Input'!R543,0.5,1),2)</f>
        <v>#VALUE!</v>
      </c>
      <c r="P543" t="e">
        <f>(SUMPRODUCT(Q543:AB543,VLOOKUP($Q$1:$AB$1,IngredientStats,4,FALSE))*VLOOKUP(B543,AmmoTypeFactors,14,FALSE)*IF('Ammo Input'!R543,1.1,1))</f>
        <v>#VALUE!</v>
      </c>
      <c r="Q543">
        <f>IFERROR(__xludf.DUMMYFUNCTION("((IF(NOT(OR(REGEXMATCH(B539, ""Arrow""), B539 = ""Javelin"", B539 = ""Stick bomb"")), ROUNDUP(('Ammo Input'!E539 / 1000) * N539)) + IF(VLOOKUP(B539, AmmoTypeFactors, 9, FALSE) = ""Steel"", ROUNDUP(('Ammo Input'!H539 -'Ammo Input'!M539) * MAX(IF('Ammo Inpu"&amp;"t'!J539 &gt; 0, 'Ammo Input'!J539, 1), 1) * N539 / 1000))) / 'Ingredient stats'!$C$2) * IF(ISBLANK(VLOOKUP(B539,AmmoTypeFactors,15,False)),1,VLOOKUP(B539,AmmoTypeFactors,15,False))"),30)</f>
        <v>30</v>
      </c>
      <c r="R543">
        <f>IFERROR(__xludf.DUMMYFUNCTION("ROUNDUP((IF(REGEXMATCH(B539, ""Arrow"") + (B539 = ""Javelin""), 'Ammo Input'!E539) + IF(VLOOKUP(B539, AmmoTypeFactors, 9, FALSE) = ""Wood"", 'Ammo Input'!H539) + IF(B539 = ""Stick bomb"", 'Ammo Input'!E539)) * N539 / 'Ingredient stats'!$C$12 / 1000)"),0)</f>
        <v>0</v>
      </c>
      <c r="S543">
        <v>0</v>
      </c>
      <c r="T543">
        <v>0</v>
      </c>
      <c r="U543">
        <f>IF(VLOOKUP(B543,AmmoTypeFactors,9,FALSE)="Plasteel",ROUNDUP(('Ammo Input'!H543*MAX(IF('Ammo Input'!J543&gt;0,'Ammo Input'!J543,1)*N543/1000/'Ingredient stats'!$C$4)),0),0)</f>
        <v>0</v>
      </c>
      <c r="V543">
        <f>IFERROR(__xludf.DUMMYFUNCTION("ROUNDUP(IF(ISBLANK(VLOOKUP(B539,AmmoTypeFactors,16,False)),1,VLOOKUP(B539,AmmoTypeFactors,16,False)) * (IFS(REGEXMATCH(B539, ""EMP""), 'Ammo Input'!M539 * N539 / 'Ingredient stats'!$C$5, REGEXMATCH(B539, ""Charge""), (U539^0.75), true, 0) + (IF(VLOOKUP(B5"&amp;"39, AmmoTypeFactors, 10, false), 2,0) + IF('Ammo Input'!P539, 2,0) + IF('Ammo Input'!Q539,MIN(ROUNDUP(0.2*('Ammo Input'!H539/1000)*'Ammo Input'!O539,0),20),0))))"),0)</f>
        <v>0</v>
      </c>
      <c r="W543">
        <v>3</v>
      </c>
      <c r="X543">
        <v>0</v>
      </c>
      <c r="Y543">
        <v>0</v>
      </c>
      <c r="Z543">
        <v>0</v>
      </c>
      <c r="AA543">
        <v>0</v>
      </c>
      <c r="AB543" s="30">
        <f>IF(B543="Sling Bullet (Stone)",ROUNDUP(D543*0.02*E543/'Ingredient stats'!$C$8,0),0)</f>
        <v>0</v>
      </c>
      <c r="AC543" t="str">
        <f t="shared" si="20"/>
        <v>None</v>
      </c>
      <c r="AD543" t="str">
        <f>IF(OR(B543="Buck",B543="Bird",B543="Charge (Scatter)"),'Ammo Input'!J543,"None")</f>
        <v>None</v>
      </c>
      <c r="AE543" t="str">
        <f>_xlfn.IFS(ISTEXT(Calcs!N543),Calcs!N543,Calcs!N543&lt;=40,Calcs!N543,Calcs!N543&gt;41,"40")</f>
        <v>None</v>
      </c>
      <c r="AF543" t="str">
        <f>_xlfn.IFS(ISTEXT(Calcs!O543),Calcs!O543,Calcs!O543&lt;=80,Calcs!O543,Calcs!O543&gt;=81,"80")</f>
        <v>None</v>
      </c>
      <c r="AG543" s="25">
        <f t="shared" si="21"/>
        <v>1</v>
      </c>
      <c r="AH543" s="25">
        <f t="shared" si="22"/>
        <v>2.33</v>
      </c>
      <c r="AI543" s="25">
        <f t="shared" si="23"/>
        <v>1</v>
      </c>
    </row>
    <row r="544" ht="14.4" spans="1:35">
      <c r="A544" s="24" t="str">
        <f>'Ammo Input'!A544</f>
        <v>7.7×58mm Arisaka</v>
      </c>
      <c r="B544" t="str">
        <f>'Ammo Input'!B544</f>
        <v>AP-HE</v>
      </c>
      <c r="C544">
        <f>ROUNDUP(('Ammo Input'!C544*(MAX('Ammo Input'!D544,'Ammo Input'!F544)*0.5)^2*PI())*3/1000000,2)</f>
        <v>0.03</v>
      </c>
      <c r="D544">
        <f>ROUNDUP(('Ammo Input'!E544+'Ammo Input'!H544*IF('Ammo Input'!J544&lt;&gt;"",MAX('Ammo Input'!J544,1),1))/1000,3)</f>
        <v>0.028</v>
      </c>
      <c r="E544">
        <f>MIN(5000,MAX(25,CEILING(Calcs!L544,_xlfn.IFS(Calcs!L544&lt;100,25,Calcs!L544&lt;250,50,Calcs!L544&lt;1000,250,Calcs!L544&gt;=1000,1000))))</f>
        <v>5000</v>
      </c>
      <c r="F544">
        <f>ROUNDUP('Ammo Input'!G544^(3/4),0)</f>
        <v>142</v>
      </c>
      <c r="G544">
        <f>ROUND((0.5*((IF(OR(B544="HEAT",B544="HEDP"),'Ammo Input'!N544,'Ammo Input'!H544)/1000)*(IF(B544="HEAT",9000,IF(B544="HEDP",1500,'Ammo Input'!G544))^2))),0)</f>
        <v>3012</v>
      </c>
      <c r="H544" s="25" t="str">
        <f>CONCATENATE(IF((B544="Foam")+(B544="Smoke"),"-",ROUND(Calcs!D544,0))," ",VLOOKUP(B544,AmmoTypeFactors,5,FALSE))</f>
        <v>19 Bullet</v>
      </c>
      <c r="I544" s="25" t="str">
        <f>IF(Calcs!E544=0,"None",CONCATENATE(ROUND(Calcs!E544,0)," ",VLOOKUP(B544,AmmoTypeFactors,6,FALSE)))</f>
        <v>8 Bomb_Secondary</v>
      </c>
      <c r="J544">
        <f>MROUND(2.42*'Ammo Input'!M544^(1/3)*VLOOKUP(B544,AmmoTypeFactors,3,FALSE),0.5)</f>
        <v>0</v>
      </c>
      <c r="K544" s="25" t="str">
        <f>IF(VLOOKUP(B544,AmmoTypeFactors,12,FALSE),MROUND(J544/3,0.5),"None")</f>
        <v>None</v>
      </c>
      <c r="L544" s="25">
        <f>IF(VLOOKUP(B544,AmmoTypeFactors,8,FALSE),"None",ROUNDUP(IF(Calcs!I544&gt;0,Calcs!I544,Calcs!H544),3))</f>
        <v>60.24</v>
      </c>
      <c r="M544" s="25">
        <f>IF(VLOOKUP(B544,AmmoTypeFactors,8,FALSE),"None",'Ammo Input'!L544)</f>
        <v>6</v>
      </c>
      <c r="N544">
        <f>'Ammo Input'!O544</f>
        <v>500</v>
      </c>
      <c r="O544" t="e">
        <f>ROUND((P544*0.0036+SUMPRODUCT(Q544:AB544,VLOOKUP($Q$1:$AB$1,IngredientStats,2,FALSE)))/N544*IF('Ammo Input'!R544,0.5,1),2)</f>
        <v>#VALUE!</v>
      </c>
      <c r="P544" t="e">
        <f>(SUMPRODUCT(Q544:AB544,VLOOKUP($Q$1:$AB$1,IngredientStats,4,FALSE))*VLOOKUP(B544,AmmoTypeFactors,14,FALSE)*IF('Ammo Input'!R544,1.1,1))</f>
        <v>#VALUE!</v>
      </c>
      <c r="Q544">
        <f>IFERROR(__xludf.DUMMYFUNCTION("((IF(NOT(OR(REGEXMATCH(B540, ""Arrow""), B540 = ""Javelin"", B540 = ""Stick bomb"")), ROUNDUP(('Ammo Input'!E540 / 1000) * N540)) + IF(VLOOKUP(B540, AmmoTypeFactors, 9, FALSE) = ""Steel"", ROUNDUP(('Ammo Input'!H540 -'Ammo Input'!M540) * MAX(IF('Ammo Inpu"&amp;"t'!J540 &gt; 0, 'Ammo Input'!J540, 1), 1) * N540 / 1000))) / 'Ingredient stats'!$C$2) * IF(ISBLANK(VLOOKUP(B540,AmmoTypeFactors,15,False)),1,VLOOKUP(B540,AmmoTypeFactors,15,False))"),30)</f>
        <v>30</v>
      </c>
      <c r="R544">
        <f>IFERROR(__xludf.DUMMYFUNCTION("ROUNDUP((IF(REGEXMATCH(B540, ""Arrow"") + (B540 = ""Javelin""), 'Ammo Input'!E540) + IF(VLOOKUP(B540, AmmoTypeFactors, 9, FALSE) = ""Wood"", 'Ammo Input'!H540) + IF(B540 = ""Stick bomb"", 'Ammo Input'!E540)) * N540 / 'Ingredient stats'!$C$12 / 1000)"),0)</f>
        <v>0</v>
      </c>
      <c r="S544">
        <v>0</v>
      </c>
      <c r="T544">
        <v>0</v>
      </c>
      <c r="U544">
        <f>IF(VLOOKUP(B544,AmmoTypeFactors,9,FALSE)="Plasteel",ROUNDUP(('Ammo Input'!H544*MAX(IF('Ammo Input'!J544&gt;0,'Ammo Input'!J544,1)*N544/1000/'Ingredient stats'!$C$4)),0),0)</f>
        <v>0</v>
      </c>
      <c r="V544">
        <f>IFERROR(__xludf.DUMMYFUNCTION("ROUNDUP(IF(ISBLANK(VLOOKUP(B540,AmmoTypeFactors,16,False)),1,VLOOKUP(B540,AmmoTypeFactors,16,False)) * (IFS(REGEXMATCH(B540, ""EMP""), 'Ammo Input'!M540 * N540 / 'Ingredient stats'!$C$5, REGEXMATCH(B540, ""Charge""), (U540^0.75), true, 0) + (IF(VLOOKUP(B5"&amp;"40, AmmoTypeFactors, 10, false), 2,0) + IF('Ammo Input'!P540, 2,0) + IF('Ammo Input'!Q540,MIN(ROUNDUP(0.2*('Ammo Input'!H540/1000)*'Ammo Input'!O540,0),20),0))))"),0)</f>
        <v>0</v>
      </c>
      <c r="W544">
        <v>0</v>
      </c>
      <c r="X544">
        <v>7</v>
      </c>
      <c r="Y544">
        <v>0</v>
      </c>
      <c r="Z544">
        <v>0</v>
      </c>
      <c r="AA544">
        <v>0</v>
      </c>
      <c r="AB544" s="30">
        <f>IF(B544="Sling Bullet (Stone)",ROUNDUP(D544*0.02*E544/'Ingredient stats'!$C$8,0),0)</f>
        <v>0</v>
      </c>
      <c r="AC544" t="str">
        <f t="shared" si="20"/>
        <v>None</v>
      </c>
      <c r="AD544" t="str">
        <f>IF(OR(B544="Buck",B544="Bird",B544="Charge (Scatter)"),'Ammo Input'!J544,"None")</f>
        <v>None</v>
      </c>
      <c r="AE544" t="str">
        <f>_xlfn.IFS(ISTEXT(Calcs!N544),Calcs!N544,Calcs!N544&lt;=40,Calcs!N544,Calcs!N544&gt;41,"40")</f>
        <v>None</v>
      </c>
      <c r="AF544" t="str">
        <f>_xlfn.IFS(ISTEXT(Calcs!O544),Calcs!O544,Calcs!O544&lt;=80,Calcs!O544,Calcs!O544&gt;=81,"80")</f>
        <v>None</v>
      </c>
      <c r="AG544" s="25">
        <f t="shared" si="21"/>
        <v>1</v>
      </c>
      <c r="AH544" s="25">
        <f t="shared" si="22"/>
        <v>2.33</v>
      </c>
      <c r="AI544" s="25">
        <f t="shared" si="23"/>
        <v>1</v>
      </c>
    </row>
    <row r="545" ht="14.4" spans="1:35">
      <c r="A545" s="24" t="str">
        <f>'Ammo Input'!A545</f>
        <v>7.7×58mm Arisaka</v>
      </c>
      <c r="B545" t="str">
        <f>'Ammo Input'!B545</f>
        <v>Sabot</v>
      </c>
      <c r="C545">
        <f>ROUNDUP(('Ammo Input'!C545*(MAX('Ammo Input'!D545,'Ammo Input'!F545)*0.5)^2*PI())*3/1000000,2)</f>
        <v>0.03</v>
      </c>
      <c r="D545">
        <f>ROUNDUP(('Ammo Input'!E545+'Ammo Input'!H545*IF('Ammo Input'!J545&lt;&gt;"",MAX('Ammo Input'!J545,1),1))/1000,3)</f>
        <v>0.023</v>
      </c>
      <c r="E545">
        <f>MIN(5000,MAX(25,CEILING(Calcs!L545,_xlfn.IFS(Calcs!L545&lt;100,25,Calcs!L545&lt;250,50,Calcs!L545&lt;1000,250,Calcs!L545&gt;=1000,1000))))</f>
        <v>5000</v>
      </c>
      <c r="F545">
        <f>ROUNDUP('Ammo Input'!G545^(3/4),0)</f>
        <v>193</v>
      </c>
      <c r="G545">
        <f>ROUND((0.5*((IF(OR(B545="HEAT",B545="HEDP"),'Ammo Input'!N545,'Ammo Input'!H545)/1000)*(IF(B545="HEAT",9000,IF(B545="HEDP",1500,'Ammo Input'!G545))^2))),0)</f>
        <v>3863</v>
      </c>
      <c r="H545" s="25" t="str">
        <f>CONCATENATE(IF((B545="Foam")+(B545="Smoke"),"-",ROUND(Calcs!D545,0))," ",VLOOKUP(B545,AmmoTypeFactors,5,FALSE))</f>
        <v>10 Bullet</v>
      </c>
      <c r="I545" s="25" t="str">
        <f>IF(Calcs!E545=0,"None",CONCATENATE(ROUND(Calcs!E545,0)," ",VLOOKUP(B545,AmmoTypeFactors,6,FALSE)))</f>
        <v>None</v>
      </c>
      <c r="J545">
        <f>MROUND(2.42*'Ammo Input'!M545^(1/3)*VLOOKUP(B545,AmmoTypeFactors,3,FALSE),0.5)</f>
        <v>0</v>
      </c>
      <c r="K545" s="25" t="str">
        <f>IF(VLOOKUP(B545,AmmoTypeFactors,12,FALSE),MROUND(J545/3,0.5),"None")</f>
        <v>None</v>
      </c>
      <c r="L545" s="25">
        <f>IF(VLOOKUP(B545,AmmoTypeFactors,8,FALSE),"None",ROUNDUP(IF(Calcs!I545&gt;0,Calcs!I545,Calcs!H545),3))</f>
        <v>77.26</v>
      </c>
      <c r="M545" s="25">
        <f>IF(VLOOKUP(B545,AmmoTypeFactors,8,FALSE),"None",'Ammo Input'!L545)</f>
        <v>21</v>
      </c>
      <c r="N545">
        <f>'Ammo Input'!O545</f>
        <v>500</v>
      </c>
      <c r="O545" t="e">
        <f>ROUND((P545*0.0036+SUMPRODUCT(Q545:AB545,VLOOKUP($Q$1:$AB$1,IngredientStats,2,FALSE)))/N545*IF('Ammo Input'!R545,0.5,1),2)</f>
        <v>#VALUE!</v>
      </c>
      <c r="P545" t="e">
        <f>(SUMPRODUCT(Q545:AB545,VLOOKUP($Q$1:$AB$1,IngredientStats,4,FALSE))*VLOOKUP(B545,AmmoTypeFactors,14,FALSE)*IF('Ammo Input'!R545,1.1,1))</f>
        <v>#VALUE!</v>
      </c>
      <c r="Q545">
        <f>IFERROR(__xludf.DUMMYFUNCTION("((IF(NOT(OR(REGEXMATCH(B541, ""Arrow""), B541 = ""Javelin"", B541 = ""Stick bomb"")), ROUNDUP(('Ammo Input'!E541 / 1000) * N541)) + IF(VLOOKUP(B541, AmmoTypeFactors, 9, FALSE) = ""Steel"", ROUNDUP(('Ammo Input'!H541 -'Ammo Input'!M541) * MAX(IF('Ammo Inpu"&amp;"t'!J541 &gt; 0, 'Ammo Input'!J541, 1), 1) * N541 / 1000))) / 'Ingredient stats'!$C$2) * IF(ISBLANK(VLOOKUP(B541,AmmoTypeFactors,15,False)),1,VLOOKUP(B541,AmmoTypeFactors,15,False))"),18)</f>
        <v>18</v>
      </c>
      <c r="R545">
        <f>IFERROR(__xludf.DUMMYFUNCTION("ROUNDUP((IF(REGEXMATCH(B541, ""Arrow"") + (B541 = ""Javelin""), 'Ammo Input'!E541) + IF(VLOOKUP(B541, AmmoTypeFactors, 9, FALSE) = ""Wood"", 'Ammo Input'!H541) + IF(B541 = ""Stick bomb"", 'Ammo Input'!E541)) * N541 / 'Ingredient stats'!$C$12 / 1000)"),0)</f>
        <v>0</v>
      </c>
      <c r="S545">
        <v>4</v>
      </c>
      <c r="T545">
        <v>4</v>
      </c>
      <c r="U545">
        <f>IF(VLOOKUP(B545,AmmoTypeFactors,9,FALSE)="Plasteel",ROUNDUP(('Ammo Input'!H545*MAX(IF('Ammo Input'!J545&gt;0,'Ammo Input'!J545,1)*N545/1000/'Ingredient stats'!$C$4)),0),0)</f>
        <v>0</v>
      </c>
      <c r="V545">
        <f>IFERROR(__xludf.DUMMYFUNCTION("ROUNDUP(IF(ISBLANK(VLOOKUP(B541,AmmoTypeFactors,16,False)),1,VLOOKUP(B541,AmmoTypeFactors,16,False)) * (IFS(REGEXMATCH(B541, ""EMP""), 'Ammo Input'!M541 * N541 / 'Ingredient stats'!$C$5, REGEXMATCH(B541, ""Charge""), (U541^0.75), true, 0) + (IF(VLOOKUP(B5"&amp;"41, AmmoTypeFactors, 10, false), 2,0) + IF('Ammo Input'!P541, 2,0) + IF('Ammo Input'!Q541,MIN(ROUNDUP(0.2*('Ammo Input'!H541/1000)*'Ammo Input'!O541,0),20),0))))"),0)</f>
        <v>0</v>
      </c>
      <c r="W545">
        <v>0</v>
      </c>
      <c r="X545">
        <v>0</v>
      </c>
      <c r="Y545">
        <v>0</v>
      </c>
      <c r="Z545">
        <v>0</v>
      </c>
      <c r="AA545">
        <v>0</v>
      </c>
      <c r="AB545" s="30">
        <f>IF(B545="Sling Bullet (Stone)",ROUNDUP(D545*0.02*E545/'Ingredient stats'!$C$8,0),0)</f>
        <v>0</v>
      </c>
      <c r="AC545" t="str">
        <f t="shared" si="20"/>
        <v>None</v>
      </c>
      <c r="AD545" t="str">
        <f>IF(OR(B545="Buck",B545="Bird",B545="Charge (Scatter)"),'Ammo Input'!J545,"None")</f>
        <v>None</v>
      </c>
      <c r="AE545" t="str">
        <f>_xlfn.IFS(ISTEXT(Calcs!N545),Calcs!N545,Calcs!N545&lt;=40,Calcs!N545,Calcs!N545&gt;41,"40")</f>
        <v>None</v>
      </c>
      <c r="AF545" t="str">
        <f>_xlfn.IFS(ISTEXT(Calcs!O545),Calcs!O545,Calcs!O545&lt;=80,Calcs!O545,Calcs!O545&gt;=81,"80")</f>
        <v>None</v>
      </c>
      <c r="AG545" s="25">
        <f t="shared" si="21"/>
        <v>1</v>
      </c>
      <c r="AH545" s="25">
        <f t="shared" si="22"/>
        <v>3.13</v>
      </c>
      <c r="AI545" s="25">
        <f t="shared" si="23"/>
        <v>1</v>
      </c>
    </row>
    <row r="546" ht="14.4" spans="1:35">
      <c r="A546" s="24" t="str">
        <f>'Ammo Input'!A546</f>
        <v>7.92×33mm Kurz</v>
      </c>
      <c r="B546" t="str">
        <f>'Ammo Input'!B546</f>
        <v>FMJ</v>
      </c>
      <c r="C546">
        <f>ROUNDUP(('Ammo Input'!C546*(MAX('Ammo Input'!D546,'Ammo Input'!F546)*0.5)^2*PI())*3/1000000,2)</f>
        <v>0.02</v>
      </c>
      <c r="D546">
        <f>ROUNDUP(('Ammo Input'!E546+'Ammo Input'!H546*IF('Ammo Input'!J546&lt;&gt;"",MAX('Ammo Input'!J546,1),1))/1000,3)</f>
        <v>0.019</v>
      </c>
      <c r="E546">
        <f>MIN(5000,MAX(25,CEILING(Calcs!L546,_xlfn.IFS(Calcs!L546&lt;100,25,Calcs!L546&lt;250,50,Calcs!L546&lt;1000,250,Calcs!L546&gt;=1000,1000))))</f>
        <v>5000</v>
      </c>
      <c r="F546">
        <f>ROUNDUP('Ammo Input'!G546^(3/4),0)</f>
        <v>134</v>
      </c>
      <c r="G546">
        <f>ROUND((0.5*((IF(OR(B546="HEAT",B546="HEDP"),'Ammo Input'!N546,'Ammo Input'!H546)/1000)*(IF(B546="HEAT",9000,IF(B546="HEDP",1500,'Ammo Input'!G546))^2))),0)</f>
        <v>1877</v>
      </c>
      <c r="H546" s="25" t="str">
        <f>CONCATENATE(IF((B546="Foam")+(B546="Smoke"),"-",ROUND(Calcs!D546,0))," ",VLOOKUP(B546,AmmoTypeFactors,5,FALSE))</f>
        <v>16 Bullet</v>
      </c>
      <c r="I546" s="25" t="str">
        <f>IF(Calcs!E546=0,"None",CONCATENATE(ROUND(Calcs!E546,0)," ",VLOOKUP(B546,AmmoTypeFactors,6,FALSE)))</f>
        <v>None</v>
      </c>
      <c r="J546">
        <f>MROUND(2.42*'Ammo Input'!M546^(1/3)*VLOOKUP(B546,AmmoTypeFactors,3,FALSE),0.5)</f>
        <v>0</v>
      </c>
      <c r="K546" s="25" t="str">
        <f>IF(VLOOKUP(B546,AmmoTypeFactors,12,FALSE),MROUND(J546/3,0.5),"None")</f>
        <v>None</v>
      </c>
      <c r="L546" s="25">
        <f>IF(VLOOKUP(B546,AmmoTypeFactors,8,FALSE),"None",ROUNDUP(IF(Calcs!I546&gt;0,Calcs!I546,Calcs!H546),3))</f>
        <v>37.54</v>
      </c>
      <c r="M546" s="25">
        <f>IF(VLOOKUP(B546,AmmoTypeFactors,8,FALSE),"None",'Ammo Input'!L546)</f>
        <v>5</v>
      </c>
      <c r="N546">
        <f>'Ammo Input'!O546</f>
        <v>500</v>
      </c>
      <c r="O546" t="e">
        <f>ROUND((P546*0.0036+SUMPRODUCT(Q546:AB546,VLOOKUP($Q$1:$AB$1,IngredientStats,2,FALSE)))/N546*IF('Ammo Input'!R546,0.5,1),2)</f>
        <v>#VALUE!</v>
      </c>
      <c r="P546" t="e">
        <f>(SUMPRODUCT(Q546:AB546,VLOOKUP($Q$1:$AB$1,IngredientStats,4,FALSE))*VLOOKUP(B546,AmmoTypeFactors,14,FALSE)*IF('Ammo Input'!R546,1.1,1))</f>
        <v>#VALUE!</v>
      </c>
      <c r="Q546">
        <f>IFERROR(__xludf.DUMMYFUNCTION("((IF(NOT(OR(REGEXMATCH(B542, ""Arrow""), B542 = ""Javelin"", B542 = ""Stick bomb"")), ROUNDUP(('Ammo Input'!E542 / 1000) * N542)) + IF(VLOOKUP(B542, AmmoTypeFactors, 9, FALSE) = ""Steel"", ROUNDUP(('Ammo Input'!H542 -'Ammo Input'!M542) * MAX(IF('Ammo Inpu"&amp;"t'!J542 &gt; 0, 'Ammo Input'!J542, 1), 1) * N542 / 1000))) / 'Ingredient stats'!$C$2) * IF(ISBLANK(VLOOKUP(B542,AmmoTypeFactors,15,False)),1,VLOOKUP(B542,AmmoTypeFactors,15,False))"),20)</f>
        <v>20</v>
      </c>
      <c r="R546">
        <f>IFERROR(__xludf.DUMMYFUNCTION("ROUNDUP((IF(REGEXMATCH(B542, ""Arrow"") + (B542 = ""Javelin""), 'Ammo Input'!E542) + IF(VLOOKUP(B542, AmmoTypeFactors, 9, FALSE) = ""Wood"", 'Ammo Input'!H542) + IF(B542 = ""Stick bomb"", 'Ammo Input'!E542)) * N542 / 'Ingredient stats'!$C$12 / 1000)"),0)</f>
        <v>0</v>
      </c>
      <c r="S546">
        <v>0</v>
      </c>
      <c r="T546">
        <v>0</v>
      </c>
      <c r="U546">
        <f>IF(VLOOKUP(B546,AmmoTypeFactors,9,FALSE)="Plasteel",ROUNDUP(('Ammo Input'!H546*MAX(IF('Ammo Input'!J546&gt;0,'Ammo Input'!J546,1)*N546/1000/'Ingredient stats'!$C$4)),0),0)</f>
        <v>0</v>
      </c>
      <c r="V546">
        <f>IFERROR(__xludf.DUMMYFUNCTION("ROUNDUP(IF(ISBLANK(VLOOKUP(B542,AmmoTypeFactors,16,False)),1,VLOOKUP(B542,AmmoTypeFactors,16,False)) * (IFS(REGEXMATCH(B542, ""EMP""), 'Ammo Input'!M542 * N542 / 'Ingredient stats'!$C$5, REGEXMATCH(B542, ""Charge""), (U542^0.75), true, 0) + (IF(VLOOKUP(B5"&amp;"42, AmmoTypeFactors, 10, false), 2,0) + IF('Ammo Input'!P542, 2,0) + IF('Ammo Input'!Q542,MIN(ROUNDUP(0.2*('Ammo Input'!H542/1000)*'Ammo Input'!O542,0),20),0))))"),0)</f>
        <v>0</v>
      </c>
      <c r="W546">
        <v>0</v>
      </c>
      <c r="X546">
        <v>0</v>
      </c>
      <c r="Y546">
        <v>0</v>
      </c>
      <c r="Z546">
        <v>0</v>
      </c>
      <c r="AA546">
        <v>0</v>
      </c>
      <c r="AB546" s="30">
        <f>IF(B546="Sling Bullet (Stone)",ROUNDUP(D546*0.02*E546/'Ingredient stats'!$C$8,0),0)</f>
        <v>0</v>
      </c>
      <c r="AC546" t="str">
        <f t="shared" si="20"/>
        <v>None</v>
      </c>
      <c r="AD546" t="str">
        <f>IF(OR(B546="Buck",B546="Bird",B546="Charge (Scatter)"),'Ammo Input'!J546,"None")</f>
        <v>None</v>
      </c>
      <c r="AE546" t="str">
        <f>_xlfn.IFS(ISTEXT(Calcs!N546),Calcs!N546,Calcs!N546&lt;=40,Calcs!N546,Calcs!N546&gt;41,"40")</f>
        <v>None</v>
      </c>
      <c r="AF546" t="str">
        <f>_xlfn.IFS(ISTEXT(Calcs!O546),Calcs!O546,Calcs!O546&lt;=80,Calcs!O546,Calcs!O546&gt;=81,"80")</f>
        <v>None</v>
      </c>
      <c r="AG546" s="25">
        <f t="shared" si="21"/>
        <v>1</v>
      </c>
      <c r="AH546" s="25">
        <f t="shared" si="22"/>
        <v>2.2</v>
      </c>
      <c r="AI546" s="25">
        <f t="shared" si="23"/>
        <v>1</v>
      </c>
    </row>
    <row r="547" ht="14.4" spans="1:35">
      <c r="A547" s="24" t="str">
        <f>'Ammo Input'!A547</f>
        <v>7.92×33mm Kurz</v>
      </c>
      <c r="B547" t="str">
        <f>'Ammo Input'!B547</f>
        <v>AP</v>
      </c>
      <c r="C547">
        <f>ROUNDUP(('Ammo Input'!C547*(MAX('Ammo Input'!D547,'Ammo Input'!F547)*0.5)^2*PI())*3/1000000,2)</f>
        <v>0.02</v>
      </c>
      <c r="D547">
        <f>ROUNDUP(('Ammo Input'!E547+'Ammo Input'!H547*IF('Ammo Input'!J547&lt;&gt;"",MAX('Ammo Input'!J547,1),1))/1000,3)</f>
        <v>0.019</v>
      </c>
      <c r="E547">
        <f>MIN(5000,MAX(25,CEILING(Calcs!L547,_xlfn.IFS(Calcs!L547&lt;100,25,Calcs!L547&lt;250,50,Calcs!L547&lt;1000,250,Calcs!L547&gt;=1000,1000))))</f>
        <v>5000</v>
      </c>
      <c r="F547">
        <f>ROUNDUP('Ammo Input'!G547^(3/4),0)</f>
        <v>134</v>
      </c>
      <c r="G547">
        <f>ROUND((0.5*((IF(OR(B547="HEAT",B547="HEDP"),'Ammo Input'!N547,'Ammo Input'!H547)/1000)*(IF(B547="HEAT",9000,IF(B547="HEDP",1500,'Ammo Input'!G547))^2))),0)</f>
        <v>1877</v>
      </c>
      <c r="H547" s="25" t="str">
        <f>CONCATENATE(IF((B547="Foam")+(B547="Smoke"),"-",ROUND(Calcs!D547,0))," ",VLOOKUP(B547,AmmoTypeFactors,5,FALSE))</f>
        <v>10 Bullet</v>
      </c>
      <c r="I547" s="25" t="str">
        <f>IF(Calcs!E547=0,"None",CONCATENATE(ROUND(Calcs!E547,0)," ",VLOOKUP(B547,AmmoTypeFactors,6,FALSE)))</f>
        <v>None</v>
      </c>
      <c r="J547">
        <f>MROUND(2.42*'Ammo Input'!M547^(1/3)*VLOOKUP(B547,AmmoTypeFactors,3,FALSE),0.5)</f>
        <v>0</v>
      </c>
      <c r="K547" s="25" t="str">
        <f>IF(VLOOKUP(B547,AmmoTypeFactors,12,FALSE),MROUND(J547/3,0.5),"None")</f>
        <v>None</v>
      </c>
      <c r="L547" s="25">
        <f>IF(VLOOKUP(B547,AmmoTypeFactors,8,FALSE),"None",ROUNDUP(IF(Calcs!I547&gt;0,Calcs!I547,Calcs!H547),3))</f>
        <v>37.54</v>
      </c>
      <c r="M547" s="25">
        <f>IF(VLOOKUP(B547,AmmoTypeFactors,8,FALSE),"None",'Ammo Input'!L547)</f>
        <v>10</v>
      </c>
      <c r="N547">
        <f>'Ammo Input'!O547</f>
        <v>500</v>
      </c>
      <c r="O547" t="e">
        <f>ROUND((P547*0.0036+SUMPRODUCT(Q547:AB547,VLOOKUP($Q$1:$AB$1,IngredientStats,2,FALSE)))/N547*IF('Ammo Input'!R547,0.5,1),2)</f>
        <v>#VALUE!</v>
      </c>
      <c r="P547" t="e">
        <f>(SUMPRODUCT(Q547:AB547,VLOOKUP($Q$1:$AB$1,IngredientStats,4,FALSE))*VLOOKUP(B547,AmmoTypeFactors,14,FALSE)*IF('Ammo Input'!R547,1.1,1))</f>
        <v>#VALUE!</v>
      </c>
      <c r="Q547">
        <f>IFERROR(__xludf.DUMMYFUNCTION("((IF(NOT(OR(REGEXMATCH(B543, ""Arrow""), B543 = ""Javelin"", B543 = ""Stick bomb"")), ROUNDUP(('Ammo Input'!E543 / 1000) * N543)) + IF(VLOOKUP(B543, AmmoTypeFactors, 9, FALSE) = ""Steel"", ROUNDUP(('Ammo Input'!H543 -'Ammo Input'!M543) * MAX(IF('Ammo Inpu"&amp;"t'!J543 &gt; 0, 'Ammo Input'!J543, 1), 1) * N543 / 1000))) / 'Ingredient stats'!$C$2) * IF(ISBLANK(VLOOKUP(B543,AmmoTypeFactors,15,False)),1,VLOOKUP(B543,AmmoTypeFactors,15,False))"),20)</f>
        <v>20</v>
      </c>
      <c r="R547">
        <f>IFERROR(__xludf.DUMMYFUNCTION("ROUNDUP((IF(REGEXMATCH(B543, ""Arrow"") + (B543 = ""Javelin""), 'Ammo Input'!E543) + IF(VLOOKUP(B543, AmmoTypeFactors, 9, FALSE) = ""Wood"", 'Ammo Input'!H543) + IF(B543 = ""Stick bomb"", 'Ammo Input'!E543)) * N543 / 'Ingredient stats'!$C$12 / 1000)"),0)</f>
        <v>0</v>
      </c>
      <c r="S547">
        <v>0</v>
      </c>
      <c r="T547">
        <v>0</v>
      </c>
      <c r="U547">
        <f>IF(VLOOKUP(B547,AmmoTypeFactors,9,FALSE)="Plasteel",ROUNDUP(('Ammo Input'!H547*MAX(IF('Ammo Input'!J547&gt;0,'Ammo Input'!J547,1)*N547/1000/'Ingredient stats'!$C$4)),0),0)</f>
        <v>0</v>
      </c>
      <c r="V547">
        <f>IFERROR(__xludf.DUMMYFUNCTION("ROUNDUP(IF(ISBLANK(VLOOKUP(B543,AmmoTypeFactors,16,False)),1,VLOOKUP(B543,AmmoTypeFactors,16,False)) * (IFS(REGEXMATCH(B543, ""EMP""), 'Ammo Input'!M543 * N543 / 'Ingredient stats'!$C$5, REGEXMATCH(B543, ""Charge""), (U543^0.75), true, 0) + (IF(VLOOKUP(B5"&amp;"43, AmmoTypeFactors, 10, false), 2,0) + IF('Ammo Input'!P543, 2,0) + IF('Ammo Input'!Q543,MIN(ROUNDUP(0.2*('Ammo Input'!H543/1000)*'Ammo Input'!O543,0),20),0))))"),0)</f>
        <v>0</v>
      </c>
      <c r="W547">
        <v>0</v>
      </c>
      <c r="X547">
        <v>0</v>
      </c>
      <c r="Y547">
        <v>0</v>
      </c>
      <c r="Z547">
        <v>0</v>
      </c>
      <c r="AA547">
        <v>0</v>
      </c>
      <c r="AB547" s="30">
        <f>IF(B547="Sling Bullet (Stone)",ROUNDUP(D547*0.02*E547/'Ingredient stats'!$C$8,0),0)</f>
        <v>0</v>
      </c>
      <c r="AC547" t="str">
        <f t="shared" si="20"/>
        <v>None</v>
      </c>
      <c r="AD547" t="str">
        <f>IF(OR(B547="Buck",B547="Bird",B547="Charge (Scatter)"),'Ammo Input'!J547,"None")</f>
        <v>None</v>
      </c>
      <c r="AE547" t="str">
        <f>_xlfn.IFS(ISTEXT(Calcs!N547),Calcs!N547,Calcs!N547&lt;=40,Calcs!N547,Calcs!N547&gt;41,"40")</f>
        <v>None</v>
      </c>
      <c r="AF547" t="str">
        <f>_xlfn.IFS(ISTEXT(Calcs!O547),Calcs!O547,Calcs!O547&lt;=80,Calcs!O547,Calcs!O547&gt;=81,"80")</f>
        <v>None</v>
      </c>
      <c r="AG547" s="25">
        <f t="shared" si="21"/>
        <v>1</v>
      </c>
      <c r="AH547" s="25">
        <f t="shared" si="22"/>
        <v>2.2</v>
      </c>
      <c r="AI547" s="25">
        <f t="shared" si="23"/>
        <v>1</v>
      </c>
    </row>
    <row r="548" ht="14.4" spans="1:35">
      <c r="A548" s="24" t="str">
        <f>'Ammo Input'!A548</f>
        <v>7.92×33mm Kurz</v>
      </c>
      <c r="B548" t="str">
        <f>'Ammo Input'!B548</f>
        <v>HP</v>
      </c>
      <c r="C548">
        <f>ROUNDUP(('Ammo Input'!C548*(MAX('Ammo Input'!D548,'Ammo Input'!F548)*0.5)^2*PI())*3/1000000,2)</f>
        <v>0.02</v>
      </c>
      <c r="D548">
        <f>ROUNDUP(('Ammo Input'!E548+'Ammo Input'!H548*IF('Ammo Input'!J548&lt;&gt;"",MAX('Ammo Input'!J548,1),1))/1000,3)</f>
        <v>0.019</v>
      </c>
      <c r="E548">
        <f>MIN(5000,MAX(25,CEILING(Calcs!L548,_xlfn.IFS(Calcs!L548&lt;100,25,Calcs!L548&lt;250,50,Calcs!L548&lt;1000,250,Calcs!L548&gt;=1000,1000))))</f>
        <v>5000</v>
      </c>
      <c r="F548">
        <f>ROUNDUP('Ammo Input'!G548^(3/4),0)</f>
        <v>134</v>
      </c>
      <c r="G548">
        <f>ROUND((0.5*((IF(OR(B548="HEAT",B548="HEDP"),'Ammo Input'!N548,'Ammo Input'!H548)/1000)*(IF(B548="HEAT",9000,IF(B548="HEDP",1500,'Ammo Input'!G548))^2))),0)</f>
        <v>1877</v>
      </c>
      <c r="H548" s="25" t="str">
        <f>CONCATENATE(IF((B548="Foam")+(B548="Smoke"),"-",ROUND(Calcs!D548,0))," ",VLOOKUP(B548,AmmoTypeFactors,5,FALSE))</f>
        <v>21 Bullet</v>
      </c>
      <c r="I548" s="25" t="str">
        <f>IF(Calcs!E548=0,"None",CONCATENATE(ROUND(Calcs!E548,0)," ",VLOOKUP(B548,AmmoTypeFactors,6,FALSE)))</f>
        <v>None</v>
      </c>
      <c r="J548">
        <f>MROUND(2.42*'Ammo Input'!M548^(1/3)*VLOOKUP(B548,AmmoTypeFactors,3,FALSE),0.5)</f>
        <v>0</v>
      </c>
      <c r="K548" s="25" t="str">
        <f>IF(VLOOKUP(B548,AmmoTypeFactors,12,FALSE),MROUND(J548/3,0.5),"None")</f>
        <v>None</v>
      </c>
      <c r="L548" s="25">
        <f>IF(VLOOKUP(B548,AmmoTypeFactors,8,FALSE),"None",ROUNDUP(IF(Calcs!I548&gt;0,Calcs!I548,Calcs!H548),3))</f>
        <v>37.54</v>
      </c>
      <c r="M548" s="25">
        <f>IF(VLOOKUP(B548,AmmoTypeFactors,8,FALSE),"None",'Ammo Input'!L548)</f>
        <v>3</v>
      </c>
      <c r="N548">
        <f>'Ammo Input'!O548</f>
        <v>500</v>
      </c>
      <c r="O548" t="e">
        <f>ROUND((P548*0.0036+SUMPRODUCT(Q548:AB548,VLOOKUP($Q$1:$AB$1,IngredientStats,2,FALSE)))/N548*IF('Ammo Input'!R548,0.5,1),2)</f>
        <v>#VALUE!</v>
      </c>
      <c r="P548" t="e">
        <f>(SUMPRODUCT(Q548:AB548,VLOOKUP($Q$1:$AB$1,IngredientStats,4,FALSE))*VLOOKUP(B548,AmmoTypeFactors,14,FALSE)*IF('Ammo Input'!R548,1.1,1))</f>
        <v>#VALUE!</v>
      </c>
      <c r="Q548">
        <f>IFERROR(__xludf.DUMMYFUNCTION("((IF(NOT(OR(REGEXMATCH(B544, ""Arrow""), B544 = ""Javelin"", B544 = ""Stick bomb"")), ROUNDUP(('Ammo Input'!E544 / 1000) * N544)) + IF(VLOOKUP(B544, AmmoTypeFactors, 9, FALSE) = ""Steel"", ROUNDUP(('Ammo Input'!H544 -'Ammo Input'!M544) * MAX(IF('Ammo Inpu"&amp;"t'!J544 &gt; 0, 'Ammo Input'!J544, 1), 1) * N544 / 1000))) / 'Ingredient stats'!$C$2) * IF(ISBLANK(VLOOKUP(B544,AmmoTypeFactors,15,False)),1,VLOOKUP(B544,AmmoTypeFactors,15,False))"),20)</f>
        <v>20</v>
      </c>
      <c r="R548">
        <f>IFERROR(__xludf.DUMMYFUNCTION("ROUNDUP((IF(REGEXMATCH(B544, ""Arrow"") + (B544 = ""Javelin""), 'Ammo Input'!E544) + IF(VLOOKUP(B544, AmmoTypeFactors, 9, FALSE) = ""Wood"", 'Ammo Input'!H544) + IF(B544 = ""Stick bomb"", 'Ammo Input'!E544)) * N544 / 'Ingredient stats'!$C$12 / 1000)"),0)</f>
        <v>0</v>
      </c>
      <c r="S548">
        <v>0</v>
      </c>
      <c r="T548">
        <v>0</v>
      </c>
      <c r="U548">
        <f>IF(VLOOKUP(B548,AmmoTypeFactors,9,FALSE)="Plasteel",ROUNDUP(('Ammo Input'!H548*MAX(IF('Ammo Input'!J548&gt;0,'Ammo Input'!J548,1)*N548/1000/'Ingredient stats'!$C$4)),0),0)</f>
        <v>0</v>
      </c>
      <c r="V548">
        <f>IFERROR(__xludf.DUMMYFUNCTION("ROUNDUP(IF(ISBLANK(VLOOKUP(B544,AmmoTypeFactors,16,False)),1,VLOOKUP(B544,AmmoTypeFactors,16,False)) * (IFS(REGEXMATCH(B544, ""EMP""), 'Ammo Input'!M544 * N544 / 'Ingredient stats'!$C$5, REGEXMATCH(B544, ""Charge""), (U544^0.75), true, 0) + (IF(VLOOKUP(B5"&amp;"44, AmmoTypeFactors, 10, false), 2,0) + IF('Ammo Input'!P544, 2,0) + IF('Ammo Input'!Q544,MIN(ROUNDUP(0.2*('Ammo Input'!H544/1000)*'Ammo Input'!O544,0),20),0))))"),0)</f>
        <v>0</v>
      </c>
      <c r="W548">
        <v>0</v>
      </c>
      <c r="X548">
        <v>0</v>
      </c>
      <c r="Y548">
        <v>0</v>
      </c>
      <c r="Z548">
        <v>0</v>
      </c>
      <c r="AA548">
        <v>0</v>
      </c>
      <c r="AB548" s="30">
        <f>IF(B548="Sling Bullet (Stone)",ROUNDUP(D548*0.02*E548/'Ingredient stats'!$C$8,0),0)</f>
        <v>0</v>
      </c>
      <c r="AC548" t="str">
        <f t="shared" si="20"/>
        <v>None</v>
      </c>
      <c r="AD548" t="str">
        <f>IF(OR(B548="Buck",B548="Bird",B548="Charge (Scatter)"),'Ammo Input'!J548,"None")</f>
        <v>None</v>
      </c>
      <c r="AE548" t="str">
        <f>_xlfn.IFS(ISTEXT(Calcs!N548),Calcs!N548,Calcs!N548&lt;=40,Calcs!N548,Calcs!N548&gt;41,"40")</f>
        <v>None</v>
      </c>
      <c r="AF548" t="str">
        <f>_xlfn.IFS(ISTEXT(Calcs!O548),Calcs!O548,Calcs!O548&lt;=80,Calcs!O548,Calcs!O548&gt;=81,"80")</f>
        <v>None</v>
      </c>
      <c r="AG548" s="25">
        <f t="shared" si="21"/>
        <v>1</v>
      </c>
      <c r="AH548" s="25">
        <f t="shared" si="22"/>
        <v>2.2</v>
      </c>
      <c r="AI548" s="25">
        <f t="shared" si="23"/>
        <v>1</v>
      </c>
    </row>
    <row r="549" ht="14.4" spans="1:35">
      <c r="A549" s="24" t="str">
        <f>'Ammo Input'!A549</f>
        <v>7.92×33mm Kurz</v>
      </c>
      <c r="B549" t="str">
        <f>'Ammo Input'!B549</f>
        <v>AP-I</v>
      </c>
      <c r="C549">
        <f>ROUNDUP(('Ammo Input'!C549*(MAX('Ammo Input'!D549,'Ammo Input'!F549)*0.5)^2*PI())*3/1000000,2)</f>
        <v>0.02</v>
      </c>
      <c r="D549">
        <f>ROUNDUP(('Ammo Input'!E549+'Ammo Input'!H549*IF('Ammo Input'!J549&lt;&gt;"",MAX('Ammo Input'!J549,1),1))/1000,3)</f>
        <v>0.019</v>
      </c>
      <c r="E549">
        <f>MIN(5000,MAX(25,CEILING(Calcs!L549,_xlfn.IFS(Calcs!L549&lt;100,25,Calcs!L549&lt;250,50,Calcs!L549&lt;1000,250,Calcs!L549&gt;=1000,1000))))</f>
        <v>5000</v>
      </c>
      <c r="F549">
        <f>ROUNDUP('Ammo Input'!G549^(3/4),0)</f>
        <v>134</v>
      </c>
      <c r="G549">
        <f>ROUND((0.5*((IF(OR(B549="HEAT",B549="HEDP"),'Ammo Input'!N549,'Ammo Input'!H549)/1000)*(IF(B549="HEAT",9000,IF(B549="HEDP",1500,'Ammo Input'!G549))^2))),0)</f>
        <v>1877</v>
      </c>
      <c r="H549" s="25" t="str">
        <f>CONCATENATE(IF((B549="Foam")+(B549="Smoke"),"-",ROUND(Calcs!D549,0))," ",VLOOKUP(B549,AmmoTypeFactors,5,FALSE))</f>
        <v>10 Bullet</v>
      </c>
      <c r="I549" s="25" t="str">
        <f>IF(Calcs!E549=0,"None",CONCATENATE(ROUND(Calcs!E549,0)," ",VLOOKUP(B549,AmmoTypeFactors,6,FALSE)))</f>
        <v>5 Flame_Secondary</v>
      </c>
      <c r="J549">
        <f>MROUND(2.42*'Ammo Input'!M549^(1/3)*VLOOKUP(B549,AmmoTypeFactors,3,FALSE),0.5)</f>
        <v>0</v>
      </c>
      <c r="K549" s="25" t="str">
        <f>IF(VLOOKUP(B549,AmmoTypeFactors,12,FALSE),MROUND(J549/3,0.5),"None")</f>
        <v>None</v>
      </c>
      <c r="L549" s="25">
        <f>IF(VLOOKUP(B549,AmmoTypeFactors,8,FALSE),"None",ROUNDUP(IF(Calcs!I549&gt;0,Calcs!I549,Calcs!H549),3))</f>
        <v>37.54</v>
      </c>
      <c r="M549" s="25">
        <f>IF(VLOOKUP(B549,AmmoTypeFactors,8,FALSE),"None",'Ammo Input'!L549)</f>
        <v>10</v>
      </c>
      <c r="N549">
        <f>'Ammo Input'!O549</f>
        <v>500</v>
      </c>
      <c r="O549" t="e">
        <f>ROUND((P549*0.0036+SUMPRODUCT(Q549:AB549,VLOOKUP($Q$1:$AB$1,IngredientStats,2,FALSE)))/N549*IF('Ammo Input'!R549,0.5,1),2)</f>
        <v>#VALUE!</v>
      </c>
      <c r="P549" t="e">
        <f>(SUMPRODUCT(Q549:AB549,VLOOKUP($Q$1:$AB$1,IngredientStats,4,FALSE))*VLOOKUP(B549,AmmoTypeFactors,14,FALSE)*IF('Ammo Input'!R549,1.1,1))</f>
        <v>#VALUE!</v>
      </c>
      <c r="Q549">
        <f>IFERROR(__xludf.DUMMYFUNCTION("((IF(NOT(OR(REGEXMATCH(B545, ""Arrow""), B545 = ""Javelin"", B545 = ""Stick bomb"")), ROUNDUP(('Ammo Input'!E545 / 1000) * N545)) + IF(VLOOKUP(B545, AmmoTypeFactors, 9, FALSE) = ""Steel"", ROUNDUP(('Ammo Input'!H545 -'Ammo Input'!M545) * MAX(IF('Ammo Inpu"&amp;"t'!J545 &gt; 0, 'Ammo Input'!J545, 1), 1) * N545 / 1000))) / 'Ingredient stats'!$C$2) * IF(ISBLANK(VLOOKUP(B545,AmmoTypeFactors,15,False)),1,VLOOKUP(B545,AmmoTypeFactors,15,False))"),20)</f>
        <v>20</v>
      </c>
      <c r="R549">
        <f>IFERROR(__xludf.DUMMYFUNCTION("ROUNDUP((IF(REGEXMATCH(B545, ""Arrow"") + (B545 = ""Javelin""), 'Ammo Input'!E545) + IF(VLOOKUP(B545, AmmoTypeFactors, 9, FALSE) = ""Wood"", 'Ammo Input'!H545) + IF(B545 = ""Stick bomb"", 'Ammo Input'!E545)) * N545 / 'Ingredient stats'!$C$12 / 1000)"),0)</f>
        <v>0</v>
      </c>
      <c r="S549">
        <v>0</v>
      </c>
      <c r="T549">
        <v>0</v>
      </c>
      <c r="U549">
        <f>IF(VLOOKUP(B549,AmmoTypeFactors,9,FALSE)="Plasteel",ROUNDUP(('Ammo Input'!H549*MAX(IF('Ammo Input'!J549&gt;0,'Ammo Input'!J549,1)*N549/1000/'Ingredient stats'!$C$4)),0),0)</f>
        <v>0</v>
      </c>
      <c r="V549">
        <f>IFERROR(__xludf.DUMMYFUNCTION("ROUNDUP(IF(ISBLANK(VLOOKUP(B545,AmmoTypeFactors,16,False)),1,VLOOKUP(B545,AmmoTypeFactors,16,False)) * (IFS(REGEXMATCH(B545, ""EMP""), 'Ammo Input'!M545 * N545 / 'Ingredient stats'!$C$5, REGEXMATCH(B545, ""Charge""), (U545^0.75), true, 0) + (IF(VLOOKUP(B5"&amp;"45, AmmoTypeFactors, 10, false), 2,0) + IF('Ammo Input'!P545, 2,0) + IF('Ammo Input'!Q545,MIN(ROUNDUP(0.2*('Ammo Input'!H545/1000)*'Ammo Input'!O545,0),20),0))))"),0)</f>
        <v>0</v>
      </c>
      <c r="W549">
        <v>2</v>
      </c>
      <c r="X549">
        <v>0</v>
      </c>
      <c r="Y549">
        <v>0</v>
      </c>
      <c r="Z549">
        <v>0</v>
      </c>
      <c r="AA549">
        <v>0</v>
      </c>
      <c r="AB549" s="30">
        <f>IF(B549="Sling Bullet (Stone)",ROUNDUP(D549*0.02*E549/'Ingredient stats'!$C$8,0),0)</f>
        <v>0</v>
      </c>
      <c r="AC549" t="str">
        <f t="shared" si="20"/>
        <v>None</v>
      </c>
      <c r="AD549" t="str">
        <f>IF(OR(B549="Buck",B549="Bird",B549="Charge (Scatter)"),'Ammo Input'!J549,"None")</f>
        <v>None</v>
      </c>
      <c r="AE549" t="str">
        <f>_xlfn.IFS(ISTEXT(Calcs!N549),Calcs!N549,Calcs!N549&lt;=40,Calcs!N549,Calcs!N549&gt;41,"40")</f>
        <v>None</v>
      </c>
      <c r="AF549" t="str">
        <f>_xlfn.IFS(ISTEXT(Calcs!O549),Calcs!O549,Calcs!O549&lt;=80,Calcs!O549,Calcs!O549&gt;=81,"80")</f>
        <v>None</v>
      </c>
      <c r="AG549" s="25">
        <f t="shared" si="21"/>
        <v>1</v>
      </c>
      <c r="AH549" s="25">
        <f t="shared" si="22"/>
        <v>2.2</v>
      </c>
      <c r="AI549" s="25">
        <f t="shared" si="23"/>
        <v>1</v>
      </c>
    </row>
    <row r="550" ht="14.4" spans="1:35">
      <c r="A550" s="24" t="str">
        <f>'Ammo Input'!A550</f>
        <v>7.92×33mm Kurz</v>
      </c>
      <c r="B550" t="str">
        <f>'Ammo Input'!B550</f>
        <v>AP-HE</v>
      </c>
      <c r="C550">
        <f>ROUNDUP(('Ammo Input'!C550*(MAX('Ammo Input'!D550,'Ammo Input'!F550)*0.5)^2*PI())*3/1000000,2)</f>
        <v>0.02</v>
      </c>
      <c r="D550">
        <f>ROUNDUP(('Ammo Input'!E550+'Ammo Input'!H550*IF('Ammo Input'!J550&lt;&gt;"",MAX('Ammo Input'!J550,1),1))/1000,3)</f>
        <v>0.019</v>
      </c>
      <c r="E550">
        <f>MIN(5000,MAX(25,CEILING(Calcs!L550,_xlfn.IFS(Calcs!L550&lt;100,25,Calcs!L550&lt;250,50,Calcs!L550&lt;1000,250,Calcs!L550&gt;=1000,1000))))</f>
        <v>5000</v>
      </c>
      <c r="F550">
        <f>ROUNDUP('Ammo Input'!G550^(3/4),0)</f>
        <v>134</v>
      </c>
      <c r="G550">
        <f>ROUND((0.5*((IF(OR(B550="HEAT",B550="HEDP"),'Ammo Input'!N550,'Ammo Input'!H550)/1000)*(IF(B550="HEAT",9000,IF(B550="HEDP",1500,'Ammo Input'!G550))^2))),0)</f>
        <v>1877</v>
      </c>
      <c r="H550" s="25" t="str">
        <f>CONCATENATE(IF((B550="Foam")+(B550="Smoke"),"-",ROUND(Calcs!D550,0))," ",VLOOKUP(B550,AmmoTypeFactors,5,FALSE))</f>
        <v>16 Bullet</v>
      </c>
      <c r="I550" s="25" t="str">
        <f>IF(Calcs!E550=0,"None",CONCATENATE(ROUND(Calcs!E550,0)," ",VLOOKUP(B550,AmmoTypeFactors,6,FALSE)))</f>
        <v>7 Bomb_Secondary</v>
      </c>
      <c r="J550">
        <f>MROUND(2.42*'Ammo Input'!M550^(1/3)*VLOOKUP(B550,AmmoTypeFactors,3,FALSE),0.5)</f>
        <v>0</v>
      </c>
      <c r="K550" s="25" t="str">
        <f>IF(VLOOKUP(B550,AmmoTypeFactors,12,FALSE),MROUND(J550/3,0.5),"None")</f>
        <v>None</v>
      </c>
      <c r="L550" s="25">
        <f>IF(VLOOKUP(B550,AmmoTypeFactors,8,FALSE),"None",ROUNDUP(IF(Calcs!I550&gt;0,Calcs!I550,Calcs!H550),3))</f>
        <v>37.54</v>
      </c>
      <c r="M550" s="25">
        <f>IF(VLOOKUP(B550,AmmoTypeFactors,8,FALSE),"None",'Ammo Input'!L550)</f>
        <v>5</v>
      </c>
      <c r="N550">
        <f>'Ammo Input'!O550</f>
        <v>500</v>
      </c>
      <c r="O550" t="e">
        <f>ROUND((P550*0.0036+SUMPRODUCT(Q550:AB550,VLOOKUP($Q$1:$AB$1,IngredientStats,2,FALSE)))/N550*IF('Ammo Input'!R550,0.5,1),2)</f>
        <v>#VALUE!</v>
      </c>
      <c r="P550" t="e">
        <f>(SUMPRODUCT(Q550:AB550,VLOOKUP($Q$1:$AB$1,IngredientStats,4,FALSE))*VLOOKUP(B550,AmmoTypeFactors,14,FALSE)*IF('Ammo Input'!R550,1.1,1))</f>
        <v>#VALUE!</v>
      </c>
      <c r="Q550">
        <f>IFERROR(__xludf.DUMMYFUNCTION("((IF(NOT(OR(REGEXMATCH(B546, ""Arrow""), B546 = ""Javelin"", B546 = ""Stick bomb"")), ROUNDUP(('Ammo Input'!E546 / 1000) * N546)) + IF(VLOOKUP(B546, AmmoTypeFactors, 9, FALSE) = ""Steel"", ROUNDUP(('Ammo Input'!H546 -'Ammo Input'!M546) * MAX(IF('Ammo Inpu"&amp;"t'!J546 &gt; 0, 'Ammo Input'!J546, 1), 1) * N546 / 1000))) / 'Ingredient stats'!$C$2) * IF(ISBLANK(VLOOKUP(B546,AmmoTypeFactors,15,False)),1,VLOOKUP(B546,AmmoTypeFactors,15,False))"),20)</f>
        <v>20</v>
      </c>
      <c r="R550">
        <f>IFERROR(__xludf.DUMMYFUNCTION("ROUNDUP((IF(REGEXMATCH(B546, ""Arrow"") + (B546 = ""Javelin""), 'Ammo Input'!E546) + IF(VLOOKUP(B546, AmmoTypeFactors, 9, FALSE) = ""Wood"", 'Ammo Input'!H546) + IF(B546 = ""Stick bomb"", 'Ammo Input'!E546)) * N546 / 'Ingredient stats'!$C$12 / 1000)"),0)</f>
        <v>0</v>
      </c>
      <c r="S550">
        <v>0</v>
      </c>
      <c r="T550">
        <v>0</v>
      </c>
      <c r="U550">
        <f>IF(VLOOKUP(B550,AmmoTypeFactors,9,FALSE)="Plasteel",ROUNDUP(('Ammo Input'!H550*MAX(IF('Ammo Input'!J550&gt;0,'Ammo Input'!J550,1)*N550/1000/'Ingredient stats'!$C$4)),0),0)</f>
        <v>0</v>
      </c>
      <c r="V550">
        <f>IFERROR(__xludf.DUMMYFUNCTION("ROUNDUP(IF(ISBLANK(VLOOKUP(B546,AmmoTypeFactors,16,False)),1,VLOOKUP(B546,AmmoTypeFactors,16,False)) * (IFS(REGEXMATCH(B546, ""EMP""), 'Ammo Input'!M546 * N546 / 'Ingredient stats'!$C$5, REGEXMATCH(B546, ""Charge""), (U546^0.75), true, 0) + (IF(VLOOKUP(B5"&amp;"46, AmmoTypeFactors, 10, false), 2,0) + IF('Ammo Input'!P546, 2,0) + IF('Ammo Input'!Q546,MIN(ROUNDUP(0.2*('Ammo Input'!H546/1000)*'Ammo Input'!O546,0),20),0))))"),0)</f>
        <v>0</v>
      </c>
      <c r="W550">
        <v>0</v>
      </c>
      <c r="X550">
        <v>5</v>
      </c>
      <c r="Y550">
        <v>0</v>
      </c>
      <c r="Z550">
        <v>0</v>
      </c>
      <c r="AA550">
        <v>0</v>
      </c>
      <c r="AB550" s="30">
        <f>IF(B550="Sling Bullet (Stone)",ROUNDUP(D550*0.02*E550/'Ingredient stats'!$C$8,0),0)</f>
        <v>0</v>
      </c>
      <c r="AC550" t="str">
        <f t="shared" si="20"/>
        <v>None</v>
      </c>
      <c r="AD550" t="str">
        <f>IF(OR(B550="Buck",B550="Bird",B550="Charge (Scatter)"),'Ammo Input'!J550,"None")</f>
        <v>None</v>
      </c>
      <c r="AE550" t="str">
        <f>_xlfn.IFS(ISTEXT(Calcs!N550),Calcs!N550,Calcs!N550&lt;=40,Calcs!N550,Calcs!N550&gt;41,"40")</f>
        <v>None</v>
      </c>
      <c r="AF550" t="str">
        <f>_xlfn.IFS(ISTEXT(Calcs!O550),Calcs!O550,Calcs!O550&lt;=80,Calcs!O550,Calcs!O550&gt;=81,"80")</f>
        <v>None</v>
      </c>
      <c r="AG550" s="25">
        <f t="shared" si="21"/>
        <v>1</v>
      </c>
      <c r="AH550" s="25">
        <f t="shared" si="22"/>
        <v>2.2</v>
      </c>
      <c r="AI550" s="25">
        <f t="shared" si="23"/>
        <v>1</v>
      </c>
    </row>
    <row r="551" ht="14.4" spans="1:35">
      <c r="A551" s="24" t="str">
        <f>'Ammo Input'!A551</f>
        <v>7.92×33mm Kurz</v>
      </c>
      <c r="B551" t="str">
        <f>'Ammo Input'!B551</f>
        <v>Sabot</v>
      </c>
      <c r="C551">
        <f>ROUNDUP(('Ammo Input'!C551*(MAX('Ammo Input'!D551,'Ammo Input'!F551)*0.5)^2*PI())*3/1000000,2)</f>
        <v>0.02</v>
      </c>
      <c r="D551">
        <f>ROUNDUP(('Ammo Input'!E551+'Ammo Input'!H551*IF('Ammo Input'!J551&lt;&gt;"",MAX('Ammo Input'!J551,1),1))/1000,3)</f>
        <v>0.015</v>
      </c>
      <c r="E551">
        <f>MIN(5000,MAX(25,CEILING(Calcs!L551,_xlfn.IFS(Calcs!L551&lt;100,25,Calcs!L551&lt;250,50,Calcs!L551&lt;1000,250,Calcs!L551&gt;=1000,1000))))</f>
        <v>5000</v>
      </c>
      <c r="F551">
        <f>ROUNDUP('Ammo Input'!G551^(3/4),0)</f>
        <v>182</v>
      </c>
      <c r="G551">
        <f>ROUND((0.5*((IF(OR(B551="HEAT",B551="HEDP"),'Ammo Input'!N551,'Ammo Input'!H551)/1000)*(IF(B551="HEAT",9000,IF(B551="HEDP",1500,'Ammo Input'!G551))^2))),0)</f>
        <v>2418</v>
      </c>
      <c r="H551" s="25" t="str">
        <f>CONCATENATE(IF((B551="Foam")+(B551="Smoke"),"-",ROUND(Calcs!D551,0))," ",VLOOKUP(B551,AmmoTypeFactors,5,FALSE))</f>
        <v>9 Bullet</v>
      </c>
      <c r="I551" s="25" t="str">
        <f>IF(Calcs!E551=0,"None",CONCATENATE(ROUND(Calcs!E551,0)," ",VLOOKUP(B551,AmmoTypeFactors,6,FALSE)))</f>
        <v>None</v>
      </c>
      <c r="J551">
        <f>MROUND(2.42*'Ammo Input'!M551^(1/3)*VLOOKUP(B551,AmmoTypeFactors,3,FALSE),0.5)</f>
        <v>0</v>
      </c>
      <c r="K551" s="25" t="str">
        <f>IF(VLOOKUP(B551,AmmoTypeFactors,12,FALSE),MROUND(J551/3,0.5),"None")</f>
        <v>None</v>
      </c>
      <c r="L551" s="25">
        <f>IF(VLOOKUP(B551,AmmoTypeFactors,8,FALSE),"None",ROUNDUP(IF(Calcs!I551&gt;0,Calcs!I551,Calcs!H551),3))</f>
        <v>48.36</v>
      </c>
      <c r="M551" s="25">
        <f>IF(VLOOKUP(B551,AmmoTypeFactors,8,FALSE),"None",'Ammo Input'!L551)</f>
        <v>17.5</v>
      </c>
      <c r="N551">
        <f>'Ammo Input'!O551</f>
        <v>500</v>
      </c>
      <c r="O551" t="e">
        <f>ROUND((P551*0.0036+SUMPRODUCT(Q551:AB551,VLOOKUP($Q$1:$AB$1,IngredientStats,2,FALSE)))/N551*IF('Ammo Input'!R551,0.5,1),2)</f>
        <v>#VALUE!</v>
      </c>
      <c r="P551" t="e">
        <f>(SUMPRODUCT(Q551:AB551,VLOOKUP($Q$1:$AB$1,IngredientStats,4,FALSE))*VLOOKUP(B551,AmmoTypeFactors,14,FALSE)*IF('Ammo Input'!R551,1.1,1))</f>
        <v>#VALUE!</v>
      </c>
      <c r="Q551">
        <f>IFERROR(__xludf.DUMMYFUNCTION("((IF(NOT(OR(REGEXMATCH(B547, ""Arrow""), B547 = ""Javelin"", B547 = ""Stick bomb"")), ROUNDUP(('Ammo Input'!E547 / 1000) * N547)) + IF(VLOOKUP(B547, AmmoTypeFactors, 9, FALSE) = ""Steel"", ROUNDUP(('Ammo Input'!H547 -'Ammo Input'!M547) * MAX(IF('Ammo Inpu"&amp;"t'!J547 &gt; 0, 'Ammo Input'!J547, 1), 1) * N547 / 1000))) / 'Ingredient stats'!$C$2) * IF(ISBLANK(VLOOKUP(B547,AmmoTypeFactors,15,False)),1,VLOOKUP(B547,AmmoTypeFactors,15,False))"),12)</f>
        <v>12</v>
      </c>
      <c r="R551">
        <f>IFERROR(__xludf.DUMMYFUNCTION("ROUNDUP((IF(REGEXMATCH(B547, ""Arrow"") + (B547 = ""Javelin""), 'Ammo Input'!E547) + IF(VLOOKUP(B547, AmmoTypeFactors, 9, FALSE) = ""Wood"", 'Ammo Input'!H547) + IF(B547 = ""Stick bomb"", 'Ammo Input'!E547)) * N547 / 'Ingredient stats'!$C$12 / 1000)"),0)</f>
        <v>0</v>
      </c>
      <c r="S551">
        <v>3</v>
      </c>
      <c r="T551">
        <v>3</v>
      </c>
      <c r="U551">
        <f>IF(VLOOKUP(B551,AmmoTypeFactors,9,FALSE)="Plasteel",ROUNDUP(('Ammo Input'!H551*MAX(IF('Ammo Input'!J551&gt;0,'Ammo Input'!J551,1)*N551/1000/'Ingredient stats'!$C$4)),0),0)</f>
        <v>0</v>
      </c>
      <c r="V551">
        <f>IFERROR(__xludf.DUMMYFUNCTION("ROUNDUP(IF(ISBLANK(VLOOKUP(B547,AmmoTypeFactors,16,False)),1,VLOOKUP(B547,AmmoTypeFactors,16,False)) * (IFS(REGEXMATCH(B547, ""EMP""), 'Ammo Input'!M547 * N547 / 'Ingredient stats'!$C$5, REGEXMATCH(B547, ""Charge""), (U547^0.75), true, 0) + (IF(VLOOKUP(B5"&amp;"47, AmmoTypeFactors, 10, false), 2,0) + IF('Ammo Input'!P547, 2,0) + IF('Ammo Input'!Q547,MIN(ROUNDUP(0.2*('Ammo Input'!H547/1000)*'Ammo Input'!O547,0),20),0))))"),0)</f>
        <v>0</v>
      </c>
      <c r="W551">
        <v>0</v>
      </c>
      <c r="X551">
        <v>0</v>
      </c>
      <c r="Y551">
        <v>0</v>
      </c>
      <c r="Z551">
        <v>0</v>
      </c>
      <c r="AA551">
        <v>0</v>
      </c>
      <c r="AB551" s="30">
        <f>IF(B551="Sling Bullet (Stone)",ROUNDUP(D551*0.02*E551/'Ingredient stats'!$C$8,0),0)</f>
        <v>0</v>
      </c>
      <c r="AC551" t="str">
        <f t="shared" si="20"/>
        <v>None</v>
      </c>
      <c r="AD551" t="str">
        <f>IF(OR(B551="Buck",B551="Bird",B551="Charge (Scatter)"),'Ammo Input'!J551,"None")</f>
        <v>None</v>
      </c>
      <c r="AE551" t="str">
        <f>_xlfn.IFS(ISTEXT(Calcs!N551),Calcs!N551,Calcs!N551&lt;=40,Calcs!N551,Calcs!N551&gt;41,"40")</f>
        <v>None</v>
      </c>
      <c r="AF551" t="str">
        <f>_xlfn.IFS(ISTEXT(Calcs!O551),Calcs!O551,Calcs!O551&lt;=80,Calcs!O551,Calcs!O551&gt;=81,"80")</f>
        <v>None</v>
      </c>
      <c r="AG551" s="25">
        <f t="shared" si="21"/>
        <v>1</v>
      </c>
      <c r="AH551" s="25">
        <f t="shared" si="22"/>
        <v>2.99</v>
      </c>
      <c r="AI551" s="25">
        <f t="shared" si="23"/>
        <v>1</v>
      </c>
    </row>
    <row r="552" ht="14.4" spans="1:35">
      <c r="A552" s="24" t="str">
        <f>'Ammo Input'!A552</f>
        <v>8x50mmR Mannlicher</v>
      </c>
      <c r="B552" t="str">
        <f>'Ammo Input'!B552</f>
        <v>FMJ</v>
      </c>
      <c r="C552">
        <f>ROUNDUP(('Ammo Input'!C552*(MAX('Ammo Input'!D552,'Ammo Input'!F552)*0.5)^2*PI())*3/1000000,2)</f>
        <v>0.03</v>
      </c>
      <c r="D552">
        <f>ROUNDUP(('Ammo Input'!E552+'Ammo Input'!H552*IF('Ammo Input'!J552&lt;&gt;"",MAX('Ammo Input'!J552,1),1))/1000,3)</f>
        <v>0.031</v>
      </c>
      <c r="E552">
        <f>MIN(5000,MAX(25,CEILING(Calcs!L552,_xlfn.IFS(Calcs!L552&lt;100,25,Calcs!L552&lt;250,50,Calcs!L552&lt;1000,250,Calcs!L552&gt;=1000,1000))))</f>
        <v>5000</v>
      </c>
      <c r="F552">
        <f>ROUNDUP('Ammo Input'!G552^(3/4),0)</f>
        <v>121</v>
      </c>
      <c r="G552">
        <f>ROUND((0.5*((IF(OR(B552="HEAT",B552="HEDP"),'Ammo Input'!N552,'Ammo Input'!H552)/1000)*(IF(B552="HEAT",9000,IF(B552="HEDP",1500,'Ammo Input'!G552))^2))),0)</f>
        <v>2787</v>
      </c>
      <c r="H552" s="25" t="str">
        <f>CONCATENATE(IF((B552="Foam")+(B552="Smoke"),"-",ROUND(Calcs!D552,0))," ",VLOOKUP(B552,AmmoTypeFactors,5,FALSE))</f>
        <v>19 Bullet</v>
      </c>
      <c r="I552" s="25" t="str">
        <f>IF(Calcs!E552=0,"None",CONCATENATE(ROUND(Calcs!E552,0)," ",VLOOKUP(B552,AmmoTypeFactors,6,FALSE)))</f>
        <v>None</v>
      </c>
      <c r="J552">
        <f>MROUND(2.42*'Ammo Input'!M552^(1/3)*VLOOKUP(B552,AmmoTypeFactors,3,FALSE),0.5)</f>
        <v>0</v>
      </c>
      <c r="K552" s="25" t="str">
        <f>IF(VLOOKUP(B552,AmmoTypeFactors,12,FALSE),MROUND(J552/3,0.5),"None")</f>
        <v>None</v>
      </c>
      <c r="L552" s="25">
        <f>IF(VLOOKUP(B552,AmmoTypeFactors,8,FALSE),"None",ROUNDUP(IF(Calcs!I552&gt;0,Calcs!I552,Calcs!H552),3))</f>
        <v>55.74</v>
      </c>
      <c r="M552" s="25">
        <f>IF(VLOOKUP(B552,AmmoTypeFactors,8,FALSE),"None",'Ammo Input'!L552)</f>
        <v>5.5</v>
      </c>
      <c r="N552">
        <f>'Ammo Input'!O552</f>
        <v>500</v>
      </c>
      <c r="O552" t="e">
        <f>ROUND((P552*0.0036+SUMPRODUCT(Q552:AB552,VLOOKUP($Q$1:$AB$1,IngredientStats,2,FALSE)))/N552*IF('Ammo Input'!R552,0.5,1),2)</f>
        <v>#VALUE!</v>
      </c>
      <c r="P552" t="e">
        <f>(SUMPRODUCT(Q552:AB552,VLOOKUP($Q$1:$AB$1,IngredientStats,4,FALSE))*VLOOKUP(B552,AmmoTypeFactors,14,FALSE)*IF('Ammo Input'!R552,1.1,1))</f>
        <v>#VALUE!</v>
      </c>
      <c r="Q552">
        <f>IFERROR(__xludf.DUMMYFUNCTION("((IF(NOT(OR(REGEXMATCH(B548, ""Arrow""), B548 = ""Javelin"", B548 = ""Stick bomb"")), ROUNDUP(('Ammo Input'!E548 / 1000) * N548)) + IF(VLOOKUP(B548, AmmoTypeFactors, 9, FALSE) = ""Steel"", ROUNDUP(('Ammo Input'!H548 -'Ammo Input'!M548) * MAX(IF('Ammo Inpu"&amp;"t'!J548 &gt; 0, 'Ammo Input'!J548, 1), 1) * N548 / 1000))) / 'Ingredient stats'!$C$2) * IF(ISBLANK(VLOOKUP(B548,AmmoTypeFactors,15,False)),1,VLOOKUP(B548,AmmoTypeFactors,15,False))"),32)</f>
        <v>32</v>
      </c>
      <c r="R552">
        <f>IFERROR(__xludf.DUMMYFUNCTION("ROUNDUP((IF(REGEXMATCH(B548, ""Arrow"") + (B548 = ""Javelin""), 'Ammo Input'!E548) + IF(VLOOKUP(B548, AmmoTypeFactors, 9, FALSE) = ""Wood"", 'Ammo Input'!H548) + IF(B548 = ""Stick bomb"", 'Ammo Input'!E548)) * N548 / 'Ingredient stats'!$C$12 / 1000)"),0)</f>
        <v>0</v>
      </c>
      <c r="S552">
        <v>0</v>
      </c>
      <c r="T552">
        <v>0</v>
      </c>
      <c r="U552">
        <f>IF(VLOOKUP(B552,AmmoTypeFactors,9,FALSE)="Plasteel",ROUNDUP(('Ammo Input'!H552*MAX(IF('Ammo Input'!J552&gt;0,'Ammo Input'!J552,1)*N552/1000/'Ingredient stats'!$C$4)),0),0)</f>
        <v>0</v>
      </c>
      <c r="V552">
        <f>IFERROR(__xludf.DUMMYFUNCTION("ROUNDUP(IF(ISBLANK(VLOOKUP(B548,AmmoTypeFactors,16,False)),1,VLOOKUP(B548,AmmoTypeFactors,16,False)) * (IFS(REGEXMATCH(B548, ""EMP""), 'Ammo Input'!M548 * N548 / 'Ingredient stats'!$C$5, REGEXMATCH(B548, ""Charge""), (U548^0.75), true, 0) + (IF(VLOOKUP(B5"&amp;"48, AmmoTypeFactors, 10, false), 2,0) + IF('Ammo Input'!P548, 2,0) + IF('Ammo Input'!Q548,MIN(ROUNDUP(0.2*('Ammo Input'!H548/1000)*'Ammo Input'!O548,0),20),0))))"),0)</f>
        <v>0</v>
      </c>
      <c r="W552">
        <v>0</v>
      </c>
      <c r="X552">
        <v>0</v>
      </c>
      <c r="Y552">
        <v>0</v>
      </c>
      <c r="Z552">
        <v>0</v>
      </c>
      <c r="AA552">
        <v>0</v>
      </c>
      <c r="AB552" s="30">
        <f>IF(B552="Sling Bullet (Stone)",ROUNDUP(D552*0.02*E552/'Ingredient stats'!$C$8,0),0)</f>
        <v>0</v>
      </c>
      <c r="AC552" t="str">
        <f t="shared" si="20"/>
        <v>None</v>
      </c>
      <c r="AD552" t="str">
        <f>IF(OR(B552="Buck",B552="Bird",B552="Charge (Scatter)"),'Ammo Input'!J552,"None")</f>
        <v>None</v>
      </c>
      <c r="AE552" t="str">
        <f>_xlfn.IFS(ISTEXT(Calcs!N552),Calcs!N552,Calcs!N552&lt;=40,Calcs!N552,Calcs!N552&gt;41,"40")</f>
        <v>None</v>
      </c>
      <c r="AF552" t="str">
        <f>_xlfn.IFS(ISTEXT(Calcs!O552),Calcs!O552,Calcs!O552&lt;=80,Calcs!O552,Calcs!O552&gt;=81,"80")</f>
        <v>None</v>
      </c>
      <c r="AG552" s="25">
        <f t="shared" si="21"/>
        <v>1</v>
      </c>
      <c r="AH552" s="25">
        <f t="shared" si="22"/>
        <v>1.98</v>
      </c>
      <c r="AI552" s="25">
        <f t="shared" si="23"/>
        <v>1</v>
      </c>
    </row>
    <row r="553" ht="14.4" spans="1:35">
      <c r="A553" s="24" t="str">
        <f>'Ammo Input'!A553</f>
        <v>8x50mmR Mannlicher</v>
      </c>
      <c r="B553" t="str">
        <f>'Ammo Input'!B553</f>
        <v>AP</v>
      </c>
      <c r="C553">
        <f>ROUNDUP(('Ammo Input'!C553*(MAX('Ammo Input'!D553,'Ammo Input'!F553)*0.5)^2*PI())*3/1000000,2)</f>
        <v>0.03</v>
      </c>
      <c r="D553">
        <f>ROUNDUP(('Ammo Input'!E553+'Ammo Input'!H553*IF('Ammo Input'!J553&lt;&gt;"",MAX('Ammo Input'!J553,1),1))/1000,3)</f>
        <v>0.031</v>
      </c>
      <c r="E553">
        <f>MIN(5000,MAX(25,CEILING(Calcs!L553,_xlfn.IFS(Calcs!L553&lt;100,25,Calcs!L553&lt;250,50,Calcs!L553&lt;1000,250,Calcs!L553&gt;=1000,1000))))</f>
        <v>5000</v>
      </c>
      <c r="F553">
        <f>ROUNDUP('Ammo Input'!G553^(3/4),0)</f>
        <v>121</v>
      </c>
      <c r="G553">
        <f>ROUND((0.5*((IF(OR(B553="HEAT",B553="HEDP"),'Ammo Input'!N553,'Ammo Input'!H553)/1000)*(IF(B553="HEAT",9000,IF(B553="HEDP",1500,'Ammo Input'!G553))^2))),0)</f>
        <v>2787</v>
      </c>
      <c r="H553" s="25" t="str">
        <f>CONCATENATE(IF((B553="Foam")+(B553="Smoke"),"-",ROUND(Calcs!D553,0))," ",VLOOKUP(B553,AmmoTypeFactors,5,FALSE))</f>
        <v>12 Bullet</v>
      </c>
      <c r="I553" s="25" t="str">
        <f>IF(Calcs!E553=0,"None",CONCATENATE(ROUND(Calcs!E553,0)," ",VLOOKUP(B553,AmmoTypeFactors,6,FALSE)))</f>
        <v>None</v>
      </c>
      <c r="J553">
        <f>MROUND(2.42*'Ammo Input'!M553^(1/3)*VLOOKUP(B553,AmmoTypeFactors,3,FALSE),0.5)</f>
        <v>0</v>
      </c>
      <c r="K553" s="25" t="str">
        <f>IF(VLOOKUP(B553,AmmoTypeFactors,12,FALSE),MROUND(J553/3,0.5),"None")</f>
        <v>None</v>
      </c>
      <c r="L553" s="25">
        <f>IF(VLOOKUP(B553,AmmoTypeFactors,8,FALSE),"None",ROUNDUP(IF(Calcs!I553&gt;0,Calcs!I553,Calcs!H553),3))</f>
        <v>55.74</v>
      </c>
      <c r="M553" s="25">
        <f>IF(VLOOKUP(B553,AmmoTypeFactors,8,FALSE),"None",'Ammo Input'!L553)</f>
        <v>11</v>
      </c>
      <c r="N553">
        <f>'Ammo Input'!O553</f>
        <v>500</v>
      </c>
      <c r="O553" t="e">
        <f>ROUND((P553*0.0036+SUMPRODUCT(Q553:AB553,VLOOKUP($Q$1:$AB$1,IngredientStats,2,FALSE)))/N553*IF('Ammo Input'!R553,0.5,1),2)</f>
        <v>#VALUE!</v>
      </c>
      <c r="P553" t="e">
        <f>(SUMPRODUCT(Q553:AB553,VLOOKUP($Q$1:$AB$1,IngredientStats,4,FALSE))*VLOOKUP(B553,AmmoTypeFactors,14,FALSE)*IF('Ammo Input'!R553,1.1,1))</f>
        <v>#VALUE!</v>
      </c>
      <c r="Q553">
        <f>IFERROR(__xludf.DUMMYFUNCTION("((IF(NOT(OR(REGEXMATCH(B549, ""Arrow""), B549 = ""Javelin"", B549 = ""Stick bomb"")), ROUNDUP(('Ammo Input'!E549 / 1000) * N549)) + IF(VLOOKUP(B549, AmmoTypeFactors, 9, FALSE) = ""Steel"", ROUNDUP(('Ammo Input'!H549 -'Ammo Input'!M549) * MAX(IF('Ammo Inpu"&amp;"t'!J549 &gt; 0, 'Ammo Input'!J549, 1), 1) * N549 / 1000))) / 'Ingredient stats'!$C$2) * IF(ISBLANK(VLOOKUP(B549,AmmoTypeFactors,15,False)),1,VLOOKUP(B549,AmmoTypeFactors,15,False))"),32)</f>
        <v>32</v>
      </c>
      <c r="R553">
        <f>IFERROR(__xludf.DUMMYFUNCTION("ROUNDUP((IF(REGEXMATCH(B549, ""Arrow"") + (B549 = ""Javelin""), 'Ammo Input'!E549) + IF(VLOOKUP(B549, AmmoTypeFactors, 9, FALSE) = ""Wood"", 'Ammo Input'!H549) + IF(B549 = ""Stick bomb"", 'Ammo Input'!E549)) * N549 / 'Ingredient stats'!$C$12 / 1000)"),0)</f>
        <v>0</v>
      </c>
      <c r="S553">
        <v>0</v>
      </c>
      <c r="T553">
        <v>0</v>
      </c>
      <c r="U553">
        <f>IF(VLOOKUP(B553,AmmoTypeFactors,9,FALSE)="Plasteel",ROUNDUP(('Ammo Input'!H553*MAX(IF('Ammo Input'!J553&gt;0,'Ammo Input'!J553,1)*N553/1000/'Ingredient stats'!$C$4)),0),0)</f>
        <v>0</v>
      </c>
      <c r="V553">
        <f>IFERROR(__xludf.DUMMYFUNCTION("ROUNDUP(IF(ISBLANK(VLOOKUP(B549,AmmoTypeFactors,16,False)),1,VLOOKUP(B549,AmmoTypeFactors,16,False)) * (IFS(REGEXMATCH(B549, ""EMP""), 'Ammo Input'!M549 * N549 / 'Ingredient stats'!$C$5, REGEXMATCH(B549, ""Charge""), (U549^0.75), true, 0) + (IF(VLOOKUP(B5"&amp;"49, AmmoTypeFactors, 10, false), 2,0) + IF('Ammo Input'!P549, 2,0) + IF('Ammo Input'!Q549,MIN(ROUNDUP(0.2*('Ammo Input'!H549/1000)*'Ammo Input'!O549,0),20),0))))"),0)</f>
        <v>0</v>
      </c>
      <c r="W553">
        <v>0</v>
      </c>
      <c r="X553">
        <v>0</v>
      </c>
      <c r="Y553">
        <v>0</v>
      </c>
      <c r="Z553">
        <v>0</v>
      </c>
      <c r="AA553">
        <v>0</v>
      </c>
      <c r="AB553" s="30">
        <f>IF(B553="Sling Bullet (Stone)",ROUNDUP(D553*0.02*E553/'Ingredient stats'!$C$8,0),0)</f>
        <v>0</v>
      </c>
      <c r="AC553" t="str">
        <f t="shared" si="20"/>
        <v>None</v>
      </c>
      <c r="AD553" t="str">
        <f>IF(OR(B553="Buck",B553="Bird",B553="Charge (Scatter)"),'Ammo Input'!J553,"None")</f>
        <v>None</v>
      </c>
      <c r="AE553" t="str">
        <f>_xlfn.IFS(ISTEXT(Calcs!N553),Calcs!N553,Calcs!N553&lt;=40,Calcs!N553,Calcs!N553&gt;41,"40")</f>
        <v>None</v>
      </c>
      <c r="AF553" t="str">
        <f>_xlfn.IFS(ISTEXT(Calcs!O553),Calcs!O553,Calcs!O553&lt;=80,Calcs!O553,Calcs!O553&gt;=81,"80")</f>
        <v>None</v>
      </c>
      <c r="AG553" s="25">
        <f t="shared" si="21"/>
        <v>1</v>
      </c>
      <c r="AH553" s="25">
        <f t="shared" si="22"/>
        <v>1.98</v>
      </c>
      <c r="AI553" s="25">
        <f t="shared" si="23"/>
        <v>1</v>
      </c>
    </row>
    <row r="554" ht="14.4" spans="1:35">
      <c r="A554" s="24" t="str">
        <f>'Ammo Input'!A554</f>
        <v>8x50mmR Mannlicher</v>
      </c>
      <c r="B554" t="str">
        <f>'Ammo Input'!B554</f>
        <v>HP</v>
      </c>
      <c r="C554">
        <f>ROUNDUP(('Ammo Input'!C554*(MAX('Ammo Input'!D554,'Ammo Input'!F554)*0.5)^2*PI())*3/1000000,2)</f>
        <v>0.03</v>
      </c>
      <c r="D554">
        <f>ROUNDUP(('Ammo Input'!E554+'Ammo Input'!H554*IF('Ammo Input'!J554&lt;&gt;"",MAX('Ammo Input'!J554,1),1))/1000,3)</f>
        <v>0.031</v>
      </c>
      <c r="E554">
        <f>MIN(5000,MAX(25,CEILING(Calcs!L554,_xlfn.IFS(Calcs!L554&lt;100,25,Calcs!L554&lt;250,50,Calcs!L554&lt;1000,250,Calcs!L554&gt;=1000,1000))))</f>
        <v>5000</v>
      </c>
      <c r="F554">
        <f>ROUNDUP('Ammo Input'!G554^(3/4),0)</f>
        <v>121</v>
      </c>
      <c r="G554">
        <f>ROUND((0.5*((IF(OR(B554="HEAT",B554="HEDP"),'Ammo Input'!N554,'Ammo Input'!H554)/1000)*(IF(B554="HEAT",9000,IF(B554="HEDP",1500,'Ammo Input'!G554))^2))),0)</f>
        <v>2787</v>
      </c>
      <c r="H554" s="25" t="str">
        <f>CONCATENATE(IF((B554="Foam")+(B554="Smoke"),"-",ROUND(Calcs!D554,0))," ",VLOOKUP(B554,AmmoTypeFactors,5,FALSE))</f>
        <v>24 Bullet</v>
      </c>
      <c r="I554" s="25" t="str">
        <f>IF(Calcs!E554=0,"None",CONCATENATE(ROUND(Calcs!E554,0)," ",VLOOKUP(B554,AmmoTypeFactors,6,FALSE)))</f>
        <v>None</v>
      </c>
      <c r="J554">
        <f>MROUND(2.42*'Ammo Input'!M554^(1/3)*VLOOKUP(B554,AmmoTypeFactors,3,FALSE),0.5)</f>
        <v>0</v>
      </c>
      <c r="K554" s="25" t="str">
        <f>IF(VLOOKUP(B554,AmmoTypeFactors,12,FALSE),MROUND(J554/3,0.5),"None")</f>
        <v>None</v>
      </c>
      <c r="L554" s="25">
        <f>IF(VLOOKUP(B554,AmmoTypeFactors,8,FALSE),"None",ROUNDUP(IF(Calcs!I554&gt;0,Calcs!I554,Calcs!H554),3))</f>
        <v>55.74</v>
      </c>
      <c r="M554" s="25">
        <f>IF(VLOOKUP(B554,AmmoTypeFactors,8,FALSE),"None",'Ammo Input'!L554)</f>
        <v>3</v>
      </c>
      <c r="N554">
        <f>'Ammo Input'!O554</f>
        <v>500</v>
      </c>
      <c r="O554" t="e">
        <f>ROUND((P554*0.0036+SUMPRODUCT(Q554:AB554,VLOOKUP($Q$1:$AB$1,IngredientStats,2,FALSE)))/N554*IF('Ammo Input'!R554,0.5,1),2)</f>
        <v>#VALUE!</v>
      </c>
      <c r="P554" t="e">
        <f>(SUMPRODUCT(Q554:AB554,VLOOKUP($Q$1:$AB$1,IngredientStats,4,FALSE))*VLOOKUP(B554,AmmoTypeFactors,14,FALSE)*IF('Ammo Input'!R554,1.1,1))</f>
        <v>#VALUE!</v>
      </c>
      <c r="Q554">
        <f>IFERROR(__xludf.DUMMYFUNCTION("((IF(NOT(OR(REGEXMATCH(B550, ""Arrow""), B550 = ""Javelin"", B550 = ""Stick bomb"")), ROUNDUP(('Ammo Input'!E550 / 1000) * N550)) + IF(VLOOKUP(B550, AmmoTypeFactors, 9, FALSE) = ""Steel"", ROUNDUP(('Ammo Input'!H550 -'Ammo Input'!M550) * MAX(IF('Ammo Inpu"&amp;"t'!J550 &gt; 0, 'Ammo Input'!J550, 1), 1) * N550 / 1000))) / 'Ingredient stats'!$C$2) * IF(ISBLANK(VLOOKUP(B550,AmmoTypeFactors,15,False)),1,VLOOKUP(B550,AmmoTypeFactors,15,False))"),32)</f>
        <v>32</v>
      </c>
      <c r="R554">
        <f>IFERROR(__xludf.DUMMYFUNCTION("ROUNDUP((IF(REGEXMATCH(B550, ""Arrow"") + (B550 = ""Javelin""), 'Ammo Input'!E550) + IF(VLOOKUP(B550, AmmoTypeFactors, 9, FALSE) = ""Wood"", 'Ammo Input'!H550) + IF(B550 = ""Stick bomb"", 'Ammo Input'!E550)) * N550 / 'Ingredient stats'!$C$12 / 1000)"),0)</f>
        <v>0</v>
      </c>
      <c r="S554">
        <v>0</v>
      </c>
      <c r="T554">
        <v>0</v>
      </c>
      <c r="U554">
        <f>IF(VLOOKUP(B554,AmmoTypeFactors,9,FALSE)="Plasteel",ROUNDUP(('Ammo Input'!H554*MAX(IF('Ammo Input'!J554&gt;0,'Ammo Input'!J554,1)*N554/1000/'Ingredient stats'!$C$4)),0),0)</f>
        <v>0</v>
      </c>
      <c r="V554">
        <f>IFERROR(__xludf.DUMMYFUNCTION("ROUNDUP(IF(ISBLANK(VLOOKUP(B550,AmmoTypeFactors,16,False)),1,VLOOKUP(B550,AmmoTypeFactors,16,False)) * (IFS(REGEXMATCH(B550, ""EMP""), 'Ammo Input'!M550 * N550 / 'Ingredient stats'!$C$5, REGEXMATCH(B550, ""Charge""), (U550^0.75), true, 0) + (IF(VLOOKUP(B5"&amp;"50, AmmoTypeFactors, 10, false), 2,0) + IF('Ammo Input'!P550, 2,0) + IF('Ammo Input'!Q550,MIN(ROUNDUP(0.2*('Ammo Input'!H550/1000)*'Ammo Input'!O550,0),20),0))))"),0)</f>
        <v>0</v>
      </c>
      <c r="W554">
        <v>0</v>
      </c>
      <c r="X554">
        <v>0</v>
      </c>
      <c r="Y554">
        <v>0</v>
      </c>
      <c r="Z554">
        <v>0</v>
      </c>
      <c r="AA554">
        <v>0</v>
      </c>
      <c r="AB554" s="30">
        <f>IF(B554="Sling Bullet (Stone)",ROUNDUP(D554*0.02*E554/'Ingredient stats'!$C$8,0),0)</f>
        <v>0</v>
      </c>
      <c r="AC554" t="str">
        <f t="shared" si="20"/>
        <v>None</v>
      </c>
      <c r="AD554" t="str">
        <f>IF(OR(B554="Buck",B554="Bird",B554="Charge (Scatter)"),'Ammo Input'!J554,"None")</f>
        <v>None</v>
      </c>
      <c r="AE554" t="str">
        <f>_xlfn.IFS(ISTEXT(Calcs!N554),Calcs!N554,Calcs!N554&lt;=40,Calcs!N554,Calcs!N554&gt;41,"40")</f>
        <v>None</v>
      </c>
      <c r="AF554" t="str">
        <f>_xlfn.IFS(ISTEXT(Calcs!O554),Calcs!O554,Calcs!O554&lt;=80,Calcs!O554,Calcs!O554&gt;=81,"80")</f>
        <v>None</v>
      </c>
      <c r="AG554" s="25">
        <f t="shared" si="21"/>
        <v>1</v>
      </c>
      <c r="AH554" s="25">
        <f t="shared" si="22"/>
        <v>1.98</v>
      </c>
      <c r="AI554" s="25">
        <f t="shared" si="23"/>
        <v>1</v>
      </c>
    </row>
    <row r="555" ht="14.4" spans="1:35">
      <c r="A555" s="24" t="str">
        <f>'Ammo Input'!A555</f>
        <v>8x50mmR Mannlicher</v>
      </c>
      <c r="B555" t="str">
        <f>'Ammo Input'!B555</f>
        <v>AP-I</v>
      </c>
      <c r="C555">
        <f>ROUNDUP(('Ammo Input'!C555*(MAX('Ammo Input'!D555,'Ammo Input'!F555)*0.5)^2*PI())*3/1000000,2)</f>
        <v>0.03</v>
      </c>
      <c r="D555">
        <f>ROUNDUP(('Ammo Input'!E555+'Ammo Input'!H555*IF('Ammo Input'!J555&lt;&gt;"",MAX('Ammo Input'!J555,1),1))/1000,3)</f>
        <v>0.031</v>
      </c>
      <c r="E555">
        <f>MIN(5000,MAX(25,CEILING(Calcs!L555,_xlfn.IFS(Calcs!L555&lt;100,25,Calcs!L555&lt;250,50,Calcs!L555&lt;1000,250,Calcs!L555&gt;=1000,1000))))</f>
        <v>5000</v>
      </c>
      <c r="F555">
        <f>ROUNDUP('Ammo Input'!G555^(3/4),0)</f>
        <v>121</v>
      </c>
      <c r="G555">
        <f>ROUND((0.5*((IF(OR(B555="HEAT",B555="HEDP"),'Ammo Input'!N555,'Ammo Input'!H555)/1000)*(IF(B555="HEAT",9000,IF(B555="HEDP",1500,'Ammo Input'!G555))^2))),0)</f>
        <v>2787</v>
      </c>
      <c r="H555" s="25" t="str">
        <f>CONCATENATE(IF((B555="Foam")+(B555="Smoke"),"-",ROUND(Calcs!D555,0))," ",VLOOKUP(B555,AmmoTypeFactors,5,FALSE))</f>
        <v>12 Bullet</v>
      </c>
      <c r="I555" s="25" t="str">
        <f>IF(Calcs!E555=0,"None",CONCATENATE(ROUND(Calcs!E555,0)," ",VLOOKUP(B555,AmmoTypeFactors,6,FALSE)))</f>
        <v>8 Flame_Secondary</v>
      </c>
      <c r="J555">
        <f>MROUND(2.42*'Ammo Input'!M555^(1/3)*VLOOKUP(B555,AmmoTypeFactors,3,FALSE),0.5)</f>
        <v>0</v>
      </c>
      <c r="K555" s="25" t="str">
        <f>IF(VLOOKUP(B555,AmmoTypeFactors,12,FALSE),MROUND(J555/3,0.5),"None")</f>
        <v>None</v>
      </c>
      <c r="L555" s="25">
        <f>IF(VLOOKUP(B555,AmmoTypeFactors,8,FALSE),"None",ROUNDUP(IF(Calcs!I555&gt;0,Calcs!I555,Calcs!H555),3))</f>
        <v>55.74</v>
      </c>
      <c r="M555" s="25">
        <f>IF(VLOOKUP(B555,AmmoTypeFactors,8,FALSE),"None",'Ammo Input'!L555)</f>
        <v>11</v>
      </c>
      <c r="N555">
        <f>'Ammo Input'!O555</f>
        <v>500</v>
      </c>
      <c r="O555" t="e">
        <f>ROUND((P555*0.0036+SUMPRODUCT(Q555:AB555,VLOOKUP($Q$1:$AB$1,IngredientStats,2,FALSE)))/N555*IF('Ammo Input'!R555,0.5,1),2)</f>
        <v>#VALUE!</v>
      </c>
      <c r="P555" t="e">
        <f>(SUMPRODUCT(Q555:AB555,VLOOKUP($Q$1:$AB$1,IngredientStats,4,FALSE))*VLOOKUP(B555,AmmoTypeFactors,14,FALSE)*IF('Ammo Input'!R555,1.1,1))</f>
        <v>#VALUE!</v>
      </c>
      <c r="Q555">
        <f>IFERROR(__xludf.DUMMYFUNCTION("((IF(NOT(OR(REGEXMATCH(B551, ""Arrow""), B551 = ""Javelin"", B551 = ""Stick bomb"")), ROUNDUP(('Ammo Input'!E551 / 1000) * N551)) + IF(VLOOKUP(B551, AmmoTypeFactors, 9, FALSE) = ""Steel"", ROUNDUP(('Ammo Input'!H551 -'Ammo Input'!M551) * MAX(IF('Ammo Inpu"&amp;"t'!J551 &gt; 0, 'Ammo Input'!J551, 1), 1) * N551 / 1000))) / 'Ingredient stats'!$C$2) * IF(ISBLANK(VLOOKUP(B551,AmmoTypeFactors,15,False)),1,VLOOKUP(B551,AmmoTypeFactors,15,False))"),32)</f>
        <v>32</v>
      </c>
      <c r="R555">
        <f>IFERROR(__xludf.DUMMYFUNCTION("ROUNDUP((IF(REGEXMATCH(B551, ""Arrow"") + (B551 = ""Javelin""), 'Ammo Input'!E551) + IF(VLOOKUP(B551, AmmoTypeFactors, 9, FALSE) = ""Wood"", 'Ammo Input'!H551) + IF(B551 = ""Stick bomb"", 'Ammo Input'!E551)) * N551 / 'Ingredient stats'!$C$12 / 1000)"),0)</f>
        <v>0</v>
      </c>
      <c r="S555">
        <v>0</v>
      </c>
      <c r="T555">
        <v>0</v>
      </c>
      <c r="U555">
        <f>IF(VLOOKUP(B555,AmmoTypeFactors,9,FALSE)="Plasteel",ROUNDUP(('Ammo Input'!H555*MAX(IF('Ammo Input'!J555&gt;0,'Ammo Input'!J555,1)*N555/1000/'Ingredient stats'!$C$4)),0),0)</f>
        <v>0</v>
      </c>
      <c r="V555">
        <f>IFERROR(__xludf.DUMMYFUNCTION("ROUNDUP(IF(ISBLANK(VLOOKUP(B551,AmmoTypeFactors,16,False)),1,VLOOKUP(B551,AmmoTypeFactors,16,False)) * (IFS(REGEXMATCH(B551, ""EMP""), 'Ammo Input'!M551 * N551 / 'Ingredient stats'!$C$5, REGEXMATCH(B551, ""Charge""), (U551^0.75), true, 0) + (IF(VLOOKUP(B5"&amp;"51, AmmoTypeFactors, 10, false), 2,0) + IF('Ammo Input'!P551, 2,0) + IF('Ammo Input'!Q551,MIN(ROUNDUP(0.2*('Ammo Input'!H551/1000)*'Ammo Input'!O551,0),20),0))))"),0)</f>
        <v>0</v>
      </c>
      <c r="W555">
        <v>4</v>
      </c>
      <c r="X555">
        <v>0</v>
      </c>
      <c r="Y555">
        <v>0</v>
      </c>
      <c r="Z555">
        <v>0</v>
      </c>
      <c r="AA555">
        <v>0</v>
      </c>
      <c r="AB555" s="30">
        <f>IF(B555="Sling Bullet (Stone)",ROUNDUP(D555*0.02*E555/'Ingredient stats'!$C$8,0),0)</f>
        <v>0</v>
      </c>
      <c r="AC555" t="str">
        <f t="shared" si="20"/>
        <v>None</v>
      </c>
      <c r="AD555" t="str">
        <f>IF(OR(B555="Buck",B555="Bird",B555="Charge (Scatter)"),'Ammo Input'!J555,"None")</f>
        <v>None</v>
      </c>
      <c r="AE555" t="str">
        <f>_xlfn.IFS(ISTEXT(Calcs!N555),Calcs!N555,Calcs!N555&lt;=40,Calcs!N555,Calcs!N555&gt;41,"40")</f>
        <v>None</v>
      </c>
      <c r="AF555" t="str">
        <f>_xlfn.IFS(ISTEXT(Calcs!O555),Calcs!O555,Calcs!O555&lt;=80,Calcs!O555,Calcs!O555&gt;=81,"80")</f>
        <v>None</v>
      </c>
      <c r="AG555" s="25">
        <f t="shared" si="21"/>
        <v>1</v>
      </c>
      <c r="AH555" s="25">
        <f t="shared" si="22"/>
        <v>1.98</v>
      </c>
      <c r="AI555" s="25">
        <f t="shared" si="23"/>
        <v>1</v>
      </c>
    </row>
    <row r="556" ht="14.4" spans="1:35">
      <c r="A556" s="24" t="str">
        <f>'Ammo Input'!A556</f>
        <v>8x50mmR Mannlicher</v>
      </c>
      <c r="B556" t="str">
        <f>'Ammo Input'!B556</f>
        <v>AP-HE</v>
      </c>
      <c r="C556">
        <f>ROUNDUP(('Ammo Input'!C556*(MAX('Ammo Input'!D556,'Ammo Input'!F556)*0.5)^2*PI())*3/1000000,2)</f>
        <v>0.03</v>
      </c>
      <c r="D556">
        <f>ROUNDUP(('Ammo Input'!E556+'Ammo Input'!H556*IF('Ammo Input'!J556&lt;&gt;"",MAX('Ammo Input'!J556,1),1))/1000,3)</f>
        <v>0.031</v>
      </c>
      <c r="E556">
        <f>MIN(5000,MAX(25,CEILING(Calcs!L556,_xlfn.IFS(Calcs!L556&lt;100,25,Calcs!L556&lt;250,50,Calcs!L556&lt;1000,250,Calcs!L556&gt;=1000,1000))))</f>
        <v>5000</v>
      </c>
      <c r="F556">
        <f>ROUNDUP('Ammo Input'!G556^(3/4),0)</f>
        <v>121</v>
      </c>
      <c r="G556">
        <f>ROUND((0.5*((IF(OR(B556="HEAT",B556="HEDP"),'Ammo Input'!N556,'Ammo Input'!H556)/1000)*(IF(B556="HEAT",9000,IF(B556="HEDP",1500,'Ammo Input'!G556))^2))),0)</f>
        <v>2787</v>
      </c>
      <c r="H556" s="25" t="str">
        <f>CONCATENATE(IF((B556="Foam")+(B556="Smoke"),"-",ROUND(Calcs!D556,0))," ",VLOOKUP(B556,AmmoTypeFactors,5,FALSE))</f>
        <v>19 Bullet</v>
      </c>
      <c r="I556" s="25" t="str">
        <f>IF(Calcs!E556=0,"None",CONCATENATE(ROUND(Calcs!E556,0)," ",VLOOKUP(B556,AmmoTypeFactors,6,FALSE)))</f>
        <v>10 Bomb_Secondary</v>
      </c>
      <c r="J556">
        <f>MROUND(2.42*'Ammo Input'!M556^(1/3)*VLOOKUP(B556,AmmoTypeFactors,3,FALSE),0.5)</f>
        <v>0</v>
      </c>
      <c r="K556" s="25" t="str">
        <f>IF(VLOOKUP(B556,AmmoTypeFactors,12,FALSE),MROUND(J556/3,0.5),"None")</f>
        <v>None</v>
      </c>
      <c r="L556" s="25">
        <f>IF(VLOOKUP(B556,AmmoTypeFactors,8,FALSE),"None",ROUNDUP(IF(Calcs!I556&gt;0,Calcs!I556,Calcs!H556),3))</f>
        <v>55.74</v>
      </c>
      <c r="M556" s="25">
        <f>IF(VLOOKUP(B556,AmmoTypeFactors,8,FALSE),"None",'Ammo Input'!L556)</f>
        <v>5.5</v>
      </c>
      <c r="N556">
        <f>'Ammo Input'!O556</f>
        <v>500</v>
      </c>
      <c r="O556" t="e">
        <f>ROUND((P556*0.0036+SUMPRODUCT(Q556:AB556,VLOOKUP($Q$1:$AB$1,IngredientStats,2,FALSE)))/N556*IF('Ammo Input'!R556,0.5,1),2)</f>
        <v>#VALUE!</v>
      </c>
      <c r="P556" t="e">
        <f>(SUMPRODUCT(Q556:AB556,VLOOKUP($Q$1:$AB$1,IngredientStats,4,FALSE))*VLOOKUP(B556,AmmoTypeFactors,14,FALSE)*IF('Ammo Input'!R556,1.1,1))</f>
        <v>#VALUE!</v>
      </c>
      <c r="Q556">
        <f>IFERROR(__xludf.DUMMYFUNCTION("((IF(NOT(OR(REGEXMATCH(B552, ""Arrow""), B552 = ""Javelin"", B552 = ""Stick bomb"")), ROUNDUP(('Ammo Input'!E552 / 1000) * N552)) + IF(VLOOKUP(B552, AmmoTypeFactors, 9, FALSE) = ""Steel"", ROUNDUP(('Ammo Input'!H552 -'Ammo Input'!M552) * MAX(IF('Ammo Inpu"&amp;"t'!J552 &gt; 0, 'Ammo Input'!J552, 1), 1) * N552 / 1000))) / 'Ingredient stats'!$C$2) * IF(ISBLANK(VLOOKUP(B552,AmmoTypeFactors,15,False)),1,VLOOKUP(B552,AmmoTypeFactors,15,False))"),32)</f>
        <v>32</v>
      </c>
      <c r="R556">
        <f>IFERROR(__xludf.DUMMYFUNCTION("ROUNDUP((IF(REGEXMATCH(B552, ""Arrow"") + (B552 = ""Javelin""), 'Ammo Input'!E552) + IF(VLOOKUP(B552, AmmoTypeFactors, 9, FALSE) = ""Wood"", 'Ammo Input'!H552) + IF(B552 = ""Stick bomb"", 'Ammo Input'!E552)) * N552 / 'Ingredient stats'!$C$12 / 1000)"),0)</f>
        <v>0</v>
      </c>
      <c r="S556">
        <v>0</v>
      </c>
      <c r="T556">
        <v>0</v>
      </c>
      <c r="U556">
        <f>IF(VLOOKUP(B556,AmmoTypeFactors,9,FALSE)="Plasteel",ROUNDUP(('Ammo Input'!H556*MAX(IF('Ammo Input'!J556&gt;0,'Ammo Input'!J556,1)*N556/1000/'Ingredient stats'!$C$4)),0),0)</f>
        <v>0</v>
      </c>
      <c r="V556">
        <f>IFERROR(__xludf.DUMMYFUNCTION("ROUNDUP(IF(ISBLANK(VLOOKUP(B552,AmmoTypeFactors,16,False)),1,VLOOKUP(B552,AmmoTypeFactors,16,False)) * (IFS(REGEXMATCH(B552, ""EMP""), 'Ammo Input'!M552 * N552 / 'Ingredient stats'!$C$5, REGEXMATCH(B552, ""Charge""), (U552^0.75), true, 0) + (IF(VLOOKUP(B5"&amp;"52, AmmoTypeFactors, 10, false), 2,0) + IF('Ammo Input'!P552, 2,0) + IF('Ammo Input'!Q552,MIN(ROUNDUP(0.2*('Ammo Input'!H552/1000)*'Ammo Input'!O552,0),20),0))))"),0)</f>
        <v>0</v>
      </c>
      <c r="W556">
        <v>0</v>
      </c>
      <c r="X556">
        <v>8</v>
      </c>
      <c r="Y556">
        <v>0</v>
      </c>
      <c r="Z556">
        <v>0</v>
      </c>
      <c r="AA556">
        <v>0</v>
      </c>
      <c r="AB556" s="30">
        <f>IF(B556="Sling Bullet (Stone)",ROUNDUP(D556*0.02*E556/'Ingredient stats'!$C$8,0),0)</f>
        <v>0</v>
      </c>
      <c r="AC556" t="str">
        <f t="shared" si="20"/>
        <v>None</v>
      </c>
      <c r="AD556" t="str">
        <f>IF(OR(B556="Buck",B556="Bird",B556="Charge (Scatter)"),'Ammo Input'!J556,"None")</f>
        <v>None</v>
      </c>
      <c r="AE556" t="str">
        <f>_xlfn.IFS(ISTEXT(Calcs!N556),Calcs!N556,Calcs!N556&lt;=40,Calcs!N556,Calcs!N556&gt;41,"40")</f>
        <v>None</v>
      </c>
      <c r="AF556" t="str">
        <f>_xlfn.IFS(ISTEXT(Calcs!O556),Calcs!O556,Calcs!O556&lt;=80,Calcs!O556,Calcs!O556&gt;=81,"80")</f>
        <v>None</v>
      </c>
      <c r="AG556" s="25">
        <f t="shared" si="21"/>
        <v>1</v>
      </c>
      <c r="AH556" s="25">
        <f t="shared" si="22"/>
        <v>1.98</v>
      </c>
      <c r="AI556" s="25">
        <f t="shared" si="23"/>
        <v>1</v>
      </c>
    </row>
    <row r="557" ht="14.4" spans="1:35">
      <c r="A557" s="24" t="str">
        <f>'Ammo Input'!A557</f>
        <v>8x50mmR Mannlicher</v>
      </c>
      <c r="B557" t="str">
        <f>'Ammo Input'!B557</f>
        <v>Sabot</v>
      </c>
      <c r="C557">
        <f>ROUNDUP(('Ammo Input'!C557*(MAX('Ammo Input'!D557,'Ammo Input'!F557)*0.5)^2*PI())*3/1000000,2)</f>
        <v>0.03</v>
      </c>
      <c r="D557">
        <f>ROUNDUP(('Ammo Input'!E557+'Ammo Input'!H557*IF('Ammo Input'!J557&lt;&gt;"",MAX('Ammo Input'!J557,1),1))/1000,3)</f>
        <v>0.025</v>
      </c>
      <c r="E557">
        <f>MIN(5000,MAX(25,CEILING(Calcs!L557,_xlfn.IFS(Calcs!L557&lt;100,25,Calcs!L557&lt;250,50,Calcs!L557&lt;1000,250,Calcs!L557&gt;=1000,1000))))</f>
        <v>5000</v>
      </c>
      <c r="F557">
        <f>ROUNDUP('Ammo Input'!G557^(3/4),0)</f>
        <v>164</v>
      </c>
      <c r="G557">
        <f>ROUND((0.5*((IF(OR(B557="HEAT",B557="HEDP"),'Ammo Input'!N557,'Ammo Input'!H557)/1000)*(IF(B557="HEAT",9000,IF(B557="HEDP",1500,'Ammo Input'!G557))^2))),0)</f>
        <v>3580</v>
      </c>
      <c r="H557" s="25" t="str">
        <f>CONCATENATE(IF((B557="Foam")+(B557="Smoke"),"-",ROUND(Calcs!D557,0))," ",VLOOKUP(B557,AmmoTypeFactors,5,FALSE))</f>
        <v>10 Bullet</v>
      </c>
      <c r="I557" s="25" t="str">
        <f>IF(Calcs!E557=0,"None",CONCATENATE(ROUND(Calcs!E557,0)," ",VLOOKUP(B557,AmmoTypeFactors,6,FALSE)))</f>
        <v>None</v>
      </c>
      <c r="J557">
        <f>MROUND(2.42*'Ammo Input'!M557^(1/3)*VLOOKUP(B557,AmmoTypeFactors,3,FALSE),0.5)</f>
        <v>0</v>
      </c>
      <c r="K557" s="25" t="str">
        <f>IF(VLOOKUP(B557,AmmoTypeFactors,12,FALSE),MROUND(J557/3,0.5),"None")</f>
        <v>None</v>
      </c>
      <c r="L557" s="25">
        <f>IF(VLOOKUP(B557,AmmoTypeFactors,8,FALSE),"None",ROUNDUP(IF(Calcs!I557&gt;0,Calcs!I557,Calcs!H557),3))</f>
        <v>71.6</v>
      </c>
      <c r="M557" s="25">
        <f>IF(VLOOKUP(B557,AmmoTypeFactors,8,FALSE),"None",'Ammo Input'!L557)</f>
        <v>19</v>
      </c>
      <c r="N557">
        <f>'Ammo Input'!O557</f>
        <v>500</v>
      </c>
      <c r="O557" t="e">
        <f>ROUND((P557*0.0036+SUMPRODUCT(Q557:AB557,VLOOKUP($Q$1:$AB$1,IngredientStats,2,FALSE)))/N557*IF('Ammo Input'!R557,0.5,1),2)</f>
        <v>#VALUE!</v>
      </c>
      <c r="P557" t="e">
        <f>(SUMPRODUCT(Q557:AB557,VLOOKUP($Q$1:$AB$1,IngredientStats,4,FALSE))*VLOOKUP(B557,AmmoTypeFactors,14,FALSE)*IF('Ammo Input'!R557,1.1,1))</f>
        <v>#VALUE!</v>
      </c>
      <c r="Q557">
        <f>IFERROR(__xludf.DUMMYFUNCTION("((IF(NOT(OR(REGEXMATCH(B553, ""Arrow""), B553 = ""Javelin"", B553 = ""Stick bomb"")), ROUNDUP(('Ammo Input'!E553 / 1000) * N553)) + IF(VLOOKUP(B553, AmmoTypeFactors, 9, FALSE) = ""Steel"", ROUNDUP(('Ammo Input'!H553 -'Ammo Input'!M553) * MAX(IF('Ammo Inpu"&amp;"t'!J553 &gt; 0, 'Ammo Input'!J553, 1), 1) * N553 / 1000))) / 'Ingredient stats'!$C$2) * IF(ISBLANK(VLOOKUP(B553,AmmoTypeFactors,15,False)),1,VLOOKUP(B553,AmmoTypeFactors,15,False))"),16)</f>
        <v>16</v>
      </c>
      <c r="R557">
        <f>IFERROR(__xludf.DUMMYFUNCTION("ROUNDUP((IF(REGEXMATCH(B553, ""Arrow"") + (B553 = ""Javelin""), 'Ammo Input'!E553) + IF(VLOOKUP(B553, AmmoTypeFactors, 9, FALSE) = ""Wood"", 'Ammo Input'!H553) + IF(B553 = ""Stick bomb"", 'Ammo Input'!E553)) * N553 / 'Ingredient stats'!$C$12 / 1000)"),0)</f>
        <v>0</v>
      </c>
      <c r="S557">
        <v>5</v>
      </c>
      <c r="T557">
        <v>5</v>
      </c>
      <c r="U557">
        <f>IF(VLOOKUP(B557,AmmoTypeFactors,9,FALSE)="Plasteel",ROUNDUP(('Ammo Input'!H557*MAX(IF('Ammo Input'!J557&gt;0,'Ammo Input'!J557,1)*N557/1000/'Ingredient stats'!$C$4)),0),0)</f>
        <v>0</v>
      </c>
      <c r="V557">
        <f>IFERROR(__xludf.DUMMYFUNCTION("ROUNDUP(IF(ISBLANK(VLOOKUP(B553,AmmoTypeFactors,16,False)),1,VLOOKUP(B553,AmmoTypeFactors,16,False)) * (IFS(REGEXMATCH(B553, ""EMP""), 'Ammo Input'!M553 * N553 / 'Ingredient stats'!$C$5, REGEXMATCH(B553, ""Charge""), (U553^0.75), true, 0) + (IF(VLOOKUP(B5"&amp;"53, AmmoTypeFactors, 10, false), 2,0) + IF('Ammo Input'!P553, 2,0) + IF('Ammo Input'!Q553,MIN(ROUNDUP(0.2*('Ammo Input'!H553/1000)*'Ammo Input'!O553,0),20),0))))"),0)</f>
        <v>0</v>
      </c>
      <c r="W557">
        <v>0</v>
      </c>
      <c r="X557">
        <v>0</v>
      </c>
      <c r="Y557">
        <v>0</v>
      </c>
      <c r="Z557">
        <v>0</v>
      </c>
      <c r="AA557">
        <v>0</v>
      </c>
      <c r="AB557" s="30">
        <f>IF(B557="Sling Bullet (Stone)",ROUNDUP(D557*0.02*E557/'Ingredient stats'!$C$8,0),0)</f>
        <v>0</v>
      </c>
      <c r="AC557" t="str">
        <f t="shared" si="20"/>
        <v>None</v>
      </c>
      <c r="AD557" t="str">
        <f>IF(OR(B557="Buck",B557="Bird",B557="Charge (Scatter)"),'Ammo Input'!J557,"None")</f>
        <v>None</v>
      </c>
      <c r="AE557" t="str">
        <f>_xlfn.IFS(ISTEXT(Calcs!N557),Calcs!N557,Calcs!N557&lt;=40,Calcs!N557,Calcs!N557&gt;41,"40")</f>
        <v>None</v>
      </c>
      <c r="AF557" t="str">
        <f>_xlfn.IFS(ISTEXT(Calcs!O557),Calcs!O557,Calcs!O557&lt;=80,Calcs!O557,Calcs!O557&gt;=81,"80")</f>
        <v>None</v>
      </c>
      <c r="AG557" s="25">
        <f t="shared" si="21"/>
        <v>1</v>
      </c>
      <c r="AH557" s="25">
        <f t="shared" si="22"/>
        <v>2.67</v>
      </c>
      <c r="AI557" s="25">
        <f t="shared" si="23"/>
        <v>1</v>
      </c>
    </row>
    <row r="558" ht="14.4" spans="1:35">
      <c r="A558" s="24" t="str">
        <f>'Ammo Input'!A558</f>
        <v>8x50mmR Lebel</v>
      </c>
      <c r="B558" t="str">
        <f>'Ammo Input'!B558</f>
        <v>FMJ</v>
      </c>
      <c r="C558">
        <f>ROUNDUP(('Ammo Input'!C558*(MAX('Ammo Input'!D558,'Ammo Input'!F558)*0.5)^2*PI())*3/1000000,2)</f>
        <v>0.04</v>
      </c>
      <c r="D558">
        <f>ROUNDUP(('Ammo Input'!E558+'Ammo Input'!H558*IF('Ammo Input'!J558&lt;&gt;"",MAX('Ammo Input'!J558,1),1))/1000,3)</f>
        <v>0.028</v>
      </c>
      <c r="E558">
        <f>MIN(5000,MAX(25,CEILING(Calcs!L558,_xlfn.IFS(Calcs!L558&lt;100,25,Calcs!L558&lt;250,50,Calcs!L558&lt;1000,250,Calcs!L558&gt;=1000,1000))))</f>
        <v>5000</v>
      </c>
      <c r="F558">
        <f>ROUNDUP('Ammo Input'!G558^(3/4),0)</f>
        <v>141</v>
      </c>
      <c r="G558">
        <f>ROUND((0.5*((IF(OR(B558="HEAT",B558="HEDP"),'Ammo Input'!N558,'Ammo Input'!H558)/1000)*(IF(B558="HEAT",9000,IF(B558="HEDP",1500,'Ammo Input'!G558))^2))),0)</f>
        <v>3411</v>
      </c>
      <c r="H558" s="25" t="str">
        <f>CONCATENATE(IF((B558="Foam")+(B558="Smoke"),"-",ROUND(Calcs!D558,0))," ",VLOOKUP(B558,AmmoTypeFactors,5,FALSE))</f>
        <v>20 Bullet</v>
      </c>
      <c r="I558" s="25" t="str">
        <f>IF(Calcs!E558=0,"None",CONCATENATE(ROUND(Calcs!E558,0)," ",VLOOKUP(B558,AmmoTypeFactors,6,FALSE)))</f>
        <v>None</v>
      </c>
      <c r="J558">
        <f>MROUND(2.42*'Ammo Input'!M558^(1/3)*VLOOKUP(B558,AmmoTypeFactors,3,FALSE),0.5)</f>
        <v>0</v>
      </c>
      <c r="K558" s="25" t="str">
        <f>IF(VLOOKUP(B558,AmmoTypeFactors,12,FALSE),MROUND(J558/3,0.5),"None")</f>
        <v>None</v>
      </c>
      <c r="L558" s="25">
        <f>IF(VLOOKUP(B558,AmmoTypeFactors,8,FALSE),"None",ROUNDUP(IF(Calcs!I558&gt;0,Calcs!I558,Calcs!H558),3))</f>
        <v>68.22</v>
      </c>
      <c r="M558" s="25">
        <f>IF(VLOOKUP(B558,AmmoTypeFactors,8,FALSE),"None",'Ammo Input'!L558)</f>
        <v>6</v>
      </c>
      <c r="N558">
        <f>'Ammo Input'!O558</f>
        <v>500</v>
      </c>
      <c r="O558" t="e">
        <f>ROUND((P558*0.0036+SUMPRODUCT(Q558:AB558,VLOOKUP($Q$1:$AB$1,IngredientStats,2,FALSE)))/N558*IF('Ammo Input'!R558,0.5,1),2)</f>
        <v>#VALUE!</v>
      </c>
      <c r="P558" t="e">
        <f>(SUMPRODUCT(Q558:AB558,VLOOKUP($Q$1:$AB$1,IngredientStats,4,FALSE))*VLOOKUP(B558,AmmoTypeFactors,14,FALSE)*IF('Ammo Input'!R558,1.1,1))</f>
        <v>#VALUE!</v>
      </c>
      <c r="Q558">
        <f>IFERROR(__xludf.DUMMYFUNCTION("((IF(NOT(OR(REGEXMATCH(B554, ""Arrow""), B554 = ""Javelin"", B554 = ""Stick bomb"")), ROUNDUP(('Ammo Input'!E554 / 1000) * N554)) + IF(VLOOKUP(B554, AmmoTypeFactors, 9, FALSE) = ""Steel"", ROUNDUP(('Ammo Input'!H554 -'Ammo Input'!M554) * MAX(IF('Ammo Inpu"&amp;"t'!J554 &gt; 0, 'Ammo Input'!J554, 1), 1) * N554 / 1000))) / 'Ingredient stats'!$C$2) * IF(ISBLANK(VLOOKUP(B554,AmmoTypeFactors,15,False)),1,VLOOKUP(B554,AmmoTypeFactors,15,False))"),30)</f>
        <v>30</v>
      </c>
      <c r="R558">
        <f>IFERROR(__xludf.DUMMYFUNCTION("ROUNDUP((IF(REGEXMATCH(B554, ""Arrow"") + (B554 = ""Javelin""), 'Ammo Input'!E554) + IF(VLOOKUP(B554, AmmoTypeFactors, 9, FALSE) = ""Wood"", 'Ammo Input'!H554) + IF(B554 = ""Stick bomb"", 'Ammo Input'!E554)) * N554 / 'Ingredient stats'!$C$12 / 1000)"),0)</f>
        <v>0</v>
      </c>
      <c r="S558">
        <v>0</v>
      </c>
      <c r="T558">
        <v>0</v>
      </c>
      <c r="U558">
        <f>IF(VLOOKUP(B558,AmmoTypeFactors,9,FALSE)="Plasteel",ROUNDUP(('Ammo Input'!H558*MAX(IF('Ammo Input'!J558&gt;0,'Ammo Input'!J558,1)*N558/1000/'Ingredient stats'!$C$4)),0),0)</f>
        <v>0</v>
      </c>
      <c r="V558">
        <f>IFERROR(__xludf.DUMMYFUNCTION("ROUNDUP(IF(ISBLANK(VLOOKUP(B554,AmmoTypeFactors,16,False)),1,VLOOKUP(B554,AmmoTypeFactors,16,False)) * (IFS(REGEXMATCH(B554, ""EMP""), 'Ammo Input'!M554 * N554 / 'Ingredient stats'!$C$5, REGEXMATCH(B554, ""Charge""), (U554^0.75), true, 0) + (IF(VLOOKUP(B5"&amp;"54, AmmoTypeFactors, 10, false), 2,0) + IF('Ammo Input'!P554, 2,0) + IF('Ammo Input'!Q554,MIN(ROUNDUP(0.2*('Ammo Input'!H554/1000)*'Ammo Input'!O554,0),20),0))))"),0)</f>
        <v>0</v>
      </c>
      <c r="W558">
        <v>0</v>
      </c>
      <c r="X558">
        <v>0</v>
      </c>
      <c r="Y558">
        <v>0</v>
      </c>
      <c r="Z558">
        <v>0</v>
      </c>
      <c r="AA558">
        <v>0</v>
      </c>
      <c r="AB558" s="30">
        <f>IF(B558="Sling Bullet (Stone)",ROUNDUP(D558*0.02*E558/'Ingredient stats'!$C$8,0),0)</f>
        <v>0</v>
      </c>
      <c r="AC558" t="str">
        <f t="shared" si="20"/>
        <v>None</v>
      </c>
      <c r="AD558" t="str">
        <f>IF(OR(B558="Buck",B558="Bird",B558="Charge (Scatter)"),'Ammo Input'!J558,"None")</f>
        <v>None</v>
      </c>
      <c r="AE558" t="str">
        <f>_xlfn.IFS(ISTEXT(Calcs!N558),Calcs!N558,Calcs!N558&lt;=40,Calcs!N558,Calcs!N558&gt;41,"40")</f>
        <v>None</v>
      </c>
      <c r="AF558" t="str">
        <f>_xlfn.IFS(ISTEXT(Calcs!O558),Calcs!O558,Calcs!O558&lt;=80,Calcs!O558,Calcs!O558&gt;=81,"80")</f>
        <v>None</v>
      </c>
      <c r="AG558" s="25">
        <f t="shared" si="21"/>
        <v>1</v>
      </c>
      <c r="AH558" s="25">
        <f t="shared" si="22"/>
        <v>2.3</v>
      </c>
      <c r="AI558" s="25">
        <f t="shared" si="23"/>
        <v>1</v>
      </c>
    </row>
    <row r="559" ht="14.4" spans="1:35">
      <c r="A559" s="24" t="str">
        <f>'Ammo Input'!A559</f>
        <v>8x50mmR Lebel</v>
      </c>
      <c r="B559" t="str">
        <f>'Ammo Input'!B559</f>
        <v>AP</v>
      </c>
      <c r="C559">
        <f>ROUNDUP(('Ammo Input'!C559*(MAX('Ammo Input'!D559,'Ammo Input'!F559)*0.5)^2*PI())*3/1000000,2)</f>
        <v>0.04</v>
      </c>
      <c r="D559">
        <f>ROUNDUP(('Ammo Input'!E559+'Ammo Input'!H559*IF('Ammo Input'!J559&lt;&gt;"",MAX('Ammo Input'!J559,1),1))/1000,3)</f>
        <v>0.028</v>
      </c>
      <c r="E559">
        <f>MIN(5000,MAX(25,CEILING(Calcs!L559,_xlfn.IFS(Calcs!L559&lt;100,25,Calcs!L559&lt;250,50,Calcs!L559&lt;1000,250,Calcs!L559&gt;=1000,1000))))</f>
        <v>5000</v>
      </c>
      <c r="F559">
        <f>ROUNDUP('Ammo Input'!G559^(3/4),0)</f>
        <v>141</v>
      </c>
      <c r="G559">
        <f>ROUND((0.5*((IF(OR(B559="HEAT",B559="HEDP"),'Ammo Input'!N559,'Ammo Input'!H559)/1000)*(IF(B559="HEAT",9000,IF(B559="HEDP",1500,'Ammo Input'!G559))^2))),0)</f>
        <v>3411</v>
      </c>
      <c r="H559" s="25" t="str">
        <f>CONCATENATE(IF((B559="Foam")+(B559="Smoke"),"-",ROUND(Calcs!D559,0))," ",VLOOKUP(B559,AmmoTypeFactors,5,FALSE))</f>
        <v>13 Bullet</v>
      </c>
      <c r="I559" s="25" t="str">
        <f>IF(Calcs!E559=0,"None",CONCATENATE(ROUND(Calcs!E559,0)," ",VLOOKUP(B559,AmmoTypeFactors,6,FALSE)))</f>
        <v>None</v>
      </c>
      <c r="J559">
        <f>MROUND(2.42*'Ammo Input'!M559^(1/3)*VLOOKUP(B559,AmmoTypeFactors,3,FALSE),0.5)</f>
        <v>0</v>
      </c>
      <c r="K559" s="25" t="str">
        <f>IF(VLOOKUP(B559,AmmoTypeFactors,12,FALSE),MROUND(J559/3,0.5),"None")</f>
        <v>None</v>
      </c>
      <c r="L559" s="25">
        <f>IF(VLOOKUP(B559,AmmoTypeFactors,8,FALSE),"None",ROUNDUP(IF(Calcs!I559&gt;0,Calcs!I559,Calcs!H559),3))</f>
        <v>68.22</v>
      </c>
      <c r="M559" s="25">
        <f>IF(VLOOKUP(B559,AmmoTypeFactors,8,FALSE),"None",'Ammo Input'!L559)</f>
        <v>12</v>
      </c>
      <c r="N559">
        <f>'Ammo Input'!O559</f>
        <v>500</v>
      </c>
      <c r="O559" t="e">
        <f>ROUND((P559*0.0036+SUMPRODUCT(Q559:AB559,VLOOKUP($Q$1:$AB$1,IngredientStats,2,FALSE)))/N559*IF('Ammo Input'!R559,0.5,1),2)</f>
        <v>#VALUE!</v>
      </c>
      <c r="P559" t="e">
        <f>(SUMPRODUCT(Q559:AB559,VLOOKUP($Q$1:$AB$1,IngredientStats,4,FALSE))*VLOOKUP(B559,AmmoTypeFactors,14,FALSE)*IF('Ammo Input'!R559,1.1,1))</f>
        <v>#VALUE!</v>
      </c>
      <c r="Q559">
        <f>IFERROR(__xludf.DUMMYFUNCTION("((IF(NOT(OR(REGEXMATCH(B555, ""Arrow""), B555 = ""Javelin"", B555 = ""Stick bomb"")), ROUNDUP(('Ammo Input'!E555 / 1000) * N555)) + IF(VLOOKUP(B555, AmmoTypeFactors, 9, FALSE) = ""Steel"", ROUNDUP(('Ammo Input'!H555 -'Ammo Input'!M555) * MAX(IF('Ammo Inpu"&amp;"t'!J555 &gt; 0, 'Ammo Input'!J555, 1), 1) * N555 / 1000))) / 'Ingredient stats'!$C$2) * IF(ISBLANK(VLOOKUP(B555,AmmoTypeFactors,15,False)),1,VLOOKUP(B555,AmmoTypeFactors,15,False))"),30)</f>
        <v>30</v>
      </c>
      <c r="R559">
        <f>IFERROR(__xludf.DUMMYFUNCTION("ROUNDUP((IF(REGEXMATCH(B555, ""Arrow"") + (B555 = ""Javelin""), 'Ammo Input'!E555) + IF(VLOOKUP(B555, AmmoTypeFactors, 9, FALSE) = ""Wood"", 'Ammo Input'!H555) + IF(B555 = ""Stick bomb"", 'Ammo Input'!E555)) * N555 / 'Ingredient stats'!$C$12 / 1000)"),0)</f>
        <v>0</v>
      </c>
      <c r="S559">
        <v>0</v>
      </c>
      <c r="T559">
        <v>0</v>
      </c>
      <c r="U559">
        <f>IF(VLOOKUP(B559,AmmoTypeFactors,9,FALSE)="Plasteel",ROUNDUP(('Ammo Input'!H559*MAX(IF('Ammo Input'!J559&gt;0,'Ammo Input'!J559,1)*N559/1000/'Ingredient stats'!$C$4)),0),0)</f>
        <v>0</v>
      </c>
      <c r="V559">
        <f>IFERROR(__xludf.DUMMYFUNCTION("ROUNDUP(IF(ISBLANK(VLOOKUP(B555,AmmoTypeFactors,16,False)),1,VLOOKUP(B555,AmmoTypeFactors,16,False)) * (IFS(REGEXMATCH(B555, ""EMP""), 'Ammo Input'!M555 * N555 / 'Ingredient stats'!$C$5, REGEXMATCH(B555, ""Charge""), (U555^0.75), true, 0) + (IF(VLOOKUP(B5"&amp;"55, AmmoTypeFactors, 10, false), 2,0) + IF('Ammo Input'!P555, 2,0) + IF('Ammo Input'!Q555,MIN(ROUNDUP(0.2*('Ammo Input'!H555/1000)*'Ammo Input'!O555,0),20),0))))"),0)</f>
        <v>0</v>
      </c>
      <c r="W559">
        <v>0</v>
      </c>
      <c r="X559">
        <v>0</v>
      </c>
      <c r="Y559">
        <v>0</v>
      </c>
      <c r="Z559">
        <v>0</v>
      </c>
      <c r="AA559">
        <v>0</v>
      </c>
      <c r="AB559" s="30">
        <f>IF(B559="Sling Bullet (Stone)",ROUNDUP(D559*0.02*E559/'Ingredient stats'!$C$8,0),0)</f>
        <v>0</v>
      </c>
      <c r="AC559" t="str">
        <f t="shared" si="20"/>
        <v>None</v>
      </c>
      <c r="AD559" t="str">
        <f>IF(OR(B559="Buck",B559="Bird",B559="Charge (Scatter)"),'Ammo Input'!J559,"None")</f>
        <v>None</v>
      </c>
      <c r="AE559" t="str">
        <f>_xlfn.IFS(ISTEXT(Calcs!N559),Calcs!N559,Calcs!N559&lt;=40,Calcs!N559,Calcs!N559&gt;41,"40")</f>
        <v>None</v>
      </c>
      <c r="AF559" t="str">
        <f>_xlfn.IFS(ISTEXT(Calcs!O559),Calcs!O559,Calcs!O559&lt;=80,Calcs!O559,Calcs!O559&gt;=81,"80")</f>
        <v>None</v>
      </c>
      <c r="AG559" s="25">
        <f t="shared" si="21"/>
        <v>1</v>
      </c>
      <c r="AH559" s="25">
        <f t="shared" si="22"/>
        <v>2.3</v>
      </c>
      <c r="AI559" s="25">
        <f t="shared" si="23"/>
        <v>1</v>
      </c>
    </row>
    <row r="560" ht="14.4" spans="1:35">
      <c r="A560" s="24" t="str">
        <f>'Ammo Input'!A560</f>
        <v>8x50mmR Lebel</v>
      </c>
      <c r="B560" t="str">
        <f>'Ammo Input'!B560</f>
        <v>HP</v>
      </c>
      <c r="C560">
        <f>ROUNDUP(('Ammo Input'!C560*(MAX('Ammo Input'!D560,'Ammo Input'!F560)*0.5)^2*PI())*3/1000000,2)</f>
        <v>0.04</v>
      </c>
      <c r="D560">
        <f>ROUNDUP(('Ammo Input'!E560+'Ammo Input'!H560*IF('Ammo Input'!J560&lt;&gt;"",MAX('Ammo Input'!J560,1),1))/1000,3)</f>
        <v>0.028</v>
      </c>
      <c r="E560">
        <f>MIN(5000,MAX(25,CEILING(Calcs!L560,_xlfn.IFS(Calcs!L560&lt;100,25,Calcs!L560&lt;250,50,Calcs!L560&lt;1000,250,Calcs!L560&gt;=1000,1000))))</f>
        <v>5000</v>
      </c>
      <c r="F560">
        <f>ROUNDUP('Ammo Input'!G560^(3/4),0)</f>
        <v>141</v>
      </c>
      <c r="G560">
        <f>ROUND((0.5*((IF(OR(B560="HEAT",B560="HEDP"),'Ammo Input'!N560,'Ammo Input'!H560)/1000)*(IF(B560="HEAT",9000,IF(B560="HEDP",1500,'Ammo Input'!G560))^2))),0)</f>
        <v>3411</v>
      </c>
      <c r="H560" s="25" t="str">
        <f>CONCATENATE(IF((B560="Foam")+(B560="Smoke"),"-",ROUND(Calcs!D560,0))," ",VLOOKUP(B560,AmmoTypeFactors,5,FALSE))</f>
        <v>26 Bullet</v>
      </c>
      <c r="I560" s="25" t="str">
        <f>IF(Calcs!E560=0,"None",CONCATENATE(ROUND(Calcs!E560,0)," ",VLOOKUP(B560,AmmoTypeFactors,6,FALSE)))</f>
        <v>None</v>
      </c>
      <c r="J560">
        <f>MROUND(2.42*'Ammo Input'!M560^(1/3)*VLOOKUP(B560,AmmoTypeFactors,3,FALSE),0.5)</f>
        <v>0</v>
      </c>
      <c r="K560" s="25" t="str">
        <f>IF(VLOOKUP(B560,AmmoTypeFactors,12,FALSE),MROUND(J560/3,0.5),"None")</f>
        <v>None</v>
      </c>
      <c r="L560" s="25">
        <f>IF(VLOOKUP(B560,AmmoTypeFactors,8,FALSE),"None",ROUNDUP(IF(Calcs!I560&gt;0,Calcs!I560,Calcs!H560),3))</f>
        <v>68.22</v>
      </c>
      <c r="M560" s="25">
        <f>IF(VLOOKUP(B560,AmmoTypeFactors,8,FALSE),"None",'Ammo Input'!L560)</f>
        <v>3</v>
      </c>
      <c r="N560">
        <f>'Ammo Input'!O560</f>
        <v>500</v>
      </c>
      <c r="O560" t="e">
        <f>ROUND((P560*0.0036+SUMPRODUCT(Q560:AB560,VLOOKUP($Q$1:$AB$1,IngredientStats,2,FALSE)))/N560*IF('Ammo Input'!R560,0.5,1),2)</f>
        <v>#VALUE!</v>
      </c>
      <c r="P560" t="e">
        <f>(SUMPRODUCT(Q560:AB560,VLOOKUP($Q$1:$AB$1,IngredientStats,4,FALSE))*VLOOKUP(B560,AmmoTypeFactors,14,FALSE)*IF('Ammo Input'!R560,1.1,1))</f>
        <v>#VALUE!</v>
      </c>
      <c r="Q560">
        <f>IFERROR(__xludf.DUMMYFUNCTION("((IF(NOT(OR(REGEXMATCH(B556, ""Arrow""), B556 = ""Javelin"", B556 = ""Stick bomb"")), ROUNDUP(('Ammo Input'!E556 / 1000) * N556)) + IF(VLOOKUP(B556, AmmoTypeFactors, 9, FALSE) = ""Steel"", ROUNDUP(('Ammo Input'!H556 -'Ammo Input'!M556) * MAX(IF('Ammo Inpu"&amp;"t'!J556 &gt; 0, 'Ammo Input'!J556, 1), 1) * N556 / 1000))) / 'Ingredient stats'!$C$2) * IF(ISBLANK(VLOOKUP(B556,AmmoTypeFactors,15,False)),1,VLOOKUP(B556,AmmoTypeFactors,15,False))"),30)</f>
        <v>30</v>
      </c>
      <c r="R560">
        <f>IFERROR(__xludf.DUMMYFUNCTION("ROUNDUP((IF(REGEXMATCH(B556, ""Arrow"") + (B556 = ""Javelin""), 'Ammo Input'!E556) + IF(VLOOKUP(B556, AmmoTypeFactors, 9, FALSE) = ""Wood"", 'Ammo Input'!H556) + IF(B556 = ""Stick bomb"", 'Ammo Input'!E556)) * N556 / 'Ingredient stats'!$C$12 / 1000)"),0)</f>
        <v>0</v>
      </c>
      <c r="S560">
        <v>0</v>
      </c>
      <c r="T560">
        <v>0</v>
      </c>
      <c r="U560">
        <f>IF(VLOOKUP(B560,AmmoTypeFactors,9,FALSE)="Plasteel",ROUNDUP(('Ammo Input'!H560*MAX(IF('Ammo Input'!J560&gt;0,'Ammo Input'!J560,1)*N560/1000/'Ingredient stats'!$C$4)),0),0)</f>
        <v>0</v>
      </c>
      <c r="V560">
        <f>IFERROR(__xludf.DUMMYFUNCTION("ROUNDUP(IF(ISBLANK(VLOOKUP(B556,AmmoTypeFactors,16,False)),1,VLOOKUP(B556,AmmoTypeFactors,16,False)) * (IFS(REGEXMATCH(B556, ""EMP""), 'Ammo Input'!M556 * N556 / 'Ingredient stats'!$C$5, REGEXMATCH(B556, ""Charge""), (U556^0.75), true, 0) + (IF(VLOOKUP(B5"&amp;"56, AmmoTypeFactors, 10, false), 2,0) + IF('Ammo Input'!P556, 2,0) + IF('Ammo Input'!Q556,MIN(ROUNDUP(0.2*('Ammo Input'!H556/1000)*'Ammo Input'!O556,0),20),0))))"),0)</f>
        <v>0</v>
      </c>
      <c r="W560">
        <v>0</v>
      </c>
      <c r="X560">
        <v>0</v>
      </c>
      <c r="Y560">
        <v>0</v>
      </c>
      <c r="Z560">
        <v>0</v>
      </c>
      <c r="AA560">
        <v>0</v>
      </c>
      <c r="AB560" s="30">
        <f>IF(B560="Sling Bullet (Stone)",ROUNDUP(D560*0.02*E560/'Ingredient stats'!$C$8,0),0)</f>
        <v>0</v>
      </c>
      <c r="AC560" t="str">
        <f t="shared" si="20"/>
        <v>None</v>
      </c>
      <c r="AD560" t="str">
        <f>IF(OR(B560="Buck",B560="Bird",B560="Charge (Scatter)"),'Ammo Input'!J560,"None")</f>
        <v>None</v>
      </c>
      <c r="AE560" t="str">
        <f>_xlfn.IFS(ISTEXT(Calcs!N560),Calcs!N560,Calcs!N560&lt;=40,Calcs!N560,Calcs!N560&gt;41,"40")</f>
        <v>None</v>
      </c>
      <c r="AF560" t="str">
        <f>_xlfn.IFS(ISTEXT(Calcs!O560),Calcs!O560,Calcs!O560&lt;=80,Calcs!O560,Calcs!O560&gt;=81,"80")</f>
        <v>None</v>
      </c>
      <c r="AG560" s="25">
        <f t="shared" si="21"/>
        <v>1</v>
      </c>
      <c r="AH560" s="25">
        <f t="shared" si="22"/>
        <v>2.3</v>
      </c>
      <c r="AI560" s="25">
        <f t="shared" si="23"/>
        <v>1</v>
      </c>
    </row>
    <row r="561" ht="14.4" spans="1:35">
      <c r="A561" s="24" t="str">
        <f>'Ammo Input'!A561</f>
        <v>8x50mmR Lebel</v>
      </c>
      <c r="B561" t="str">
        <f>'Ammo Input'!B561</f>
        <v>AP-I</v>
      </c>
      <c r="C561">
        <f>ROUNDUP(('Ammo Input'!C561*(MAX('Ammo Input'!D561,'Ammo Input'!F561)*0.5)^2*PI())*3/1000000,2)</f>
        <v>0.04</v>
      </c>
      <c r="D561">
        <f>ROUNDUP(('Ammo Input'!E561+'Ammo Input'!H561*IF('Ammo Input'!J561&lt;&gt;"",MAX('Ammo Input'!J561,1),1))/1000,3)</f>
        <v>0.028</v>
      </c>
      <c r="E561">
        <f>MIN(5000,MAX(25,CEILING(Calcs!L561,_xlfn.IFS(Calcs!L561&lt;100,25,Calcs!L561&lt;250,50,Calcs!L561&lt;1000,250,Calcs!L561&gt;=1000,1000))))</f>
        <v>5000</v>
      </c>
      <c r="F561">
        <f>ROUNDUP('Ammo Input'!G561^(3/4),0)</f>
        <v>141</v>
      </c>
      <c r="G561">
        <f>ROUND((0.5*((IF(OR(B561="HEAT",B561="HEDP"),'Ammo Input'!N561,'Ammo Input'!H561)/1000)*(IF(B561="HEAT",9000,IF(B561="HEDP",1500,'Ammo Input'!G561))^2))),0)</f>
        <v>3411</v>
      </c>
      <c r="H561" s="25" t="str">
        <f>CONCATENATE(IF((B561="Foam")+(B561="Smoke"),"-",ROUND(Calcs!D561,0))," ",VLOOKUP(B561,AmmoTypeFactors,5,FALSE))</f>
        <v>13 Bullet</v>
      </c>
      <c r="I561" s="25" t="str">
        <f>IF(Calcs!E561=0,"None",CONCATENATE(ROUND(Calcs!E561,0)," ",VLOOKUP(B561,AmmoTypeFactors,6,FALSE)))</f>
        <v>7 Flame_Secondary</v>
      </c>
      <c r="J561">
        <f>MROUND(2.42*'Ammo Input'!M561^(1/3)*VLOOKUP(B561,AmmoTypeFactors,3,FALSE),0.5)</f>
        <v>0</v>
      </c>
      <c r="K561" s="25" t="str">
        <f>IF(VLOOKUP(B561,AmmoTypeFactors,12,FALSE),MROUND(J561/3,0.5),"None")</f>
        <v>None</v>
      </c>
      <c r="L561" s="25">
        <f>IF(VLOOKUP(B561,AmmoTypeFactors,8,FALSE),"None",ROUNDUP(IF(Calcs!I561&gt;0,Calcs!I561,Calcs!H561),3))</f>
        <v>68.22</v>
      </c>
      <c r="M561" s="25">
        <f>IF(VLOOKUP(B561,AmmoTypeFactors,8,FALSE),"None",'Ammo Input'!L561)</f>
        <v>12</v>
      </c>
      <c r="N561">
        <f>'Ammo Input'!O561</f>
        <v>500</v>
      </c>
      <c r="O561" t="e">
        <f>ROUND((P561*0.0036+SUMPRODUCT(Q561:AB561,VLOOKUP($Q$1:$AB$1,IngredientStats,2,FALSE)))/N561*IF('Ammo Input'!R561,0.5,1),2)</f>
        <v>#VALUE!</v>
      </c>
      <c r="P561" t="e">
        <f>(SUMPRODUCT(Q561:AB561,VLOOKUP($Q$1:$AB$1,IngredientStats,4,FALSE))*VLOOKUP(B561,AmmoTypeFactors,14,FALSE)*IF('Ammo Input'!R561,1.1,1))</f>
        <v>#VALUE!</v>
      </c>
      <c r="Q561">
        <f>IFERROR(__xludf.DUMMYFUNCTION("((IF(NOT(OR(REGEXMATCH(B557, ""Arrow""), B557 = ""Javelin"", B557 = ""Stick bomb"")), ROUNDUP(('Ammo Input'!E557 / 1000) * N557)) + IF(VLOOKUP(B557, AmmoTypeFactors, 9, FALSE) = ""Steel"", ROUNDUP(('Ammo Input'!H557 -'Ammo Input'!M557) * MAX(IF('Ammo Inpu"&amp;"t'!J557 &gt; 0, 'Ammo Input'!J557, 1), 1) * N557 / 1000))) / 'Ingredient stats'!$C$2) * IF(ISBLANK(VLOOKUP(B557,AmmoTypeFactors,15,False)),1,VLOOKUP(B557,AmmoTypeFactors,15,False))"),30)</f>
        <v>30</v>
      </c>
      <c r="R561">
        <f>IFERROR(__xludf.DUMMYFUNCTION("ROUNDUP((IF(REGEXMATCH(B557, ""Arrow"") + (B557 = ""Javelin""), 'Ammo Input'!E557) + IF(VLOOKUP(B557, AmmoTypeFactors, 9, FALSE) = ""Wood"", 'Ammo Input'!H557) + IF(B557 = ""Stick bomb"", 'Ammo Input'!E557)) * N557 / 'Ingredient stats'!$C$12 / 1000)"),0)</f>
        <v>0</v>
      </c>
      <c r="S561">
        <v>0</v>
      </c>
      <c r="T561">
        <v>0</v>
      </c>
      <c r="U561">
        <f>IF(VLOOKUP(B561,AmmoTypeFactors,9,FALSE)="Plasteel",ROUNDUP(('Ammo Input'!H561*MAX(IF('Ammo Input'!J561&gt;0,'Ammo Input'!J561,1)*N561/1000/'Ingredient stats'!$C$4)),0),0)</f>
        <v>0</v>
      </c>
      <c r="V561">
        <f>IFERROR(__xludf.DUMMYFUNCTION("ROUNDUP(IF(ISBLANK(VLOOKUP(B557,AmmoTypeFactors,16,False)),1,VLOOKUP(B557,AmmoTypeFactors,16,False)) * (IFS(REGEXMATCH(B557, ""EMP""), 'Ammo Input'!M557 * N557 / 'Ingredient stats'!$C$5, REGEXMATCH(B557, ""Charge""), (U557^0.75), true, 0) + (IF(VLOOKUP(B5"&amp;"57, AmmoTypeFactors, 10, false), 2,0) + IF('Ammo Input'!P557, 2,0) + IF('Ammo Input'!Q557,MIN(ROUNDUP(0.2*('Ammo Input'!H557/1000)*'Ammo Input'!O557,0),20),0))))"),0)</f>
        <v>0</v>
      </c>
      <c r="W561">
        <v>4</v>
      </c>
      <c r="X561">
        <v>0</v>
      </c>
      <c r="Y561">
        <v>0</v>
      </c>
      <c r="Z561">
        <v>0</v>
      </c>
      <c r="AA561">
        <v>0</v>
      </c>
      <c r="AB561" s="30">
        <f>IF(B561="Sling Bullet (Stone)",ROUNDUP(D561*0.02*E561/'Ingredient stats'!$C$8,0),0)</f>
        <v>0</v>
      </c>
      <c r="AC561" t="str">
        <f t="shared" si="20"/>
        <v>None</v>
      </c>
      <c r="AD561" t="str">
        <f>IF(OR(B561="Buck",B561="Bird",B561="Charge (Scatter)"),'Ammo Input'!J561,"None")</f>
        <v>None</v>
      </c>
      <c r="AE561" t="str">
        <f>_xlfn.IFS(ISTEXT(Calcs!N561),Calcs!N561,Calcs!N561&lt;=40,Calcs!N561,Calcs!N561&gt;41,"40")</f>
        <v>None</v>
      </c>
      <c r="AF561" t="str">
        <f>_xlfn.IFS(ISTEXT(Calcs!O561),Calcs!O561,Calcs!O561&lt;=80,Calcs!O561,Calcs!O561&gt;=81,"80")</f>
        <v>None</v>
      </c>
      <c r="AG561" s="25">
        <f t="shared" si="21"/>
        <v>1</v>
      </c>
      <c r="AH561" s="25">
        <f t="shared" si="22"/>
        <v>2.3</v>
      </c>
      <c r="AI561" s="25">
        <f t="shared" si="23"/>
        <v>1</v>
      </c>
    </row>
    <row r="562" ht="14.4" spans="1:35">
      <c r="A562" s="24" t="str">
        <f>'Ammo Input'!A562</f>
        <v>8x50mmR Lebel</v>
      </c>
      <c r="B562" t="str">
        <f>'Ammo Input'!B562</f>
        <v>AP-HE</v>
      </c>
      <c r="C562">
        <f>ROUNDUP(('Ammo Input'!C562*(MAX('Ammo Input'!D562,'Ammo Input'!F562)*0.5)^2*PI())*3/1000000,2)</f>
        <v>0.04</v>
      </c>
      <c r="D562">
        <f>ROUNDUP(('Ammo Input'!E562+'Ammo Input'!H562*IF('Ammo Input'!J562&lt;&gt;"",MAX('Ammo Input'!J562,1),1))/1000,3)</f>
        <v>0.028</v>
      </c>
      <c r="E562">
        <f>MIN(5000,MAX(25,CEILING(Calcs!L562,_xlfn.IFS(Calcs!L562&lt;100,25,Calcs!L562&lt;250,50,Calcs!L562&lt;1000,250,Calcs!L562&gt;=1000,1000))))</f>
        <v>5000</v>
      </c>
      <c r="F562">
        <f>ROUNDUP('Ammo Input'!G562^(3/4),0)</f>
        <v>141</v>
      </c>
      <c r="G562">
        <f>ROUND((0.5*((IF(OR(B562="HEAT",B562="HEDP"),'Ammo Input'!N562,'Ammo Input'!H562)/1000)*(IF(B562="HEAT",9000,IF(B562="HEDP",1500,'Ammo Input'!G562))^2))),0)</f>
        <v>3411</v>
      </c>
      <c r="H562" s="25" t="str">
        <f>CONCATENATE(IF((B562="Foam")+(B562="Smoke"),"-",ROUND(Calcs!D562,0))," ",VLOOKUP(B562,AmmoTypeFactors,5,FALSE))</f>
        <v>20 Bullet</v>
      </c>
      <c r="I562" s="25" t="str">
        <f>IF(Calcs!E562=0,"None",CONCATENATE(ROUND(Calcs!E562,0)," ",VLOOKUP(B562,AmmoTypeFactors,6,FALSE)))</f>
        <v>9 Bomb_Secondary</v>
      </c>
      <c r="J562">
        <f>MROUND(2.42*'Ammo Input'!M562^(1/3)*VLOOKUP(B562,AmmoTypeFactors,3,FALSE),0.5)</f>
        <v>0</v>
      </c>
      <c r="K562" s="25" t="str">
        <f>IF(VLOOKUP(B562,AmmoTypeFactors,12,FALSE),MROUND(J562/3,0.5),"None")</f>
        <v>None</v>
      </c>
      <c r="L562" s="25">
        <f>IF(VLOOKUP(B562,AmmoTypeFactors,8,FALSE),"None",ROUNDUP(IF(Calcs!I562&gt;0,Calcs!I562,Calcs!H562),3))</f>
        <v>68.22</v>
      </c>
      <c r="M562" s="25">
        <f>IF(VLOOKUP(B562,AmmoTypeFactors,8,FALSE),"None",'Ammo Input'!L562)</f>
        <v>6</v>
      </c>
      <c r="N562">
        <f>'Ammo Input'!O562</f>
        <v>500</v>
      </c>
      <c r="O562" t="e">
        <f>ROUND((P562*0.0036+SUMPRODUCT(Q562:AB562,VLOOKUP($Q$1:$AB$1,IngredientStats,2,FALSE)))/N562*IF('Ammo Input'!R562,0.5,1),2)</f>
        <v>#VALUE!</v>
      </c>
      <c r="P562" t="e">
        <f>(SUMPRODUCT(Q562:AB562,VLOOKUP($Q$1:$AB$1,IngredientStats,4,FALSE))*VLOOKUP(B562,AmmoTypeFactors,14,FALSE)*IF('Ammo Input'!R562,1.1,1))</f>
        <v>#VALUE!</v>
      </c>
      <c r="Q562">
        <f>IFERROR(__xludf.DUMMYFUNCTION("((IF(NOT(OR(REGEXMATCH(B558, ""Arrow""), B558 = ""Javelin"", B558 = ""Stick bomb"")), ROUNDUP(('Ammo Input'!E558 / 1000) * N558)) + IF(VLOOKUP(B558, AmmoTypeFactors, 9, FALSE) = ""Steel"", ROUNDUP(('Ammo Input'!H558 -'Ammo Input'!M558) * MAX(IF('Ammo Inpu"&amp;"t'!J558 &gt; 0, 'Ammo Input'!J558, 1), 1) * N558 / 1000))) / 'Ingredient stats'!$C$2) * IF(ISBLANK(VLOOKUP(B558,AmmoTypeFactors,15,False)),1,VLOOKUP(B558,AmmoTypeFactors,15,False))"),30)</f>
        <v>30</v>
      </c>
      <c r="R562">
        <f>IFERROR(__xludf.DUMMYFUNCTION("ROUNDUP((IF(REGEXMATCH(B558, ""Arrow"") + (B558 = ""Javelin""), 'Ammo Input'!E558) + IF(VLOOKUP(B558, AmmoTypeFactors, 9, FALSE) = ""Wood"", 'Ammo Input'!H558) + IF(B558 = ""Stick bomb"", 'Ammo Input'!E558)) * N558 / 'Ingredient stats'!$C$12 / 1000)"),0)</f>
        <v>0</v>
      </c>
      <c r="S562">
        <v>0</v>
      </c>
      <c r="T562">
        <v>0</v>
      </c>
      <c r="U562">
        <f>IF(VLOOKUP(B562,AmmoTypeFactors,9,FALSE)="Plasteel",ROUNDUP(('Ammo Input'!H562*MAX(IF('Ammo Input'!J562&gt;0,'Ammo Input'!J562,1)*N562/1000/'Ingredient stats'!$C$4)),0),0)</f>
        <v>0</v>
      </c>
      <c r="V562">
        <f>IFERROR(__xludf.DUMMYFUNCTION("ROUNDUP(IF(ISBLANK(VLOOKUP(B558,AmmoTypeFactors,16,False)),1,VLOOKUP(B558,AmmoTypeFactors,16,False)) * (IFS(REGEXMATCH(B558, ""EMP""), 'Ammo Input'!M558 * N558 / 'Ingredient stats'!$C$5, REGEXMATCH(B558, ""Charge""), (U558^0.75), true, 0) + (IF(VLOOKUP(B5"&amp;"58, AmmoTypeFactors, 10, false), 2,0) + IF('Ammo Input'!P558, 2,0) + IF('Ammo Input'!Q558,MIN(ROUNDUP(0.2*('Ammo Input'!H558/1000)*'Ammo Input'!O558,0),20),0))))"),0)</f>
        <v>0</v>
      </c>
      <c r="W562">
        <v>0</v>
      </c>
      <c r="X562">
        <v>7</v>
      </c>
      <c r="Y562">
        <v>0</v>
      </c>
      <c r="Z562">
        <v>0</v>
      </c>
      <c r="AA562">
        <v>0</v>
      </c>
      <c r="AB562" s="30">
        <f>IF(B562="Sling Bullet (Stone)",ROUNDUP(D562*0.02*E562/'Ingredient stats'!$C$8,0),0)</f>
        <v>0</v>
      </c>
      <c r="AC562" t="str">
        <f t="shared" si="20"/>
        <v>None</v>
      </c>
      <c r="AD562" t="str">
        <f>IF(OR(B562="Buck",B562="Bird",B562="Charge (Scatter)"),'Ammo Input'!J562,"None")</f>
        <v>None</v>
      </c>
      <c r="AE562" t="str">
        <f>_xlfn.IFS(ISTEXT(Calcs!N562),Calcs!N562,Calcs!N562&lt;=40,Calcs!N562,Calcs!N562&gt;41,"40")</f>
        <v>None</v>
      </c>
      <c r="AF562" t="str">
        <f>_xlfn.IFS(ISTEXT(Calcs!O562),Calcs!O562,Calcs!O562&lt;=80,Calcs!O562,Calcs!O562&gt;=81,"80")</f>
        <v>None</v>
      </c>
      <c r="AG562" s="25">
        <f t="shared" si="21"/>
        <v>1</v>
      </c>
      <c r="AH562" s="25">
        <f t="shared" si="22"/>
        <v>2.3</v>
      </c>
      <c r="AI562" s="25">
        <f t="shared" si="23"/>
        <v>1</v>
      </c>
    </row>
    <row r="563" ht="14.4" spans="1:35">
      <c r="A563" s="24" t="str">
        <f>'Ammo Input'!A563</f>
        <v>8x50mmR Lebel</v>
      </c>
      <c r="B563" t="str">
        <f>'Ammo Input'!B563</f>
        <v>Sabot</v>
      </c>
      <c r="C563">
        <f>ROUNDUP(('Ammo Input'!C563*(MAX('Ammo Input'!D563,'Ammo Input'!F563)*0.5)^2*PI())*3/1000000,2)</f>
        <v>0.04</v>
      </c>
      <c r="D563">
        <f>ROUNDUP(('Ammo Input'!E563+'Ammo Input'!H563*IF('Ammo Input'!J563&lt;&gt;"",MAX('Ammo Input'!J563,1),1))/1000,3)</f>
        <v>0.023</v>
      </c>
      <c r="E563">
        <f>MIN(5000,MAX(25,CEILING(Calcs!L563,_xlfn.IFS(Calcs!L563&lt;100,25,Calcs!L563&lt;250,50,Calcs!L563&lt;1000,250,Calcs!L563&gt;=1000,1000))))</f>
        <v>5000</v>
      </c>
      <c r="F563">
        <f>ROUNDUP('Ammo Input'!G563^(3/4),0)</f>
        <v>191</v>
      </c>
      <c r="G563">
        <f>ROUND((0.5*((IF(OR(B563="HEAT",B563="HEDP"),'Ammo Input'!N563,'Ammo Input'!H563)/1000)*(IF(B563="HEAT",9000,IF(B563="HEDP",1500,'Ammo Input'!G563))^2))),0)</f>
        <v>4376</v>
      </c>
      <c r="H563" s="25" t="str">
        <f>CONCATENATE(IF((B563="Foam")+(B563="Smoke"),"-",ROUND(Calcs!D563,0))," ",VLOOKUP(B563,AmmoTypeFactors,5,FALSE))</f>
        <v>11 Bullet</v>
      </c>
      <c r="I563" s="25" t="str">
        <f>IF(Calcs!E563=0,"None",CONCATENATE(ROUND(Calcs!E563,0)," ",VLOOKUP(B563,AmmoTypeFactors,6,FALSE)))</f>
        <v>None</v>
      </c>
      <c r="J563">
        <f>MROUND(2.42*'Ammo Input'!M563^(1/3)*VLOOKUP(B563,AmmoTypeFactors,3,FALSE),0.5)</f>
        <v>0</v>
      </c>
      <c r="K563" s="25" t="str">
        <f>IF(VLOOKUP(B563,AmmoTypeFactors,12,FALSE),MROUND(J563/3,0.5),"None")</f>
        <v>None</v>
      </c>
      <c r="L563" s="25">
        <f>IF(VLOOKUP(B563,AmmoTypeFactors,8,FALSE),"None",ROUNDUP(IF(Calcs!I563&gt;0,Calcs!I563,Calcs!H563),3))</f>
        <v>87.52</v>
      </c>
      <c r="M563" s="25">
        <f>IF(VLOOKUP(B563,AmmoTypeFactors,8,FALSE),"None",'Ammo Input'!L563)</f>
        <v>21</v>
      </c>
      <c r="N563">
        <f>'Ammo Input'!O563</f>
        <v>500</v>
      </c>
      <c r="O563" t="e">
        <f>ROUND((P563*0.0036+SUMPRODUCT(Q563:AB563,VLOOKUP($Q$1:$AB$1,IngredientStats,2,FALSE)))/N563*IF('Ammo Input'!R563,0.5,1),2)</f>
        <v>#VALUE!</v>
      </c>
      <c r="P563" t="e">
        <f>(SUMPRODUCT(Q563:AB563,VLOOKUP($Q$1:$AB$1,IngredientStats,4,FALSE))*VLOOKUP(B563,AmmoTypeFactors,14,FALSE)*IF('Ammo Input'!R563,1.1,1))</f>
        <v>#VALUE!</v>
      </c>
      <c r="Q563">
        <f>IFERROR(__xludf.DUMMYFUNCTION("((IF(NOT(OR(REGEXMATCH(B559, ""Arrow""), B559 = ""Javelin"", B559 = ""Stick bomb"")), ROUNDUP(('Ammo Input'!E559 / 1000) * N559)) + IF(VLOOKUP(B559, AmmoTypeFactors, 9, FALSE) = ""Steel"", ROUNDUP(('Ammo Input'!H559 -'Ammo Input'!M559) * MAX(IF('Ammo Inpu"&amp;"t'!J559 &gt; 0, 'Ammo Input'!J559, 1), 1) * N559 / 1000))) / 'Ingredient stats'!$C$2) * IF(ISBLANK(VLOOKUP(B559,AmmoTypeFactors,15,False)),1,VLOOKUP(B559,AmmoTypeFactors,15,False))"),16)</f>
        <v>16</v>
      </c>
      <c r="R563">
        <f>IFERROR(__xludf.DUMMYFUNCTION("ROUNDUP((IF(REGEXMATCH(B559, ""Arrow"") + (B559 = ""Javelin""), 'Ammo Input'!E559) + IF(VLOOKUP(B559, AmmoTypeFactors, 9, FALSE) = ""Wood"", 'Ammo Input'!H559) + IF(B559 = ""Stick bomb"", 'Ammo Input'!E559)) * N559 / 'Ingredient stats'!$C$12 / 1000)"),0)</f>
        <v>0</v>
      </c>
      <c r="S563">
        <v>4</v>
      </c>
      <c r="T563">
        <v>4</v>
      </c>
      <c r="U563">
        <f>IF(VLOOKUP(B563,AmmoTypeFactors,9,FALSE)="Plasteel",ROUNDUP(('Ammo Input'!H563*MAX(IF('Ammo Input'!J563&gt;0,'Ammo Input'!J563,1)*N563/1000/'Ingredient stats'!$C$4)),0),0)</f>
        <v>0</v>
      </c>
      <c r="V563">
        <f>IFERROR(__xludf.DUMMYFUNCTION("ROUNDUP(IF(ISBLANK(VLOOKUP(B559,AmmoTypeFactors,16,False)),1,VLOOKUP(B559,AmmoTypeFactors,16,False)) * (IFS(REGEXMATCH(B559, ""EMP""), 'Ammo Input'!M559 * N559 / 'Ingredient stats'!$C$5, REGEXMATCH(B559, ""Charge""), (U559^0.75), true, 0) + (IF(VLOOKUP(B5"&amp;"59, AmmoTypeFactors, 10, false), 2,0) + IF('Ammo Input'!P559, 2,0) + IF('Ammo Input'!Q559,MIN(ROUNDUP(0.2*('Ammo Input'!H559/1000)*'Ammo Input'!O559,0),20),0))))"),0)</f>
        <v>0</v>
      </c>
      <c r="W563">
        <v>0</v>
      </c>
      <c r="X563">
        <v>0</v>
      </c>
      <c r="Y563">
        <v>0</v>
      </c>
      <c r="Z563">
        <v>0</v>
      </c>
      <c r="AA563">
        <v>0</v>
      </c>
      <c r="AB563" s="30">
        <f>IF(B563="Sling Bullet (Stone)",ROUNDUP(D563*0.02*E563/'Ingredient stats'!$C$8,0),0)</f>
        <v>0</v>
      </c>
      <c r="AC563" t="str">
        <f t="shared" si="20"/>
        <v>None</v>
      </c>
      <c r="AD563" t="str">
        <f>IF(OR(B563="Buck",B563="Bird",B563="Charge (Scatter)"),'Ammo Input'!J563,"None")</f>
        <v>None</v>
      </c>
      <c r="AE563" t="str">
        <f>_xlfn.IFS(ISTEXT(Calcs!N563),Calcs!N563,Calcs!N563&lt;=40,Calcs!N563,Calcs!N563&gt;41,"40")</f>
        <v>None</v>
      </c>
      <c r="AF563" t="str">
        <f>_xlfn.IFS(ISTEXT(Calcs!O563),Calcs!O563,Calcs!O563&lt;=80,Calcs!O563,Calcs!O563&gt;=81,"80")</f>
        <v>None</v>
      </c>
      <c r="AG563" s="25">
        <f t="shared" si="21"/>
        <v>1</v>
      </c>
      <c r="AH563" s="25">
        <f t="shared" si="22"/>
        <v>3.13</v>
      </c>
      <c r="AI563" s="25">
        <f t="shared" si="23"/>
        <v>1</v>
      </c>
    </row>
    <row r="564" ht="14.4" spans="1:35">
      <c r="A564" s="24" t="str">
        <f>'Ammo Input'!A564</f>
        <v>9×39mm Soviet</v>
      </c>
      <c r="B564" t="str">
        <f>'Ammo Input'!B564</f>
        <v>FMJ</v>
      </c>
      <c r="C564">
        <f>ROUNDUP(('Ammo Input'!C564*(MAX('Ammo Input'!D564,'Ammo Input'!F564)*0.5)^2*PI())*3/1000000,2)</f>
        <v>0.02</v>
      </c>
      <c r="D564">
        <f>ROUNDUP(('Ammo Input'!E564+'Ammo Input'!H564*IF('Ammo Input'!J564&lt;&gt;"",MAX('Ammo Input'!J564,1),1))/1000,3)</f>
        <v>0.027</v>
      </c>
      <c r="E564">
        <f>MIN(5000,MAX(25,CEILING(Calcs!L564,_xlfn.IFS(Calcs!L564&lt;100,25,Calcs!L564&lt;250,50,Calcs!L564&lt;1000,250,Calcs!L564&gt;=1000,1000))))</f>
        <v>5000</v>
      </c>
      <c r="F564">
        <f>ROUNDUP('Ammo Input'!G564^(3/4),0)</f>
        <v>76</v>
      </c>
      <c r="G564">
        <f>ROUND((0.5*((IF(OR(B564="HEAT",B564="HEDP"),'Ammo Input'!N564,'Ammo Input'!H564)/1000)*(IF(B564="HEAT",9000,IF(B564="HEDP",1500,'Ammo Input'!G564))^2))),0)</f>
        <v>824</v>
      </c>
      <c r="H564" s="25" t="str">
        <f>CONCATENATE(IF((B564="Foam")+(B564="Smoke"),"-",ROUND(Calcs!D564,0))," ",VLOOKUP(B564,AmmoTypeFactors,5,FALSE))</f>
        <v>13 Bullet</v>
      </c>
      <c r="I564" s="25" t="str">
        <f>IF(Calcs!E564=0,"None",CONCATENATE(ROUND(Calcs!E564,0)," ",VLOOKUP(B564,AmmoTypeFactors,6,FALSE)))</f>
        <v>None</v>
      </c>
      <c r="J564">
        <f>MROUND(2.42*'Ammo Input'!M564^(1/3)*VLOOKUP(B564,AmmoTypeFactors,3,FALSE),0.5)</f>
        <v>0</v>
      </c>
      <c r="K564" s="25" t="str">
        <f>IF(VLOOKUP(B564,AmmoTypeFactors,12,FALSE),MROUND(J564/3,0.5),"None")</f>
        <v>None</v>
      </c>
      <c r="L564" s="25">
        <f>IF(VLOOKUP(B564,AmmoTypeFactors,8,FALSE),"None",ROUNDUP(IF(Calcs!I564&gt;0,Calcs!I564,Calcs!H564),3))</f>
        <v>16.48</v>
      </c>
      <c r="M564" s="25">
        <f>IF(VLOOKUP(B564,AmmoTypeFactors,8,FALSE),"None",'Ammo Input'!L564)</f>
        <v>4</v>
      </c>
      <c r="N564">
        <f>'Ammo Input'!O564</f>
        <v>500</v>
      </c>
      <c r="O564" t="e">
        <f>ROUND((P564*0.0036+SUMPRODUCT(Q564:AB564,VLOOKUP($Q$1:$AB$1,IngredientStats,2,FALSE)))/N564*IF('Ammo Input'!R564,0.5,1),2)</f>
        <v>#VALUE!</v>
      </c>
      <c r="P564" t="e">
        <f>(SUMPRODUCT(Q564:AB564,VLOOKUP($Q$1:$AB$1,IngredientStats,4,FALSE))*VLOOKUP(B564,AmmoTypeFactors,14,FALSE)*IF('Ammo Input'!R564,1.1,1))</f>
        <v>#VALUE!</v>
      </c>
      <c r="Q564">
        <f>IFERROR(__xludf.DUMMYFUNCTION("((IF(NOT(OR(REGEXMATCH(B560, ""Arrow""), B560 = ""Javelin"", B560 = ""Stick bomb"")), ROUNDUP(('Ammo Input'!E560 / 1000) * N560)) + IF(VLOOKUP(B560, AmmoTypeFactors, 9, FALSE) = ""Steel"", ROUNDUP(('Ammo Input'!H560 -'Ammo Input'!M560) * MAX(IF('Ammo Inpu"&amp;"t'!J560 &gt; 0, 'Ammo Input'!J560, 1), 1) * N560 / 1000))) / 'Ingredient stats'!$C$2) * IF(ISBLANK(VLOOKUP(B560,AmmoTypeFactors,15,False)),1,VLOOKUP(B560,AmmoTypeFactors,15,False))"),30)</f>
        <v>30</v>
      </c>
      <c r="R564">
        <f>IFERROR(__xludf.DUMMYFUNCTION("ROUNDUP((IF(REGEXMATCH(B560, ""Arrow"") + (B560 = ""Javelin""), 'Ammo Input'!E560) + IF(VLOOKUP(B560, AmmoTypeFactors, 9, FALSE) = ""Wood"", 'Ammo Input'!H560) + IF(B560 = ""Stick bomb"", 'Ammo Input'!E560)) * N560 / 'Ingredient stats'!$C$12 / 1000)"),0)</f>
        <v>0</v>
      </c>
      <c r="S564">
        <v>0</v>
      </c>
      <c r="T564">
        <v>0</v>
      </c>
      <c r="U564">
        <f>IF(VLOOKUP(B564,AmmoTypeFactors,9,FALSE)="Plasteel",ROUNDUP(('Ammo Input'!H564*MAX(IF('Ammo Input'!J564&gt;0,'Ammo Input'!J564,1)*N564/1000/'Ingredient stats'!$C$4)),0),0)</f>
        <v>0</v>
      </c>
      <c r="V564">
        <f>IFERROR(__xludf.DUMMYFUNCTION("ROUNDUP(IF(ISBLANK(VLOOKUP(B560,AmmoTypeFactors,16,False)),1,VLOOKUP(B560,AmmoTypeFactors,16,False)) * (IFS(REGEXMATCH(B560, ""EMP""), 'Ammo Input'!M560 * N560 / 'Ingredient stats'!$C$5, REGEXMATCH(B560, ""Charge""), (U560^0.75), true, 0) + (IF(VLOOKUP(B5"&amp;"60, AmmoTypeFactors, 10, false), 2,0) + IF('Ammo Input'!P560, 2,0) + IF('Ammo Input'!Q560,MIN(ROUNDUP(0.2*('Ammo Input'!H560/1000)*'Ammo Input'!O560,0),20),0))))"),0)</f>
        <v>0</v>
      </c>
      <c r="W564">
        <v>0</v>
      </c>
      <c r="X564">
        <v>0</v>
      </c>
      <c r="Y564">
        <v>0</v>
      </c>
      <c r="Z564">
        <v>0</v>
      </c>
      <c r="AA564">
        <v>0</v>
      </c>
      <c r="AB564" s="30">
        <f>IF(B564="Sling Bullet (Stone)",ROUNDUP(D564*0.02*E564/'Ingredient stats'!$C$8,0),0)</f>
        <v>0</v>
      </c>
      <c r="AC564" t="str">
        <f t="shared" si="20"/>
        <v>None</v>
      </c>
      <c r="AD564" t="str">
        <f>IF(OR(B564="Buck",B564="Bird",B564="Charge (Scatter)"),'Ammo Input'!J564,"None")</f>
        <v>None</v>
      </c>
      <c r="AE564" t="str">
        <f>_xlfn.IFS(ISTEXT(Calcs!N564),Calcs!N564,Calcs!N564&lt;=40,Calcs!N564,Calcs!N564&gt;41,"40")</f>
        <v>None</v>
      </c>
      <c r="AF564" t="str">
        <f>_xlfn.IFS(ISTEXT(Calcs!O564),Calcs!O564,Calcs!O564&lt;=80,Calcs!O564,Calcs!O564&gt;=81,"80")</f>
        <v>None</v>
      </c>
      <c r="AG564" s="25">
        <f t="shared" si="21"/>
        <v>1</v>
      </c>
      <c r="AH564" s="25">
        <f t="shared" si="22"/>
        <v>1.26</v>
      </c>
      <c r="AI564" s="25">
        <f t="shared" si="23"/>
        <v>1</v>
      </c>
    </row>
    <row r="565" ht="14.4" spans="1:35">
      <c r="A565" s="24" t="str">
        <f>'Ammo Input'!A565</f>
        <v>9×39mm Soviet</v>
      </c>
      <c r="B565" t="str">
        <f>'Ammo Input'!B565</f>
        <v>AP</v>
      </c>
      <c r="C565">
        <f>ROUNDUP(('Ammo Input'!C565*(MAX('Ammo Input'!D565,'Ammo Input'!F565)*0.5)^2*PI())*3/1000000,2)</f>
        <v>0.02</v>
      </c>
      <c r="D565">
        <f>ROUNDUP(('Ammo Input'!E565+'Ammo Input'!H565*IF('Ammo Input'!J565&lt;&gt;"",MAX('Ammo Input'!J565,1),1))/1000,3)</f>
        <v>0.027</v>
      </c>
      <c r="E565">
        <f>MIN(5000,MAX(25,CEILING(Calcs!L565,_xlfn.IFS(Calcs!L565&lt;100,25,Calcs!L565&lt;250,50,Calcs!L565&lt;1000,250,Calcs!L565&gt;=1000,1000))))</f>
        <v>5000</v>
      </c>
      <c r="F565">
        <f>ROUNDUP('Ammo Input'!G565^(3/4),0)</f>
        <v>76</v>
      </c>
      <c r="G565">
        <f>ROUND((0.5*((IF(OR(B565="HEAT",B565="HEDP"),'Ammo Input'!N565,'Ammo Input'!H565)/1000)*(IF(B565="HEAT",9000,IF(B565="HEDP",1500,'Ammo Input'!G565))^2))),0)</f>
        <v>824</v>
      </c>
      <c r="H565" s="25" t="str">
        <f>CONCATENATE(IF((B565="Foam")+(B565="Smoke"),"-",ROUND(Calcs!D565,0))," ",VLOOKUP(B565,AmmoTypeFactors,5,FALSE))</f>
        <v>8 Bullet</v>
      </c>
      <c r="I565" s="25" t="str">
        <f>IF(Calcs!E565=0,"None",CONCATENATE(ROUND(Calcs!E565,0)," ",VLOOKUP(B565,AmmoTypeFactors,6,FALSE)))</f>
        <v>None</v>
      </c>
      <c r="J565">
        <f>MROUND(2.42*'Ammo Input'!M565^(1/3)*VLOOKUP(B565,AmmoTypeFactors,3,FALSE),0.5)</f>
        <v>0</v>
      </c>
      <c r="K565" s="25" t="str">
        <f>IF(VLOOKUP(B565,AmmoTypeFactors,12,FALSE),MROUND(J565/3,0.5),"None")</f>
        <v>None</v>
      </c>
      <c r="L565" s="25">
        <f>IF(VLOOKUP(B565,AmmoTypeFactors,8,FALSE),"None",ROUNDUP(IF(Calcs!I565&gt;0,Calcs!I565,Calcs!H565),3))</f>
        <v>16.48</v>
      </c>
      <c r="M565" s="25">
        <f>IF(VLOOKUP(B565,AmmoTypeFactors,8,FALSE),"None",'Ammo Input'!L565)</f>
        <v>8</v>
      </c>
      <c r="N565">
        <f>'Ammo Input'!O565</f>
        <v>500</v>
      </c>
      <c r="O565" t="e">
        <f>ROUND((P565*0.0036+SUMPRODUCT(Q565:AB565,VLOOKUP($Q$1:$AB$1,IngredientStats,2,FALSE)))/N565*IF('Ammo Input'!R565,0.5,1),2)</f>
        <v>#VALUE!</v>
      </c>
      <c r="P565" t="e">
        <f>(SUMPRODUCT(Q565:AB565,VLOOKUP($Q$1:$AB$1,IngredientStats,4,FALSE))*VLOOKUP(B565,AmmoTypeFactors,14,FALSE)*IF('Ammo Input'!R565,1.1,1))</f>
        <v>#VALUE!</v>
      </c>
      <c r="Q565">
        <f>IFERROR(__xludf.DUMMYFUNCTION("((IF(NOT(OR(REGEXMATCH(B561, ""Arrow""), B561 = ""Javelin"", B561 = ""Stick bomb"")), ROUNDUP(('Ammo Input'!E561 / 1000) * N561)) + IF(VLOOKUP(B561, AmmoTypeFactors, 9, FALSE) = ""Steel"", ROUNDUP(('Ammo Input'!H561 -'Ammo Input'!M561) * MAX(IF('Ammo Inpu"&amp;"t'!J561 &gt; 0, 'Ammo Input'!J561, 1), 1) * N561 / 1000))) / 'Ingredient stats'!$C$2) * IF(ISBLANK(VLOOKUP(B561,AmmoTypeFactors,15,False)),1,VLOOKUP(B561,AmmoTypeFactors,15,False))"),30)</f>
        <v>30</v>
      </c>
      <c r="R565">
        <f>IFERROR(__xludf.DUMMYFUNCTION("ROUNDUP((IF(REGEXMATCH(B561, ""Arrow"") + (B561 = ""Javelin""), 'Ammo Input'!E561) + IF(VLOOKUP(B561, AmmoTypeFactors, 9, FALSE) = ""Wood"", 'Ammo Input'!H561) + IF(B561 = ""Stick bomb"", 'Ammo Input'!E561)) * N561 / 'Ingredient stats'!$C$12 / 1000)"),0)</f>
        <v>0</v>
      </c>
      <c r="S565">
        <v>0</v>
      </c>
      <c r="T565">
        <v>0</v>
      </c>
      <c r="U565">
        <f>IF(VLOOKUP(B565,AmmoTypeFactors,9,FALSE)="Plasteel",ROUNDUP(('Ammo Input'!H565*MAX(IF('Ammo Input'!J565&gt;0,'Ammo Input'!J565,1)*N565/1000/'Ingredient stats'!$C$4)),0),0)</f>
        <v>0</v>
      </c>
      <c r="V565">
        <f>IFERROR(__xludf.DUMMYFUNCTION("ROUNDUP(IF(ISBLANK(VLOOKUP(B561,AmmoTypeFactors,16,False)),1,VLOOKUP(B561,AmmoTypeFactors,16,False)) * (IFS(REGEXMATCH(B561, ""EMP""), 'Ammo Input'!M561 * N561 / 'Ingredient stats'!$C$5, REGEXMATCH(B561, ""Charge""), (U561^0.75), true, 0) + (IF(VLOOKUP(B5"&amp;"61, AmmoTypeFactors, 10, false), 2,0) + IF('Ammo Input'!P561, 2,0) + IF('Ammo Input'!Q561,MIN(ROUNDUP(0.2*('Ammo Input'!H561/1000)*'Ammo Input'!O561,0),20),0))))"),0)</f>
        <v>0</v>
      </c>
      <c r="W565">
        <v>0</v>
      </c>
      <c r="X565">
        <v>0</v>
      </c>
      <c r="Y565">
        <v>0</v>
      </c>
      <c r="Z565">
        <v>0</v>
      </c>
      <c r="AA565">
        <v>0</v>
      </c>
      <c r="AB565" s="30">
        <f>IF(B565="Sling Bullet (Stone)",ROUNDUP(D565*0.02*E565/'Ingredient stats'!$C$8,0),0)</f>
        <v>0</v>
      </c>
      <c r="AC565" t="str">
        <f t="shared" si="20"/>
        <v>None</v>
      </c>
      <c r="AD565" t="str">
        <f>IF(OR(B565="Buck",B565="Bird",B565="Charge (Scatter)"),'Ammo Input'!J565,"None")</f>
        <v>None</v>
      </c>
      <c r="AE565" t="str">
        <f>_xlfn.IFS(ISTEXT(Calcs!N565),Calcs!N565,Calcs!N565&lt;=40,Calcs!N565,Calcs!N565&gt;41,"40")</f>
        <v>None</v>
      </c>
      <c r="AF565" t="str">
        <f>_xlfn.IFS(ISTEXT(Calcs!O565),Calcs!O565,Calcs!O565&lt;=80,Calcs!O565,Calcs!O565&gt;=81,"80")</f>
        <v>None</v>
      </c>
      <c r="AG565" s="25">
        <f t="shared" si="21"/>
        <v>1</v>
      </c>
      <c r="AH565" s="25">
        <f t="shared" si="22"/>
        <v>1.26</v>
      </c>
      <c r="AI565" s="25">
        <f t="shared" si="23"/>
        <v>1</v>
      </c>
    </row>
    <row r="566" ht="14.4" spans="1:35">
      <c r="A566" s="24" t="str">
        <f>'Ammo Input'!A566</f>
        <v>9×39mm Soviet</v>
      </c>
      <c r="B566" t="str">
        <f>'Ammo Input'!B566</f>
        <v>HP</v>
      </c>
      <c r="C566">
        <f>ROUNDUP(('Ammo Input'!C566*(MAX('Ammo Input'!D566,'Ammo Input'!F566)*0.5)^2*PI())*3/1000000,2)</f>
        <v>0.02</v>
      </c>
      <c r="D566">
        <f>ROUNDUP(('Ammo Input'!E566+'Ammo Input'!H566*IF('Ammo Input'!J566&lt;&gt;"",MAX('Ammo Input'!J566,1),1))/1000,3)</f>
        <v>0.027</v>
      </c>
      <c r="E566">
        <f>MIN(5000,MAX(25,CEILING(Calcs!L566,_xlfn.IFS(Calcs!L566&lt;100,25,Calcs!L566&lt;250,50,Calcs!L566&lt;1000,250,Calcs!L566&gt;=1000,1000))))</f>
        <v>5000</v>
      </c>
      <c r="F566">
        <f>ROUNDUP('Ammo Input'!G566^(3/4),0)</f>
        <v>76</v>
      </c>
      <c r="G566">
        <f>ROUND((0.5*((IF(OR(B566="HEAT",B566="HEDP"),'Ammo Input'!N566,'Ammo Input'!H566)/1000)*(IF(B566="HEAT",9000,IF(B566="HEDP",1500,'Ammo Input'!G566))^2))),0)</f>
        <v>824</v>
      </c>
      <c r="H566" s="25" t="str">
        <f>CONCATENATE(IF((B566="Foam")+(B566="Smoke"),"-",ROUND(Calcs!D566,0))," ",VLOOKUP(B566,AmmoTypeFactors,5,FALSE))</f>
        <v>16 Bullet</v>
      </c>
      <c r="I566" s="25" t="str">
        <f>IF(Calcs!E566=0,"None",CONCATENATE(ROUND(Calcs!E566,0)," ",VLOOKUP(B566,AmmoTypeFactors,6,FALSE)))</f>
        <v>None</v>
      </c>
      <c r="J566">
        <f>MROUND(2.42*'Ammo Input'!M566^(1/3)*VLOOKUP(B566,AmmoTypeFactors,3,FALSE),0.5)</f>
        <v>0</v>
      </c>
      <c r="K566" s="25" t="str">
        <f>IF(VLOOKUP(B566,AmmoTypeFactors,12,FALSE),MROUND(J566/3,0.5),"None")</f>
        <v>None</v>
      </c>
      <c r="L566" s="25">
        <f>IF(VLOOKUP(B566,AmmoTypeFactors,8,FALSE),"None",ROUNDUP(IF(Calcs!I566&gt;0,Calcs!I566,Calcs!H566),3))</f>
        <v>16.48</v>
      </c>
      <c r="M566" s="25">
        <f>IF(VLOOKUP(B566,AmmoTypeFactors,8,FALSE),"None",'Ammo Input'!L566)</f>
        <v>2</v>
      </c>
      <c r="N566">
        <f>'Ammo Input'!O566</f>
        <v>500</v>
      </c>
      <c r="O566" t="e">
        <f>ROUND((P566*0.0036+SUMPRODUCT(Q566:AB566,VLOOKUP($Q$1:$AB$1,IngredientStats,2,FALSE)))/N566*IF('Ammo Input'!R566,0.5,1),2)</f>
        <v>#VALUE!</v>
      </c>
      <c r="P566" t="e">
        <f>(SUMPRODUCT(Q566:AB566,VLOOKUP($Q$1:$AB$1,IngredientStats,4,FALSE))*VLOOKUP(B566,AmmoTypeFactors,14,FALSE)*IF('Ammo Input'!R566,1.1,1))</f>
        <v>#VALUE!</v>
      </c>
      <c r="Q566">
        <f>IFERROR(__xludf.DUMMYFUNCTION("((IF(NOT(OR(REGEXMATCH(B562, ""Arrow""), B562 = ""Javelin"", B562 = ""Stick bomb"")), ROUNDUP(('Ammo Input'!E562 / 1000) * N562)) + IF(VLOOKUP(B562, AmmoTypeFactors, 9, FALSE) = ""Steel"", ROUNDUP(('Ammo Input'!H562 -'Ammo Input'!M562) * MAX(IF('Ammo Inpu"&amp;"t'!J562 &gt; 0, 'Ammo Input'!J562, 1), 1) * N562 / 1000))) / 'Ingredient stats'!$C$2) * IF(ISBLANK(VLOOKUP(B562,AmmoTypeFactors,15,False)),1,VLOOKUP(B562,AmmoTypeFactors,15,False))"),30)</f>
        <v>30</v>
      </c>
      <c r="R566">
        <f>IFERROR(__xludf.DUMMYFUNCTION("ROUNDUP((IF(REGEXMATCH(B562, ""Arrow"") + (B562 = ""Javelin""), 'Ammo Input'!E562) + IF(VLOOKUP(B562, AmmoTypeFactors, 9, FALSE) = ""Wood"", 'Ammo Input'!H562) + IF(B562 = ""Stick bomb"", 'Ammo Input'!E562)) * N562 / 'Ingredient stats'!$C$12 / 1000)"),0)</f>
        <v>0</v>
      </c>
      <c r="S566">
        <v>0</v>
      </c>
      <c r="T566">
        <v>0</v>
      </c>
      <c r="U566">
        <f>IF(VLOOKUP(B566,AmmoTypeFactors,9,FALSE)="Plasteel",ROUNDUP(('Ammo Input'!H566*MAX(IF('Ammo Input'!J566&gt;0,'Ammo Input'!J566,1)*N566/1000/'Ingredient stats'!$C$4)),0),0)</f>
        <v>0</v>
      </c>
      <c r="V566">
        <f>IFERROR(__xludf.DUMMYFUNCTION("ROUNDUP(IF(ISBLANK(VLOOKUP(B562,AmmoTypeFactors,16,False)),1,VLOOKUP(B562,AmmoTypeFactors,16,False)) * (IFS(REGEXMATCH(B562, ""EMP""), 'Ammo Input'!M562 * N562 / 'Ingredient stats'!$C$5, REGEXMATCH(B562, ""Charge""), (U562^0.75), true, 0) + (IF(VLOOKUP(B5"&amp;"62, AmmoTypeFactors, 10, false), 2,0) + IF('Ammo Input'!P562, 2,0) + IF('Ammo Input'!Q562,MIN(ROUNDUP(0.2*('Ammo Input'!H562/1000)*'Ammo Input'!O562,0),20),0))))"),0)</f>
        <v>0</v>
      </c>
      <c r="W566">
        <v>0</v>
      </c>
      <c r="X566">
        <v>0</v>
      </c>
      <c r="Y566">
        <v>0</v>
      </c>
      <c r="Z566">
        <v>0</v>
      </c>
      <c r="AA566">
        <v>0</v>
      </c>
      <c r="AB566" s="30">
        <f>IF(B566="Sling Bullet (Stone)",ROUNDUP(D566*0.02*E566/'Ingredient stats'!$C$8,0),0)</f>
        <v>0</v>
      </c>
      <c r="AC566" t="str">
        <f t="shared" si="20"/>
        <v>None</v>
      </c>
      <c r="AD566" t="str">
        <f>IF(OR(B566="Buck",B566="Bird",B566="Charge (Scatter)"),'Ammo Input'!J566,"None")</f>
        <v>None</v>
      </c>
      <c r="AE566" t="str">
        <f>_xlfn.IFS(ISTEXT(Calcs!N566),Calcs!N566,Calcs!N566&lt;=40,Calcs!N566,Calcs!N566&gt;41,"40")</f>
        <v>None</v>
      </c>
      <c r="AF566" t="str">
        <f>_xlfn.IFS(ISTEXT(Calcs!O566),Calcs!O566,Calcs!O566&lt;=80,Calcs!O566,Calcs!O566&gt;=81,"80")</f>
        <v>None</v>
      </c>
      <c r="AG566" s="25">
        <f t="shared" si="21"/>
        <v>1</v>
      </c>
      <c r="AH566" s="25">
        <f t="shared" si="22"/>
        <v>1.26</v>
      </c>
      <c r="AI566" s="25">
        <f t="shared" si="23"/>
        <v>1</v>
      </c>
    </row>
    <row r="567" ht="14.4" spans="1:35">
      <c r="A567" s="24" t="str">
        <f>'Ammo Input'!A567</f>
        <v>9×39mm Soviet</v>
      </c>
      <c r="B567" t="str">
        <f>'Ammo Input'!B567</f>
        <v>AP-I</v>
      </c>
      <c r="C567">
        <f>ROUNDUP(('Ammo Input'!C567*(MAX('Ammo Input'!D567,'Ammo Input'!F567)*0.5)^2*PI())*3/1000000,2)</f>
        <v>0.02</v>
      </c>
      <c r="D567">
        <f>ROUNDUP(('Ammo Input'!E567+'Ammo Input'!H567*IF('Ammo Input'!J567&lt;&gt;"",MAX('Ammo Input'!J567,1),1))/1000,3)</f>
        <v>0.027</v>
      </c>
      <c r="E567">
        <f>MIN(5000,MAX(25,CEILING(Calcs!L567,_xlfn.IFS(Calcs!L567&lt;100,25,Calcs!L567&lt;250,50,Calcs!L567&lt;1000,250,Calcs!L567&gt;=1000,1000))))</f>
        <v>5000</v>
      </c>
      <c r="F567">
        <f>ROUNDUP('Ammo Input'!G567^(3/4),0)</f>
        <v>76</v>
      </c>
      <c r="G567">
        <f>ROUND((0.5*((IF(OR(B567="HEAT",B567="HEDP"),'Ammo Input'!N567,'Ammo Input'!H567)/1000)*(IF(B567="HEAT",9000,IF(B567="HEDP",1500,'Ammo Input'!G567))^2))),0)</f>
        <v>824</v>
      </c>
      <c r="H567" s="25" t="str">
        <f>CONCATENATE(IF((B567="Foam")+(B567="Smoke"),"-",ROUND(Calcs!D567,0))," ",VLOOKUP(B567,AmmoTypeFactors,5,FALSE))</f>
        <v>8 Bullet</v>
      </c>
      <c r="I567" s="25" t="str">
        <f>IF(Calcs!E567=0,"None",CONCATENATE(ROUND(Calcs!E567,0)," ",VLOOKUP(B567,AmmoTypeFactors,6,FALSE)))</f>
        <v>8 Flame_Secondary</v>
      </c>
      <c r="J567">
        <f>MROUND(2.42*'Ammo Input'!M567^(1/3)*VLOOKUP(B567,AmmoTypeFactors,3,FALSE),0.5)</f>
        <v>0</v>
      </c>
      <c r="K567" s="25" t="str">
        <f>IF(VLOOKUP(B567,AmmoTypeFactors,12,FALSE),MROUND(J567/3,0.5),"None")</f>
        <v>None</v>
      </c>
      <c r="L567" s="25">
        <f>IF(VLOOKUP(B567,AmmoTypeFactors,8,FALSE),"None",ROUNDUP(IF(Calcs!I567&gt;0,Calcs!I567,Calcs!H567),3))</f>
        <v>16.48</v>
      </c>
      <c r="M567" s="25">
        <f>IF(VLOOKUP(B567,AmmoTypeFactors,8,FALSE),"None",'Ammo Input'!L567)</f>
        <v>8</v>
      </c>
      <c r="N567">
        <f>'Ammo Input'!O567</f>
        <v>500</v>
      </c>
      <c r="O567" t="e">
        <f>ROUND((P567*0.0036+SUMPRODUCT(Q567:AB567,VLOOKUP($Q$1:$AB$1,IngredientStats,2,FALSE)))/N567*IF('Ammo Input'!R567,0.5,1),2)</f>
        <v>#VALUE!</v>
      </c>
      <c r="P567" t="e">
        <f>(SUMPRODUCT(Q567:AB567,VLOOKUP($Q$1:$AB$1,IngredientStats,4,FALSE))*VLOOKUP(B567,AmmoTypeFactors,14,FALSE)*IF('Ammo Input'!R567,1.1,1))</f>
        <v>#VALUE!</v>
      </c>
      <c r="Q567">
        <f>IFERROR(__xludf.DUMMYFUNCTION("((IF(NOT(OR(REGEXMATCH(B563, ""Arrow""), B563 = ""Javelin"", B563 = ""Stick bomb"")), ROUNDUP(('Ammo Input'!E563 / 1000) * N563)) + IF(VLOOKUP(B563, AmmoTypeFactors, 9, FALSE) = ""Steel"", ROUNDUP(('Ammo Input'!H563 -'Ammo Input'!M563) * MAX(IF('Ammo Inpu"&amp;"t'!J563 &gt; 0, 'Ammo Input'!J563, 1), 1) * N563 / 1000))) / 'Ingredient stats'!$C$2) * IF(ISBLANK(VLOOKUP(B563,AmmoTypeFactors,15,False)),1,VLOOKUP(B563,AmmoTypeFactors,15,False))"),30)</f>
        <v>30</v>
      </c>
      <c r="R567">
        <f>IFERROR(__xludf.DUMMYFUNCTION("ROUNDUP((IF(REGEXMATCH(B563, ""Arrow"") + (B563 = ""Javelin""), 'Ammo Input'!E563) + IF(VLOOKUP(B563, AmmoTypeFactors, 9, FALSE) = ""Wood"", 'Ammo Input'!H563) + IF(B563 = ""Stick bomb"", 'Ammo Input'!E563)) * N563 / 'Ingredient stats'!$C$12 / 1000)"),0)</f>
        <v>0</v>
      </c>
      <c r="S567">
        <v>0</v>
      </c>
      <c r="T567">
        <v>0</v>
      </c>
      <c r="U567">
        <f>IF(VLOOKUP(B567,AmmoTypeFactors,9,FALSE)="Plasteel",ROUNDUP(('Ammo Input'!H567*MAX(IF('Ammo Input'!J567&gt;0,'Ammo Input'!J567,1)*N567/1000/'Ingredient stats'!$C$4)),0),0)</f>
        <v>0</v>
      </c>
      <c r="V567">
        <f>IFERROR(__xludf.DUMMYFUNCTION("ROUNDUP(IF(ISBLANK(VLOOKUP(B563,AmmoTypeFactors,16,False)),1,VLOOKUP(B563,AmmoTypeFactors,16,False)) * (IFS(REGEXMATCH(B563, ""EMP""), 'Ammo Input'!M563 * N563 / 'Ingredient stats'!$C$5, REGEXMATCH(B563, ""Charge""), (U563^0.75), true, 0) + (IF(VLOOKUP(B5"&amp;"63, AmmoTypeFactors, 10, false), 2,0) + IF('Ammo Input'!P563, 2,0) + IF('Ammo Input'!Q563,MIN(ROUNDUP(0.2*('Ammo Input'!H563/1000)*'Ammo Input'!O563,0),20),0))))"),0)</f>
        <v>0</v>
      </c>
      <c r="W567">
        <v>4</v>
      </c>
      <c r="X567">
        <v>0</v>
      </c>
      <c r="Y567">
        <v>0</v>
      </c>
      <c r="Z567">
        <v>0</v>
      </c>
      <c r="AA567">
        <v>0</v>
      </c>
      <c r="AB567" s="30">
        <f>IF(B567="Sling Bullet (Stone)",ROUNDUP(D567*0.02*E567/'Ingredient stats'!$C$8,0),0)</f>
        <v>0</v>
      </c>
      <c r="AC567" t="str">
        <f t="shared" si="20"/>
        <v>None</v>
      </c>
      <c r="AD567" t="str">
        <f>IF(OR(B567="Buck",B567="Bird",B567="Charge (Scatter)"),'Ammo Input'!J567,"None")</f>
        <v>None</v>
      </c>
      <c r="AE567" t="str">
        <f>_xlfn.IFS(ISTEXT(Calcs!N567),Calcs!N567,Calcs!N567&lt;=40,Calcs!N567,Calcs!N567&gt;41,"40")</f>
        <v>None</v>
      </c>
      <c r="AF567" t="str">
        <f>_xlfn.IFS(ISTEXT(Calcs!O567),Calcs!O567,Calcs!O567&lt;=80,Calcs!O567,Calcs!O567&gt;=81,"80")</f>
        <v>None</v>
      </c>
      <c r="AG567" s="25">
        <f t="shared" si="21"/>
        <v>1</v>
      </c>
      <c r="AH567" s="25">
        <f t="shared" si="22"/>
        <v>1.26</v>
      </c>
      <c r="AI567" s="25">
        <f t="shared" si="23"/>
        <v>1</v>
      </c>
    </row>
    <row r="568" ht="14.4" spans="1:35">
      <c r="A568" s="24" t="str">
        <f>'Ammo Input'!A568</f>
        <v>9×39mm Soviet</v>
      </c>
      <c r="B568" t="str">
        <f>'Ammo Input'!B568</f>
        <v>AP-HE</v>
      </c>
      <c r="C568">
        <f>ROUNDUP(('Ammo Input'!C568*(MAX('Ammo Input'!D568,'Ammo Input'!F568)*0.5)^2*PI())*3/1000000,2)</f>
        <v>0.02</v>
      </c>
      <c r="D568">
        <f>ROUNDUP(('Ammo Input'!E568+'Ammo Input'!H568*IF('Ammo Input'!J568&lt;&gt;"",MAX('Ammo Input'!J568,1),1))/1000,3)</f>
        <v>0.027</v>
      </c>
      <c r="E568">
        <f>MIN(5000,MAX(25,CEILING(Calcs!L568,_xlfn.IFS(Calcs!L568&lt;100,25,Calcs!L568&lt;250,50,Calcs!L568&lt;1000,250,Calcs!L568&gt;=1000,1000))))</f>
        <v>5000</v>
      </c>
      <c r="F568">
        <f>ROUNDUP('Ammo Input'!G568^(3/4),0)</f>
        <v>76</v>
      </c>
      <c r="G568">
        <f>ROUND((0.5*((IF(OR(B568="HEAT",B568="HEDP"),'Ammo Input'!N568,'Ammo Input'!H568)/1000)*(IF(B568="HEAT",9000,IF(B568="HEDP",1500,'Ammo Input'!G568))^2))),0)</f>
        <v>824</v>
      </c>
      <c r="H568" s="25" t="str">
        <f>CONCATENATE(IF((B568="Foam")+(B568="Smoke"),"-",ROUND(Calcs!D568,0))," ",VLOOKUP(B568,AmmoTypeFactors,5,FALSE))</f>
        <v>13 Bullet</v>
      </c>
      <c r="I568" s="25" t="str">
        <f>IF(Calcs!E568=0,"None",CONCATENATE(ROUND(Calcs!E568,0)," ",VLOOKUP(B568,AmmoTypeFactors,6,FALSE)))</f>
        <v>10 Bomb_Secondary</v>
      </c>
      <c r="J568">
        <f>MROUND(2.42*'Ammo Input'!M568^(1/3)*VLOOKUP(B568,AmmoTypeFactors,3,FALSE),0.5)</f>
        <v>0</v>
      </c>
      <c r="K568" s="25" t="str">
        <f>IF(VLOOKUP(B568,AmmoTypeFactors,12,FALSE),MROUND(J568/3,0.5),"None")</f>
        <v>None</v>
      </c>
      <c r="L568" s="25">
        <f>IF(VLOOKUP(B568,AmmoTypeFactors,8,FALSE),"None",ROUNDUP(IF(Calcs!I568&gt;0,Calcs!I568,Calcs!H568),3))</f>
        <v>16.48</v>
      </c>
      <c r="M568" s="25">
        <f>IF(VLOOKUP(B568,AmmoTypeFactors,8,FALSE),"None",'Ammo Input'!L568)</f>
        <v>4</v>
      </c>
      <c r="N568">
        <f>'Ammo Input'!O568</f>
        <v>500</v>
      </c>
      <c r="O568" t="e">
        <f>ROUND((P568*0.0036+SUMPRODUCT(Q568:AB568,VLOOKUP($Q$1:$AB$1,IngredientStats,2,FALSE)))/N568*IF('Ammo Input'!R568,0.5,1),2)</f>
        <v>#VALUE!</v>
      </c>
      <c r="P568" t="e">
        <f>(SUMPRODUCT(Q568:AB568,VLOOKUP($Q$1:$AB$1,IngredientStats,4,FALSE))*VLOOKUP(B568,AmmoTypeFactors,14,FALSE)*IF('Ammo Input'!R568,1.1,1))</f>
        <v>#VALUE!</v>
      </c>
      <c r="Q568">
        <f>IFERROR(__xludf.DUMMYFUNCTION("((IF(NOT(OR(REGEXMATCH(B564, ""Arrow""), B564 = ""Javelin"", B564 = ""Stick bomb"")), ROUNDUP(('Ammo Input'!E564 / 1000) * N564)) + IF(VLOOKUP(B564, AmmoTypeFactors, 9, FALSE) = ""Steel"", ROUNDUP(('Ammo Input'!H564 -'Ammo Input'!M564) * MAX(IF('Ammo Inpu"&amp;"t'!J564 &gt; 0, 'Ammo Input'!J564, 1), 1) * N564 / 1000))) / 'Ingredient stats'!$C$2) * IF(ISBLANK(VLOOKUP(B564,AmmoTypeFactors,15,False)),1,VLOOKUP(B564,AmmoTypeFactors,15,False))"),30)</f>
        <v>30</v>
      </c>
      <c r="R568">
        <f>IFERROR(__xludf.DUMMYFUNCTION("ROUNDUP((IF(REGEXMATCH(B564, ""Arrow"") + (B564 = ""Javelin""), 'Ammo Input'!E564) + IF(VLOOKUP(B564, AmmoTypeFactors, 9, FALSE) = ""Wood"", 'Ammo Input'!H564) + IF(B564 = ""Stick bomb"", 'Ammo Input'!E564)) * N564 / 'Ingredient stats'!$C$12 / 1000)"),0)</f>
        <v>0</v>
      </c>
      <c r="S568">
        <v>0</v>
      </c>
      <c r="T568">
        <v>0</v>
      </c>
      <c r="U568">
        <f>IF(VLOOKUP(B568,AmmoTypeFactors,9,FALSE)="Plasteel",ROUNDUP(('Ammo Input'!H568*MAX(IF('Ammo Input'!J568&gt;0,'Ammo Input'!J568,1)*N568/1000/'Ingredient stats'!$C$4)),0),0)</f>
        <v>0</v>
      </c>
      <c r="V568">
        <f>IFERROR(__xludf.DUMMYFUNCTION("ROUNDUP(IF(ISBLANK(VLOOKUP(B564,AmmoTypeFactors,16,False)),1,VLOOKUP(B564,AmmoTypeFactors,16,False)) * (IFS(REGEXMATCH(B564, ""EMP""), 'Ammo Input'!M564 * N564 / 'Ingredient stats'!$C$5, REGEXMATCH(B564, ""Charge""), (U564^0.75), true, 0) + (IF(VLOOKUP(B5"&amp;"64, AmmoTypeFactors, 10, false), 2,0) + IF('Ammo Input'!P564, 2,0) + IF('Ammo Input'!Q564,MIN(ROUNDUP(0.2*('Ammo Input'!H564/1000)*'Ammo Input'!O564,0),20),0))))"),0)</f>
        <v>0</v>
      </c>
      <c r="W568">
        <v>0</v>
      </c>
      <c r="X568">
        <v>8</v>
      </c>
      <c r="Y568">
        <v>0</v>
      </c>
      <c r="Z568">
        <v>0</v>
      </c>
      <c r="AA568">
        <v>0</v>
      </c>
      <c r="AB568" s="30">
        <f>IF(B568="Sling Bullet (Stone)",ROUNDUP(D568*0.02*E568/'Ingredient stats'!$C$8,0),0)</f>
        <v>0</v>
      </c>
      <c r="AC568" t="str">
        <f t="shared" si="20"/>
        <v>None</v>
      </c>
      <c r="AD568" t="str">
        <f>IF(OR(B568="Buck",B568="Bird",B568="Charge (Scatter)"),'Ammo Input'!J568,"None")</f>
        <v>None</v>
      </c>
      <c r="AE568" t="str">
        <f>_xlfn.IFS(ISTEXT(Calcs!N568),Calcs!N568,Calcs!N568&lt;=40,Calcs!N568,Calcs!N568&gt;41,"40")</f>
        <v>None</v>
      </c>
      <c r="AF568" t="str">
        <f>_xlfn.IFS(ISTEXT(Calcs!O568),Calcs!O568,Calcs!O568&lt;=80,Calcs!O568,Calcs!O568&gt;=81,"80")</f>
        <v>None</v>
      </c>
      <c r="AG568" s="25">
        <f t="shared" si="21"/>
        <v>1</v>
      </c>
      <c r="AH568" s="25">
        <f t="shared" si="22"/>
        <v>1.26</v>
      </c>
      <c r="AI568" s="25">
        <f t="shared" si="23"/>
        <v>1</v>
      </c>
    </row>
    <row r="569" ht="14.4" spans="1:35">
      <c r="A569" s="24" t="str">
        <f>'Ammo Input'!A569</f>
        <v>9×39mm Soviet</v>
      </c>
      <c r="B569" t="str">
        <f>'Ammo Input'!B569</f>
        <v>Sabot</v>
      </c>
      <c r="C569">
        <f>ROUNDUP(('Ammo Input'!C569*(MAX('Ammo Input'!D569,'Ammo Input'!F569)*0.5)^2*PI())*3/1000000,2)</f>
        <v>0.02</v>
      </c>
      <c r="D569">
        <f>ROUNDUP(('Ammo Input'!E569+'Ammo Input'!H569*IF('Ammo Input'!J569&lt;&gt;"",MAX('Ammo Input'!J569,1),1))/1000,3)</f>
        <v>0.02</v>
      </c>
      <c r="E569">
        <f>MIN(5000,MAX(25,CEILING(Calcs!L569,_xlfn.IFS(Calcs!L569&lt;100,25,Calcs!L569&lt;250,50,Calcs!L569&lt;1000,250,Calcs!L569&gt;=1000,1000))))</f>
        <v>5000</v>
      </c>
      <c r="F569">
        <f>ROUNDUP('Ammo Input'!G569^(3/4),0)</f>
        <v>103</v>
      </c>
      <c r="G569">
        <f>ROUND((0.5*((IF(OR(B569="HEAT",B569="HEDP"),'Ammo Input'!N569,'Ammo Input'!H569)/1000)*(IF(B569="HEAT",9000,IF(B569="HEDP",1500,'Ammo Input'!G569))^2))),0)</f>
        <v>1058</v>
      </c>
      <c r="H569" s="25" t="str">
        <f>CONCATENATE(IF((B569="Foam")+(B569="Smoke"),"-",ROUND(Calcs!D569,0))," ",VLOOKUP(B569,AmmoTypeFactors,5,FALSE))</f>
        <v>7 Bullet</v>
      </c>
      <c r="I569" s="25" t="str">
        <f>IF(Calcs!E569=0,"None",CONCATENATE(ROUND(Calcs!E569,0)," ",VLOOKUP(B569,AmmoTypeFactors,6,FALSE)))</f>
        <v>None</v>
      </c>
      <c r="J569">
        <f>MROUND(2.42*'Ammo Input'!M569^(1/3)*VLOOKUP(B569,AmmoTypeFactors,3,FALSE),0.5)</f>
        <v>0</v>
      </c>
      <c r="K569" s="25" t="str">
        <f>IF(VLOOKUP(B569,AmmoTypeFactors,12,FALSE),MROUND(J569/3,0.5),"None")</f>
        <v>None</v>
      </c>
      <c r="L569" s="25">
        <f>IF(VLOOKUP(B569,AmmoTypeFactors,8,FALSE),"None",ROUNDUP(IF(Calcs!I569&gt;0,Calcs!I569,Calcs!H569),3))</f>
        <v>21.16</v>
      </c>
      <c r="M569" s="25">
        <f>IF(VLOOKUP(B569,AmmoTypeFactors,8,FALSE),"None",'Ammo Input'!L569)</f>
        <v>14</v>
      </c>
      <c r="N569">
        <f>'Ammo Input'!O569</f>
        <v>500</v>
      </c>
      <c r="O569" t="e">
        <f>ROUND((P569*0.0036+SUMPRODUCT(Q569:AB569,VLOOKUP($Q$1:$AB$1,IngredientStats,2,FALSE)))/N569*IF('Ammo Input'!R569,0.5,1),2)</f>
        <v>#VALUE!</v>
      </c>
      <c r="P569" t="e">
        <f>(SUMPRODUCT(Q569:AB569,VLOOKUP($Q$1:$AB$1,IngredientStats,4,FALSE))*VLOOKUP(B569,AmmoTypeFactors,14,FALSE)*IF('Ammo Input'!R569,1.1,1))</f>
        <v>#VALUE!</v>
      </c>
      <c r="Q569">
        <f>IFERROR(__xludf.DUMMYFUNCTION("((IF(NOT(OR(REGEXMATCH(B565, ""Arrow""), B565 = ""Javelin"", B565 = ""Stick bomb"")), ROUNDUP(('Ammo Input'!E565 / 1000) * N565)) + IF(VLOOKUP(B565, AmmoTypeFactors, 9, FALSE) = ""Steel"", ROUNDUP(('Ammo Input'!H565 -'Ammo Input'!M565) * MAX(IF('Ammo Inpu"&amp;"t'!J565 &gt; 0, 'Ammo Input'!J565, 1), 1) * N565 / 1000))) / 'Ingredient stats'!$C$2) * IF(ISBLANK(VLOOKUP(B565,AmmoTypeFactors,15,False)),1,VLOOKUP(B565,AmmoTypeFactors,15,False))"),12)</f>
        <v>12</v>
      </c>
      <c r="R569">
        <f>IFERROR(__xludf.DUMMYFUNCTION("ROUNDUP((IF(REGEXMATCH(B565, ""Arrow"") + (B565 = ""Javelin""), 'Ammo Input'!E565) + IF(VLOOKUP(B565, AmmoTypeFactors, 9, FALSE) = ""Wood"", 'Ammo Input'!H565) + IF(B565 = ""Stick bomb"", 'Ammo Input'!E565)) * N565 / 'Ingredient stats'!$C$12 / 1000)"),0)</f>
        <v>0</v>
      </c>
      <c r="S569">
        <v>5</v>
      </c>
      <c r="T569">
        <v>5</v>
      </c>
      <c r="U569">
        <f>IF(VLOOKUP(B569,AmmoTypeFactors,9,FALSE)="Plasteel",ROUNDUP(('Ammo Input'!H569*MAX(IF('Ammo Input'!J569&gt;0,'Ammo Input'!J569,1)*N569/1000/'Ingredient stats'!$C$4)),0),0)</f>
        <v>0</v>
      </c>
      <c r="V569">
        <f>IFERROR(__xludf.DUMMYFUNCTION("ROUNDUP(IF(ISBLANK(VLOOKUP(B565,AmmoTypeFactors,16,False)),1,VLOOKUP(B565,AmmoTypeFactors,16,False)) * (IFS(REGEXMATCH(B565, ""EMP""), 'Ammo Input'!M565 * N565 / 'Ingredient stats'!$C$5, REGEXMATCH(B565, ""Charge""), (U565^0.75), true, 0) + (IF(VLOOKUP(B5"&amp;"65, AmmoTypeFactors, 10, false), 2,0) + IF('Ammo Input'!P565, 2,0) + IF('Ammo Input'!Q565,MIN(ROUNDUP(0.2*('Ammo Input'!H565/1000)*'Ammo Input'!O565,0),20),0))))"),0)</f>
        <v>0</v>
      </c>
      <c r="W569">
        <v>0</v>
      </c>
      <c r="X569">
        <v>0</v>
      </c>
      <c r="Y569">
        <v>0</v>
      </c>
      <c r="Z569">
        <v>0</v>
      </c>
      <c r="AA569">
        <v>0</v>
      </c>
      <c r="AB569" s="30">
        <f>IF(B569="Sling Bullet (Stone)",ROUNDUP(D569*0.02*E569/'Ingredient stats'!$C$8,0),0)</f>
        <v>0</v>
      </c>
      <c r="AC569" t="str">
        <f t="shared" si="20"/>
        <v>None</v>
      </c>
      <c r="AD569" t="str">
        <f>IF(OR(B569="Buck",B569="Bird",B569="Charge (Scatter)"),'Ammo Input'!J569,"None")</f>
        <v>None</v>
      </c>
      <c r="AE569" t="str">
        <f>_xlfn.IFS(ISTEXT(Calcs!N569),Calcs!N569,Calcs!N569&lt;=40,Calcs!N569,Calcs!N569&gt;41,"40")</f>
        <v>None</v>
      </c>
      <c r="AF569" t="str">
        <f>_xlfn.IFS(ISTEXT(Calcs!O569),Calcs!O569,Calcs!O569&lt;=80,Calcs!O569,Calcs!O569&gt;=81,"80")</f>
        <v>None</v>
      </c>
      <c r="AG569" s="25">
        <f t="shared" si="21"/>
        <v>1</v>
      </c>
      <c r="AH569" s="25">
        <f t="shared" si="22"/>
        <v>1.69</v>
      </c>
      <c r="AI569" s="25">
        <f t="shared" si="23"/>
        <v>1</v>
      </c>
    </row>
    <row r="570" ht="14.4" spans="1:35">
      <c r="A570" s="14" t="s">
        <v>196</v>
      </c>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row>
    <row r="571" ht="14.4" spans="1:35">
      <c r="A571" s="24" t="str">
        <f>'Ammo Input'!A571</f>
        <v>.410 Bore</v>
      </c>
      <c r="B571" t="str">
        <f>'Ammo Input'!B571</f>
        <v>Buck</v>
      </c>
      <c r="C571">
        <f>ROUNDUP(('Ammo Input'!C571*(MAX('Ammo Input'!D571,'Ammo Input'!F571)*0.5)^2*PI())*3/1000000,2)</f>
        <v>0.03</v>
      </c>
      <c r="D571">
        <f>ROUNDUP(('Ammo Input'!E571+'Ammo Input'!H571*IF('Ammo Input'!J571&lt;&gt;"",MAX('Ammo Input'!J571,1),1))/1000,3)</f>
        <v>0.023</v>
      </c>
      <c r="E571">
        <f>MIN(5000,MAX(25,CEILING(Calcs!L571,_xlfn.IFS(Calcs!L571&lt;100,25,Calcs!L571&lt;250,50,Calcs!L571&lt;1000,250,Calcs!L571&gt;=1000,1000))))</f>
        <v>5000</v>
      </c>
      <c r="F571">
        <f>ROUNDUP('Ammo Input'!G571^(3/4),0)</f>
        <v>85</v>
      </c>
      <c r="G571">
        <f>ROUND((0.5*((IF(OR(B571="HEAT",B571="HEDP"),'Ammo Input'!N571,'Ammo Input'!H571)/1000)*(IF(B571="HEAT",9000,IF(B571="HEDP",1500,'Ammo Input'!G571))^2))),0)</f>
        <v>315</v>
      </c>
      <c r="H571" s="25" t="str">
        <f>CONCATENATE(IF((B571="Foam")+(B571="Smoke"),"-",ROUND(Calcs!D571,0))," ",VLOOKUP(B571,AmmoTypeFactors,5,FALSE))</f>
        <v>9 Bullet</v>
      </c>
      <c r="I571" s="25" t="str">
        <f>IF(Calcs!E571=0,"None",CONCATENATE(ROUND(Calcs!E571,0)," ",VLOOKUP(B571,AmmoTypeFactors,6,FALSE)))</f>
        <v>None</v>
      </c>
      <c r="J571">
        <f>MROUND(2.42*'Ammo Input'!M571^(1/3)*VLOOKUP(B571,AmmoTypeFactors,3,FALSE),0.5)</f>
        <v>0</v>
      </c>
      <c r="K571" s="25" t="str">
        <f>IF(VLOOKUP(B571,AmmoTypeFactors,12,FALSE),MROUND(J571/3,0.5),"None")</f>
        <v>None</v>
      </c>
      <c r="L571" s="25">
        <f>IF(VLOOKUP(B571,AmmoTypeFactors,8,FALSE),"None",ROUNDUP(IF(Calcs!I571&gt;0,Calcs!I571,Calcs!H571),3))</f>
        <v>6.3</v>
      </c>
      <c r="M571" s="25">
        <f>IF(VLOOKUP(B571,AmmoTypeFactors,8,FALSE),"None",'Ammo Input'!L571)</f>
        <v>3</v>
      </c>
      <c r="N571">
        <f>'Ammo Input'!O571</f>
        <v>500</v>
      </c>
      <c r="O571" t="e">
        <f>ROUND((P571*0.0036+SUMPRODUCT(Q571:AB571,VLOOKUP($Q$1:$AB$1,IngredientStats,2,FALSE)))/N571*IF('Ammo Input'!R571,0.5,1),2)</f>
        <v>#VALUE!</v>
      </c>
      <c r="P571" t="e">
        <f>(SUMPRODUCT(Q571:AB571,VLOOKUP($Q$1:$AB$1,IngredientStats,4,FALSE))*VLOOKUP(B571,AmmoTypeFactors,14,FALSE)*IF('Ammo Input'!R571,1.1,1))</f>
        <v>#VALUE!</v>
      </c>
      <c r="Q571">
        <f>IFERROR(__xludf.DUMMYFUNCTION("((IF(NOT(OR(REGEXMATCH(B567, ""Arrow""), B567 = ""Javelin"", B567 = ""Stick bomb"")), ROUNDUP(('Ammo Input'!E567 / 1000) * N567)) + IF(VLOOKUP(B567, AmmoTypeFactors, 9, FALSE) = ""Steel"", ROUNDUP(('Ammo Input'!H567 -'Ammo Input'!M567) * MAX(IF('Ammo Inpu"&amp;"t'!J567 &gt; 0, 'Ammo Input'!J567, 1), 1) * N567 / 1000))) / 'Ingredient stats'!$C$2) * IF(ISBLANK(VLOOKUP(B567,AmmoTypeFactors,15,False)),1,VLOOKUP(B567,AmmoTypeFactors,15,False))"),26)</f>
        <v>26</v>
      </c>
      <c r="R571">
        <f>IFERROR(__xludf.DUMMYFUNCTION("ROUNDUP((IF(REGEXMATCH(B567, ""Arrow"") + (B567 = ""Javelin""), 'Ammo Input'!E567) + IF(VLOOKUP(B567, AmmoTypeFactors, 9, FALSE) = ""Wood"", 'Ammo Input'!H567) + IF(B567 = ""Stick bomb"", 'Ammo Input'!E567)) * N567 / 'Ingredient stats'!$C$12 / 1000)"),0)</f>
        <v>0</v>
      </c>
      <c r="S571">
        <v>0</v>
      </c>
      <c r="T571">
        <v>0</v>
      </c>
      <c r="U571">
        <f>IF(VLOOKUP(B571,AmmoTypeFactors,9,FALSE)="Plasteel",ROUNDUP(('Ammo Input'!H571*MAX(IF('Ammo Input'!J571&gt;0,'Ammo Input'!J571,1)*N571/1000/'Ingredient stats'!$C$4)),0),0)</f>
        <v>0</v>
      </c>
      <c r="V571">
        <f>IFERROR(__xludf.DUMMYFUNCTION("ROUNDUP(IF(ISBLANK(VLOOKUP(B567,AmmoTypeFactors,16,False)),1,VLOOKUP(B567,AmmoTypeFactors,16,False)) * (IFS(REGEXMATCH(B567, ""EMP""), 'Ammo Input'!M567 * N567 / 'Ingredient stats'!$C$5, REGEXMATCH(B567, ""Charge""), (U567^0.75), true, 0) + (IF(VLOOKUP(B5"&amp;"67, AmmoTypeFactors, 10, false), 2,0) + IF('Ammo Input'!P567, 2,0) + IF('Ammo Input'!Q567,MIN(ROUNDUP(0.2*('Ammo Input'!H567/1000)*'Ammo Input'!O567,0),20),0))))"),0)</f>
        <v>0</v>
      </c>
      <c r="W571">
        <v>0</v>
      </c>
      <c r="X571">
        <v>0</v>
      </c>
      <c r="Y571">
        <v>0</v>
      </c>
      <c r="Z571">
        <v>0</v>
      </c>
      <c r="AA571" s="30">
        <v>0</v>
      </c>
      <c r="AB571" s="30">
        <f>IF(B571="Sling Bullet (Stone)",ROUNDUP(D571*0.02*E571/'Ingredient stats'!$C$8,0),0)</f>
        <v>0</v>
      </c>
      <c r="AC571">
        <f t="shared" ref="AC571:AC602" si="24">IF(B571="Buck",8.9,IF(B571="Bird",71.4,IF(B571="Beanbag",2,IF(OR(B571="Charge (Scatter)",B571="Charge (IonScatter)"),8.9,"None"))))</f>
        <v>8.9</v>
      </c>
      <c r="AD571">
        <f>IF(OR(B571="Buck",B571="Bird",B571="Charge (Scatter)"),'Ammo Input'!J571,"None")</f>
        <v>4</v>
      </c>
      <c r="AE571" t="str">
        <f>_xlfn.IFS(ISTEXT(Calcs!N571),Calcs!N571,Calcs!N571&lt;=40,Calcs!N571,Calcs!N571&gt;41,"40")</f>
        <v>None</v>
      </c>
      <c r="AF571" t="str">
        <f>_xlfn.IFS(ISTEXT(Calcs!O571),Calcs!O571,Calcs!O571&lt;=80,Calcs!O571,Calcs!O571&gt;=81,"80")</f>
        <v>None</v>
      </c>
      <c r="AG571" s="25">
        <f t="shared" ref="AG571:AG602" si="25">IF(IFERROR(FIND("-",$H571),0),0,IF($J571,3,1))</f>
        <v>1</v>
      </c>
      <c r="AH571" s="25">
        <f t="shared" ref="AH571:AH602" si="26">IFERROR(ROUND(200/(CEILING(200/$F571*60,1)+1),2),"-")</f>
        <v>1.4</v>
      </c>
      <c r="AI571" s="25">
        <f t="shared" ref="AI571:AI602" si="27">IF(IFERROR(FIND("-",$H571),0),0,IF($J571,2,1))</f>
        <v>1</v>
      </c>
    </row>
    <row r="572" ht="14.4" spans="1:35">
      <c r="A572" s="24" t="str">
        <f>'Ammo Input'!A572</f>
        <v>.410 Bore</v>
      </c>
      <c r="B572" t="str">
        <f>'Ammo Input'!B572</f>
        <v>Slug</v>
      </c>
      <c r="C572">
        <f>ROUNDUP(('Ammo Input'!C572*(MAX('Ammo Input'!D572,'Ammo Input'!F572)*0.5)^2*PI())*3/1000000,2)</f>
        <v>0.03</v>
      </c>
      <c r="D572">
        <f>ROUNDUP(('Ammo Input'!E572+'Ammo Input'!H572*IF('Ammo Input'!J572&lt;&gt;"",MAX('Ammo Input'!J572,1),1))/1000,3)</f>
        <v>0.012</v>
      </c>
      <c r="E572">
        <f>MIN(5000,MAX(25,CEILING(Calcs!L572,_xlfn.IFS(Calcs!L572&lt;100,25,Calcs!L572&lt;250,50,Calcs!L572&lt;1000,250,Calcs!L572&gt;=1000,1000))))</f>
        <v>5000</v>
      </c>
      <c r="F572">
        <f>ROUNDUP('Ammo Input'!G572^(3/4),0)</f>
        <v>114</v>
      </c>
      <c r="G572">
        <f>ROUND((0.5*((IF(OR(B572="HEAT",B572="HEDP"),'Ammo Input'!N572,'Ammo Input'!H572)/1000)*(IF(B572="HEAT",9000,IF(B572="HEDP",1500,'Ammo Input'!G572))^2))),0)</f>
        <v>1068</v>
      </c>
      <c r="H572" s="25" t="str">
        <f>CONCATENATE(IF((B572="Foam")+(B572="Smoke"),"-",ROUND(Calcs!D572,0))," ",VLOOKUP(B572,AmmoTypeFactors,5,FALSE))</f>
        <v>15 Bullet</v>
      </c>
      <c r="I572" s="25" t="str">
        <f>IF(Calcs!E572=0,"None",CONCATENATE(ROUND(Calcs!E572,0)," ",VLOOKUP(B572,AmmoTypeFactors,6,FALSE)))</f>
        <v>None</v>
      </c>
      <c r="J572">
        <f>MROUND(2.42*'Ammo Input'!M572^(1/3)*VLOOKUP(B572,AmmoTypeFactors,3,FALSE),0.5)</f>
        <v>0</v>
      </c>
      <c r="K572" s="25" t="str">
        <f>IF(VLOOKUP(B572,AmmoTypeFactors,12,FALSE),MROUND(J572/3,0.5),"None")</f>
        <v>None</v>
      </c>
      <c r="L572" s="25">
        <f>IF(VLOOKUP(B572,AmmoTypeFactors,8,FALSE),"None",ROUNDUP(IF(Calcs!I572&gt;0,Calcs!I572,Calcs!H572),3))</f>
        <v>21.36</v>
      </c>
      <c r="M572" s="25">
        <f>IF(VLOOKUP(B572,AmmoTypeFactors,8,FALSE),"None",'Ammo Input'!L572)</f>
        <v>4.5</v>
      </c>
      <c r="N572">
        <f>'Ammo Input'!O572</f>
        <v>500</v>
      </c>
      <c r="O572" t="e">
        <f>ROUND((P572*0.0036+SUMPRODUCT(Q572:AB572,VLOOKUP($Q$1:$AB$1,IngredientStats,2,FALSE)))/N572*IF('Ammo Input'!R572,0.5,1),2)</f>
        <v>#VALUE!</v>
      </c>
      <c r="P572" t="e">
        <f>(SUMPRODUCT(Q572:AB572,VLOOKUP($Q$1:$AB$1,IngredientStats,4,FALSE))*VLOOKUP(B572,AmmoTypeFactors,14,FALSE)*IF('Ammo Input'!R572,1.1,1))</f>
        <v>#VALUE!</v>
      </c>
      <c r="Q572">
        <f>IFERROR(__xludf.DUMMYFUNCTION("((IF(NOT(OR(REGEXMATCH(B568, ""Arrow""), B568 = ""Javelin"", B568 = ""Stick bomb"")), ROUNDUP(('Ammo Input'!E568 / 1000) * N568)) + IF(VLOOKUP(B568, AmmoTypeFactors, 9, FALSE) = ""Steel"", ROUNDUP(('Ammo Input'!H568 -'Ammo Input'!M568) * MAX(IF('Ammo Inpu"&amp;"t'!J568 &gt; 0, 'Ammo Input'!J568, 1), 1) * N568 / 1000))) / 'Ingredient stats'!$C$2) * IF(ISBLANK(VLOOKUP(B568,AmmoTypeFactors,15,False)),1,VLOOKUP(B568,AmmoTypeFactors,15,False))"),14)</f>
        <v>14</v>
      </c>
      <c r="R572">
        <f>IFERROR(__xludf.DUMMYFUNCTION("ROUNDUP((IF(REGEXMATCH(B568, ""Arrow"") + (B568 = ""Javelin""), 'Ammo Input'!E568) + IF(VLOOKUP(B568, AmmoTypeFactors, 9, FALSE) = ""Wood"", 'Ammo Input'!H568) + IF(B568 = ""Stick bomb"", 'Ammo Input'!E568)) * N568 / 'Ingredient stats'!$C$12 / 1000)"),0)</f>
        <v>0</v>
      </c>
      <c r="S572">
        <v>0</v>
      </c>
      <c r="T572">
        <v>0</v>
      </c>
      <c r="U572">
        <f>IF(VLOOKUP(B572,AmmoTypeFactors,9,FALSE)="Plasteel",ROUNDUP(('Ammo Input'!H572*MAX(IF('Ammo Input'!J572&gt;0,'Ammo Input'!J572,1)*N572/1000/'Ingredient stats'!$C$4)),0),0)</f>
        <v>0</v>
      </c>
      <c r="V572">
        <f>IFERROR(__xludf.DUMMYFUNCTION("ROUNDUP(IF(ISBLANK(VLOOKUP(B568,AmmoTypeFactors,16,False)),1,VLOOKUP(B568,AmmoTypeFactors,16,False)) * (IFS(REGEXMATCH(B568, ""EMP""), 'Ammo Input'!M568 * N568 / 'Ingredient stats'!$C$5, REGEXMATCH(B568, ""Charge""), (U568^0.75), true, 0) + (IF(VLOOKUP(B5"&amp;"68, AmmoTypeFactors, 10, false), 2,0) + IF('Ammo Input'!P568, 2,0) + IF('Ammo Input'!Q568,MIN(ROUNDUP(0.2*('Ammo Input'!H568/1000)*'Ammo Input'!O568,0),20),0))))"),0)</f>
        <v>0</v>
      </c>
      <c r="W572">
        <v>0</v>
      </c>
      <c r="X572">
        <v>0</v>
      </c>
      <c r="Y572">
        <v>0</v>
      </c>
      <c r="Z572">
        <v>0</v>
      </c>
      <c r="AA572">
        <v>0</v>
      </c>
      <c r="AB572" s="30">
        <f>IF(B572="Sling Bullet (Stone)",ROUNDUP(D572*0.02*E572/'Ingredient stats'!$C$8,0),0)</f>
        <v>0</v>
      </c>
      <c r="AC572" t="str">
        <f t="shared" si="24"/>
        <v>None</v>
      </c>
      <c r="AD572" t="str">
        <f>IF(OR(B572="Buck",B572="Bird",B572="Charge (Scatter)"),'Ammo Input'!J572,"None")</f>
        <v>None</v>
      </c>
      <c r="AE572" t="str">
        <f>_xlfn.IFS(ISTEXT(Calcs!N572),Calcs!N572,Calcs!N572&lt;=40,Calcs!N572,Calcs!N572&gt;41,"40")</f>
        <v>None</v>
      </c>
      <c r="AF572" t="str">
        <f>_xlfn.IFS(ISTEXT(Calcs!O572),Calcs!O572,Calcs!O572&lt;=80,Calcs!O572,Calcs!O572&gt;=81,"80")</f>
        <v>None</v>
      </c>
      <c r="AG572" s="25">
        <f t="shared" si="25"/>
        <v>1</v>
      </c>
      <c r="AH572" s="25">
        <f t="shared" si="26"/>
        <v>1.87</v>
      </c>
      <c r="AI572" s="25">
        <f t="shared" si="27"/>
        <v>1</v>
      </c>
    </row>
    <row r="573" ht="14.4" spans="1:35">
      <c r="A573" s="24" t="str">
        <f>'Ammo Input'!A573</f>
        <v>.410 Bore</v>
      </c>
      <c r="B573" t="str">
        <f>'Ammo Input'!B573</f>
        <v>Beanbag</v>
      </c>
      <c r="C573">
        <f>ROUNDUP(('Ammo Input'!C573*(MAX('Ammo Input'!D573,'Ammo Input'!F573)*0.5)^2*PI())*3/1000000,2)</f>
        <v>0.03</v>
      </c>
      <c r="D573">
        <f>ROUNDUP(('Ammo Input'!E573+'Ammo Input'!H573*IF('Ammo Input'!J573&lt;&gt;"",MAX('Ammo Input'!J573,1),1))/1000,3)</f>
        <v>0.015</v>
      </c>
      <c r="E573">
        <f>MIN(5000,MAX(25,CEILING(Calcs!L573,_xlfn.IFS(Calcs!L573&lt;100,25,Calcs!L573&lt;250,50,Calcs!L573&lt;1000,250,Calcs!L573&gt;=1000,1000))))</f>
        <v>5000</v>
      </c>
      <c r="F573">
        <f>ROUNDUP('Ammo Input'!G573^(3/4),0)</f>
        <v>30</v>
      </c>
      <c r="G573">
        <f>ROUND((0.5*((IF(OR(B573="HEAT",B573="HEDP"),'Ammo Input'!N573,'Ammo Input'!H573)/1000)*(IF(B573="HEAT",9000,IF(B573="HEDP",1500,'Ammo Input'!G573))^2))),0)</f>
        <v>43</v>
      </c>
      <c r="H573" s="25" t="str">
        <f>CONCATENATE(IF((B573="Foam")+(B573="Smoke"),"-",ROUND(Calcs!D573,0))," ",VLOOKUP(B573,AmmoTypeFactors,5,FALSE))</f>
        <v>5 Beanbag</v>
      </c>
      <c r="I573" s="25" t="str">
        <f>IF(Calcs!E573=0,"None",CONCATENATE(ROUND(Calcs!E573,0)," ",VLOOKUP(B573,AmmoTypeFactors,6,FALSE)))</f>
        <v>None</v>
      </c>
      <c r="J573">
        <f>MROUND(2.42*'Ammo Input'!M573^(1/3)*VLOOKUP(B573,AmmoTypeFactors,3,FALSE),0.5)</f>
        <v>0</v>
      </c>
      <c r="K573" s="25" t="str">
        <f>IF(VLOOKUP(B573,AmmoTypeFactors,12,FALSE),MROUND(J573/3,0.5),"None")</f>
        <v>None</v>
      </c>
      <c r="L573" s="25">
        <f>IF(VLOOKUP(B573,AmmoTypeFactors,8,FALSE),"None",ROUNDUP(IF(Calcs!I573&gt;0,Calcs!I573,Calcs!H573),3))</f>
        <v>0.86</v>
      </c>
      <c r="M573" s="25">
        <f>IF(VLOOKUP(B573,AmmoTypeFactors,8,FALSE),"None",'Ammo Input'!L573)</f>
        <v>0</v>
      </c>
      <c r="N573">
        <f>'Ammo Input'!O573</f>
        <v>500</v>
      </c>
      <c r="O573" t="e">
        <f>ROUND((P573*0.0036+SUMPRODUCT(Q573:AB573,VLOOKUP($Q$1:$AB$1,IngredientStats,2,FALSE)))/N573*IF('Ammo Input'!R573,0.5,1),2)</f>
        <v>#VALUE!</v>
      </c>
      <c r="P573" t="e">
        <f>(SUMPRODUCT(Q573:AB573,VLOOKUP($Q$1:$AB$1,IngredientStats,4,FALSE))*VLOOKUP(B573,AmmoTypeFactors,14,FALSE)*IF('Ammo Input'!R573,1.1,1))</f>
        <v>#VALUE!</v>
      </c>
      <c r="Q573">
        <f>IFERROR(__xludf.DUMMYFUNCTION("((IF(NOT(OR(REGEXMATCH(B569, ""Arrow""), B569 = ""Javelin"", B569 = ""Stick bomb"")), ROUNDUP(('Ammo Input'!E569 / 1000) * N569)) + IF(VLOOKUP(B569, AmmoTypeFactors, 9, FALSE) = ""Steel"", ROUNDUP(('Ammo Input'!H569 -'Ammo Input'!M569) * MAX(IF('Ammo Inpu"&amp;"t'!J569 &gt; 0, 'Ammo Input'!J569, 1), 1) * N569 / 1000))) / 'Ingredient stats'!$C$2) * IF(ISBLANK(VLOOKUP(B569,AmmoTypeFactors,15,False)),1,VLOOKUP(B569,AmmoTypeFactors,15,False))"),18)</f>
        <v>18</v>
      </c>
      <c r="R573">
        <f>IFERROR(__xludf.DUMMYFUNCTION("ROUNDUP((IF(REGEXMATCH(B569, ""Arrow"") + (B569 = ""Javelin""), 'Ammo Input'!E569) + IF(VLOOKUP(B569, AmmoTypeFactors, 9, FALSE) = ""Wood"", 'Ammo Input'!H569) + IF(B569 = ""Stick bomb"", 'Ammo Input'!E569)) * N569 / 'Ingredient stats'!$C$12 / 1000)"),0)</f>
        <v>0</v>
      </c>
      <c r="S573">
        <v>0</v>
      </c>
      <c r="T573">
        <v>0</v>
      </c>
      <c r="U573">
        <f>IF(VLOOKUP(B573,AmmoTypeFactors,9,FALSE)="Plasteel",ROUNDUP(('Ammo Input'!H573*MAX(IF('Ammo Input'!J573&gt;0,'Ammo Input'!J573,1)*N573/1000/'Ingredient stats'!$C$4)),0),0)</f>
        <v>0</v>
      </c>
      <c r="V573">
        <f>IFERROR(__xludf.DUMMYFUNCTION("ROUNDUP(IF(ISBLANK(VLOOKUP(B569,AmmoTypeFactors,16,False)),1,VLOOKUP(B569,AmmoTypeFactors,16,False)) * (IFS(REGEXMATCH(B569, ""EMP""), 'Ammo Input'!M569 * N569 / 'Ingredient stats'!$C$5, REGEXMATCH(B569, ""Charge""), (U569^0.75), true, 0) + (IF(VLOOKUP(B5"&amp;"69, AmmoTypeFactors, 10, false), 2,0) + IF('Ammo Input'!P569, 2,0) + IF('Ammo Input'!Q569,MIN(ROUNDUP(0.2*('Ammo Input'!H569/1000)*'Ammo Input'!O569,0),20),0))))"),0)</f>
        <v>0</v>
      </c>
      <c r="W573">
        <v>0</v>
      </c>
      <c r="X573">
        <v>0</v>
      </c>
      <c r="Y573">
        <v>0</v>
      </c>
      <c r="Z573">
        <v>6</v>
      </c>
      <c r="AA573">
        <v>0</v>
      </c>
      <c r="AB573" s="30">
        <f>IF(B573="Sling Bullet (Stone)",ROUNDUP(D573*0.02*E573/'Ingredient stats'!$C$8,0),0)</f>
        <v>0</v>
      </c>
      <c r="AC573">
        <f t="shared" si="24"/>
        <v>2</v>
      </c>
      <c r="AD573" t="str">
        <f>IF(OR(B573="Buck",B573="Bird",B573="Charge (Scatter)"),'Ammo Input'!J573,"None")</f>
        <v>None</v>
      </c>
      <c r="AE573" t="str">
        <f>_xlfn.IFS(ISTEXT(Calcs!N573),Calcs!N573,Calcs!N573&lt;=40,Calcs!N573,Calcs!N573&gt;41,"40")</f>
        <v>None</v>
      </c>
      <c r="AF573" t="str">
        <f>_xlfn.IFS(ISTEXT(Calcs!O573),Calcs!O573,Calcs!O573&lt;=80,Calcs!O573,Calcs!O573&gt;=81,"80")</f>
        <v>None</v>
      </c>
      <c r="AG573" s="25">
        <f t="shared" si="25"/>
        <v>1</v>
      </c>
      <c r="AH573" s="25">
        <f t="shared" si="26"/>
        <v>0.5</v>
      </c>
      <c r="AI573" s="25">
        <f t="shared" si="27"/>
        <v>1</v>
      </c>
    </row>
    <row r="574" ht="14.4" spans="1:35">
      <c r="A574" s="24" t="str">
        <f>'Ammo Input'!A574</f>
        <v>.410 Bore</v>
      </c>
      <c r="B574" t="str">
        <f>'Ammo Input'!B574</f>
        <v>EMP Slug</v>
      </c>
      <c r="C574">
        <f>ROUNDUP(('Ammo Input'!C574*(MAX('Ammo Input'!D574,'Ammo Input'!F574)*0.5)^2*PI())*3/1000000,2)</f>
        <v>0.03</v>
      </c>
      <c r="D574">
        <f>ROUNDUP(('Ammo Input'!E574+'Ammo Input'!H574*IF('Ammo Input'!J574&lt;&gt;"",MAX('Ammo Input'!J574,1),1))/1000,3)</f>
        <v>0.014</v>
      </c>
      <c r="E574">
        <f>MIN(5000,MAX(25,CEILING(Calcs!L574,_xlfn.IFS(Calcs!L574&lt;100,25,Calcs!L574&lt;250,50,Calcs!L574&lt;1000,250,Calcs!L574&gt;=1000,1000))))</f>
        <v>5000</v>
      </c>
      <c r="F574">
        <f>ROUNDUP('Ammo Input'!G574^(3/4),0)</f>
        <v>43</v>
      </c>
      <c r="G574">
        <f>ROUND((0.5*((IF(OR(B574="HEAT",B574="HEDP"),'Ammo Input'!N574,'Ammo Input'!H574)/1000)*(IF(B574="HEAT",9000,IF(B574="HEDP",1500,'Ammo Input'!G574))^2))),0)</f>
        <v>100</v>
      </c>
      <c r="H574" s="25" t="str">
        <f>CONCATENATE(IF((B574="Foam")+(B574="Smoke"),"-",ROUND(Calcs!D574,0))," ",VLOOKUP(B574,AmmoTypeFactors,5,FALSE))</f>
        <v>7 EMP</v>
      </c>
      <c r="I574" s="25" t="str">
        <f>IF(Calcs!E574=0,"None",CONCATENATE(ROUND(Calcs!E574,0)," ",VLOOKUP(B574,AmmoTypeFactors,6,FALSE)))</f>
        <v>None</v>
      </c>
      <c r="J574">
        <f>MROUND(2.42*'Ammo Input'!M574^(1/3)*VLOOKUP(B574,AmmoTypeFactors,3,FALSE),0.5)</f>
        <v>0</v>
      </c>
      <c r="K574" s="25" t="str">
        <f>IF(VLOOKUP(B574,AmmoTypeFactors,12,FALSE),MROUND(J574/3,0.5),"None")</f>
        <v>None</v>
      </c>
      <c r="L574" s="25" t="str">
        <f>IF(VLOOKUP(B574,AmmoTypeFactors,8,FALSE),"None",ROUNDUP(IF(Calcs!I574&gt;0,Calcs!I574,Calcs!H574),3))</f>
        <v>None</v>
      </c>
      <c r="M574" s="25" t="str">
        <f>IF(VLOOKUP(B574,AmmoTypeFactors,8,FALSE),"None",'Ammo Input'!L574)</f>
        <v>None</v>
      </c>
      <c r="N574">
        <f>'Ammo Input'!O574</f>
        <v>500</v>
      </c>
      <c r="O574" t="e">
        <f>ROUND((P574*0.0036+SUMPRODUCT(Q574:AB574,VLOOKUP($Q$1:$AB$1,IngredientStats,2,FALSE)))/N574*IF('Ammo Input'!R574,0.5,1),2)</f>
        <v>#VALUE!</v>
      </c>
      <c r="P574" t="e">
        <f>(SUMPRODUCT(Q574:AB574,VLOOKUP($Q$1:$AB$1,IngredientStats,4,FALSE))*VLOOKUP(B574,AmmoTypeFactors,14,FALSE)*IF('Ammo Input'!R574,1.1,1))</f>
        <v>#VALUE!</v>
      </c>
      <c r="Q574">
        <f>IFERROR(__xludf.DUMMYFUNCTION("((IF(NOT(OR(REGEXMATCH(B570, ""Arrow""), B570 = ""Javelin"", B570 = ""Stick bomb"")), ROUNDUP(('Ammo Input'!E570 / 1000) * N570)) + IF(VLOOKUP(B570, AmmoTypeFactors, 9, FALSE) = ""Steel"", ROUNDUP(('Ammo Input'!H570 -'Ammo Input'!M570) * MAX(IF('Ammo Inpu"&amp;"t'!J570 &gt; 0, 'Ammo Input'!J570, 1), 1) * N570 / 1000))) / 'Ingredient stats'!$C$2) * IF(ISBLANK(VLOOKUP(B570,AmmoTypeFactors,15,False)),1,VLOOKUP(B570,AmmoTypeFactors,15,False))"),16)</f>
        <v>16</v>
      </c>
      <c r="R574">
        <f>IFERROR(__xludf.DUMMYFUNCTION("ROUNDUP((IF(REGEXMATCH(B570, ""Arrow"") + (B570 = ""Javelin""), 'Ammo Input'!E570) + IF(VLOOKUP(B570, AmmoTypeFactors, 9, FALSE) = ""Wood"", 'Ammo Input'!H570) + IF(B570 = ""Stick bomb"", 'Ammo Input'!E570)) * N570 / 'Ingredient stats'!$C$12 / 1000)"),0)</f>
        <v>0</v>
      </c>
      <c r="S574">
        <v>0</v>
      </c>
      <c r="T574">
        <v>0</v>
      </c>
      <c r="U574">
        <f>IF(VLOOKUP(B574,AmmoTypeFactors,9,FALSE)="Plasteel",ROUNDUP(('Ammo Input'!H574*MAX(IF('Ammo Input'!J574&gt;0,'Ammo Input'!J574,1)*N574/1000/'Ingredient stats'!$C$4)),0),0)</f>
        <v>0</v>
      </c>
      <c r="V574">
        <f>IFERROR(__xludf.DUMMYFUNCTION("ROUNDUP(IF(ISBLANK(VLOOKUP(B570,AmmoTypeFactors,16,False)),1,VLOOKUP(B570,AmmoTypeFactors,16,False)) * (IFS(REGEXMATCH(B570, ""EMP""), 'Ammo Input'!M570 * N570 / 'Ingredient stats'!$C$5, REGEXMATCH(B570, ""Charge""), (U570^0.75), true, 0) + (IF(VLOOKUP(B5"&amp;"70, AmmoTypeFactors, 10, false), 2,0) + IF('Ammo Input'!P570, 2,0) + IF('Ammo Input'!Q570,MIN(ROUNDUP(0.2*('Ammo Input'!H570/1000)*'Ammo Input'!O570,0),20),0))))"),4)</f>
        <v>4</v>
      </c>
      <c r="W574">
        <v>0</v>
      </c>
      <c r="X574">
        <v>0</v>
      </c>
      <c r="Y574">
        <v>0</v>
      </c>
      <c r="Z574">
        <v>0</v>
      </c>
      <c r="AA574">
        <v>0</v>
      </c>
      <c r="AB574" s="30">
        <f>IF(B574="Sling Bullet (Stone)",ROUNDUP(D574*0.02*E574/'Ingredient stats'!$C$8,0),0)</f>
        <v>0</v>
      </c>
      <c r="AC574" t="str">
        <f t="shared" si="24"/>
        <v>None</v>
      </c>
      <c r="AD574" t="str">
        <f>IF(OR(B574="Buck",B574="Bird",B574="Charge (Scatter)"),'Ammo Input'!J574,"None")</f>
        <v>None</v>
      </c>
      <c r="AE574" t="str">
        <f>_xlfn.IFS(ISTEXT(Calcs!N574),Calcs!N574,Calcs!N574&lt;=40,Calcs!N574,Calcs!N574&gt;41,"40")</f>
        <v>None</v>
      </c>
      <c r="AF574" t="str">
        <f>_xlfn.IFS(ISTEXT(Calcs!O574),Calcs!O574,Calcs!O574&lt;=80,Calcs!O574,Calcs!O574&gt;=81,"80")</f>
        <v>None</v>
      </c>
      <c r="AG574" s="25">
        <f t="shared" si="25"/>
        <v>1</v>
      </c>
      <c r="AH574" s="25">
        <f t="shared" si="26"/>
        <v>0.71</v>
      </c>
      <c r="AI574" s="25">
        <f t="shared" si="27"/>
        <v>1</v>
      </c>
    </row>
    <row r="575" ht="14.4" spans="1:35">
      <c r="A575" s="24" t="str">
        <f>'Ammo Input'!A575</f>
        <v>.410 Bore (Slow)</v>
      </c>
      <c r="B575" t="str">
        <f>'Ammo Input'!B575</f>
        <v>Buck</v>
      </c>
      <c r="C575">
        <f>ROUNDUP(('Ammo Input'!C575*(MAX('Ammo Input'!D575,'Ammo Input'!F575)*0.5)^2*PI())*3/1000000,2)</f>
        <v>0.03</v>
      </c>
      <c r="D575">
        <f>ROUNDUP(('Ammo Input'!E575+'Ammo Input'!H575*IF('Ammo Input'!J575&lt;&gt;"",MAX('Ammo Input'!J575,1),1))/1000,3)</f>
        <v>0.023</v>
      </c>
      <c r="E575">
        <f>MIN(5000,MAX(25,CEILING(Calcs!L575,_xlfn.IFS(Calcs!L575&lt;100,25,Calcs!L575&lt;250,50,Calcs!L575&lt;1000,250,Calcs!L575&gt;=1000,1000))))</f>
        <v>5000</v>
      </c>
      <c r="F575">
        <f>ROUNDUP('Ammo Input'!G575^(3/4),0)</f>
        <v>66</v>
      </c>
      <c r="G575">
        <f>ROUND((0.5*((IF(OR(B575="HEAT",B575="HEDP"),'Ammo Input'!N575,'Ammo Input'!H575)/1000)*(IF(B575="HEAT",9000,IF(B575="HEDP",1500,'Ammo Input'!G575))^2))),0)</f>
        <v>158</v>
      </c>
      <c r="H575" s="25" t="str">
        <f>CONCATENATE(IF((B575="Foam")+(B575="Smoke"),"-",ROUND(Calcs!D575,0))," ",VLOOKUP(B575,AmmoTypeFactors,5,FALSE))</f>
        <v>7 Bullet</v>
      </c>
      <c r="I575" s="25" t="str">
        <f>IF(Calcs!E575=0,"None",CONCATENATE(ROUND(Calcs!E575,0)," ",VLOOKUP(B575,AmmoTypeFactors,6,FALSE)))</f>
        <v>None</v>
      </c>
      <c r="J575">
        <f>MROUND(2.42*'Ammo Input'!M575^(1/3)*VLOOKUP(B575,AmmoTypeFactors,3,FALSE),0.5)</f>
        <v>0</v>
      </c>
      <c r="K575" s="25" t="str">
        <f>IF(VLOOKUP(B575,AmmoTypeFactors,12,FALSE),MROUND(J575/3,0.5),"None")</f>
        <v>None</v>
      </c>
      <c r="L575" s="25">
        <f>IF(VLOOKUP(B575,AmmoTypeFactors,8,FALSE),"None",ROUNDUP(IF(Calcs!I575&gt;0,Calcs!I575,Calcs!H575),3))</f>
        <v>3.16</v>
      </c>
      <c r="M575" s="25">
        <f>IF(VLOOKUP(B575,AmmoTypeFactors,8,FALSE),"None",'Ammo Input'!L575)</f>
        <v>2.1</v>
      </c>
      <c r="N575">
        <f>'Ammo Input'!O575</f>
        <v>500</v>
      </c>
      <c r="O575" t="e">
        <f>ROUND((P575*0.0036+SUMPRODUCT(Q575:AB575,VLOOKUP($Q$1:$AB$1,IngredientStats,2,FALSE)))/N575*IF('Ammo Input'!R575,0.5,1),2)</f>
        <v>#VALUE!</v>
      </c>
      <c r="P575" t="e">
        <f>(SUMPRODUCT(Q575:AB575,VLOOKUP($Q$1:$AB$1,IngredientStats,4,FALSE))*VLOOKUP(B575,AmmoTypeFactors,14,FALSE)*IF('Ammo Input'!R575,1.1,1))</f>
        <v>#VALUE!</v>
      </c>
      <c r="Q575">
        <f>IFERROR(__xludf.DUMMYFUNCTION("((IF(NOT(OR(REGEXMATCH(B571, ""Arrow""), B571 = ""Javelin"", B571 = ""Stick bomb"")), ROUNDUP(('Ammo Input'!E571 / 1000) * N571)) + IF(VLOOKUP(B571, AmmoTypeFactors, 9, FALSE) = ""Steel"", ROUNDUP(('Ammo Input'!H571 -'Ammo Input'!M571) * MAX(IF('Ammo Inpu"&amp;"t'!J571 &gt; 0, 'Ammo Input'!J571, 1), 1) * N571 / 1000))) / 'Ingredient stats'!$C$2) * IF(ISBLANK(VLOOKUP(B571,AmmoTypeFactors,15,False)),1,VLOOKUP(B571,AmmoTypeFactors,15,False))"),26)</f>
        <v>26</v>
      </c>
      <c r="R575">
        <f>IFERROR(__xludf.DUMMYFUNCTION("ROUNDUP((IF(REGEXMATCH(B571, ""Arrow"") + (B571 = ""Javelin""), 'Ammo Input'!E571) + IF(VLOOKUP(B571, AmmoTypeFactors, 9, FALSE) = ""Wood"", 'Ammo Input'!H571) + IF(B571 = ""Stick bomb"", 'Ammo Input'!E571)) * N571 / 'Ingredient stats'!$C$12 / 1000)"),0)</f>
        <v>0</v>
      </c>
      <c r="S575">
        <v>0</v>
      </c>
      <c r="T575">
        <v>0</v>
      </c>
      <c r="U575">
        <f>IF(VLOOKUP(B575,AmmoTypeFactors,9,FALSE)="Plasteel",ROUNDUP(('Ammo Input'!H575*MAX(IF('Ammo Input'!J575&gt;0,'Ammo Input'!J575,1)*N575/1000/'Ingredient stats'!$C$4)),0),0)</f>
        <v>0</v>
      </c>
      <c r="V575">
        <f>IFERROR(__xludf.DUMMYFUNCTION("ROUNDUP(IF(ISBLANK(VLOOKUP(B571,AmmoTypeFactors,16,False)),1,VLOOKUP(B571,AmmoTypeFactors,16,False)) * (IFS(REGEXMATCH(B571, ""EMP""), 'Ammo Input'!M571 * N571 / 'Ingredient stats'!$C$5, REGEXMATCH(B571, ""Charge""), (U571^0.75), true, 0) + (IF(VLOOKUP(B5"&amp;"71, AmmoTypeFactors, 10, false), 2,0) + IF('Ammo Input'!P571, 2,0) + IF('Ammo Input'!Q571,MIN(ROUNDUP(0.2*('Ammo Input'!H571/1000)*'Ammo Input'!O571,0),20),0))))"),0)</f>
        <v>0</v>
      </c>
      <c r="W575">
        <v>0</v>
      </c>
      <c r="X575">
        <v>0</v>
      </c>
      <c r="Y575">
        <v>0</v>
      </c>
      <c r="Z575">
        <v>0</v>
      </c>
      <c r="AA575">
        <v>0</v>
      </c>
      <c r="AB575" s="30">
        <f>IF(B575="Sling Bullet (Stone)",ROUNDUP(D575*0.02*E575/'Ingredient stats'!$C$8,0),0)</f>
        <v>0</v>
      </c>
      <c r="AC575">
        <f t="shared" si="24"/>
        <v>8.9</v>
      </c>
      <c r="AD575">
        <f>IF(OR(B575="Buck",B575="Bird",B575="Charge (Scatter)"),'Ammo Input'!J575,"None")</f>
        <v>4</v>
      </c>
      <c r="AE575" t="str">
        <f>_xlfn.IFS(ISTEXT(Calcs!N575),Calcs!N575,Calcs!N575&lt;=40,Calcs!N575,Calcs!N575&gt;41,"40")</f>
        <v>None</v>
      </c>
      <c r="AF575" t="str">
        <f>_xlfn.IFS(ISTEXT(Calcs!O575),Calcs!O575,Calcs!O575&lt;=80,Calcs!O575,Calcs!O575&gt;=81,"80")</f>
        <v>None</v>
      </c>
      <c r="AG575" s="25">
        <f t="shared" si="25"/>
        <v>1</v>
      </c>
      <c r="AH575" s="25">
        <f t="shared" si="26"/>
        <v>1.09</v>
      </c>
      <c r="AI575" s="25">
        <f t="shared" si="27"/>
        <v>1</v>
      </c>
    </row>
    <row r="576" ht="14.4" spans="1:35">
      <c r="A576" s="24" t="str">
        <f>'Ammo Input'!A576</f>
        <v>.410 Bore (Slow)</v>
      </c>
      <c r="B576" t="str">
        <f>'Ammo Input'!B576</f>
        <v>Slug</v>
      </c>
      <c r="C576">
        <f>ROUNDUP(('Ammo Input'!C576*(MAX('Ammo Input'!D576,'Ammo Input'!F576)*0.5)^2*PI())*3/1000000,2)</f>
        <v>0.03</v>
      </c>
      <c r="D576">
        <f>ROUNDUP(('Ammo Input'!E576+'Ammo Input'!H576*IF('Ammo Input'!J576&lt;&gt;"",MAX('Ammo Input'!J576,1),1))/1000,3)</f>
        <v>0.012</v>
      </c>
      <c r="E576">
        <f>MIN(5000,MAX(25,CEILING(Calcs!L576,_xlfn.IFS(Calcs!L576&lt;100,25,Calcs!L576&lt;250,50,Calcs!L576&lt;1000,250,Calcs!L576&gt;=1000,1000))))</f>
        <v>5000</v>
      </c>
      <c r="F576">
        <f>ROUNDUP('Ammo Input'!G576^(3/4),0)</f>
        <v>88</v>
      </c>
      <c r="G576">
        <f>ROUND((0.5*((IF(OR(B576="HEAT",B576="HEDP"),'Ammo Input'!N576,'Ammo Input'!H576)/1000)*(IF(B576="HEAT",9000,IF(B576="HEDP",1500,'Ammo Input'!G576))^2))),0)</f>
        <v>536</v>
      </c>
      <c r="H576" s="25" t="str">
        <f>CONCATENATE(IF((B576="Foam")+(B576="Smoke"),"-",ROUND(Calcs!D576,0))," ",VLOOKUP(B576,AmmoTypeFactors,5,FALSE))</f>
        <v>11 Bullet</v>
      </c>
      <c r="I576" s="25" t="str">
        <f>IF(Calcs!E576=0,"None",CONCATENATE(ROUND(Calcs!E576,0)," ",VLOOKUP(B576,AmmoTypeFactors,6,FALSE)))</f>
        <v>None</v>
      </c>
      <c r="J576">
        <f>MROUND(2.42*'Ammo Input'!M576^(1/3)*VLOOKUP(B576,AmmoTypeFactors,3,FALSE),0.5)</f>
        <v>0</v>
      </c>
      <c r="K576" s="25" t="str">
        <f>IF(VLOOKUP(B576,AmmoTypeFactors,12,FALSE),MROUND(J576/3,0.5),"None")</f>
        <v>None</v>
      </c>
      <c r="L576" s="25">
        <f>IF(VLOOKUP(B576,AmmoTypeFactors,8,FALSE),"None",ROUNDUP(IF(Calcs!I576&gt;0,Calcs!I576,Calcs!H576),3))</f>
        <v>10.72</v>
      </c>
      <c r="M576" s="25">
        <f>IF(VLOOKUP(B576,AmmoTypeFactors,8,FALSE),"None",'Ammo Input'!L576)</f>
        <v>3.2</v>
      </c>
      <c r="N576">
        <f>'Ammo Input'!O576</f>
        <v>500</v>
      </c>
      <c r="O576" t="e">
        <f>ROUND((P576*0.0036+SUMPRODUCT(Q576:AB576,VLOOKUP($Q$1:$AB$1,IngredientStats,2,FALSE)))/N576*IF('Ammo Input'!R576,0.5,1),2)</f>
        <v>#VALUE!</v>
      </c>
      <c r="P576" t="e">
        <f>(SUMPRODUCT(Q576:AB576,VLOOKUP($Q$1:$AB$1,IngredientStats,4,FALSE))*VLOOKUP(B576,AmmoTypeFactors,14,FALSE)*IF('Ammo Input'!R576,1.1,1))</f>
        <v>#VALUE!</v>
      </c>
      <c r="Q576">
        <f>IFERROR(__xludf.DUMMYFUNCTION("((IF(NOT(OR(REGEXMATCH(B572, ""Arrow""), B572 = ""Javelin"", B572 = ""Stick bomb"")), ROUNDUP(('Ammo Input'!E572 / 1000) * N572)) + IF(VLOOKUP(B572, AmmoTypeFactors, 9, FALSE) = ""Steel"", ROUNDUP(('Ammo Input'!H572 -'Ammo Input'!M572) * MAX(IF('Ammo Inpu"&amp;"t'!J572 &gt; 0, 'Ammo Input'!J572, 1), 1) * N572 / 1000))) / 'Ingredient stats'!$C$2) * IF(ISBLANK(VLOOKUP(B572,AmmoTypeFactors,15,False)),1,VLOOKUP(B572,AmmoTypeFactors,15,False))"),14)</f>
        <v>14</v>
      </c>
      <c r="R576">
        <f>IFERROR(__xludf.DUMMYFUNCTION("ROUNDUP((IF(REGEXMATCH(B572, ""Arrow"") + (B572 = ""Javelin""), 'Ammo Input'!E572) + IF(VLOOKUP(B572, AmmoTypeFactors, 9, FALSE) = ""Wood"", 'Ammo Input'!H572) + IF(B572 = ""Stick bomb"", 'Ammo Input'!E572)) * N572 / 'Ingredient stats'!$C$12 / 1000)"),0)</f>
        <v>0</v>
      </c>
      <c r="S576">
        <v>0</v>
      </c>
      <c r="T576">
        <v>0</v>
      </c>
      <c r="U576">
        <f>IF(VLOOKUP(B576,AmmoTypeFactors,9,FALSE)="Plasteel",ROUNDUP(('Ammo Input'!H576*MAX(IF('Ammo Input'!J576&gt;0,'Ammo Input'!J576,1)*N576/1000/'Ingredient stats'!$C$4)),0),0)</f>
        <v>0</v>
      </c>
      <c r="V576">
        <f>IFERROR(__xludf.DUMMYFUNCTION("ROUNDUP(IF(ISBLANK(VLOOKUP(B572,AmmoTypeFactors,16,False)),1,VLOOKUP(B572,AmmoTypeFactors,16,False)) * (IFS(REGEXMATCH(B572, ""EMP""), 'Ammo Input'!M572 * N572 / 'Ingredient stats'!$C$5, REGEXMATCH(B572, ""Charge""), (U572^0.75), true, 0) + (IF(VLOOKUP(B5"&amp;"72, AmmoTypeFactors, 10, false), 2,0) + IF('Ammo Input'!P572, 2,0) + IF('Ammo Input'!Q572,MIN(ROUNDUP(0.2*('Ammo Input'!H572/1000)*'Ammo Input'!O572,0),20),0))))"),0)</f>
        <v>0</v>
      </c>
      <c r="W576">
        <v>0</v>
      </c>
      <c r="X576">
        <v>0</v>
      </c>
      <c r="Y576">
        <v>0</v>
      </c>
      <c r="Z576">
        <v>0</v>
      </c>
      <c r="AA576">
        <v>0</v>
      </c>
      <c r="AB576" s="30">
        <f>IF(B576="Sling Bullet (Stone)",ROUNDUP(D576*0.02*E576/'Ingredient stats'!$C$8,0),0)</f>
        <v>0</v>
      </c>
      <c r="AC576" t="str">
        <f t="shared" si="24"/>
        <v>None</v>
      </c>
      <c r="AD576" t="str">
        <f>IF(OR(B576="Buck",B576="Bird",B576="Charge (Scatter)"),'Ammo Input'!J576,"None")</f>
        <v>None</v>
      </c>
      <c r="AE576" t="str">
        <f>_xlfn.IFS(ISTEXT(Calcs!N576),Calcs!N576,Calcs!N576&lt;=40,Calcs!N576,Calcs!N576&gt;41,"40")</f>
        <v>None</v>
      </c>
      <c r="AF576" t="str">
        <f>_xlfn.IFS(ISTEXT(Calcs!O576),Calcs!O576,Calcs!O576&lt;=80,Calcs!O576,Calcs!O576&gt;=81,"80")</f>
        <v>None</v>
      </c>
      <c r="AG576" s="25">
        <f t="shared" si="25"/>
        <v>1</v>
      </c>
      <c r="AH576" s="25">
        <f t="shared" si="26"/>
        <v>1.45</v>
      </c>
      <c r="AI576" s="25">
        <f t="shared" si="27"/>
        <v>1</v>
      </c>
    </row>
    <row r="577" ht="14.4" spans="1:35">
      <c r="A577" s="24" t="str">
        <f>'Ammo Input'!A577</f>
        <v>.410 Bore (Slow)</v>
      </c>
      <c r="B577" t="str">
        <f>'Ammo Input'!B577</f>
        <v>Beanbag</v>
      </c>
      <c r="C577">
        <f>ROUNDUP(('Ammo Input'!C577*(MAX('Ammo Input'!D577,'Ammo Input'!F577)*0.5)^2*PI())*3/1000000,2)</f>
        <v>0.03</v>
      </c>
      <c r="D577">
        <f>ROUNDUP(('Ammo Input'!E577+'Ammo Input'!H577*IF('Ammo Input'!J577&lt;&gt;"",MAX('Ammo Input'!J577,1),1))/1000,3)</f>
        <v>0.015</v>
      </c>
      <c r="E577">
        <f>MIN(5000,MAX(25,CEILING(Calcs!L577,_xlfn.IFS(Calcs!L577&lt;100,25,Calcs!L577&lt;250,50,Calcs!L577&lt;1000,250,Calcs!L577&gt;=1000,1000))))</f>
        <v>5000</v>
      </c>
      <c r="F577">
        <f>ROUNDUP('Ammo Input'!G577^(3/4),0)</f>
        <v>23</v>
      </c>
      <c r="G577">
        <f>ROUND((0.5*((IF(OR(B577="HEAT",B577="HEDP"),'Ammo Input'!N577,'Ammo Input'!H577)/1000)*(IF(B577="HEAT",9000,IF(B577="HEDP",1500,'Ammo Input'!G577))^2))),0)</f>
        <v>22</v>
      </c>
      <c r="H577" s="25" t="str">
        <f>CONCATENATE(IF((B577="Foam")+(B577="Smoke"),"-",ROUND(Calcs!D577,0))," ",VLOOKUP(B577,AmmoTypeFactors,5,FALSE))</f>
        <v>4 Beanbag</v>
      </c>
      <c r="I577" s="25" t="str">
        <f>IF(Calcs!E577=0,"None",CONCATENATE(ROUND(Calcs!E577,0)," ",VLOOKUP(B577,AmmoTypeFactors,6,FALSE)))</f>
        <v>None</v>
      </c>
      <c r="J577">
        <f>MROUND(2.42*'Ammo Input'!M577^(1/3)*VLOOKUP(B577,AmmoTypeFactors,3,FALSE),0.5)</f>
        <v>0</v>
      </c>
      <c r="K577" s="25" t="str">
        <f>IF(VLOOKUP(B577,AmmoTypeFactors,12,FALSE),MROUND(J577/3,0.5),"None")</f>
        <v>None</v>
      </c>
      <c r="L577" s="25">
        <f>IF(VLOOKUP(B577,AmmoTypeFactors,8,FALSE),"None",ROUNDUP(IF(Calcs!I577&gt;0,Calcs!I577,Calcs!H577),3))</f>
        <v>0.44</v>
      </c>
      <c r="M577" s="25">
        <f>IF(VLOOKUP(B577,AmmoTypeFactors,8,FALSE),"None",'Ammo Input'!L577)</f>
        <v>0</v>
      </c>
      <c r="N577">
        <f>'Ammo Input'!O577</f>
        <v>500</v>
      </c>
      <c r="O577" t="e">
        <f>ROUND((P577*0.0036+SUMPRODUCT(Q577:AB577,VLOOKUP($Q$1:$AB$1,IngredientStats,2,FALSE)))/N577*IF('Ammo Input'!R577,0.5,1),2)</f>
        <v>#VALUE!</v>
      </c>
      <c r="P577" t="e">
        <f>(SUMPRODUCT(Q577:AB577,VLOOKUP($Q$1:$AB$1,IngredientStats,4,FALSE))*VLOOKUP(B577,AmmoTypeFactors,14,FALSE)*IF('Ammo Input'!R577,1.1,1))</f>
        <v>#VALUE!</v>
      </c>
      <c r="Q577">
        <f>IFERROR(__xludf.DUMMYFUNCTION("((IF(NOT(OR(REGEXMATCH(B573, ""Arrow""), B573 = ""Javelin"", B573 = ""Stick bomb"")), ROUNDUP(('Ammo Input'!E573 / 1000) * N573)) + IF(VLOOKUP(B573, AmmoTypeFactors, 9, FALSE) = ""Steel"", ROUNDUP(('Ammo Input'!H573 -'Ammo Input'!M573) * MAX(IF('Ammo Inpu"&amp;"t'!J573 &gt; 0, 'Ammo Input'!J573, 1), 1) * N573 / 1000))) / 'Ingredient stats'!$C$2) * IF(ISBLANK(VLOOKUP(B573,AmmoTypeFactors,15,False)),1,VLOOKUP(B573,AmmoTypeFactors,15,False))"),18)</f>
        <v>18</v>
      </c>
      <c r="R577">
        <f>IFERROR(__xludf.DUMMYFUNCTION("ROUNDUP((IF(REGEXMATCH(B573, ""Arrow"") + (B573 = ""Javelin""), 'Ammo Input'!E573) + IF(VLOOKUP(B573, AmmoTypeFactors, 9, FALSE) = ""Wood"", 'Ammo Input'!H573) + IF(B573 = ""Stick bomb"", 'Ammo Input'!E573)) * N573 / 'Ingredient stats'!$C$12 / 1000)"),0)</f>
        <v>0</v>
      </c>
      <c r="S577">
        <v>0</v>
      </c>
      <c r="T577">
        <v>0</v>
      </c>
      <c r="U577">
        <f>IF(VLOOKUP(B577,AmmoTypeFactors,9,FALSE)="Plasteel",ROUNDUP(('Ammo Input'!H577*MAX(IF('Ammo Input'!J577&gt;0,'Ammo Input'!J577,1)*N577/1000/'Ingredient stats'!$C$4)),0),0)</f>
        <v>0</v>
      </c>
      <c r="V577">
        <f>IFERROR(__xludf.DUMMYFUNCTION("ROUNDUP(IF(ISBLANK(VLOOKUP(B573,AmmoTypeFactors,16,False)),1,VLOOKUP(B573,AmmoTypeFactors,16,False)) * (IFS(REGEXMATCH(B573, ""EMP""), 'Ammo Input'!M573 * N573 / 'Ingredient stats'!$C$5, REGEXMATCH(B573, ""Charge""), (U573^0.75), true, 0) + (IF(VLOOKUP(B5"&amp;"73, AmmoTypeFactors, 10, false), 2,0) + IF('Ammo Input'!P573, 2,0) + IF('Ammo Input'!Q573,MIN(ROUNDUP(0.2*('Ammo Input'!H573/1000)*'Ammo Input'!O573,0),20),0))))"),0)</f>
        <v>0</v>
      </c>
      <c r="W577">
        <v>0</v>
      </c>
      <c r="X577">
        <v>0</v>
      </c>
      <c r="Y577">
        <v>0</v>
      </c>
      <c r="Z577">
        <v>6</v>
      </c>
      <c r="AA577">
        <v>0</v>
      </c>
      <c r="AB577" s="30">
        <f>IF(B577="Sling Bullet (Stone)",ROUNDUP(D577*0.02*E577/'Ingredient stats'!$C$8,0),0)</f>
        <v>0</v>
      </c>
      <c r="AC577">
        <f t="shared" si="24"/>
        <v>2</v>
      </c>
      <c r="AD577" t="str">
        <f>IF(OR(B577="Buck",B577="Bird",B577="Charge (Scatter)"),'Ammo Input'!J577,"None")</f>
        <v>None</v>
      </c>
      <c r="AE577" t="str">
        <f>_xlfn.IFS(ISTEXT(Calcs!N577),Calcs!N577,Calcs!N577&lt;=40,Calcs!N577,Calcs!N577&gt;41,"40")</f>
        <v>None</v>
      </c>
      <c r="AF577" t="str">
        <f>_xlfn.IFS(ISTEXT(Calcs!O577),Calcs!O577,Calcs!O577&lt;=80,Calcs!O577,Calcs!O577&gt;=81,"80")</f>
        <v>None</v>
      </c>
      <c r="AG577" s="25">
        <f t="shared" si="25"/>
        <v>1</v>
      </c>
      <c r="AH577" s="25">
        <f t="shared" si="26"/>
        <v>0.38</v>
      </c>
      <c r="AI577" s="25">
        <f t="shared" si="27"/>
        <v>1</v>
      </c>
    </row>
    <row r="578" ht="14.4" spans="1:35">
      <c r="A578" s="24" t="str">
        <f>'Ammo Input'!A578</f>
        <v>.410 Bore (Slow)</v>
      </c>
      <c r="B578" t="str">
        <f>'Ammo Input'!B578</f>
        <v>EMP Slug</v>
      </c>
      <c r="C578">
        <f>ROUNDUP(('Ammo Input'!C578*(MAX('Ammo Input'!D578,'Ammo Input'!F578)*0.5)^2*PI())*3/1000000,2)</f>
        <v>0.03</v>
      </c>
      <c r="D578">
        <f>ROUNDUP(('Ammo Input'!E578+'Ammo Input'!H578*IF('Ammo Input'!J578&lt;&gt;"",MAX('Ammo Input'!J578,1),1))/1000,3)</f>
        <v>0.014</v>
      </c>
      <c r="E578">
        <f>MIN(5000,MAX(25,CEILING(Calcs!L578,_xlfn.IFS(Calcs!L578&lt;100,25,Calcs!L578&lt;250,50,Calcs!L578&lt;1000,250,Calcs!L578&gt;=1000,1000))))</f>
        <v>5000</v>
      </c>
      <c r="F578">
        <f>ROUNDUP('Ammo Input'!G578^(3/4),0)</f>
        <v>33</v>
      </c>
      <c r="G578">
        <f>ROUND((0.5*((IF(OR(B578="HEAT",B578="HEDP"),'Ammo Input'!N578,'Ammo Input'!H578)/1000)*(IF(B578="HEAT",9000,IF(B578="HEDP",1500,'Ammo Input'!G578))^2))),0)</f>
        <v>49</v>
      </c>
      <c r="H578" s="25" t="str">
        <f>CONCATENATE(IF((B578="Foam")+(B578="Smoke"),"-",ROUND(Calcs!D578,0))," ",VLOOKUP(B578,AmmoTypeFactors,5,FALSE))</f>
        <v>7 EMP</v>
      </c>
      <c r="I578" s="25" t="str">
        <f>IF(Calcs!E578=0,"None",CONCATENATE(ROUND(Calcs!E578,0)," ",VLOOKUP(B578,AmmoTypeFactors,6,FALSE)))</f>
        <v>None</v>
      </c>
      <c r="J578">
        <f>MROUND(2.42*'Ammo Input'!M578^(1/3)*VLOOKUP(B578,AmmoTypeFactors,3,FALSE),0.5)</f>
        <v>0</v>
      </c>
      <c r="K578" s="25" t="str">
        <f>IF(VLOOKUP(B578,AmmoTypeFactors,12,FALSE),MROUND(J578/3,0.5),"None")</f>
        <v>None</v>
      </c>
      <c r="L578" s="25" t="str">
        <f>IF(VLOOKUP(B578,AmmoTypeFactors,8,FALSE),"None",ROUNDUP(IF(Calcs!I578&gt;0,Calcs!I578,Calcs!H578),3))</f>
        <v>None</v>
      </c>
      <c r="M578" s="25" t="str">
        <f>IF(VLOOKUP(B578,AmmoTypeFactors,8,FALSE),"None",'Ammo Input'!L578)</f>
        <v>None</v>
      </c>
      <c r="N578">
        <f>'Ammo Input'!O578</f>
        <v>500</v>
      </c>
      <c r="O578" t="e">
        <f>ROUND((P578*0.0036+SUMPRODUCT(Q578:AB578,VLOOKUP($Q$1:$AB$1,IngredientStats,2,FALSE)))/N578*IF('Ammo Input'!R578,0.5,1),2)</f>
        <v>#VALUE!</v>
      </c>
      <c r="P578" t="e">
        <f>(SUMPRODUCT(Q578:AB578,VLOOKUP($Q$1:$AB$1,IngredientStats,4,FALSE))*VLOOKUP(B578,AmmoTypeFactors,14,FALSE)*IF('Ammo Input'!R578,1.1,1))</f>
        <v>#VALUE!</v>
      </c>
      <c r="Q578">
        <f>IFERROR(__xludf.DUMMYFUNCTION("((IF(NOT(OR(REGEXMATCH(B574, ""Arrow""), B574 = ""Javelin"", B574 = ""Stick bomb"")), ROUNDUP(('Ammo Input'!E574 / 1000) * N574)) + IF(VLOOKUP(B574, AmmoTypeFactors, 9, FALSE) = ""Steel"", ROUNDUP(('Ammo Input'!H574 -'Ammo Input'!M574) * MAX(IF('Ammo Inpu"&amp;"t'!J574 &gt; 0, 'Ammo Input'!J574, 1), 1) * N574 / 1000))) / 'Ingredient stats'!$C$2) * IF(ISBLANK(VLOOKUP(B574,AmmoTypeFactors,15,False)),1,VLOOKUP(B574,AmmoTypeFactors,15,False))"),16)</f>
        <v>16</v>
      </c>
      <c r="R578">
        <f>IFERROR(__xludf.DUMMYFUNCTION("ROUNDUP((IF(REGEXMATCH(B574, ""Arrow"") + (B574 = ""Javelin""), 'Ammo Input'!E574) + IF(VLOOKUP(B574, AmmoTypeFactors, 9, FALSE) = ""Wood"", 'Ammo Input'!H574) + IF(B574 = ""Stick bomb"", 'Ammo Input'!E574)) * N574 / 'Ingredient stats'!$C$12 / 1000)"),0)</f>
        <v>0</v>
      </c>
      <c r="S578">
        <v>0</v>
      </c>
      <c r="T578">
        <v>0</v>
      </c>
      <c r="U578">
        <f>IF(VLOOKUP(B578,AmmoTypeFactors,9,FALSE)="Plasteel",ROUNDUP(('Ammo Input'!H578*MAX(IF('Ammo Input'!J578&gt;0,'Ammo Input'!J578,1)*N578/1000/'Ingredient stats'!$C$4)),0),0)</f>
        <v>0</v>
      </c>
      <c r="V578">
        <f>IFERROR(__xludf.DUMMYFUNCTION("ROUNDUP(IF(ISBLANK(VLOOKUP(B574,AmmoTypeFactors,16,False)),1,VLOOKUP(B574,AmmoTypeFactors,16,False)) * (IFS(REGEXMATCH(B574, ""EMP""), 'Ammo Input'!M574 * N574 / 'Ingredient stats'!$C$5, REGEXMATCH(B574, ""Charge""), (U574^0.75), true, 0) + (IF(VLOOKUP(B5"&amp;"74, AmmoTypeFactors, 10, false), 2,0) + IF('Ammo Input'!P574, 2,0) + IF('Ammo Input'!Q574,MIN(ROUNDUP(0.2*('Ammo Input'!H574/1000)*'Ammo Input'!O574,0),20),0))))"),4)</f>
        <v>4</v>
      </c>
      <c r="W578">
        <v>0</v>
      </c>
      <c r="X578">
        <v>0</v>
      </c>
      <c r="Y578">
        <v>0</v>
      </c>
      <c r="Z578">
        <v>0</v>
      </c>
      <c r="AA578">
        <v>0</v>
      </c>
      <c r="AB578" s="30">
        <f>IF(B578="Sling Bullet (Stone)",ROUNDUP(D578*0.02*E578/'Ingredient stats'!$C$8,0),0)</f>
        <v>0</v>
      </c>
      <c r="AC578" t="str">
        <f t="shared" si="24"/>
        <v>None</v>
      </c>
      <c r="AD578" t="str">
        <f>IF(OR(B578="Buck",B578="Bird",B578="Charge (Scatter)"),'Ammo Input'!J578,"None")</f>
        <v>None</v>
      </c>
      <c r="AE578" t="str">
        <f>_xlfn.IFS(ISTEXT(Calcs!N578),Calcs!N578,Calcs!N578&lt;=40,Calcs!N578,Calcs!N578&gt;41,"40")</f>
        <v>None</v>
      </c>
      <c r="AF578" t="str">
        <f>_xlfn.IFS(ISTEXT(Calcs!O578),Calcs!O578,Calcs!O578&lt;=80,Calcs!O578,Calcs!O578&gt;=81,"80")</f>
        <v>None</v>
      </c>
      <c r="AG578" s="25">
        <f t="shared" si="25"/>
        <v>1</v>
      </c>
      <c r="AH578" s="25">
        <f t="shared" si="26"/>
        <v>0.55</v>
      </c>
      <c r="AI578" s="25">
        <f t="shared" si="27"/>
        <v>1</v>
      </c>
    </row>
    <row r="579" ht="14.4" spans="1:35">
      <c r="A579" s="24" t="str">
        <f>'Ammo Input'!A579</f>
        <v>20 Gauge</v>
      </c>
      <c r="B579" t="str">
        <f>'Ammo Input'!B579</f>
        <v>Buck</v>
      </c>
      <c r="C579">
        <f>ROUNDUP(('Ammo Input'!C579*(MAX('Ammo Input'!D579,'Ammo Input'!F579)*0.5)^2*PI())*3/1000000,2)</f>
        <v>0.05</v>
      </c>
      <c r="D579">
        <f>ROUNDUP(('Ammo Input'!E579+'Ammo Input'!H579*IF('Ammo Input'!J579&lt;&gt;"",MAX('Ammo Input'!J579,1),1))/1000,3)</f>
        <v>0.044</v>
      </c>
      <c r="E579">
        <f>MIN(5000,MAX(25,CEILING(Calcs!L579,_xlfn.IFS(Calcs!L579&lt;100,25,Calcs!L579&lt;250,50,Calcs!L579&lt;1000,250,Calcs!L579&gt;=1000,1000))))</f>
        <v>5000</v>
      </c>
      <c r="F579">
        <f>ROUNDUP('Ammo Input'!G579^(3/4),0)</f>
        <v>84</v>
      </c>
      <c r="G579">
        <f>ROUND((0.5*((IF(OR(B579="HEAT",B579="HEDP"),'Ammo Input'!N579,'Ammo Input'!H579)/1000)*(IF(B579="HEAT",9000,IF(B579="HEDP",1500,'Ammo Input'!G579))^2))),0)</f>
        <v>96</v>
      </c>
      <c r="H579" s="25" t="str">
        <f>CONCATENATE(IF((B579="Foam")+(B579="Smoke"),"-",ROUND(Calcs!D579,0))," ",VLOOKUP(B579,AmmoTypeFactors,5,FALSE))</f>
        <v>5 Bullet</v>
      </c>
      <c r="I579" s="25" t="str">
        <f>IF(Calcs!E579=0,"None",CONCATENATE(ROUND(Calcs!E579,0)," ",VLOOKUP(B579,AmmoTypeFactors,6,FALSE)))</f>
        <v>None</v>
      </c>
      <c r="J579">
        <f>MROUND(2.42*'Ammo Input'!M579^(1/3)*VLOOKUP(B579,AmmoTypeFactors,3,FALSE),0.5)</f>
        <v>0</v>
      </c>
      <c r="K579" s="25" t="str">
        <f>IF(VLOOKUP(B579,AmmoTypeFactors,12,FALSE),MROUND(J579/3,0.5),"None")</f>
        <v>None</v>
      </c>
      <c r="L579" s="25">
        <f>IF(VLOOKUP(B579,AmmoTypeFactors,8,FALSE),"None",ROUNDUP(IF(Calcs!I579&gt;0,Calcs!I579,Calcs!H579),3))</f>
        <v>1.92</v>
      </c>
      <c r="M579" s="25">
        <f>IF(VLOOKUP(B579,AmmoTypeFactors,8,FALSE),"None",'Ammo Input'!L579)</f>
        <v>4</v>
      </c>
      <c r="N579">
        <f>'Ammo Input'!O579</f>
        <v>200</v>
      </c>
      <c r="O579" t="e">
        <f>ROUND((P579*0.0036+SUMPRODUCT(Q579:AB579,VLOOKUP($Q$1:$AB$1,IngredientStats,2,FALSE)))/N579*IF('Ammo Input'!R579,0.5,1),2)</f>
        <v>#VALUE!</v>
      </c>
      <c r="P579" t="e">
        <f>(SUMPRODUCT(Q579:AB579,VLOOKUP($Q$1:$AB$1,IngredientStats,4,FALSE))*VLOOKUP(B579,AmmoTypeFactors,14,FALSE)*IF('Ammo Input'!R579,1.1,1))</f>
        <v>#VALUE!</v>
      </c>
      <c r="Q579">
        <f>IFERROR(__xludf.DUMMYFUNCTION("((IF(NOT(OR(REGEXMATCH(B575, ""Arrow""), B575 = ""Javelin"", B575 = ""Stick bomb"")), ROUNDUP(('Ammo Input'!E575 / 1000) * N575)) + IF(VLOOKUP(B575, AmmoTypeFactors, 9, FALSE) = ""Steel"", ROUNDUP(('Ammo Input'!H575 -'Ammo Input'!M575) * MAX(IF('Ammo Inpu"&amp;"t'!J575 &gt; 0, 'Ammo Input'!J575, 1), 1) * N575 / 1000))) / 'Ingredient stats'!$C$2) * IF(ISBLANK(VLOOKUP(B575,AmmoTypeFactors,15,False)),1,VLOOKUP(B575,AmmoTypeFactors,15,False))"),18)</f>
        <v>18</v>
      </c>
      <c r="R579">
        <f>IFERROR(__xludf.DUMMYFUNCTION("ROUNDUP((IF(REGEXMATCH(B575, ""Arrow"") + (B575 = ""Javelin""), 'Ammo Input'!E575) + IF(VLOOKUP(B575, AmmoTypeFactors, 9, FALSE) = ""Wood"", 'Ammo Input'!H575) + IF(B575 = ""Stick bomb"", 'Ammo Input'!E575)) * N575 / 'Ingredient stats'!$C$12 / 1000)"),0)</f>
        <v>0</v>
      </c>
      <c r="S579">
        <v>0</v>
      </c>
      <c r="T579">
        <v>0</v>
      </c>
      <c r="U579">
        <f>IF(VLOOKUP(B579,AmmoTypeFactors,9,FALSE)="Plasteel",ROUNDUP(('Ammo Input'!H579*MAX(IF('Ammo Input'!J579&gt;0,'Ammo Input'!J579,1)*N579/1000/'Ingredient stats'!$C$4)),0),0)</f>
        <v>0</v>
      </c>
      <c r="V579">
        <f>IFERROR(__xludf.DUMMYFUNCTION("ROUNDUP(IF(ISBLANK(VLOOKUP(B575,AmmoTypeFactors,16,False)),1,VLOOKUP(B575,AmmoTypeFactors,16,False)) * (IFS(REGEXMATCH(B575, ""EMP""), 'Ammo Input'!M575 * N575 / 'Ingredient stats'!$C$5, REGEXMATCH(B575, ""Charge""), (U575^0.75), true, 0) + (IF(VLOOKUP(B5"&amp;"75, AmmoTypeFactors, 10, false), 2,0) + IF('Ammo Input'!P575, 2,0) + IF('Ammo Input'!Q575,MIN(ROUNDUP(0.2*('Ammo Input'!H575/1000)*'Ammo Input'!O575,0),20),0))))"),0)</f>
        <v>0</v>
      </c>
      <c r="W579">
        <v>0</v>
      </c>
      <c r="X579">
        <v>0</v>
      </c>
      <c r="Y579">
        <v>0</v>
      </c>
      <c r="Z579">
        <v>0</v>
      </c>
      <c r="AA579">
        <v>0</v>
      </c>
      <c r="AB579" s="30">
        <f>IF(B579="Sling Bullet (Stone)",ROUNDUP(D579*0.02*E579/'Ingredient stats'!$C$8,0),0)</f>
        <v>0</v>
      </c>
      <c r="AC579">
        <f t="shared" si="24"/>
        <v>8.9</v>
      </c>
      <c r="AD579">
        <f>IF(OR(B579="Buck",B579="Bird",B579="Charge (Scatter)"),'Ammo Input'!J579,"None")</f>
        <v>20</v>
      </c>
      <c r="AE579" t="str">
        <f>_xlfn.IFS(ISTEXT(Calcs!N579),Calcs!N579,Calcs!N579&lt;=40,Calcs!N579,Calcs!N579&gt;41,"40")</f>
        <v>None</v>
      </c>
      <c r="AF579" t="str">
        <f>_xlfn.IFS(ISTEXT(Calcs!O579),Calcs!O579,Calcs!O579&lt;=80,Calcs!O579,Calcs!O579&gt;=81,"80")</f>
        <v>None</v>
      </c>
      <c r="AG579" s="25">
        <f t="shared" si="25"/>
        <v>1</v>
      </c>
      <c r="AH579" s="25">
        <f t="shared" si="26"/>
        <v>1.39</v>
      </c>
      <c r="AI579" s="25">
        <f t="shared" si="27"/>
        <v>1</v>
      </c>
    </row>
    <row r="580" ht="14.4" spans="1:35">
      <c r="A580" s="24" t="str">
        <f>'Ammo Input'!A580</f>
        <v>20 Gauge</v>
      </c>
      <c r="B580" t="str">
        <f>'Ammo Input'!B580</f>
        <v>Slug</v>
      </c>
      <c r="C580">
        <f>ROUNDUP(('Ammo Input'!C580*(MAX('Ammo Input'!D580,'Ammo Input'!F580)*0.5)^2*PI())*3/1000000,2)</f>
        <v>0.05</v>
      </c>
      <c r="D580">
        <f>ROUNDUP(('Ammo Input'!E580+'Ammo Input'!H580*IF('Ammo Input'!J580&lt;&gt;"",MAX('Ammo Input'!J580,1),1))/1000,3)</f>
        <v>0.033</v>
      </c>
      <c r="E580">
        <f>MIN(5000,MAX(25,CEILING(Calcs!L580,_xlfn.IFS(Calcs!L580&lt;100,25,Calcs!L580&lt;250,50,Calcs!L580&lt;1000,250,Calcs!L580&gt;=1000,1000))))</f>
        <v>5000</v>
      </c>
      <c r="F580">
        <f>ROUNDUP('Ammo Input'!G580^(3/4),0)</f>
        <v>103</v>
      </c>
      <c r="G580">
        <f>ROUND((0.5*((IF(OR(B580="HEAT",B580="HEDP"),'Ammo Input'!N580,'Ammo Input'!H580)/1000)*(IF(B580="HEAT",9000,IF(B580="HEDP",1500,'Ammo Input'!G580))^2))),0)</f>
        <v>2057</v>
      </c>
      <c r="H580" s="25" t="str">
        <f>CONCATENATE(IF((B580="Foam")+(B580="Smoke"),"-",ROUND(Calcs!D580,0))," ",VLOOKUP(B580,AmmoTypeFactors,5,FALSE))</f>
        <v>21 Bullet</v>
      </c>
      <c r="I580" s="25" t="str">
        <f>IF(Calcs!E580=0,"None",CONCATENATE(ROUND(Calcs!E580,0)," ",VLOOKUP(B580,AmmoTypeFactors,6,FALSE)))</f>
        <v>None</v>
      </c>
      <c r="J580">
        <f>MROUND(2.42*'Ammo Input'!M580^(1/3)*VLOOKUP(B580,AmmoTypeFactors,3,FALSE),0.5)</f>
        <v>0</v>
      </c>
      <c r="K580" s="25" t="str">
        <f>IF(VLOOKUP(B580,AmmoTypeFactors,12,FALSE),MROUND(J580/3,0.5),"None")</f>
        <v>None</v>
      </c>
      <c r="L580" s="25">
        <f>IF(VLOOKUP(B580,AmmoTypeFactors,8,FALSE),"None",ROUNDUP(IF(Calcs!I580&gt;0,Calcs!I580,Calcs!H580),3))</f>
        <v>41.14</v>
      </c>
      <c r="M580" s="25">
        <f>IF(VLOOKUP(B580,AmmoTypeFactors,8,FALSE),"None",'Ammo Input'!L580)</f>
        <v>5</v>
      </c>
      <c r="N580">
        <f>'Ammo Input'!O580</f>
        <v>200</v>
      </c>
      <c r="O580" t="e">
        <f>ROUND((P580*0.0036+SUMPRODUCT(Q580:AB580,VLOOKUP($Q$1:$AB$1,IngredientStats,2,FALSE)))/N580*IF('Ammo Input'!R580,0.5,1),2)</f>
        <v>#VALUE!</v>
      </c>
      <c r="P580" t="e">
        <f>(SUMPRODUCT(Q580:AB580,VLOOKUP($Q$1:$AB$1,IngredientStats,4,FALSE))*VLOOKUP(B580,AmmoTypeFactors,14,FALSE)*IF('Ammo Input'!R580,1.1,1))</f>
        <v>#VALUE!</v>
      </c>
      <c r="Q580">
        <f>IFERROR(__xludf.DUMMYFUNCTION("((IF(NOT(OR(REGEXMATCH(B576, ""Arrow""), B576 = ""Javelin"", B576 = ""Stick bomb"")), ROUNDUP(('Ammo Input'!E576 / 1000) * N576)) + IF(VLOOKUP(B576, AmmoTypeFactors, 9, FALSE) = ""Steel"", ROUNDUP(('Ammo Input'!H576 -'Ammo Input'!M576) * MAX(IF('Ammo Inpu"&amp;"t'!J576 &gt; 0, 'Ammo Input'!J576, 1), 1) * N576 / 1000))) / 'Ingredient stats'!$C$2) * IF(ISBLANK(VLOOKUP(B576,AmmoTypeFactors,15,False)),1,VLOOKUP(B576,AmmoTypeFactors,15,False))"),14)</f>
        <v>14</v>
      </c>
      <c r="R580">
        <f>IFERROR(__xludf.DUMMYFUNCTION("ROUNDUP((IF(REGEXMATCH(B576, ""Arrow"") + (B576 = ""Javelin""), 'Ammo Input'!E576) + IF(VLOOKUP(B576, AmmoTypeFactors, 9, FALSE) = ""Wood"", 'Ammo Input'!H576) + IF(B576 = ""Stick bomb"", 'Ammo Input'!E576)) * N576 / 'Ingredient stats'!$C$12 / 1000)"),0)</f>
        <v>0</v>
      </c>
      <c r="S580">
        <v>0</v>
      </c>
      <c r="T580">
        <v>0</v>
      </c>
      <c r="U580">
        <f>IF(VLOOKUP(B580,AmmoTypeFactors,9,FALSE)="Plasteel",ROUNDUP(('Ammo Input'!H580*MAX(IF('Ammo Input'!J580&gt;0,'Ammo Input'!J580,1)*N580/1000/'Ingredient stats'!$C$4)),0),0)</f>
        <v>0</v>
      </c>
      <c r="V580">
        <f>IFERROR(__xludf.DUMMYFUNCTION("ROUNDUP(IF(ISBLANK(VLOOKUP(B576,AmmoTypeFactors,16,False)),1,VLOOKUP(B576,AmmoTypeFactors,16,False)) * (IFS(REGEXMATCH(B576, ""EMP""), 'Ammo Input'!M576 * N576 / 'Ingredient stats'!$C$5, REGEXMATCH(B576, ""Charge""), (U576^0.75), true, 0) + (IF(VLOOKUP(B5"&amp;"76, AmmoTypeFactors, 10, false), 2,0) + IF('Ammo Input'!P576, 2,0) + IF('Ammo Input'!Q576,MIN(ROUNDUP(0.2*('Ammo Input'!H576/1000)*'Ammo Input'!O576,0),20),0))))"),0)</f>
        <v>0</v>
      </c>
      <c r="W580">
        <v>0</v>
      </c>
      <c r="X580">
        <v>0</v>
      </c>
      <c r="Y580">
        <v>0</v>
      </c>
      <c r="Z580">
        <v>0</v>
      </c>
      <c r="AA580">
        <v>0</v>
      </c>
      <c r="AB580" s="30">
        <f>IF(B580="Sling Bullet (Stone)",ROUNDUP(D580*0.02*E580/'Ingredient stats'!$C$8,0),0)</f>
        <v>0</v>
      </c>
      <c r="AC580" t="str">
        <f t="shared" si="24"/>
        <v>None</v>
      </c>
      <c r="AD580" t="str">
        <f>IF(OR(B580="Buck",B580="Bird",B580="Charge (Scatter)"),'Ammo Input'!J580,"None")</f>
        <v>None</v>
      </c>
      <c r="AE580" t="str">
        <f>_xlfn.IFS(ISTEXT(Calcs!N580),Calcs!N580,Calcs!N580&lt;=40,Calcs!N580,Calcs!N580&gt;41,"40")</f>
        <v>None</v>
      </c>
      <c r="AF580" t="str">
        <f>_xlfn.IFS(ISTEXT(Calcs!O580),Calcs!O580,Calcs!O580&lt;=80,Calcs!O580,Calcs!O580&gt;=81,"80")</f>
        <v>None</v>
      </c>
      <c r="AG580" s="25">
        <f t="shared" si="25"/>
        <v>1</v>
      </c>
      <c r="AH580" s="25">
        <f t="shared" si="26"/>
        <v>1.69</v>
      </c>
      <c r="AI580" s="25">
        <f t="shared" si="27"/>
        <v>1</v>
      </c>
    </row>
    <row r="581" ht="14.4" spans="1:35">
      <c r="A581" s="24" t="str">
        <f>'Ammo Input'!A581</f>
        <v>20 Gauge</v>
      </c>
      <c r="B581" t="str">
        <f>'Ammo Input'!B581</f>
        <v>Beanbag</v>
      </c>
      <c r="C581">
        <f>ROUNDUP(('Ammo Input'!C581*(MAX('Ammo Input'!D581,'Ammo Input'!F581)*0.5)^2*PI())*3/1000000,2)</f>
        <v>0.05</v>
      </c>
      <c r="D581">
        <f>ROUNDUP(('Ammo Input'!E581+'Ammo Input'!H581*IF('Ammo Input'!J581&lt;&gt;"",MAX('Ammo Input'!J581,1),1))/1000,3)</f>
        <v>0.042</v>
      </c>
      <c r="E581">
        <f>MIN(5000,MAX(25,CEILING(Calcs!L581,_xlfn.IFS(Calcs!L581&lt;100,25,Calcs!L581&lt;250,50,Calcs!L581&lt;1000,250,Calcs!L581&gt;=1000,1000))))</f>
        <v>5000</v>
      </c>
      <c r="F581">
        <f>ROUNDUP('Ammo Input'!G581^(3/4),0)</f>
        <v>30</v>
      </c>
      <c r="G581">
        <f>ROUND((0.5*((IF(OR(B581="HEAT",B581="HEDP"),'Ammo Input'!N581,'Ammo Input'!H581)/1000)*(IF(B581="HEAT",9000,IF(B581="HEDP",1500,'Ammo Input'!G581))^2))),0)</f>
        <v>109</v>
      </c>
      <c r="H581" s="25" t="str">
        <f>CONCATENATE(IF((B581="Foam")+(B581="Smoke"),"-",ROUND(Calcs!D581,0))," ",VLOOKUP(B581,AmmoTypeFactors,5,FALSE))</f>
        <v>8 Beanbag</v>
      </c>
      <c r="I581" s="25" t="str">
        <f>IF(Calcs!E581=0,"None",CONCATENATE(ROUND(Calcs!E581,0)," ",VLOOKUP(B581,AmmoTypeFactors,6,FALSE)))</f>
        <v>None</v>
      </c>
      <c r="J581">
        <f>MROUND(2.42*'Ammo Input'!M581^(1/3)*VLOOKUP(B581,AmmoTypeFactors,3,FALSE),0.5)</f>
        <v>0</v>
      </c>
      <c r="K581" s="25" t="str">
        <f>IF(VLOOKUP(B581,AmmoTypeFactors,12,FALSE),MROUND(J581/3,0.5),"None")</f>
        <v>None</v>
      </c>
      <c r="L581" s="25">
        <f>IF(VLOOKUP(B581,AmmoTypeFactors,8,FALSE),"None",ROUNDUP(IF(Calcs!I581&gt;0,Calcs!I581,Calcs!H581),3))</f>
        <v>2.18</v>
      </c>
      <c r="M581" s="25">
        <f>IF(VLOOKUP(B581,AmmoTypeFactors,8,FALSE),"None",'Ammo Input'!L581)</f>
        <v>0</v>
      </c>
      <c r="N581">
        <f>'Ammo Input'!O581</f>
        <v>200</v>
      </c>
      <c r="O581" t="e">
        <f>ROUND((P581*0.0036+SUMPRODUCT(Q581:AB581,VLOOKUP($Q$1:$AB$1,IngredientStats,2,FALSE)))/N581*IF('Ammo Input'!R581,0.5,1),2)</f>
        <v>#VALUE!</v>
      </c>
      <c r="P581" t="e">
        <f>(SUMPRODUCT(Q581:AB581,VLOOKUP($Q$1:$AB$1,IngredientStats,4,FALSE))*VLOOKUP(B581,AmmoTypeFactors,14,FALSE)*IF('Ammo Input'!R581,1.1,1))</f>
        <v>#VALUE!</v>
      </c>
      <c r="Q581">
        <f>IFERROR(__xludf.DUMMYFUNCTION("((IF(NOT(OR(REGEXMATCH(B577, ""Arrow""), B577 = ""Javelin"", B577 = ""Stick bomb"")), ROUNDUP(('Ammo Input'!E577 / 1000) * N577)) + IF(VLOOKUP(B577, AmmoTypeFactors, 9, FALSE) = ""Steel"", ROUNDUP(('Ammo Input'!H577 -'Ammo Input'!M577) * MAX(IF('Ammo Inpu"&amp;"t'!J577 &gt; 0, 'Ammo Input'!J577, 1), 1) * N577 / 1000))) / 'Ingredient stats'!$C$2) * IF(ISBLANK(VLOOKUP(B577,AmmoTypeFactors,15,False)),1,VLOOKUP(B577,AmmoTypeFactors,15,False))"),18)</f>
        <v>18</v>
      </c>
      <c r="R581">
        <f>IFERROR(__xludf.DUMMYFUNCTION("ROUNDUP((IF(REGEXMATCH(B577, ""Arrow"") + (B577 = ""Javelin""), 'Ammo Input'!E577) + IF(VLOOKUP(B577, AmmoTypeFactors, 9, FALSE) = ""Wood"", 'Ammo Input'!H577) + IF(B577 = ""Stick bomb"", 'Ammo Input'!E577)) * N577 / 'Ingredient stats'!$C$12 / 1000)"),0)</f>
        <v>0</v>
      </c>
      <c r="S581">
        <v>0</v>
      </c>
      <c r="T581">
        <v>0</v>
      </c>
      <c r="U581">
        <f>IF(VLOOKUP(B581,AmmoTypeFactors,9,FALSE)="Plasteel",ROUNDUP(('Ammo Input'!H581*MAX(IF('Ammo Input'!J581&gt;0,'Ammo Input'!J581,1)*N581/1000/'Ingredient stats'!$C$4)),0),0)</f>
        <v>0</v>
      </c>
      <c r="V581">
        <f>IFERROR(__xludf.DUMMYFUNCTION("ROUNDUP(IF(ISBLANK(VLOOKUP(B577,AmmoTypeFactors,16,False)),1,VLOOKUP(B577,AmmoTypeFactors,16,False)) * (IFS(REGEXMATCH(B577, ""EMP""), 'Ammo Input'!M577 * N577 / 'Ingredient stats'!$C$5, REGEXMATCH(B577, ""Charge""), (U577^0.75), true, 0) + (IF(VLOOKUP(B5"&amp;"77, AmmoTypeFactors, 10, false), 2,0) + IF('Ammo Input'!P577, 2,0) + IF('Ammo Input'!Q577,MIN(ROUNDUP(0.2*('Ammo Input'!H577/1000)*'Ammo Input'!O577,0),20),0))))"),0)</f>
        <v>0</v>
      </c>
      <c r="W581">
        <v>0</v>
      </c>
      <c r="X581">
        <v>0</v>
      </c>
      <c r="Y581">
        <v>0</v>
      </c>
      <c r="Z581">
        <v>7</v>
      </c>
      <c r="AA581">
        <v>0</v>
      </c>
      <c r="AB581" s="30">
        <f>IF(B581="Sling Bullet (Stone)",ROUNDUP(D581*0.02*E581/'Ingredient stats'!$C$8,0),0)</f>
        <v>0</v>
      </c>
      <c r="AC581">
        <f t="shared" si="24"/>
        <v>2</v>
      </c>
      <c r="AD581" t="str">
        <f>IF(OR(B581="Buck",B581="Bird",B581="Charge (Scatter)"),'Ammo Input'!J581,"None")</f>
        <v>None</v>
      </c>
      <c r="AE581" t="str">
        <f>_xlfn.IFS(ISTEXT(Calcs!N581),Calcs!N581,Calcs!N581&lt;=40,Calcs!N581,Calcs!N581&gt;41,"40")</f>
        <v>None</v>
      </c>
      <c r="AF581" t="str">
        <f>_xlfn.IFS(ISTEXT(Calcs!O581),Calcs!O581,Calcs!O581&lt;=80,Calcs!O581,Calcs!O581&gt;=81,"80")</f>
        <v>None</v>
      </c>
      <c r="AG581" s="25">
        <f t="shared" si="25"/>
        <v>1</v>
      </c>
      <c r="AH581" s="25">
        <f t="shared" si="26"/>
        <v>0.5</v>
      </c>
      <c r="AI581" s="25">
        <f t="shared" si="27"/>
        <v>1</v>
      </c>
    </row>
    <row r="582" ht="14.4" spans="1:35">
      <c r="A582" s="24" t="str">
        <f>'Ammo Input'!A582</f>
        <v>20 Gauge</v>
      </c>
      <c r="B582" t="str">
        <f>'Ammo Input'!B582</f>
        <v>EMP Slug</v>
      </c>
      <c r="C582">
        <f>ROUNDUP(('Ammo Input'!C582*(MAX('Ammo Input'!D582,'Ammo Input'!F582)*0.5)^2*PI())*3/1000000,2)</f>
        <v>0.05</v>
      </c>
      <c r="D582">
        <f>ROUNDUP(('Ammo Input'!E582+'Ammo Input'!H582*IF('Ammo Input'!J582&lt;&gt;"",MAX('Ammo Input'!J582,1),1))/1000,3)</f>
        <v>0.037</v>
      </c>
      <c r="E582">
        <f>MIN(5000,MAX(25,CEILING(Calcs!L582,_xlfn.IFS(Calcs!L582&lt;100,25,Calcs!L582&lt;250,50,Calcs!L582&lt;1000,250,Calcs!L582&gt;=1000,1000))))</f>
        <v>5000</v>
      </c>
      <c r="F582">
        <f>ROUNDUP('Ammo Input'!G582^(3/4),0)</f>
        <v>43</v>
      </c>
      <c r="G582">
        <f>ROUND((0.5*((IF(OR(B582="HEAT",B582="HEDP"),'Ammo Input'!N582,'Ammo Input'!H582)/1000)*(IF(B582="HEAT",9000,IF(B582="HEDP",1500,'Ammo Input'!G582))^2))),0)</f>
        <v>248</v>
      </c>
      <c r="H582" s="25" t="str">
        <f>CONCATENATE(IF((B582="Foam")+(B582="Smoke"),"-",ROUND(Calcs!D582,0))," ",VLOOKUP(B582,AmmoTypeFactors,5,FALSE))</f>
        <v>9 EMP</v>
      </c>
      <c r="I582" s="25" t="str">
        <f>IF(Calcs!E582=0,"None",CONCATENATE(ROUND(Calcs!E582,0)," ",VLOOKUP(B582,AmmoTypeFactors,6,FALSE)))</f>
        <v>None</v>
      </c>
      <c r="J582">
        <f>MROUND(2.42*'Ammo Input'!M582^(1/3)*VLOOKUP(B582,AmmoTypeFactors,3,FALSE),0.5)</f>
        <v>0</v>
      </c>
      <c r="K582" s="25" t="str">
        <f>IF(VLOOKUP(B582,AmmoTypeFactors,12,FALSE),MROUND(J582/3,0.5),"None")</f>
        <v>None</v>
      </c>
      <c r="L582" s="25" t="str">
        <f>IF(VLOOKUP(B582,AmmoTypeFactors,8,FALSE),"None",ROUNDUP(IF(Calcs!I582&gt;0,Calcs!I582,Calcs!H582),3))</f>
        <v>None</v>
      </c>
      <c r="M582" s="25" t="str">
        <f>IF(VLOOKUP(B582,AmmoTypeFactors,8,FALSE),"None",'Ammo Input'!L582)</f>
        <v>None</v>
      </c>
      <c r="N582">
        <f>'Ammo Input'!O582</f>
        <v>200</v>
      </c>
      <c r="O582" t="e">
        <f>ROUND((P582*0.0036+SUMPRODUCT(Q582:AB582,VLOOKUP($Q$1:$AB$1,IngredientStats,2,FALSE)))/N582*IF('Ammo Input'!R582,0.5,1),2)</f>
        <v>#VALUE!</v>
      </c>
      <c r="P582" t="e">
        <f>(SUMPRODUCT(Q582:AB582,VLOOKUP($Q$1:$AB$1,IngredientStats,4,FALSE))*VLOOKUP(B582,AmmoTypeFactors,14,FALSE)*IF('Ammo Input'!R582,1.1,1))</f>
        <v>#VALUE!</v>
      </c>
      <c r="Q582">
        <f>IFERROR(__xludf.DUMMYFUNCTION("((IF(NOT(OR(REGEXMATCH(B578, ""Arrow""), B578 = ""Javelin"", B578 = ""Stick bomb"")), ROUNDUP(('Ammo Input'!E578 / 1000) * N578)) + IF(VLOOKUP(B578, AmmoTypeFactors, 9, FALSE) = ""Steel"", ROUNDUP(('Ammo Input'!H578 -'Ammo Input'!M578) * MAX(IF('Ammo Inpu"&amp;"t'!J578 &gt; 0, 'Ammo Input'!J578, 1), 1) * N578 / 1000))) / 'Ingredient stats'!$C$2) * IF(ISBLANK(VLOOKUP(B578,AmmoTypeFactors,15,False)),1,VLOOKUP(B578,AmmoTypeFactors,15,False))"),16)</f>
        <v>16</v>
      </c>
      <c r="R582">
        <f>IFERROR(__xludf.DUMMYFUNCTION("ROUNDUP((IF(REGEXMATCH(B578, ""Arrow"") + (B578 = ""Javelin""), 'Ammo Input'!E578) + IF(VLOOKUP(B578, AmmoTypeFactors, 9, FALSE) = ""Wood"", 'Ammo Input'!H578) + IF(B578 = ""Stick bomb"", 'Ammo Input'!E578)) * N578 / 'Ingredient stats'!$C$12 / 1000)"),0)</f>
        <v>0</v>
      </c>
      <c r="S582">
        <v>0</v>
      </c>
      <c r="T582">
        <v>0</v>
      </c>
      <c r="U582">
        <f>IF(VLOOKUP(B582,AmmoTypeFactors,9,FALSE)="Plasteel",ROUNDUP(('Ammo Input'!H582*MAX(IF('Ammo Input'!J582&gt;0,'Ammo Input'!J582,1)*N582/1000/'Ingredient stats'!$C$4)),0),0)</f>
        <v>0</v>
      </c>
      <c r="V582">
        <f>IFERROR(__xludf.DUMMYFUNCTION("ROUNDUP(IF(ISBLANK(VLOOKUP(B578,AmmoTypeFactors,16,False)),1,VLOOKUP(B578,AmmoTypeFactors,16,False)) * (IFS(REGEXMATCH(B578, ""EMP""), 'Ammo Input'!M578 * N578 / 'Ingredient stats'!$C$5, REGEXMATCH(B578, ""Charge""), (U578^0.75), true, 0) + (IF(VLOOKUP(B5"&amp;"78, AmmoTypeFactors, 10, false), 2,0) + IF('Ammo Input'!P578, 2,0) + IF('Ammo Input'!Q578,MIN(ROUNDUP(0.2*('Ammo Input'!H578/1000)*'Ammo Input'!O578,0),20),0))))"),2)</f>
        <v>2</v>
      </c>
      <c r="W582">
        <v>0</v>
      </c>
      <c r="X582">
        <v>0</v>
      </c>
      <c r="Y582">
        <v>0</v>
      </c>
      <c r="Z582">
        <v>0</v>
      </c>
      <c r="AA582">
        <v>0</v>
      </c>
      <c r="AB582" s="30">
        <f>IF(B582="Sling Bullet (Stone)",ROUNDUP(D582*0.02*E582/'Ingredient stats'!$C$8,0),0)</f>
        <v>0</v>
      </c>
      <c r="AC582" t="str">
        <f t="shared" si="24"/>
        <v>None</v>
      </c>
      <c r="AD582" t="str">
        <f>IF(OR(B582="Buck",B582="Bird",B582="Charge (Scatter)"),'Ammo Input'!J582,"None")</f>
        <v>None</v>
      </c>
      <c r="AE582" t="str">
        <f>_xlfn.IFS(ISTEXT(Calcs!N582),Calcs!N582,Calcs!N582&lt;=40,Calcs!N582,Calcs!N582&gt;41,"40")</f>
        <v>None</v>
      </c>
      <c r="AF582" t="str">
        <f>_xlfn.IFS(ISTEXT(Calcs!O582),Calcs!O582,Calcs!O582&lt;=80,Calcs!O582,Calcs!O582&gt;=81,"80")</f>
        <v>None</v>
      </c>
      <c r="AG582" s="25">
        <f t="shared" si="25"/>
        <v>1</v>
      </c>
      <c r="AH582" s="25">
        <f t="shared" si="26"/>
        <v>0.71</v>
      </c>
      <c r="AI582" s="25">
        <f t="shared" si="27"/>
        <v>1</v>
      </c>
    </row>
    <row r="583" ht="14.4" spans="1:35">
      <c r="A583" s="24" t="str">
        <f>'Ammo Input'!A583</f>
        <v>16 Gauge</v>
      </c>
      <c r="B583" t="str">
        <f>'Ammo Input'!B583</f>
        <v>Buck</v>
      </c>
      <c r="C583">
        <f>ROUNDUP(('Ammo Input'!C583*(MAX('Ammo Input'!D583,'Ammo Input'!F583)*0.5)^2*PI())*3/1000000,2)</f>
        <v>0.05</v>
      </c>
      <c r="D583">
        <f>ROUNDUP(('Ammo Input'!E583+'Ammo Input'!H583*IF('Ammo Input'!J583&lt;&gt;"",MAX('Ammo Input'!J583,1),1))/1000,3)</f>
        <v>0.048</v>
      </c>
      <c r="E583">
        <f>MIN(5000,MAX(25,CEILING(Calcs!L583,_xlfn.IFS(Calcs!L583&lt;100,25,Calcs!L583&lt;250,50,Calcs!L583&lt;1000,250,Calcs!L583&gt;=1000,1000))))</f>
        <v>5000</v>
      </c>
      <c r="F583">
        <f>ROUNDUP('Ammo Input'!G583^(3/4),0)</f>
        <v>85</v>
      </c>
      <c r="G583">
        <f>ROUND((0.5*((IF(OR(B583="HEAT",B583="HEDP"),'Ammo Input'!N583,'Ammo Input'!H583)/1000)*(IF(B583="HEAT",9000,IF(B583="HEDP",1500,'Ammo Input'!G583))^2))),0)</f>
        <v>175</v>
      </c>
      <c r="H583" s="25" t="str">
        <f>CONCATENATE(IF((B583="Foam")+(B583="Smoke"),"-",ROUND(Calcs!D583,0))," ",VLOOKUP(B583,AmmoTypeFactors,5,FALSE))</f>
        <v>7 Bullet</v>
      </c>
      <c r="I583" s="25" t="str">
        <f>IF(Calcs!E583=0,"None",CONCATENATE(ROUND(Calcs!E583,0)," ",VLOOKUP(B583,AmmoTypeFactors,6,FALSE)))</f>
        <v>None</v>
      </c>
      <c r="J583">
        <f>MROUND(2.42*'Ammo Input'!M583^(1/3)*VLOOKUP(B583,AmmoTypeFactors,3,FALSE),0.5)</f>
        <v>0</v>
      </c>
      <c r="K583" s="25" t="str">
        <f>IF(VLOOKUP(B583,AmmoTypeFactors,12,FALSE),MROUND(J583/3,0.5),"None")</f>
        <v>None</v>
      </c>
      <c r="L583" s="25">
        <f>IF(VLOOKUP(B583,AmmoTypeFactors,8,FALSE),"None",ROUNDUP(IF(Calcs!I583&gt;0,Calcs!I583,Calcs!H583),3))</f>
        <v>3.5</v>
      </c>
      <c r="M583" s="25">
        <f>IF(VLOOKUP(B583,AmmoTypeFactors,8,FALSE),"None",'Ammo Input'!L583)</f>
        <v>3</v>
      </c>
      <c r="N583">
        <f>'Ammo Input'!O583</f>
        <v>200</v>
      </c>
      <c r="O583" t="e">
        <f>ROUND((P583*0.0036+SUMPRODUCT(Q583:AB583,VLOOKUP($Q$1:$AB$1,IngredientStats,2,FALSE)))/N583*IF('Ammo Input'!R583,0.5,1),2)</f>
        <v>#VALUE!</v>
      </c>
      <c r="P583" t="e">
        <f>(SUMPRODUCT(Q583:AB583,VLOOKUP($Q$1:$AB$1,IngredientStats,4,FALSE))*VLOOKUP(B583,AmmoTypeFactors,14,FALSE)*IF('Ammo Input'!R583,1.1,1))</f>
        <v>#VALUE!</v>
      </c>
      <c r="Q583">
        <f>IFERROR(__xludf.DUMMYFUNCTION("((IF(NOT(OR(REGEXMATCH(B579, ""Arrow""), B579 = ""Javelin"", B579 = ""Stick bomb"")), ROUNDUP(('Ammo Input'!E579 / 1000) * N579)) + IF(VLOOKUP(B579, AmmoTypeFactors, 9, FALSE) = ""Steel"", ROUNDUP(('Ammo Input'!H579 -'Ammo Input'!M579) * MAX(IF('Ammo Inpu"&amp;"t'!J579 &gt; 0, 'Ammo Input'!J579, 1), 1) * N579 / 1000))) / 'Ingredient stats'!$C$2) * IF(ISBLANK(VLOOKUP(B579,AmmoTypeFactors,15,False)),1,VLOOKUP(B579,AmmoTypeFactors,15,False))"),22)</f>
        <v>22</v>
      </c>
      <c r="R583">
        <f>IFERROR(__xludf.DUMMYFUNCTION("ROUNDUP((IF(REGEXMATCH(B579, ""Arrow"") + (B579 = ""Javelin""), 'Ammo Input'!E579) + IF(VLOOKUP(B579, AmmoTypeFactors, 9, FALSE) = ""Wood"", 'Ammo Input'!H579) + IF(B579 = ""Stick bomb"", 'Ammo Input'!E579)) * N579 / 'Ingredient stats'!$C$12 / 1000)"),0)</f>
        <v>0</v>
      </c>
      <c r="S583">
        <v>0</v>
      </c>
      <c r="T583">
        <v>0</v>
      </c>
      <c r="U583">
        <f>IF(VLOOKUP(B583,AmmoTypeFactors,9,FALSE)="Plasteel",ROUNDUP(('Ammo Input'!H583*MAX(IF('Ammo Input'!J583&gt;0,'Ammo Input'!J583,1)*N583/1000/'Ingredient stats'!$C$4)),0),0)</f>
        <v>0</v>
      </c>
      <c r="V583">
        <f>IFERROR(__xludf.DUMMYFUNCTION("ROUNDUP(IF(ISBLANK(VLOOKUP(B579,AmmoTypeFactors,16,False)),1,VLOOKUP(B579,AmmoTypeFactors,16,False)) * (IFS(REGEXMATCH(B579, ""EMP""), 'Ammo Input'!M579 * N579 / 'Ingredient stats'!$C$5, REGEXMATCH(B579, ""Charge""), (U579^0.75), true, 0) + (IF(VLOOKUP(B5"&amp;"79, AmmoTypeFactors, 10, false), 2,0) + IF('Ammo Input'!P579, 2,0) + IF('Ammo Input'!Q579,MIN(ROUNDUP(0.2*('Ammo Input'!H579/1000)*'Ammo Input'!O579,0),20),0))))"),0)</f>
        <v>0</v>
      </c>
      <c r="W583">
        <v>0</v>
      </c>
      <c r="X583">
        <v>0</v>
      </c>
      <c r="Y583">
        <v>0</v>
      </c>
      <c r="Z583">
        <v>0</v>
      </c>
      <c r="AA583">
        <v>0</v>
      </c>
      <c r="AB583" s="30">
        <f>IF(B583="Sling Bullet (Stone)",ROUNDUP(D583*0.02*E583/'Ingredient stats'!$C$8,0),0)</f>
        <v>0</v>
      </c>
      <c r="AC583">
        <f t="shared" si="24"/>
        <v>8.9</v>
      </c>
      <c r="AD583">
        <f>IF(OR(B583="Buck",B583="Bird",B583="Charge (Scatter)"),'Ammo Input'!J583,"None")</f>
        <v>12</v>
      </c>
      <c r="AE583" t="str">
        <f>_xlfn.IFS(ISTEXT(Calcs!N583),Calcs!N583,Calcs!N583&lt;=40,Calcs!N583,Calcs!N583&gt;41,"40")</f>
        <v>None</v>
      </c>
      <c r="AF583" t="str">
        <f>_xlfn.IFS(ISTEXT(Calcs!O583),Calcs!O583,Calcs!O583&lt;=80,Calcs!O583,Calcs!O583&gt;=81,"80")</f>
        <v>None</v>
      </c>
      <c r="AG583" s="25">
        <f t="shared" si="25"/>
        <v>1</v>
      </c>
      <c r="AH583" s="25">
        <f t="shared" si="26"/>
        <v>1.4</v>
      </c>
      <c r="AI583" s="25">
        <f t="shared" si="27"/>
        <v>1</v>
      </c>
    </row>
    <row r="584" ht="14.4" spans="1:35">
      <c r="A584" s="24" t="str">
        <f>'Ammo Input'!A584</f>
        <v>16 Gauge</v>
      </c>
      <c r="B584" t="str">
        <f>'Ammo Input'!B584</f>
        <v>Slug</v>
      </c>
      <c r="C584">
        <f>ROUNDUP(('Ammo Input'!C584*(MAX('Ammo Input'!D584,'Ammo Input'!F584)*0.5)^2*PI())*3/1000000,2)</f>
        <v>0.05</v>
      </c>
      <c r="D584">
        <f>ROUNDUP(('Ammo Input'!E584+'Ammo Input'!H584*IF('Ammo Input'!J584&lt;&gt;"",MAX('Ammo Input'!J584,1),1))/1000,3)</f>
        <v>0.04</v>
      </c>
      <c r="E584">
        <f>MIN(5000,MAX(25,CEILING(Calcs!L584,_xlfn.IFS(Calcs!L584&lt;100,25,Calcs!L584&lt;250,50,Calcs!L584&lt;1000,250,Calcs!L584&gt;=1000,1000))))</f>
        <v>5000</v>
      </c>
      <c r="F584">
        <f>ROUNDUP('Ammo Input'!G584^(3/4),0)</f>
        <v>104</v>
      </c>
      <c r="G584">
        <f>ROUND((0.5*((IF(OR(B584="HEAT",B584="HEDP"),'Ammo Input'!N584,'Ammo Input'!H584)/1000)*(IF(B584="HEAT",9000,IF(B584="HEDP",1500,'Ammo Input'!G584))^2))),0)</f>
        <v>2701</v>
      </c>
      <c r="H584" s="25" t="str">
        <f>CONCATENATE(IF((B584="Foam")+(B584="Smoke"),"-",ROUND(Calcs!D584,0))," ",VLOOKUP(B584,AmmoTypeFactors,5,FALSE))</f>
        <v>23 Bullet</v>
      </c>
      <c r="I584" s="25" t="str">
        <f>IF(Calcs!E584=0,"None",CONCATENATE(ROUND(Calcs!E584,0)," ",VLOOKUP(B584,AmmoTypeFactors,6,FALSE)))</f>
        <v>None</v>
      </c>
      <c r="J584">
        <f>MROUND(2.42*'Ammo Input'!M584^(1/3)*VLOOKUP(B584,AmmoTypeFactors,3,FALSE),0.5)</f>
        <v>0</v>
      </c>
      <c r="K584" s="25" t="str">
        <f>IF(VLOOKUP(B584,AmmoTypeFactors,12,FALSE),MROUND(J584/3,0.5),"None")</f>
        <v>None</v>
      </c>
      <c r="L584" s="25">
        <f>IF(VLOOKUP(B584,AmmoTypeFactors,8,FALSE),"None",ROUNDUP(IF(Calcs!I584&gt;0,Calcs!I584,Calcs!H584),3))</f>
        <v>54.02</v>
      </c>
      <c r="M584" s="25">
        <f>IF(VLOOKUP(B584,AmmoTypeFactors,8,FALSE),"None",'Ammo Input'!L584)</f>
        <v>4.5</v>
      </c>
      <c r="N584">
        <f>'Ammo Input'!O584</f>
        <v>200</v>
      </c>
      <c r="O584" t="e">
        <f>ROUND((P584*0.0036+SUMPRODUCT(Q584:AB584,VLOOKUP($Q$1:$AB$1,IngredientStats,2,FALSE)))/N584*IF('Ammo Input'!R584,0.5,1),2)</f>
        <v>#VALUE!</v>
      </c>
      <c r="P584" t="e">
        <f>(SUMPRODUCT(Q584:AB584,VLOOKUP($Q$1:$AB$1,IngredientStats,4,FALSE))*VLOOKUP(B584,AmmoTypeFactors,14,FALSE)*IF('Ammo Input'!R584,1.1,1))</f>
        <v>#VALUE!</v>
      </c>
      <c r="Q584">
        <f>IFERROR(__xludf.DUMMYFUNCTION("((IF(NOT(OR(REGEXMATCH(B580, ""Arrow""), B580 = ""Javelin"", B580 = ""Stick bomb"")), ROUNDUP(('Ammo Input'!E580 / 1000) * N580)) + IF(VLOOKUP(B580, AmmoTypeFactors, 9, FALSE) = ""Steel"", ROUNDUP(('Ammo Input'!H580 -'Ammo Input'!M580) * MAX(IF('Ammo Inpu"&amp;"t'!J580 &gt; 0, 'Ammo Input'!J580, 1), 1) * N580 / 1000))) / 'Ingredient stats'!$C$2) * IF(ISBLANK(VLOOKUP(B580,AmmoTypeFactors,15,False)),1,VLOOKUP(B580,AmmoTypeFactors,15,False))"),18)</f>
        <v>18</v>
      </c>
      <c r="R584">
        <f>IFERROR(__xludf.DUMMYFUNCTION("ROUNDUP((IF(REGEXMATCH(B580, ""Arrow"") + (B580 = ""Javelin""), 'Ammo Input'!E580) + IF(VLOOKUP(B580, AmmoTypeFactors, 9, FALSE) = ""Wood"", 'Ammo Input'!H580) + IF(B580 = ""Stick bomb"", 'Ammo Input'!E580)) * N580 / 'Ingredient stats'!$C$12 / 1000)"),0)</f>
        <v>0</v>
      </c>
      <c r="S584">
        <v>0</v>
      </c>
      <c r="T584">
        <v>0</v>
      </c>
      <c r="U584">
        <f>IF(VLOOKUP(B584,AmmoTypeFactors,9,FALSE)="Plasteel",ROUNDUP(('Ammo Input'!H584*MAX(IF('Ammo Input'!J584&gt;0,'Ammo Input'!J584,1)*N584/1000/'Ingredient stats'!$C$4)),0),0)</f>
        <v>0</v>
      </c>
      <c r="V584">
        <f>IFERROR(__xludf.DUMMYFUNCTION("ROUNDUP(IF(ISBLANK(VLOOKUP(B580,AmmoTypeFactors,16,False)),1,VLOOKUP(B580,AmmoTypeFactors,16,False)) * (IFS(REGEXMATCH(B580, ""EMP""), 'Ammo Input'!M580 * N580 / 'Ingredient stats'!$C$5, REGEXMATCH(B580, ""Charge""), (U580^0.75), true, 0) + (IF(VLOOKUP(B5"&amp;"80, AmmoTypeFactors, 10, false), 2,0) + IF('Ammo Input'!P580, 2,0) + IF('Ammo Input'!Q580,MIN(ROUNDUP(0.2*('Ammo Input'!H580/1000)*'Ammo Input'!O580,0),20),0))))"),0)</f>
        <v>0</v>
      </c>
      <c r="W584">
        <v>0</v>
      </c>
      <c r="X584">
        <v>0</v>
      </c>
      <c r="Y584">
        <v>0</v>
      </c>
      <c r="Z584">
        <v>0</v>
      </c>
      <c r="AA584">
        <v>0</v>
      </c>
      <c r="AB584" s="30">
        <f>IF(B584="Sling Bullet (Stone)",ROUNDUP(D584*0.02*E584/'Ingredient stats'!$C$8,0),0)</f>
        <v>0</v>
      </c>
      <c r="AC584" t="str">
        <f t="shared" si="24"/>
        <v>None</v>
      </c>
      <c r="AD584" t="str">
        <f>IF(OR(B584="Buck",B584="Bird",B584="Charge (Scatter)"),'Ammo Input'!J584,"None")</f>
        <v>None</v>
      </c>
      <c r="AE584" t="str">
        <f>_xlfn.IFS(ISTEXT(Calcs!N584),Calcs!N584,Calcs!N584&lt;=40,Calcs!N584,Calcs!N584&gt;41,"40")</f>
        <v>None</v>
      </c>
      <c r="AF584" t="str">
        <f>_xlfn.IFS(ISTEXT(Calcs!O584),Calcs!O584,Calcs!O584&lt;=80,Calcs!O584,Calcs!O584&gt;=81,"80")</f>
        <v>None</v>
      </c>
      <c r="AG584" s="25">
        <f t="shared" si="25"/>
        <v>1</v>
      </c>
      <c r="AH584" s="25">
        <f t="shared" si="26"/>
        <v>1.71</v>
      </c>
      <c r="AI584" s="25">
        <f t="shared" si="27"/>
        <v>1</v>
      </c>
    </row>
    <row r="585" ht="14.4" spans="1:35">
      <c r="A585" s="24" t="str">
        <f>'Ammo Input'!A585</f>
        <v>16 Gauge</v>
      </c>
      <c r="B585" t="str">
        <f>'Ammo Input'!B585</f>
        <v>Beanbag</v>
      </c>
      <c r="C585">
        <f>ROUNDUP(('Ammo Input'!C585*(MAX('Ammo Input'!D585,'Ammo Input'!F585)*0.5)^2*PI())*3/1000000,2)</f>
        <v>0.05</v>
      </c>
      <c r="D585">
        <f>ROUNDUP(('Ammo Input'!E585+'Ammo Input'!H585*IF('Ammo Input'!J585&lt;&gt;"",MAX('Ammo Input'!J585,1),1))/1000,3)</f>
        <v>0.051</v>
      </c>
      <c r="E585">
        <f>MIN(5000,MAX(25,CEILING(Calcs!L585,_xlfn.IFS(Calcs!L585&lt;100,25,Calcs!L585&lt;250,50,Calcs!L585&lt;1000,250,Calcs!L585&gt;=1000,1000))))</f>
        <v>5000</v>
      </c>
      <c r="F585">
        <f>ROUNDUP('Ammo Input'!G585^(3/4),0)</f>
        <v>30</v>
      </c>
      <c r="G585">
        <f>ROUND((0.5*((IF(OR(B585="HEAT",B585="HEDP"),'Ammo Input'!N585,'Ammo Input'!H585)/1000)*(IF(B585="HEAT",9000,IF(B585="HEDP",1500,'Ammo Input'!G585))^2))),0)</f>
        <v>138</v>
      </c>
      <c r="H585" s="25" t="str">
        <f>CONCATENATE(IF((B585="Foam")+(B585="Smoke"),"-",ROUND(Calcs!D585,0))," ",VLOOKUP(B585,AmmoTypeFactors,5,FALSE))</f>
        <v>8 Beanbag</v>
      </c>
      <c r="I585" s="25" t="str">
        <f>IF(Calcs!E585=0,"None",CONCATENATE(ROUND(Calcs!E585,0)," ",VLOOKUP(B585,AmmoTypeFactors,6,FALSE)))</f>
        <v>None</v>
      </c>
      <c r="J585">
        <f>MROUND(2.42*'Ammo Input'!M585^(1/3)*VLOOKUP(B585,AmmoTypeFactors,3,FALSE),0.5)</f>
        <v>0</v>
      </c>
      <c r="K585" s="25" t="str">
        <f>IF(VLOOKUP(B585,AmmoTypeFactors,12,FALSE),MROUND(J585/3,0.5),"None")</f>
        <v>None</v>
      </c>
      <c r="L585" s="25">
        <f>IF(VLOOKUP(B585,AmmoTypeFactors,8,FALSE),"None",ROUNDUP(IF(Calcs!I585&gt;0,Calcs!I585,Calcs!H585),3))</f>
        <v>2.76</v>
      </c>
      <c r="M585" s="25">
        <f>IF(VLOOKUP(B585,AmmoTypeFactors,8,FALSE),"None",'Ammo Input'!L585)</f>
        <v>0</v>
      </c>
      <c r="N585">
        <f>'Ammo Input'!O585</f>
        <v>200</v>
      </c>
      <c r="O585" t="e">
        <f>ROUND((P585*0.0036+SUMPRODUCT(Q585:AB585,VLOOKUP($Q$1:$AB$1,IngredientStats,2,FALSE)))/N585*IF('Ammo Input'!R585,0.5,1),2)</f>
        <v>#VALUE!</v>
      </c>
      <c r="P585" t="e">
        <f>(SUMPRODUCT(Q585:AB585,VLOOKUP($Q$1:$AB$1,IngredientStats,4,FALSE))*VLOOKUP(B585,AmmoTypeFactors,14,FALSE)*IF('Ammo Input'!R585,1.1,1))</f>
        <v>#VALUE!</v>
      </c>
      <c r="Q585">
        <f>IFERROR(__xludf.DUMMYFUNCTION("((IF(NOT(OR(REGEXMATCH(B581, ""Arrow""), B581 = ""Javelin"", B581 = ""Stick bomb"")), ROUNDUP(('Ammo Input'!E581 / 1000) * N581)) + IF(VLOOKUP(B581, AmmoTypeFactors, 9, FALSE) = ""Steel"", ROUNDUP(('Ammo Input'!H581 -'Ammo Input'!M581) * MAX(IF('Ammo Inpu"&amp;"t'!J581 &gt; 0, 'Ammo Input'!J581, 1), 1) * N581 / 1000))) / 'Ingredient stats'!$C$2) * IF(ISBLANK(VLOOKUP(B581,AmmoTypeFactors,15,False)),1,VLOOKUP(B581,AmmoTypeFactors,15,False))"),22)</f>
        <v>22</v>
      </c>
      <c r="R585">
        <f>IFERROR(__xludf.DUMMYFUNCTION("ROUNDUP((IF(REGEXMATCH(B581, ""Arrow"") + (B581 = ""Javelin""), 'Ammo Input'!E581) + IF(VLOOKUP(B581, AmmoTypeFactors, 9, FALSE) = ""Wood"", 'Ammo Input'!H581) + IF(B581 = ""Stick bomb"", 'Ammo Input'!E581)) * N581 / 'Ingredient stats'!$C$12 / 1000)"),0)</f>
        <v>0</v>
      </c>
      <c r="S585">
        <v>0</v>
      </c>
      <c r="T585">
        <v>0</v>
      </c>
      <c r="U585">
        <f>IF(VLOOKUP(B585,AmmoTypeFactors,9,FALSE)="Plasteel",ROUNDUP(('Ammo Input'!H585*MAX(IF('Ammo Input'!J585&gt;0,'Ammo Input'!J585,1)*N585/1000/'Ingredient stats'!$C$4)),0),0)</f>
        <v>0</v>
      </c>
      <c r="V585">
        <f>IFERROR(__xludf.DUMMYFUNCTION("ROUNDUP(IF(ISBLANK(VLOOKUP(B581,AmmoTypeFactors,16,False)),1,VLOOKUP(B581,AmmoTypeFactors,16,False)) * (IFS(REGEXMATCH(B581, ""EMP""), 'Ammo Input'!M581 * N581 / 'Ingredient stats'!$C$5, REGEXMATCH(B581, ""Charge""), (U581^0.75), true, 0) + (IF(VLOOKUP(B5"&amp;"81, AmmoTypeFactors, 10, false), 2,0) + IF('Ammo Input'!P581, 2,0) + IF('Ammo Input'!Q581,MIN(ROUNDUP(0.2*('Ammo Input'!H581/1000)*'Ammo Input'!O581,0),20),0))))"),0)</f>
        <v>0</v>
      </c>
      <c r="W585">
        <v>0</v>
      </c>
      <c r="X585">
        <v>0</v>
      </c>
      <c r="Y585">
        <v>0</v>
      </c>
      <c r="Z585">
        <v>9</v>
      </c>
      <c r="AA585">
        <v>0</v>
      </c>
      <c r="AB585" s="30">
        <f>IF(B585="Sling Bullet (Stone)",ROUNDUP(D585*0.02*E585/'Ingredient stats'!$C$8,0),0)</f>
        <v>0</v>
      </c>
      <c r="AC585">
        <f t="shared" si="24"/>
        <v>2</v>
      </c>
      <c r="AD585" t="str">
        <f>IF(OR(B585="Buck",B585="Bird",B585="Charge (Scatter)"),'Ammo Input'!J585,"None")</f>
        <v>None</v>
      </c>
      <c r="AE585" t="str">
        <f>_xlfn.IFS(ISTEXT(Calcs!N585),Calcs!N585,Calcs!N585&lt;=40,Calcs!N585,Calcs!N585&gt;41,"40")</f>
        <v>None</v>
      </c>
      <c r="AF585" t="str">
        <f>_xlfn.IFS(ISTEXT(Calcs!O585),Calcs!O585,Calcs!O585&lt;=80,Calcs!O585,Calcs!O585&gt;=81,"80")</f>
        <v>None</v>
      </c>
      <c r="AG585" s="25">
        <f t="shared" si="25"/>
        <v>1</v>
      </c>
      <c r="AH585" s="25">
        <f t="shared" si="26"/>
        <v>0.5</v>
      </c>
      <c r="AI585" s="25">
        <f t="shared" si="27"/>
        <v>1</v>
      </c>
    </row>
    <row r="586" ht="14.25" customHeight="1" spans="1:35">
      <c r="A586" s="24" t="str">
        <f>'Ammo Input'!A586</f>
        <v>16 Gauge</v>
      </c>
      <c r="B586" t="str">
        <f>'Ammo Input'!B586</f>
        <v>EMP Slug</v>
      </c>
      <c r="C586">
        <f>ROUNDUP(('Ammo Input'!C586*(MAX('Ammo Input'!D586,'Ammo Input'!F586)*0.5)^2*PI())*3/1000000,2)</f>
        <v>0.05</v>
      </c>
      <c r="D586">
        <f>ROUNDUP(('Ammo Input'!E586+'Ammo Input'!H586*IF('Ammo Input'!J586&lt;&gt;"",MAX('Ammo Input'!J586,1),1))/1000,3)</f>
        <v>0.045</v>
      </c>
      <c r="E586">
        <f>MIN(5000,MAX(25,CEILING(Calcs!L586,_xlfn.IFS(Calcs!L586&lt;100,25,Calcs!L586&lt;250,50,Calcs!L586&lt;1000,250,Calcs!L586&gt;=1000,1000))))</f>
        <v>5000</v>
      </c>
      <c r="F586">
        <f>ROUNDUP('Ammo Input'!G586^(3/4),0)</f>
        <v>43</v>
      </c>
      <c r="G586">
        <f>ROUND((0.5*((IF(OR(B586="HEAT",B586="HEDP"),'Ammo Input'!N586,'Ammo Input'!H586)/1000)*(IF(B586="HEAT",9000,IF(B586="HEDP",1500,'Ammo Input'!G586))^2))),0)</f>
        <v>315</v>
      </c>
      <c r="H586" s="25" t="str">
        <f>CONCATENATE(IF((B586="Foam")+(B586="Smoke"),"-",ROUND(Calcs!D586,0))," ",VLOOKUP(B586,AmmoTypeFactors,5,FALSE))</f>
        <v>11 EMP</v>
      </c>
      <c r="I586" s="25" t="str">
        <f>IF(Calcs!E586=0,"None",CONCATENATE(ROUND(Calcs!E586,0)," ",VLOOKUP(B586,AmmoTypeFactors,6,FALSE)))</f>
        <v>None</v>
      </c>
      <c r="J586">
        <f>MROUND(2.42*'Ammo Input'!M586^(1/3)*VLOOKUP(B586,AmmoTypeFactors,3,FALSE),0.5)</f>
        <v>0</v>
      </c>
      <c r="K586" s="25" t="str">
        <f>IF(VLOOKUP(B586,AmmoTypeFactors,12,FALSE),MROUND(J586/3,0.5),"None")</f>
        <v>None</v>
      </c>
      <c r="L586" s="25" t="str">
        <f>IF(VLOOKUP(B586,AmmoTypeFactors,8,FALSE),"None",ROUNDUP(IF(Calcs!I586&gt;0,Calcs!I586,Calcs!H586),3))</f>
        <v>None</v>
      </c>
      <c r="M586" s="25" t="str">
        <f>IF(VLOOKUP(B586,AmmoTypeFactors,8,FALSE),"None",'Ammo Input'!L586)</f>
        <v>None</v>
      </c>
      <c r="N586">
        <f>'Ammo Input'!O586</f>
        <v>200</v>
      </c>
      <c r="O586" t="e">
        <f>ROUND((P586*0.0036+SUMPRODUCT(Q586:AB586,VLOOKUP($Q$1:$AB$1,IngredientStats,2,FALSE)))/N586*IF('Ammo Input'!R586,0.5,1),2)</f>
        <v>#VALUE!</v>
      </c>
      <c r="P586" t="e">
        <f>(SUMPRODUCT(Q586:AB586,VLOOKUP($Q$1:$AB$1,IngredientStats,4,FALSE))*VLOOKUP(B586,AmmoTypeFactors,14,FALSE)*IF('Ammo Input'!R586,1.1,1))</f>
        <v>#VALUE!</v>
      </c>
      <c r="Q586">
        <f>IFERROR(__xludf.DUMMYFUNCTION("((IF(NOT(OR(REGEXMATCH(B582, ""Arrow""), B582 = ""Javelin"", B582 = ""Stick bomb"")), ROUNDUP(('Ammo Input'!E582 / 1000) * N582)) + IF(VLOOKUP(B582, AmmoTypeFactors, 9, FALSE) = ""Steel"", ROUNDUP(('Ammo Input'!H582 -'Ammo Input'!M582) * MAX(IF('Ammo Inpu"&amp;"t'!J582 &gt; 0, 'Ammo Input'!J582, 1), 1) * N582 / 1000))) / 'Ingredient stats'!$C$2) * IF(ISBLANK(VLOOKUP(B582,AmmoTypeFactors,15,False)),1,VLOOKUP(B582,AmmoTypeFactors,15,False))"),20)</f>
        <v>20</v>
      </c>
      <c r="R586">
        <f>IFERROR(__xludf.DUMMYFUNCTION("ROUNDUP((IF(REGEXMATCH(B582, ""Arrow"") + (B582 = ""Javelin""), 'Ammo Input'!E582) + IF(VLOOKUP(B582, AmmoTypeFactors, 9, FALSE) = ""Wood"", 'Ammo Input'!H582) + IF(B582 = ""Stick bomb"", 'Ammo Input'!E582)) * N582 / 'Ingredient stats'!$C$12 / 1000)"),0)</f>
        <v>0</v>
      </c>
      <c r="S586">
        <v>0</v>
      </c>
      <c r="T586">
        <v>0</v>
      </c>
      <c r="U586">
        <f>IF(VLOOKUP(B586,AmmoTypeFactors,9,FALSE)="Plasteel",ROUNDUP(('Ammo Input'!H586*MAX(IF('Ammo Input'!J586&gt;0,'Ammo Input'!J586,1)*N586/1000/'Ingredient stats'!$C$4)),0),0)</f>
        <v>0</v>
      </c>
      <c r="V586">
        <f>IFERROR(__xludf.DUMMYFUNCTION("ROUNDUP(IF(ISBLANK(VLOOKUP(B582,AmmoTypeFactors,16,False)),1,VLOOKUP(B582,AmmoTypeFactors,16,False)) * (IFS(REGEXMATCH(B582, ""EMP""), 'Ammo Input'!M582 * N582 / 'Ingredient stats'!$C$5, REGEXMATCH(B582, ""Charge""), (U582^0.75), true, 0) + (IF(VLOOKUP(B5"&amp;"82, AmmoTypeFactors, 10, false), 2,0) + IF('Ammo Input'!P582, 2,0) + IF('Ammo Input'!Q582,MIN(ROUNDUP(0.2*('Ammo Input'!H582/1000)*'Ammo Input'!O582,0),20),0))))"),3)</f>
        <v>3</v>
      </c>
      <c r="W586">
        <v>0</v>
      </c>
      <c r="X586">
        <v>0</v>
      </c>
      <c r="Y586">
        <v>0</v>
      </c>
      <c r="Z586">
        <v>0</v>
      </c>
      <c r="AA586">
        <v>0</v>
      </c>
      <c r="AB586" s="30">
        <f>IF(B586="Sling Bullet (Stone)",ROUNDUP(D586*0.02*E586/'Ingredient stats'!$C$8,0),0)</f>
        <v>0</v>
      </c>
      <c r="AC586" t="str">
        <f t="shared" si="24"/>
        <v>None</v>
      </c>
      <c r="AD586" t="str">
        <f>IF(OR(B586="Buck",B586="Bird",B586="Charge (Scatter)"),'Ammo Input'!J586,"None")</f>
        <v>None</v>
      </c>
      <c r="AE586" t="str">
        <f>_xlfn.IFS(ISTEXT(Calcs!N586),Calcs!N586,Calcs!N586&lt;=40,Calcs!N586,Calcs!N586&gt;41,"40")</f>
        <v>None</v>
      </c>
      <c r="AF586" t="str">
        <f>_xlfn.IFS(ISTEXT(Calcs!O586),Calcs!O586,Calcs!O586&lt;=80,Calcs!O586,Calcs!O586&gt;=81,"80")</f>
        <v>None</v>
      </c>
      <c r="AG586" s="25">
        <f t="shared" si="25"/>
        <v>1</v>
      </c>
      <c r="AH586" s="25">
        <f t="shared" si="26"/>
        <v>0.71</v>
      </c>
      <c r="AI586" s="25">
        <f t="shared" si="27"/>
        <v>1</v>
      </c>
    </row>
    <row r="587" ht="14.25" customHeight="1" spans="1:35">
      <c r="A587" s="24" t="str">
        <f>'Ammo Input'!A587</f>
        <v>12 Gauge</v>
      </c>
      <c r="B587" t="str">
        <f>'Ammo Input'!B587</f>
        <v>Buck</v>
      </c>
      <c r="C587">
        <f>ROUNDUP(('Ammo Input'!C587*(MAX('Ammo Input'!D587,'Ammo Input'!F587)*0.5)^2*PI())*3/1000000,2)</f>
        <v>0.06</v>
      </c>
      <c r="D587">
        <f>ROUNDUP(('Ammo Input'!E587+'Ammo Input'!H587*IF('Ammo Input'!J587&lt;&gt;"",MAX('Ammo Input'!J587,1),1))/1000,3)</f>
        <v>0.051</v>
      </c>
      <c r="E587">
        <f>MIN(5000,MAX(25,CEILING(Calcs!L587,_xlfn.IFS(Calcs!L587&lt;100,25,Calcs!L587&lt;250,50,Calcs!L587&lt;1000,250,Calcs!L587&gt;=1000,1000))))</f>
        <v>5000</v>
      </c>
      <c r="F587">
        <f>ROUNDUP('Ammo Input'!G587^(3/4),0)</f>
        <v>83</v>
      </c>
      <c r="G587">
        <f>ROUND((0.5*((IF(OR(B587="HEAT",B587="HEDP"),'Ammo Input'!N587,'Ammo Input'!H587)/1000)*(IF(B587="HEAT",9000,IF(B587="HEDP",1500,'Ammo Input'!G587))^2))),0)</f>
        <v>226</v>
      </c>
      <c r="H587" s="25" t="str">
        <f>CONCATENATE(IF((B587="Foam")+(B587="Smoke"),"-",ROUND(Calcs!D587,0))," ",VLOOKUP(B587,AmmoTypeFactors,5,FALSE))</f>
        <v>8 Bullet</v>
      </c>
      <c r="I587" s="25" t="str">
        <f>IF(Calcs!E587=0,"None",CONCATENATE(ROUND(Calcs!E587,0)," ",VLOOKUP(B587,AmmoTypeFactors,6,FALSE)))</f>
        <v>None</v>
      </c>
      <c r="J587">
        <f>MROUND(2.42*'Ammo Input'!M587^(1/3)*VLOOKUP(B587,AmmoTypeFactors,3,FALSE),0.5)</f>
        <v>0</v>
      </c>
      <c r="K587" s="25" t="str">
        <f>IF(VLOOKUP(B587,AmmoTypeFactors,12,FALSE),MROUND(J587/3,0.5),"None")</f>
        <v>None</v>
      </c>
      <c r="L587" s="25">
        <f>IF(VLOOKUP(B587,AmmoTypeFactors,8,FALSE),"None",ROUNDUP(IF(Calcs!I587&gt;0,Calcs!I587,Calcs!H587),3))</f>
        <v>4.52</v>
      </c>
      <c r="M587" s="25">
        <f>IF(VLOOKUP(B587,AmmoTypeFactors,8,FALSE),"None",'Ammo Input'!L587)</f>
        <v>4</v>
      </c>
      <c r="N587">
        <f>'Ammo Input'!O587</f>
        <v>200</v>
      </c>
      <c r="O587" t="e">
        <f>ROUND((P587*0.0036+SUMPRODUCT(Q587:AB587,VLOOKUP($Q$1:$AB$1,IngredientStats,2,FALSE)))/N587*IF('Ammo Input'!R587,0.5,1),2)</f>
        <v>#VALUE!</v>
      </c>
      <c r="P587" t="e">
        <f>(SUMPRODUCT(Q587:AB587,VLOOKUP($Q$1:$AB$1,IngredientStats,4,FALSE))*VLOOKUP(B587,AmmoTypeFactors,14,FALSE)*IF('Ammo Input'!R587,1.1,1))</f>
        <v>#VALUE!</v>
      </c>
      <c r="Q587">
        <f>IFERROR(__xludf.DUMMYFUNCTION("((IF(NOT(OR(REGEXMATCH(B583, ""Arrow""), B583 = ""Javelin"", B583 = ""Stick bomb"")), ROUNDUP(('Ammo Input'!E583 / 1000) * N583)) + IF(VLOOKUP(B583, AmmoTypeFactors, 9, FALSE) = ""Steel"", ROUNDUP(('Ammo Input'!H583 -'Ammo Input'!M583) * MAX(IF('Ammo Inpu"&amp;"t'!J583 &gt; 0, 'Ammo Input'!J583, 1), 1) * N583 / 1000))) / 'Ingredient stats'!$C$2) * IF(ISBLANK(VLOOKUP(B583,AmmoTypeFactors,15,False)),1,VLOOKUP(B583,AmmoTypeFactors,15,False))"),22)</f>
        <v>22</v>
      </c>
      <c r="R587">
        <f>IFERROR(__xludf.DUMMYFUNCTION("ROUNDUP((IF(REGEXMATCH(B583, ""Arrow"") + (B583 = ""Javelin""), 'Ammo Input'!E583) + IF(VLOOKUP(B583, AmmoTypeFactors, 9, FALSE) = ""Wood"", 'Ammo Input'!H583) + IF(B583 = ""Stick bomb"", 'Ammo Input'!E583)) * N583 / 'Ingredient stats'!$C$12 / 1000)"),0)</f>
        <v>0</v>
      </c>
      <c r="S587">
        <v>0</v>
      </c>
      <c r="T587">
        <v>0</v>
      </c>
      <c r="U587">
        <f>IF(VLOOKUP(B587,AmmoTypeFactors,9,FALSE)="Plasteel",ROUNDUP(('Ammo Input'!H587*MAX(IF('Ammo Input'!J587&gt;0,'Ammo Input'!J587,1)*N587/1000/'Ingredient stats'!$C$4)),0),0)</f>
        <v>0</v>
      </c>
      <c r="V587">
        <f>IFERROR(__xludf.DUMMYFUNCTION("ROUNDUP(IF(ISBLANK(VLOOKUP(B583,AmmoTypeFactors,16,False)),1,VLOOKUP(B583,AmmoTypeFactors,16,False)) * (IFS(REGEXMATCH(B583, ""EMP""), 'Ammo Input'!M583 * N583 / 'Ingredient stats'!$C$5, REGEXMATCH(B583, ""Charge""), (U583^0.75), true, 0) + (IF(VLOOKUP(B5"&amp;"83, AmmoTypeFactors, 10, false), 2,0) + IF('Ammo Input'!P583, 2,0) + IF('Ammo Input'!Q583,MIN(ROUNDUP(0.2*('Ammo Input'!H583/1000)*'Ammo Input'!O583,0),20),0))))"),0)</f>
        <v>0</v>
      </c>
      <c r="W587">
        <v>0</v>
      </c>
      <c r="X587">
        <v>0</v>
      </c>
      <c r="Y587">
        <v>0</v>
      </c>
      <c r="Z587">
        <v>0</v>
      </c>
      <c r="AA587">
        <v>0</v>
      </c>
      <c r="AB587" s="30">
        <f>IF(B587="Sling Bullet (Stone)",ROUNDUP(D587*0.02*E587/'Ingredient stats'!$C$8,0),0)</f>
        <v>0</v>
      </c>
      <c r="AC587">
        <f t="shared" si="24"/>
        <v>8.9</v>
      </c>
      <c r="AD587">
        <f>IF(OR(B587="Buck",B587="Bird",B587="Charge (Scatter)"),'Ammo Input'!J587,"None")</f>
        <v>9</v>
      </c>
      <c r="AE587" t="str">
        <f>_xlfn.IFS(ISTEXT(Calcs!N587),Calcs!N587,Calcs!N587&lt;=40,Calcs!N587,Calcs!N587&gt;41,"40")</f>
        <v>None</v>
      </c>
      <c r="AF587" t="str">
        <f>_xlfn.IFS(ISTEXT(Calcs!O587),Calcs!O587,Calcs!O587&lt;=80,Calcs!O587,Calcs!O587&gt;=81,"80")</f>
        <v>None</v>
      </c>
      <c r="AG587" s="25">
        <f t="shared" si="25"/>
        <v>1</v>
      </c>
      <c r="AH587" s="25">
        <f t="shared" si="26"/>
        <v>1.37</v>
      </c>
      <c r="AI587" s="25">
        <f t="shared" si="27"/>
        <v>1</v>
      </c>
    </row>
    <row r="588" ht="14.25" customHeight="1" spans="1:35">
      <c r="A588" s="24" t="str">
        <f>'Ammo Input'!A588</f>
        <v>12 Gauge</v>
      </c>
      <c r="B588" t="str">
        <f>'Ammo Input'!B588</f>
        <v>Slug</v>
      </c>
      <c r="C588">
        <f>ROUNDUP(('Ammo Input'!C588*(MAX('Ammo Input'!D588,'Ammo Input'!F588)*0.5)^2*PI())*3/1000000,2)</f>
        <v>0.06</v>
      </c>
      <c r="D588">
        <f>ROUNDUP(('Ammo Input'!E588+'Ammo Input'!H588*IF('Ammo Input'!J588&lt;&gt;"",MAX('Ammo Input'!J588,1),1))/1000,3)</f>
        <v>0.048</v>
      </c>
      <c r="E588">
        <f>MIN(5000,MAX(25,CEILING(Calcs!L588,_xlfn.IFS(Calcs!L588&lt;100,25,Calcs!L588&lt;250,50,Calcs!L588&lt;1000,250,Calcs!L588&gt;=1000,1000))))</f>
        <v>5000</v>
      </c>
      <c r="F588">
        <f>ROUNDUP('Ammo Input'!G588^(3/4),0)</f>
        <v>114</v>
      </c>
      <c r="G588">
        <f>ROUND((0.5*((IF(OR(B588="HEAT",B588="HEDP"),'Ammo Input'!N588,'Ammo Input'!H588)/1000)*(IF(B588="HEAT",9000,IF(B588="HEDP",1500,'Ammo Input'!G588))^2))),0)</f>
        <v>4265</v>
      </c>
      <c r="H588" s="25" t="str">
        <f>CONCATENATE(IF((B588="Foam")+(B588="Smoke"),"-",ROUND(Calcs!D588,0))," ",VLOOKUP(B588,AmmoTypeFactors,5,FALSE))</f>
        <v>28 Bullet</v>
      </c>
      <c r="I588" s="25" t="str">
        <f>IF(Calcs!E588=0,"None",CONCATENATE(ROUND(Calcs!E588,0)," ",VLOOKUP(B588,AmmoTypeFactors,6,FALSE)))</f>
        <v>None</v>
      </c>
      <c r="J588">
        <f>MROUND(2.42*'Ammo Input'!M588^(1/3)*VLOOKUP(B588,AmmoTypeFactors,3,FALSE),0.5)</f>
        <v>0</v>
      </c>
      <c r="K588" s="25" t="str">
        <f>IF(VLOOKUP(B588,AmmoTypeFactors,12,FALSE),MROUND(J588/3,0.5),"None")</f>
        <v>None</v>
      </c>
      <c r="L588" s="25">
        <f>IF(VLOOKUP(B588,AmmoTypeFactors,8,FALSE),"None",ROUNDUP(IF(Calcs!I588&gt;0,Calcs!I588,Calcs!H588),3))</f>
        <v>85.3</v>
      </c>
      <c r="M588" s="25">
        <f>IF(VLOOKUP(B588,AmmoTypeFactors,8,FALSE),"None",'Ammo Input'!L588)</f>
        <v>6</v>
      </c>
      <c r="N588">
        <f>'Ammo Input'!O588</f>
        <v>200</v>
      </c>
      <c r="O588" t="e">
        <f>ROUND((P588*0.0036+SUMPRODUCT(Q588:AB588,VLOOKUP($Q$1:$AB$1,IngredientStats,2,FALSE)))/N588*IF('Ammo Input'!R588,0.5,1),2)</f>
        <v>#VALUE!</v>
      </c>
      <c r="P588" t="e">
        <f>(SUMPRODUCT(Q588:AB588,VLOOKUP($Q$1:$AB$1,IngredientStats,4,FALSE))*VLOOKUP(B588,AmmoTypeFactors,14,FALSE)*IF('Ammo Input'!R588,1.1,1))</f>
        <v>#VALUE!</v>
      </c>
      <c r="Q588">
        <f>IFERROR(__xludf.DUMMYFUNCTION("((IF(NOT(OR(REGEXMATCH(B584, ""Arrow""), B584 = ""Javelin"", B584 = ""Stick bomb"")), ROUNDUP(('Ammo Input'!E584 / 1000) * N584)) + IF(VLOOKUP(B584, AmmoTypeFactors, 9, FALSE) = ""Steel"", ROUNDUP(('Ammo Input'!H584 -'Ammo Input'!M584) * MAX(IF('Ammo Inpu"&amp;"t'!J584 &gt; 0, 'Ammo Input'!J584, 1), 1) * N584 / 1000))) / 'Ingredient stats'!$C$2) * IF(ISBLANK(VLOOKUP(B584,AmmoTypeFactors,15,False)),1,VLOOKUP(B584,AmmoTypeFactors,15,False))"),20)</f>
        <v>20</v>
      </c>
      <c r="R588">
        <f>IFERROR(__xludf.DUMMYFUNCTION("ROUNDUP((IF(REGEXMATCH(B584, ""Arrow"") + (B584 = ""Javelin""), 'Ammo Input'!E584) + IF(VLOOKUP(B584, AmmoTypeFactors, 9, FALSE) = ""Wood"", 'Ammo Input'!H584) + IF(B584 = ""Stick bomb"", 'Ammo Input'!E584)) * N584 / 'Ingredient stats'!$C$12 / 1000)"),0)</f>
        <v>0</v>
      </c>
      <c r="S588">
        <v>0</v>
      </c>
      <c r="T588">
        <v>0</v>
      </c>
      <c r="U588">
        <f>IF(VLOOKUP(B588,AmmoTypeFactors,9,FALSE)="Plasteel",ROUNDUP(('Ammo Input'!H588*MAX(IF('Ammo Input'!J588&gt;0,'Ammo Input'!J588,1)*N588/1000/'Ingredient stats'!$C$4)),0),0)</f>
        <v>0</v>
      </c>
      <c r="V588">
        <f>IFERROR(__xludf.DUMMYFUNCTION("ROUNDUP(IF(ISBLANK(VLOOKUP(B584,AmmoTypeFactors,16,False)),1,VLOOKUP(B584,AmmoTypeFactors,16,False)) * (IFS(REGEXMATCH(B584, ""EMP""), 'Ammo Input'!M584 * N584 / 'Ingredient stats'!$C$5, REGEXMATCH(B584, ""Charge""), (U584^0.75), true, 0) + (IF(VLOOKUP(B5"&amp;"84, AmmoTypeFactors, 10, false), 2,0) + IF('Ammo Input'!P584, 2,0) + IF('Ammo Input'!Q584,MIN(ROUNDUP(0.2*('Ammo Input'!H584/1000)*'Ammo Input'!O584,0),20),0))))"),0)</f>
        <v>0</v>
      </c>
      <c r="W588">
        <v>0</v>
      </c>
      <c r="X588">
        <v>0</v>
      </c>
      <c r="Y588">
        <v>0</v>
      </c>
      <c r="Z588">
        <v>0</v>
      </c>
      <c r="AA588">
        <v>0</v>
      </c>
      <c r="AB588" s="30">
        <f>IF(B588="Sling Bullet (Stone)",ROUNDUP(D588*0.02*E588/'Ingredient stats'!$C$8,0),0)</f>
        <v>0</v>
      </c>
      <c r="AC588" t="str">
        <f t="shared" si="24"/>
        <v>None</v>
      </c>
      <c r="AD588" t="str">
        <f>IF(OR(B588="Buck",B588="Bird",B588="Charge (Scatter)"),'Ammo Input'!J588,"None")</f>
        <v>None</v>
      </c>
      <c r="AE588" t="str">
        <f>_xlfn.IFS(ISTEXT(Calcs!N588),Calcs!N588,Calcs!N588&lt;=40,Calcs!N588,Calcs!N588&gt;41,"40")</f>
        <v>None</v>
      </c>
      <c r="AF588" t="str">
        <f>_xlfn.IFS(ISTEXT(Calcs!O588),Calcs!O588,Calcs!O588&lt;=80,Calcs!O588,Calcs!O588&gt;=81,"80")</f>
        <v>None</v>
      </c>
      <c r="AG588" s="25">
        <f t="shared" si="25"/>
        <v>1</v>
      </c>
      <c r="AH588" s="25">
        <f t="shared" si="26"/>
        <v>1.87</v>
      </c>
      <c r="AI588" s="25">
        <f t="shared" si="27"/>
        <v>1</v>
      </c>
    </row>
    <row r="589" ht="14.25" customHeight="1" spans="1:35">
      <c r="A589" s="24" t="str">
        <f>'Ammo Input'!A589</f>
        <v>12 Gauge</v>
      </c>
      <c r="B589" t="str">
        <f>'Ammo Input'!B589</f>
        <v>Beanbag</v>
      </c>
      <c r="C589">
        <f>ROUNDUP(('Ammo Input'!C589*(MAX('Ammo Input'!D589,'Ammo Input'!F589)*0.5)^2*PI())*3/1000000,2)</f>
        <v>0.06</v>
      </c>
      <c r="D589">
        <f>ROUNDUP(('Ammo Input'!E589+'Ammo Input'!H589*IF('Ammo Input'!J589&lt;&gt;"",MAX('Ammo Input'!J589,1),1))/1000,3)</f>
        <v>0.059</v>
      </c>
      <c r="E589">
        <f>MIN(5000,MAX(25,CEILING(Calcs!L589,_xlfn.IFS(Calcs!L589&lt;100,25,Calcs!L589&lt;250,50,Calcs!L589&lt;1000,250,Calcs!L589&gt;=1000,1000))))</f>
        <v>5000</v>
      </c>
      <c r="F589">
        <f>ROUNDUP('Ammo Input'!G589^(3/4),0)</f>
        <v>30</v>
      </c>
      <c r="G589">
        <f>ROUND((0.5*((IF(OR(B589="HEAT",B589="HEDP"),'Ammo Input'!N589,'Ammo Input'!H589)/1000)*(IF(B589="HEAT",9000,IF(B589="HEDP",1500,'Ammo Input'!G589))^2))),0)</f>
        <v>162</v>
      </c>
      <c r="H589" s="25" t="str">
        <f>CONCATENATE(IF((B589="Foam")+(B589="Smoke"),"-",ROUND(Calcs!D589,0))," ",VLOOKUP(B589,AmmoTypeFactors,5,FALSE))</f>
        <v>9 Beanbag</v>
      </c>
      <c r="I589" s="25" t="str">
        <f>IF(Calcs!E589=0,"None",CONCATENATE(ROUND(Calcs!E589,0)," ",VLOOKUP(B589,AmmoTypeFactors,6,FALSE)))</f>
        <v>None</v>
      </c>
      <c r="J589">
        <f>MROUND(2.42*'Ammo Input'!M589^(1/3)*VLOOKUP(B589,AmmoTypeFactors,3,FALSE),0.5)</f>
        <v>0</v>
      </c>
      <c r="K589" s="25" t="str">
        <f>IF(VLOOKUP(B589,AmmoTypeFactors,12,FALSE),MROUND(J589/3,0.5),"None")</f>
        <v>None</v>
      </c>
      <c r="L589" s="25">
        <f>IF(VLOOKUP(B589,AmmoTypeFactors,8,FALSE),"None",ROUNDUP(IF(Calcs!I589&gt;0,Calcs!I589,Calcs!H589),3))</f>
        <v>3.24</v>
      </c>
      <c r="M589" s="25">
        <f>IF(VLOOKUP(B589,AmmoTypeFactors,8,FALSE),"None",'Ammo Input'!L589)</f>
        <v>0</v>
      </c>
      <c r="N589">
        <f>'Ammo Input'!O589</f>
        <v>200</v>
      </c>
      <c r="O589" t="e">
        <f>ROUND((P589*0.0036+SUMPRODUCT(Q589:AB589,VLOOKUP($Q$1:$AB$1,IngredientStats,2,FALSE)))/N589*IF('Ammo Input'!R589,0.5,1),2)</f>
        <v>#VALUE!</v>
      </c>
      <c r="P589" t="e">
        <f>(SUMPRODUCT(Q589:AB589,VLOOKUP($Q$1:$AB$1,IngredientStats,4,FALSE))*VLOOKUP(B589,AmmoTypeFactors,14,FALSE)*IF('Ammo Input'!R589,1.1,1))</f>
        <v>#VALUE!</v>
      </c>
      <c r="Q589">
        <f>IFERROR(__xludf.DUMMYFUNCTION("((IF(NOT(OR(REGEXMATCH(B585, ""Arrow""), B585 = ""Javelin"", B585 = ""Stick bomb"")), ROUNDUP(('Ammo Input'!E585 / 1000) * N585)) + IF(VLOOKUP(B585, AmmoTypeFactors, 9, FALSE) = ""Steel"", ROUNDUP(('Ammo Input'!H585 -'Ammo Input'!M585) * MAX(IF('Ammo Inpu"&amp;"t'!J585 &gt; 0, 'Ammo Input'!J585, 1), 1) * N585 / 1000))) / 'Ingredient stats'!$C$2) * IF(ISBLANK(VLOOKUP(B585,AmmoTypeFactors,15,False)),1,VLOOKUP(B585,AmmoTypeFactors,15,False))"),24)</f>
        <v>24</v>
      </c>
      <c r="R589">
        <f>IFERROR(__xludf.DUMMYFUNCTION("ROUNDUP((IF(REGEXMATCH(B585, ""Arrow"") + (B585 = ""Javelin""), 'Ammo Input'!E585) + IF(VLOOKUP(B585, AmmoTypeFactors, 9, FALSE) = ""Wood"", 'Ammo Input'!H585) + IF(B585 = ""Stick bomb"", 'Ammo Input'!E585)) * N585 / 'Ingredient stats'!$C$12 / 1000)"),0)</f>
        <v>0</v>
      </c>
      <c r="S589">
        <v>0</v>
      </c>
      <c r="T589">
        <v>0</v>
      </c>
      <c r="U589">
        <f>IF(VLOOKUP(B589,AmmoTypeFactors,9,FALSE)="Plasteel",ROUNDUP(('Ammo Input'!H589*MAX(IF('Ammo Input'!J589&gt;0,'Ammo Input'!J589,1)*N589/1000/'Ingredient stats'!$C$4)),0),0)</f>
        <v>0</v>
      </c>
      <c r="V589">
        <f>IFERROR(__xludf.DUMMYFUNCTION("ROUNDUP(IF(ISBLANK(VLOOKUP(B585,AmmoTypeFactors,16,False)),1,VLOOKUP(B585,AmmoTypeFactors,16,False)) * (IFS(REGEXMATCH(B585, ""EMP""), 'Ammo Input'!M585 * N585 / 'Ingredient stats'!$C$5, REGEXMATCH(B585, ""Charge""), (U585^0.75), true, 0) + (IF(VLOOKUP(B5"&amp;"85, AmmoTypeFactors, 10, false), 2,0) + IF('Ammo Input'!P585, 2,0) + IF('Ammo Input'!Q585,MIN(ROUNDUP(0.2*('Ammo Input'!H585/1000)*'Ammo Input'!O585,0),20),0))))"),0)</f>
        <v>0</v>
      </c>
      <c r="W589">
        <v>0</v>
      </c>
      <c r="X589">
        <v>0</v>
      </c>
      <c r="Y589">
        <v>0</v>
      </c>
      <c r="Z589">
        <v>10</v>
      </c>
      <c r="AA589">
        <v>0</v>
      </c>
      <c r="AB589" s="30">
        <f>IF(B589="Sling Bullet (Stone)",ROUNDUP(D589*0.02*E589/'Ingredient stats'!$C$8,0),0)</f>
        <v>0</v>
      </c>
      <c r="AC589">
        <f t="shared" si="24"/>
        <v>2</v>
      </c>
      <c r="AD589" t="str">
        <f>IF(OR(B589="Buck",B589="Bird",B589="Charge (Scatter)"),'Ammo Input'!J589,"None")</f>
        <v>None</v>
      </c>
      <c r="AE589" t="str">
        <f>_xlfn.IFS(ISTEXT(Calcs!N589),Calcs!N589,Calcs!N589&lt;=40,Calcs!N589,Calcs!N589&gt;41,"40")</f>
        <v>None</v>
      </c>
      <c r="AF589" t="str">
        <f>_xlfn.IFS(ISTEXT(Calcs!O589),Calcs!O589,Calcs!O589&lt;=80,Calcs!O589,Calcs!O589&gt;=81,"80")</f>
        <v>None</v>
      </c>
      <c r="AG589" s="25">
        <f t="shared" si="25"/>
        <v>1</v>
      </c>
      <c r="AH589" s="25">
        <f t="shared" si="26"/>
        <v>0.5</v>
      </c>
      <c r="AI589" s="25">
        <f t="shared" si="27"/>
        <v>1</v>
      </c>
    </row>
    <row r="590" ht="14.25" customHeight="1" spans="1:35">
      <c r="A590" s="24" t="str">
        <f>'Ammo Input'!A590</f>
        <v>12 Gauge</v>
      </c>
      <c r="B590" t="str">
        <f>'Ammo Input'!B590</f>
        <v>EMP Slug</v>
      </c>
      <c r="C590">
        <f>ROUNDUP(('Ammo Input'!C590*(MAX('Ammo Input'!D590,'Ammo Input'!F590)*0.5)^2*PI())*3/1000000,2)</f>
        <v>0.06</v>
      </c>
      <c r="D590">
        <f>ROUNDUP(('Ammo Input'!E590+'Ammo Input'!H590*IF('Ammo Input'!J590&lt;&gt;"",MAX('Ammo Input'!J590,1),1))/1000,3)</f>
        <v>0.054</v>
      </c>
      <c r="E590">
        <f>MIN(5000,MAX(25,CEILING(Calcs!L590,_xlfn.IFS(Calcs!L590&lt;100,25,Calcs!L590&lt;250,50,Calcs!L590&lt;1000,250,Calcs!L590&gt;=1000,1000))))</f>
        <v>5000</v>
      </c>
      <c r="F590">
        <f>ROUNDUP('Ammo Input'!G590^(3/4),0)</f>
        <v>43</v>
      </c>
      <c r="G590">
        <f>ROUND((0.5*((IF(OR(B590="HEAT",B590="HEDP"),'Ammo Input'!N590,'Ammo Input'!H590)/1000)*(IF(B590="HEAT",9000,IF(B590="HEDP",1500,'Ammo Input'!G590))^2))),0)</f>
        <v>394</v>
      </c>
      <c r="H590" s="25" t="str">
        <f>CONCATENATE(IF((B590="Foam")+(B590="Smoke"),"-",ROUND(Calcs!D590,0))," ",VLOOKUP(B590,AmmoTypeFactors,5,FALSE))</f>
        <v>12 EMP</v>
      </c>
      <c r="I590" s="25" t="str">
        <f>IF(Calcs!E590=0,"None",CONCATENATE(ROUND(Calcs!E590,0)," ",VLOOKUP(B590,AmmoTypeFactors,6,FALSE)))</f>
        <v>None</v>
      </c>
      <c r="J590">
        <f>MROUND(2.42*'Ammo Input'!M590^(1/3)*VLOOKUP(B590,AmmoTypeFactors,3,FALSE),0.5)</f>
        <v>0</v>
      </c>
      <c r="K590" s="25" t="str">
        <f>IF(VLOOKUP(B590,AmmoTypeFactors,12,FALSE),MROUND(J590/3,0.5),"None")</f>
        <v>None</v>
      </c>
      <c r="L590" s="25" t="str">
        <f>IF(VLOOKUP(B590,AmmoTypeFactors,8,FALSE),"None",ROUNDUP(IF(Calcs!I590&gt;0,Calcs!I590,Calcs!H590),3))</f>
        <v>None</v>
      </c>
      <c r="M590" s="25" t="str">
        <f>IF(VLOOKUP(B590,AmmoTypeFactors,8,FALSE),"None",'Ammo Input'!L590)</f>
        <v>None</v>
      </c>
      <c r="N590">
        <f>'Ammo Input'!O590</f>
        <v>200</v>
      </c>
      <c r="O590" t="e">
        <f>ROUND((P590*0.0036+SUMPRODUCT(Q590:AB590,VLOOKUP($Q$1:$AB$1,IngredientStats,2,FALSE)))/N590*IF('Ammo Input'!R590,0.5,1),2)</f>
        <v>#VALUE!</v>
      </c>
      <c r="P590" t="e">
        <f>(SUMPRODUCT(Q590:AB590,VLOOKUP($Q$1:$AB$1,IngredientStats,4,FALSE))*VLOOKUP(B590,AmmoTypeFactors,14,FALSE)*IF('Ammo Input'!R590,1.1,1))</f>
        <v>#VALUE!</v>
      </c>
      <c r="Q590">
        <f>IFERROR(__xludf.DUMMYFUNCTION("((IF(NOT(OR(REGEXMATCH(B586, ""Arrow""), B586 = ""Javelin"", B586 = ""Stick bomb"")), ROUNDUP(('Ammo Input'!E586 / 1000) * N586)) + IF(VLOOKUP(B586, AmmoTypeFactors, 9, FALSE) = ""Steel"", ROUNDUP(('Ammo Input'!H586 -'Ammo Input'!M586) * MAX(IF('Ammo Inpu"&amp;"t'!J586 &gt; 0, 'Ammo Input'!J586, 1), 1) * N586 / 1000))) / 'Ingredient stats'!$C$2) * IF(ISBLANK(VLOOKUP(B586,AmmoTypeFactors,15,False)),1,VLOOKUP(B586,AmmoTypeFactors,15,False))"),22)</f>
        <v>22</v>
      </c>
      <c r="R590">
        <f>IFERROR(__xludf.DUMMYFUNCTION("ROUNDUP((IF(REGEXMATCH(B586, ""Arrow"") + (B586 = ""Javelin""), 'Ammo Input'!E586) + IF(VLOOKUP(B586, AmmoTypeFactors, 9, FALSE) = ""Wood"", 'Ammo Input'!H586) + IF(B586 = ""Stick bomb"", 'Ammo Input'!E586)) * N586 / 'Ingredient stats'!$C$12 / 1000)"),0)</f>
        <v>0</v>
      </c>
      <c r="S590">
        <v>0</v>
      </c>
      <c r="T590">
        <v>0</v>
      </c>
      <c r="U590">
        <f>IF(VLOOKUP(B590,AmmoTypeFactors,9,FALSE)="Plasteel",ROUNDUP(('Ammo Input'!H590*MAX(IF('Ammo Input'!J590&gt;0,'Ammo Input'!J590,1)*N590/1000/'Ingredient stats'!$C$4)),0),0)</f>
        <v>0</v>
      </c>
      <c r="V590">
        <f>IFERROR(__xludf.DUMMYFUNCTION("ROUNDUP(IF(ISBLANK(VLOOKUP(B586,AmmoTypeFactors,16,False)),1,VLOOKUP(B586,AmmoTypeFactors,16,False)) * (IFS(REGEXMATCH(B586, ""EMP""), 'Ammo Input'!M586 * N586 / 'Ingredient stats'!$C$5, REGEXMATCH(B586, ""Charge""), (U586^0.75), true, 0) + (IF(VLOOKUP(B5"&amp;"86, AmmoTypeFactors, 10, false), 2,0) + IF('Ammo Input'!P586, 2,0) + IF('Ammo Input'!Q586,MIN(ROUNDUP(0.2*('Ammo Input'!H586/1000)*'Ammo Input'!O586,0),20),0))))"),4)</f>
        <v>4</v>
      </c>
      <c r="W590">
        <v>0</v>
      </c>
      <c r="X590">
        <v>0</v>
      </c>
      <c r="Y590">
        <v>0</v>
      </c>
      <c r="Z590">
        <v>0</v>
      </c>
      <c r="AA590">
        <v>0</v>
      </c>
      <c r="AB590" s="30">
        <f>IF(B590="Sling Bullet (Stone)",ROUNDUP(D590*0.02*E590/'Ingredient stats'!$C$8,0),0)</f>
        <v>0</v>
      </c>
      <c r="AC590" t="str">
        <f t="shared" si="24"/>
        <v>None</v>
      </c>
      <c r="AD590" t="str">
        <f>IF(OR(B590="Buck",B590="Bird",B590="Charge (Scatter)"),'Ammo Input'!J590,"None")</f>
        <v>None</v>
      </c>
      <c r="AE590" t="str">
        <f>_xlfn.IFS(ISTEXT(Calcs!N590),Calcs!N590,Calcs!N590&lt;=40,Calcs!N590,Calcs!N590&gt;41,"40")</f>
        <v>None</v>
      </c>
      <c r="AF590" t="str">
        <f>_xlfn.IFS(ISTEXT(Calcs!O590),Calcs!O590,Calcs!O590&lt;=80,Calcs!O590,Calcs!O590&gt;=81,"80")</f>
        <v>None</v>
      </c>
      <c r="AG590" s="25">
        <f t="shared" si="25"/>
        <v>1</v>
      </c>
      <c r="AH590" s="25">
        <f t="shared" si="26"/>
        <v>0.71</v>
      </c>
      <c r="AI590" s="25">
        <f t="shared" si="27"/>
        <v>1</v>
      </c>
    </row>
    <row r="591" ht="14.4" spans="1:35">
      <c r="A591" s="24" t="str">
        <f>'Ammo Input'!A591</f>
        <v>12 Gauge (Slow)</v>
      </c>
      <c r="B591" t="str">
        <f>'Ammo Input'!B591</f>
        <v>Buck</v>
      </c>
      <c r="C591">
        <f>ROUNDUP(('Ammo Input'!C591*(MAX('Ammo Input'!D591,'Ammo Input'!F591)*0.5)^2*PI())*3/1000000,2)</f>
        <v>0.06</v>
      </c>
      <c r="D591">
        <f>ROUNDUP(('Ammo Input'!E591+'Ammo Input'!H591*IF('Ammo Input'!J591&lt;&gt;"",MAX('Ammo Input'!J591,1),1))/1000,3)</f>
        <v>0.051</v>
      </c>
      <c r="E591">
        <f>MIN(5000,MAX(25,CEILING(Calcs!L591,_xlfn.IFS(Calcs!L591&lt;100,25,Calcs!L591&lt;250,50,Calcs!L591&lt;1000,250,Calcs!L591&gt;=1000,1000))))</f>
        <v>5000</v>
      </c>
      <c r="F591">
        <f>ROUNDUP('Ammo Input'!G591^(3/4),0)</f>
        <v>75</v>
      </c>
      <c r="G591">
        <f>ROUND((0.5*((IF(OR(B591="HEAT",B591="HEDP"),'Ammo Input'!N591,'Ammo Input'!H591)/1000)*(IF(B591="HEAT",9000,IF(B591="HEDP",1500,'Ammo Input'!G591))^2))),0)</f>
        <v>173</v>
      </c>
      <c r="H591" s="25" t="str">
        <f>CONCATENATE(IF((B591="Foam")+(B591="Smoke"),"-",ROUND(Calcs!D591,0))," ",VLOOKUP(B591,AmmoTypeFactors,5,FALSE))</f>
        <v>7 Bullet</v>
      </c>
      <c r="I591" s="25" t="str">
        <f>IF(Calcs!E591=0,"None",CONCATENATE(ROUND(Calcs!E591,0)," ",VLOOKUP(B591,AmmoTypeFactors,6,FALSE)))</f>
        <v>None</v>
      </c>
      <c r="J591">
        <f>MROUND(2.42*'Ammo Input'!M591^(1/3)*VLOOKUP(B591,AmmoTypeFactors,3,FALSE),0.5)</f>
        <v>0</v>
      </c>
      <c r="K591" s="25" t="str">
        <f>IF(VLOOKUP(B591,AmmoTypeFactors,12,FALSE),MROUND(J591/3,0.5),"None")</f>
        <v>None</v>
      </c>
      <c r="L591" s="25">
        <f>IF(VLOOKUP(B591,AmmoTypeFactors,8,FALSE),"None",ROUNDUP(IF(Calcs!I591&gt;0,Calcs!I591,Calcs!H591),3))</f>
        <v>3.46</v>
      </c>
      <c r="M591" s="25">
        <f>IF(VLOOKUP(B591,AmmoTypeFactors,8,FALSE),"None",'Ammo Input'!L591)</f>
        <v>3.5</v>
      </c>
      <c r="N591">
        <f>'Ammo Input'!O591</f>
        <v>200</v>
      </c>
      <c r="O591" t="e">
        <f>ROUND((P591*0.0036+SUMPRODUCT(Q591:AB591,VLOOKUP($Q$1:$AB$1,IngredientStats,2,FALSE)))/N591*IF('Ammo Input'!R591,0.5,1),2)</f>
        <v>#VALUE!</v>
      </c>
      <c r="P591" t="e">
        <f>(SUMPRODUCT(Q591:AB591,VLOOKUP($Q$1:$AB$1,IngredientStats,4,FALSE))*VLOOKUP(B591,AmmoTypeFactors,14,FALSE)*IF('Ammo Input'!R591,1.1,1))</f>
        <v>#VALUE!</v>
      </c>
      <c r="Q591">
        <f>IFERROR(__xludf.DUMMYFUNCTION("((IF(NOT(OR(REGEXMATCH(B587, ""Arrow""), B587 = ""Javelin"", B587 = ""Stick bomb"")), ROUNDUP(('Ammo Input'!E587 / 1000) * N587)) + IF(VLOOKUP(B587, AmmoTypeFactors, 9, FALSE) = ""Steel"", ROUNDUP(('Ammo Input'!H587 -'Ammo Input'!M587) * MAX(IF('Ammo Inpu"&amp;"t'!J587 &gt; 0, 'Ammo Input'!J587, 1), 1) * N587 / 1000))) / 'Ingredient stats'!$C$2) * IF(ISBLANK(VLOOKUP(B587,AmmoTypeFactors,15,False)),1,VLOOKUP(B587,AmmoTypeFactors,15,False))"),22)</f>
        <v>22</v>
      </c>
      <c r="R591">
        <f>IFERROR(__xludf.DUMMYFUNCTION("ROUNDUP((IF(REGEXMATCH(B587, ""Arrow"") + (B587 = ""Javelin""), 'Ammo Input'!E587) + IF(VLOOKUP(B587, AmmoTypeFactors, 9, FALSE) = ""Wood"", 'Ammo Input'!H587) + IF(B587 = ""Stick bomb"", 'Ammo Input'!E587)) * N587 / 'Ingredient stats'!$C$12 / 1000)"),0)</f>
        <v>0</v>
      </c>
      <c r="S591">
        <v>0</v>
      </c>
      <c r="T591">
        <v>0</v>
      </c>
      <c r="U591">
        <f>IF(VLOOKUP(B591,AmmoTypeFactors,9,FALSE)="Plasteel",ROUNDUP(('Ammo Input'!H591*MAX(IF('Ammo Input'!J591&gt;0,'Ammo Input'!J591,1)*N591/1000/'Ingredient stats'!$C$4)),0),0)</f>
        <v>0</v>
      </c>
      <c r="V591">
        <f>IFERROR(__xludf.DUMMYFUNCTION("ROUNDUP(IF(ISBLANK(VLOOKUP(B587,AmmoTypeFactors,16,False)),1,VLOOKUP(B587,AmmoTypeFactors,16,False)) * (IFS(REGEXMATCH(B587, ""EMP""), 'Ammo Input'!M587 * N587 / 'Ingredient stats'!$C$5, REGEXMATCH(B587, ""Charge""), (U587^0.75), true, 0) + (IF(VLOOKUP(B5"&amp;"87, AmmoTypeFactors, 10, false), 2,0) + IF('Ammo Input'!P587, 2,0) + IF('Ammo Input'!Q587,MIN(ROUNDUP(0.2*('Ammo Input'!H587/1000)*'Ammo Input'!O587,0),20),0))))"),0)</f>
        <v>0</v>
      </c>
      <c r="W591">
        <v>0</v>
      </c>
      <c r="X591">
        <v>0</v>
      </c>
      <c r="Y591">
        <v>0</v>
      </c>
      <c r="Z591">
        <v>0</v>
      </c>
      <c r="AA591">
        <v>0</v>
      </c>
      <c r="AB591" s="30">
        <f>IF(B591="Sling Bullet (Stone)",ROUNDUP(D591*0.02*E591/'Ingredient stats'!$C$8,0),0)</f>
        <v>0</v>
      </c>
      <c r="AC591">
        <f t="shared" si="24"/>
        <v>8.9</v>
      </c>
      <c r="AD591">
        <f>IF(OR(B591="Buck",B591="Bird",B591="Charge (Scatter)"),'Ammo Input'!J591,"None")</f>
        <v>9</v>
      </c>
      <c r="AE591" t="str">
        <f>_xlfn.IFS(ISTEXT(Calcs!N591),Calcs!N591,Calcs!N591&lt;=40,Calcs!N591,Calcs!N591&gt;41,"40")</f>
        <v>None</v>
      </c>
      <c r="AF591" t="str">
        <f>_xlfn.IFS(ISTEXT(Calcs!O591),Calcs!O591,Calcs!O591&lt;=80,Calcs!O591,Calcs!O591&gt;=81,"80")</f>
        <v>None</v>
      </c>
      <c r="AG591" s="25">
        <f t="shared" si="25"/>
        <v>1</v>
      </c>
      <c r="AH591" s="25">
        <f t="shared" si="26"/>
        <v>1.24</v>
      </c>
      <c r="AI591" s="25">
        <f t="shared" si="27"/>
        <v>1</v>
      </c>
    </row>
    <row r="592" ht="14.4" spans="1:35">
      <c r="A592" s="24" t="str">
        <f>'Ammo Input'!A592</f>
        <v>12 Gauge (Slow)</v>
      </c>
      <c r="B592" t="str">
        <f>'Ammo Input'!B592</f>
        <v>Slug</v>
      </c>
      <c r="C592">
        <f>ROUNDUP(('Ammo Input'!C592*(MAX('Ammo Input'!D592,'Ammo Input'!F592)*0.5)^2*PI())*3/1000000,2)</f>
        <v>0.06</v>
      </c>
      <c r="D592">
        <f>ROUNDUP(('Ammo Input'!E592+'Ammo Input'!H592*IF('Ammo Input'!J592&lt;&gt;"",MAX('Ammo Input'!J592,1),1))/1000,3)</f>
        <v>0.048</v>
      </c>
      <c r="E592">
        <f>MIN(5000,MAX(25,CEILING(Calcs!L592,_xlfn.IFS(Calcs!L592&lt;100,25,Calcs!L592&lt;250,50,Calcs!L592&lt;1000,250,Calcs!L592&gt;=1000,1000))))</f>
        <v>5000</v>
      </c>
      <c r="F592">
        <f>ROUNDUP('Ammo Input'!G592^(3/4),0)</f>
        <v>106</v>
      </c>
      <c r="G592">
        <f>ROUND((0.5*((IF(OR(B592="HEAT",B592="HEDP"),'Ammo Input'!N592,'Ammo Input'!H592)/1000)*(IF(B592="HEAT",9000,IF(B592="HEDP",1500,'Ammo Input'!G592))^2))),0)</f>
        <v>3538</v>
      </c>
      <c r="H592" s="25" t="str">
        <f>CONCATENATE(IF((B592="Foam")+(B592="Smoke"),"-",ROUND(Calcs!D592,0))," ",VLOOKUP(B592,AmmoTypeFactors,5,FALSE))</f>
        <v>26 Bullet</v>
      </c>
      <c r="I592" s="25" t="str">
        <f>IF(Calcs!E592=0,"None",CONCATENATE(ROUND(Calcs!E592,0)," ",VLOOKUP(B592,AmmoTypeFactors,6,FALSE)))</f>
        <v>None</v>
      </c>
      <c r="J592">
        <f>MROUND(2.42*'Ammo Input'!M592^(1/3)*VLOOKUP(B592,AmmoTypeFactors,3,FALSE),0.5)</f>
        <v>0</v>
      </c>
      <c r="K592" s="25" t="str">
        <f>IF(VLOOKUP(B592,AmmoTypeFactors,12,FALSE),MROUND(J592/3,0.5),"None")</f>
        <v>None</v>
      </c>
      <c r="L592" s="25">
        <f>IF(VLOOKUP(B592,AmmoTypeFactors,8,FALSE),"None",ROUNDUP(IF(Calcs!I592&gt;0,Calcs!I592,Calcs!H592),3))</f>
        <v>70.76</v>
      </c>
      <c r="M592" s="25">
        <f>IF(VLOOKUP(B592,AmmoTypeFactors,8,FALSE),"None",'Ammo Input'!L592)</f>
        <v>5</v>
      </c>
      <c r="N592">
        <f>'Ammo Input'!O592</f>
        <v>200</v>
      </c>
      <c r="O592" t="e">
        <f>ROUND((P592*0.0036+SUMPRODUCT(Q592:AB592,VLOOKUP($Q$1:$AB$1,IngredientStats,2,FALSE)))/N592*IF('Ammo Input'!R592,0.5,1),2)</f>
        <v>#VALUE!</v>
      </c>
      <c r="P592" t="e">
        <f>(SUMPRODUCT(Q592:AB592,VLOOKUP($Q$1:$AB$1,IngredientStats,4,FALSE))*VLOOKUP(B592,AmmoTypeFactors,14,FALSE)*IF('Ammo Input'!R592,1.1,1))</f>
        <v>#VALUE!</v>
      </c>
      <c r="Q592">
        <f>IFERROR(__xludf.DUMMYFUNCTION("((IF(NOT(OR(REGEXMATCH(B588, ""Arrow""), B588 = ""Javelin"", B588 = ""Stick bomb"")), ROUNDUP(('Ammo Input'!E588 / 1000) * N588)) + IF(VLOOKUP(B588, AmmoTypeFactors, 9, FALSE) = ""Steel"", ROUNDUP(('Ammo Input'!H588 -'Ammo Input'!M588) * MAX(IF('Ammo Inpu"&amp;"t'!J588 &gt; 0, 'Ammo Input'!J588, 1), 1) * N588 / 1000))) / 'Ingredient stats'!$C$2) * IF(ISBLANK(VLOOKUP(B588,AmmoTypeFactors,15,False)),1,VLOOKUP(B588,AmmoTypeFactors,15,False))"),20)</f>
        <v>20</v>
      </c>
      <c r="R592">
        <f>IFERROR(__xludf.DUMMYFUNCTION("ROUNDUP((IF(REGEXMATCH(B588, ""Arrow"") + (B588 = ""Javelin""), 'Ammo Input'!E588) + IF(VLOOKUP(B588, AmmoTypeFactors, 9, FALSE) = ""Wood"", 'Ammo Input'!H588) + IF(B588 = ""Stick bomb"", 'Ammo Input'!E588)) * N588 / 'Ingredient stats'!$C$12 / 1000)"),0)</f>
        <v>0</v>
      </c>
      <c r="S592">
        <v>0</v>
      </c>
      <c r="T592">
        <v>0</v>
      </c>
      <c r="U592">
        <f>IF(VLOOKUP(B592,AmmoTypeFactors,9,FALSE)="Plasteel",ROUNDUP(('Ammo Input'!H592*MAX(IF('Ammo Input'!J592&gt;0,'Ammo Input'!J592,1)*N592/1000/'Ingredient stats'!$C$4)),0),0)</f>
        <v>0</v>
      </c>
      <c r="V592">
        <f>IFERROR(__xludf.DUMMYFUNCTION("ROUNDUP(IF(ISBLANK(VLOOKUP(B588,AmmoTypeFactors,16,False)),1,VLOOKUP(B588,AmmoTypeFactors,16,False)) * (IFS(REGEXMATCH(B588, ""EMP""), 'Ammo Input'!M588 * N588 / 'Ingredient stats'!$C$5, REGEXMATCH(B588, ""Charge""), (U588^0.75), true, 0) + (IF(VLOOKUP(B5"&amp;"88, AmmoTypeFactors, 10, false), 2,0) + IF('Ammo Input'!P588, 2,0) + IF('Ammo Input'!Q588,MIN(ROUNDUP(0.2*('Ammo Input'!H588/1000)*'Ammo Input'!O588,0),20),0))))"),0)</f>
        <v>0</v>
      </c>
      <c r="W592">
        <v>0</v>
      </c>
      <c r="X592">
        <v>0</v>
      </c>
      <c r="Y592">
        <v>0</v>
      </c>
      <c r="Z592">
        <v>0</v>
      </c>
      <c r="AA592">
        <v>0</v>
      </c>
      <c r="AB592" s="30">
        <f>IF(B592="Sling Bullet (Stone)",ROUNDUP(D592*0.02*E592/'Ingredient stats'!$C$8,0),0)</f>
        <v>0</v>
      </c>
      <c r="AC592" t="str">
        <f t="shared" si="24"/>
        <v>None</v>
      </c>
      <c r="AD592" t="str">
        <f>IF(OR(B592="Buck",B592="Bird",B592="Charge (Scatter)"),'Ammo Input'!J592,"None")</f>
        <v>None</v>
      </c>
      <c r="AE592" t="str">
        <f>_xlfn.IFS(ISTEXT(Calcs!N592),Calcs!N592,Calcs!N592&lt;=40,Calcs!N592,Calcs!N592&gt;41,"40")</f>
        <v>None</v>
      </c>
      <c r="AF592" t="str">
        <f>_xlfn.IFS(ISTEXT(Calcs!O592),Calcs!O592,Calcs!O592&lt;=80,Calcs!O592,Calcs!O592&gt;=81,"80")</f>
        <v>None</v>
      </c>
      <c r="AG592" s="25">
        <f t="shared" si="25"/>
        <v>1</v>
      </c>
      <c r="AH592" s="25">
        <f t="shared" si="26"/>
        <v>1.74</v>
      </c>
      <c r="AI592" s="25">
        <f t="shared" si="27"/>
        <v>1</v>
      </c>
    </row>
    <row r="593" ht="14.4" spans="1:35">
      <c r="A593" s="24" t="str">
        <f>'Ammo Input'!A593</f>
        <v>12 Gauge (Slow)</v>
      </c>
      <c r="B593" t="str">
        <f>'Ammo Input'!B593</f>
        <v>Beanbag</v>
      </c>
      <c r="C593">
        <f>ROUNDUP(('Ammo Input'!C593*(MAX('Ammo Input'!D593,'Ammo Input'!F593)*0.5)^2*PI())*3/1000000,2)</f>
        <v>0.06</v>
      </c>
      <c r="D593">
        <f>ROUNDUP(('Ammo Input'!E593+'Ammo Input'!H593*IF('Ammo Input'!J593&lt;&gt;"",MAX('Ammo Input'!J593,1),1))/1000,3)</f>
        <v>0.059</v>
      </c>
      <c r="E593">
        <f>MIN(5000,MAX(25,CEILING(Calcs!L593,_xlfn.IFS(Calcs!L593&lt;100,25,Calcs!L593&lt;250,50,Calcs!L593&lt;1000,250,Calcs!L593&gt;=1000,1000))))</f>
        <v>5000</v>
      </c>
      <c r="F593">
        <f>ROUNDUP('Ammo Input'!G593^(3/4),0)</f>
        <v>26</v>
      </c>
      <c r="G593">
        <f>ROUND((0.5*((IF(OR(B593="HEAT",B593="HEDP"),'Ammo Input'!N593,'Ammo Input'!H593)/1000)*(IF(B593="HEAT",9000,IF(B593="HEDP",1500,'Ammo Input'!G593))^2))),0)</f>
        <v>113</v>
      </c>
      <c r="H593" s="25" t="str">
        <f>CONCATENATE(IF((B593="Foam")+(B593="Smoke"),"-",ROUND(Calcs!D593,0))," ",VLOOKUP(B593,AmmoTypeFactors,5,FALSE))</f>
        <v>8 Beanbag</v>
      </c>
      <c r="I593" s="25" t="str">
        <f>IF(Calcs!E593=0,"None",CONCATENATE(ROUND(Calcs!E593,0)," ",VLOOKUP(B593,AmmoTypeFactors,6,FALSE)))</f>
        <v>None</v>
      </c>
      <c r="J593">
        <f>MROUND(2.42*'Ammo Input'!M593^(1/3)*VLOOKUP(B593,AmmoTypeFactors,3,FALSE),0.5)</f>
        <v>0</v>
      </c>
      <c r="K593" s="25" t="str">
        <f>IF(VLOOKUP(B593,AmmoTypeFactors,12,FALSE),MROUND(J593/3,0.5),"None")</f>
        <v>None</v>
      </c>
      <c r="L593" s="25">
        <f>IF(VLOOKUP(B593,AmmoTypeFactors,8,FALSE),"None",ROUNDUP(IF(Calcs!I593&gt;0,Calcs!I593,Calcs!H593),3))</f>
        <v>2.26</v>
      </c>
      <c r="M593" s="25">
        <f>IF(VLOOKUP(B593,AmmoTypeFactors,8,FALSE),"None",'Ammo Input'!L593)</f>
        <v>0</v>
      </c>
      <c r="N593">
        <f>'Ammo Input'!O593</f>
        <v>200</v>
      </c>
      <c r="O593" t="e">
        <f>ROUND((P593*0.0036+SUMPRODUCT(Q593:AB593,VLOOKUP($Q$1:$AB$1,IngredientStats,2,FALSE)))/N593*IF('Ammo Input'!R593,0.5,1),2)</f>
        <v>#VALUE!</v>
      </c>
      <c r="P593" t="e">
        <f>(SUMPRODUCT(Q593:AB593,VLOOKUP($Q$1:$AB$1,IngredientStats,4,FALSE))*VLOOKUP(B593,AmmoTypeFactors,14,FALSE)*IF('Ammo Input'!R593,1.1,1))</f>
        <v>#VALUE!</v>
      </c>
      <c r="Q593">
        <f>IFERROR(__xludf.DUMMYFUNCTION("((IF(NOT(OR(REGEXMATCH(B589, ""Arrow""), B589 = ""Javelin"", B589 = ""Stick bomb"")), ROUNDUP(('Ammo Input'!E589 / 1000) * N589)) + IF(VLOOKUP(B589, AmmoTypeFactors, 9, FALSE) = ""Steel"", ROUNDUP(('Ammo Input'!H589 -'Ammo Input'!M589) * MAX(IF('Ammo Inpu"&amp;"t'!J589 &gt; 0, 'Ammo Input'!J589, 1), 1) * N589 / 1000))) / 'Ingredient stats'!$C$2) * IF(ISBLANK(VLOOKUP(B589,AmmoTypeFactors,15,False)),1,VLOOKUP(B589,AmmoTypeFactors,15,False))"),24)</f>
        <v>24</v>
      </c>
      <c r="R593">
        <f>IFERROR(__xludf.DUMMYFUNCTION("ROUNDUP((IF(REGEXMATCH(B589, ""Arrow"") + (B589 = ""Javelin""), 'Ammo Input'!E589) + IF(VLOOKUP(B589, AmmoTypeFactors, 9, FALSE) = ""Wood"", 'Ammo Input'!H589) + IF(B589 = ""Stick bomb"", 'Ammo Input'!E589)) * N589 / 'Ingredient stats'!$C$12 / 1000)"),0)</f>
        <v>0</v>
      </c>
      <c r="S593">
        <v>0</v>
      </c>
      <c r="T593">
        <v>0</v>
      </c>
      <c r="U593">
        <f>IF(VLOOKUP(B593,AmmoTypeFactors,9,FALSE)="Plasteel",ROUNDUP(('Ammo Input'!H593*MAX(IF('Ammo Input'!J593&gt;0,'Ammo Input'!J593,1)*N593/1000/'Ingredient stats'!$C$4)),0),0)</f>
        <v>0</v>
      </c>
      <c r="V593">
        <f>IFERROR(__xludf.DUMMYFUNCTION("ROUNDUP(IF(ISBLANK(VLOOKUP(B589,AmmoTypeFactors,16,False)),1,VLOOKUP(B589,AmmoTypeFactors,16,False)) * (IFS(REGEXMATCH(B589, ""EMP""), 'Ammo Input'!M589 * N589 / 'Ingredient stats'!$C$5, REGEXMATCH(B589, ""Charge""), (U589^0.75), true, 0) + (IF(VLOOKUP(B5"&amp;"89, AmmoTypeFactors, 10, false), 2,0) + IF('Ammo Input'!P589, 2,0) + IF('Ammo Input'!Q589,MIN(ROUNDUP(0.2*('Ammo Input'!H589/1000)*'Ammo Input'!O589,0),20),0))))"),0)</f>
        <v>0</v>
      </c>
      <c r="W593">
        <v>0</v>
      </c>
      <c r="X593">
        <v>0</v>
      </c>
      <c r="Y593">
        <v>0</v>
      </c>
      <c r="Z593">
        <v>10</v>
      </c>
      <c r="AA593">
        <v>0</v>
      </c>
      <c r="AB593" s="30">
        <f>IF(B593="Sling Bullet (Stone)",ROUNDUP(D593*0.02*E593/'Ingredient stats'!$C$8,0),0)</f>
        <v>0</v>
      </c>
      <c r="AC593">
        <f t="shared" si="24"/>
        <v>2</v>
      </c>
      <c r="AD593" t="str">
        <f>IF(OR(B593="Buck",B593="Bird",B593="Charge (Scatter)"),'Ammo Input'!J593,"None")</f>
        <v>None</v>
      </c>
      <c r="AE593" t="str">
        <f>_xlfn.IFS(ISTEXT(Calcs!N593),Calcs!N593,Calcs!N593&lt;=40,Calcs!N593,Calcs!N593&gt;41,"40")</f>
        <v>None</v>
      </c>
      <c r="AF593" t="str">
        <f>_xlfn.IFS(ISTEXT(Calcs!O593),Calcs!O593,Calcs!O593&lt;=80,Calcs!O593,Calcs!O593&gt;=81,"80")</f>
        <v>None</v>
      </c>
      <c r="AG593" s="25">
        <f t="shared" si="25"/>
        <v>1</v>
      </c>
      <c r="AH593" s="25">
        <f t="shared" si="26"/>
        <v>0.43</v>
      </c>
      <c r="AI593" s="25">
        <f t="shared" si="27"/>
        <v>1</v>
      </c>
    </row>
    <row r="594" ht="14.4" spans="1:35">
      <c r="A594" s="24" t="str">
        <f>'Ammo Input'!A594</f>
        <v>12 Gauge (Slow)</v>
      </c>
      <c r="B594" t="str">
        <f>'Ammo Input'!B594</f>
        <v>EMP Slug</v>
      </c>
      <c r="C594">
        <f>ROUNDUP(('Ammo Input'!C594*(MAX('Ammo Input'!D594,'Ammo Input'!F594)*0.5)^2*PI())*3/1000000,2)</f>
        <v>0.06</v>
      </c>
      <c r="D594">
        <f>ROUNDUP(('Ammo Input'!E594+'Ammo Input'!H594*IF('Ammo Input'!J594&lt;&gt;"",MAX('Ammo Input'!J594,1),1))/1000,3)</f>
        <v>0.054</v>
      </c>
      <c r="E594">
        <f>MIN(5000,MAX(25,CEILING(Calcs!L594,_xlfn.IFS(Calcs!L594&lt;100,25,Calcs!L594&lt;250,50,Calcs!L594&lt;1000,250,Calcs!L594&gt;=1000,1000))))</f>
        <v>5000</v>
      </c>
      <c r="F594">
        <f>ROUNDUP('Ammo Input'!G594^(3/4),0)</f>
        <v>33</v>
      </c>
      <c r="G594">
        <f>ROUND((0.5*((IF(OR(B594="HEAT",B594="HEDP"),'Ammo Input'!N594,'Ammo Input'!H594)/1000)*(IF(B594="HEAT",9000,IF(B594="HEDP",1500,'Ammo Input'!G594))^2))),0)</f>
        <v>193</v>
      </c>
      <c r="H594" s="25" t="str">
        <f>CONCATENATE(IF((B594="Foam")+(B594="Smoke"),"-",ROUND(Calcs!D594,0))," ",VLOOKUP(B594,AmmoTypeFactors,5,FALSE))</f>
        <v>12 EMP</v>
      </c>
      <c r="I594" s="25" t="str">
        <f>IF(Calcs!E594=0,"None",CONCATENATE(ROUND(Calcs!E594,0)," ",VLOOKUP(B594,AmmoTypeFactors,6,FALSE)))</f>
        <v>None</v>
      </c>
      <c r="J594">
        <f>MROUND(2.42*'Ammo Input'!M594^(1/3)*VLOOKUP(B594,AmmoTypeFactors,3,FALSE),0.5)</f>
        <v>0</v>
      </c>
      <c r="K594" s="25" t="str">
        <f>IF(VLOOKUP(B594,AmmoTypeFactors,12,FALSE),MROUND(J594/3,0.5),"None")</f>
        <v>None</v>
      </c>
      <c r="L594" s="25" t="str">
        <f>IF(VLOOKUP(B594,AmmoTypeFactors,8,FALSE),"None",ROUNDUP(IF(Calcs!I594&gt;0,Calcs!I594,Calcs!H594),3))</f>
        <v>None</v>
      </c>
      <c r="M594" s="25" t="str">
        <f>IF(VLOOKUP(B594,AmmoTypeFactors,8,FALSE),"None",'Ammo Input'!L594)</f>
        <v>None</v>
      </c>
      <c r="N594">
        <f>'Ammo Input'!O594</f>
        <v>200</v>
      </c>
      <c r="O594" t="e">
        <f>ROUND((P594*0.0036+SUMPRODUCT(Q594:AB594,VLOOKUP($Q$1:$AB$1,IngredientStats,2,FALSE)))/N594*IF('Ammo Input'!R594,0.5,1),2)</f>
        <v>#VALUE!</v>
      </c>
      <c r="P594" t="e">
        <f>(SUMPRODUCT(Q594:AB594,VLOOKUP($Q$1:$AB$1,IngredientStats,4,FALSE))*VLOOKUP(B594,AmmoTypeFactors,14,FALSE)*IF('Ammo Input'!R594,1.1,1))</f>
        <v>#VALUE!</v>
      </c>
      <c r="Q594">
        <f>IFERROR(__xludf.DUMMYFUNCTION("((IF(NOT(OR(REGEXMATCH(B590, ""Arrow""), B590 = ""Javelin"", B590 = ""Stick bomb"")), ROUNDUP(('Ammo Input'!E590 / 1000) * N590)) + IF(VLOOKUP(B590, AmmoTypeFactors, 9, FALSE) = ""Steel"", ROUNDUP(('Ammo Input'!H590 -'Ammo Input'!M590) * MAX(IF('Ammo Inpu"&amp;"t'!J590 &gt; 0, 'Ammo Input'!J590, 1), 1) * N590 / 1000))) / 'Ingredient stats'!$C$2) * IF(ISBLANK(VLOOKUP(B590,AmmoTypeFactors,15,False)),1,VLOOKUP(B590,AmmoTypeFactors,15,False))"),22)</f>
        <v>22</v>
      </c>
      <c r="R594">
        <f>IFERROR(__xludf.DUMMYFUNCTION("ROUNDUP((IF(REGEXMATCH(B590, ""Arrow"") + (B590 = ""Javelin""), 'Ammo Input'!E590) + IF(VLOOKUP(B590, AmmoTypeFactors, 9, FALSE) = ""Wood"", 'Ammo Input'!H590) + IF(B590 = ""Stick bomb"", 'Ammo Input'!E590)) * N590 / 'Ingredient stats'!$C$12 / 1000)"),0)</f>
        <v>0</v>
      </c>
      <c r="S594">
        <v>0</v>
      </c>
      <c r="T594">
        <v>0</v>
      </c>
      <c r="U594">
        <f>IF(VLOOKUP(B594,AmmoTypeFactors,9,FALSE)="Plasteel",ROUNDUP(('Ammo Input'!H594*MAX(IF('Ammo Input'!J594&gt;0,'Ammo Input'!J594,1)*N594/1000/'Ingredient stats'!$C$4)),0),0)</f>
        <v>0</v>
      </c>
      <c r="V594">
        <f>IFERROR(__xludf.DUMMYFUNCTION("ROUNDUP(IF(ISBLANK(VLOOKUP(B590,AmmoTypeFactors,16,False)),1,VLOOKUP(B590,AmmoTypeFactors,16,False)) * (IFS(REGEXMATCH(B590, ""EMP""), 'Ammo Input'!M590 * N590 / 'Ingredient stats'!$C$5, REGEXMATCH(B590, ""Charge""), (U590^0.75), true, 0) + (IF(VLOOKUP(B5"&amp;"90, AmmoTypeFactors, 10, false), 2,0) + IF('Ammo Input'!P590, 2,0) + IF('Ammo Input'!Q590,MIN(ROUNDUP(0.2*('Ammo Input'!H590/1000)*'Ammo Input'!O590,0),20),0))))"),4)</f>
        <v>4</v>
      </c>
      <c r="W594">
        <v>0</v>
      </c>
      <c r="X594">
        <v>0</v>
      </c>
      <c r="Y594">
        <v>0</v>
      </c>
      <c r="Z594">
        <v>0</v>
      </c>
      <c r="AA594">
        <v>0</v>
      </c>
      <c r="AB594" s="30">
        <f>IF(B594="Sling Bullet (Stone)",ROUNDUP(D594*0.02*E594/'Ingredient stats'!$C$8,0),0)</f>
        <v>0</v>
      </c>
      <c r="AC594" t="str">
        <f t="shared" si="24"/>
        <v>None</v>
      </c>
      <c r="AD594" t="str">
        <f>IF(OR(B594="Buck",B594="Bird",B594="Charge (Scatter)"),'Ammo Input'!J594,"None")</f>
        <v>None</v>
      </c>
      <c r="AE594" t="str">
        <f>_xlfn.IFS(ISTEXT(Calcs!N594),Calcs!N594,Calcs!N594&lt;=40,Calcs!N594,Calcs!N594&gt;41,"40")</f>
        <v>None</v>
      </c>
      <c r="AF594" t="str">
        <f>_xlfn.IFS(ISTEXT(Calcs!O594),Calcs!O594,Calcs!O594&lt;=80,Calcs!O594,Calcs!O594&gt;=81,"80")</f>
        <v>None</v>
      </c>
      <c r="AG594" s="25">
        <f t="shared" si="25"/>
        <v>1</v>
      </c>
      <c r="AH594" s="25">
        <f t="shared" si="26"/>
        <v>0.55</v>
      </c>
      <c r="AI594" s="25">
        <f t="shared" si="27"/>
        <v>1</v>
      </c>
    </row>
    <row r="595" ht="14.4" spans="1:35">
      <c r="A595" s="24" t="str">
        <f>'Ammo Input'!A595</f>
        <v>10 Gauge</v>
      </c>
      <c r="B595" t="str">
        <f>'Ammo Input'!B595</f>
        <v>Buck</v>
      </c>
      <c r="C595">
        <f>ROUNDUP(('Ammo Input'!C595*(MAX('Ammo Input'!D595,'Ammo Input'!F595)*0.5)^2*PI())*3/1000000,2)</f>
        <v>0.09</v>
      </c>
      <c r="D595">
        <f>ROUNDUP(('Ammo Input'!E595+'Ammo Input'!H595*IF('Ammo Input'!J595&lt;&gt;"",MAX('Ammo Input'!J595,1),1))/1000,3)</f>
        <v>0.087</v>
      </c>
      <c r="E595">
        <f>MIN(5000,MAX(25,CEILING(Calcs!L595,_xlfn.IFS(Calcs!L595&lt;100,25,Calcs!L595&lt;250,50,Calcs!L595&lt;1000,250,Calcs!L595&gt;=1000,1000))))</f>
        <v>5000</v>
      </c>
      <c r="F595">
        <f>ROUNDUP('Ammo Input'!G595^(3/4),0)</f>
        <v>79</v>
      </c>
      <c r="G595">
        <f>ROUND((0.5*((IF(OR(B595="HEAT",B595="HEDP"),'Ammo Input'!N595,'Ammo Input'!H595)/1000)*(IF(B595="HEAT",9000,IF(B595="HEDP",1500,'Ammo Input'!G595))^2))),0)</f>
        <v>196</v>
      </c>
      <c r="H595" s="25" t="str">
        <f>CONCATENATE(IF((B595="Foam")+(B595="Smoke"),"-",ROUND(Calcs!D595,0))," ",VLOOKUP(B595,AmmoTypeFactors,5,FALSE))</f>
        <v>8 Bullet</v>
      </c>
      <c r="I595" s="25" t="str">
        <f>IF(Calcs!E595=0,"None",CONCATENATE(ROUND(Calcs!E595,0)," ",VLOOKUP(B595,AmmoTypeFactors,6,FALSE)))</f>
        <v>None</v>
      </c>
      <c r="J595">
        <f>MROUND(2.42*'Ammo Input'!M595^(1/3)*VLOOKUP(B595,AmmoTypeFactors,3,FALSE),0.5)</f>
        <v>0</v>
      </c>
      <c r="K595" s="25" t="str">
        <f>IF(VLOOKUP(B595,AmmoTypeFactors,12,FALSE),MROUND(J595/3,0.5),"None")</f>
        <v>None</v>
      </c>
      <c r="L595" s="25">
        <f>IF(VLOOKUP(B595,AmmoTypeFactors,8,FALSE),"None",ROUNDUP(IF(Calcs!I595&gt;0,Calcs!I595,Calcs!H595),3))</f>
        <v>3.92</v>
      </c>
      <c r="M595" s="25">
        <f>IF(VLOOKUP(B595,AmmoTypeFactors,8,FALSE),"None",'Ammo Input'!L595)</f>
        <v>4</v>
      </c>
      <c r="N595">
        <f>'Ammo Input'!O595</f>
        <v>200</v>
      </c>
      <c r="O595" t="e">
        <f>ROUND((P595*0.0036+SUMPRODUCT(Q595:AB595,VLOOKUP($Q$1:$AB$1,IngredientStats,2,FALSE)))/N595*IF('Ammo Input'!R595,0.5,1),2)</f>
        <v>#VALUE!</v>
      </c>
      <c r="P595" t="e">
        <f>(SUMPRODUCT(Q595:AB595,VLOOKUP($Q$1:$AB$1,IngredientStats,4,FALSE))*VLOOKUP(B595,AmmoTypeFactors,14,FALSE)*IF('Ammo Input'!R595,1.1,1))</f>
        <v>#VALUE!</v>
      </c>
      <c r="Q595">
        <f>IFERROR(__xludf.DUMMYFUNCTION("((IF(NOT(OR(REGEXMATCH(B591, ""Arrow""), B591 = ""Javelin"", B591 = ""Stick bomb"")), ROUNDUP(('Ammo Input'!E591 / 1000) * N591)) + IF(VLOOKUP(B591, AmmoTypeFactors, 9, FALSE) = ""Steel"", ROUNDUP(('Ammo Input'!H591 -'Ammo Input'!M591) * MAX(IF('Ammo Inpu"&amp;"t'!J591 &gt; 0, 'Ammo Input'!J591, 1), 1) * N591 / 1000))) / 'Ingredient stats'!$C$2) * IF(ISBLANK(VLOOKUP(B591,AmmoTypeFactors,15,False)),1,VLOOKUP(B591,AmmoTypeFactors,15,False))"),36)</f>
        <v>36</v>
      </c>
      <c r="R595">
        <f>IFERROR(__xludf.DUMMYFUNCTION("ROUNDUP((IF(REGEXMATCH(B591, ""Arrow"") + (B591 = ""Javelin""), 'Ammo Input'!E591) + IF(VLOOKUP(B591, AmmoTypeFactors, 9, FALSE) = ""Wood"", 'Ammo Input'!H591) + IF(B591 = ""Stick bomb"", 'Ammo Input'!E591)) * N591 / 'Ingredient stats'!$C$12 / 1000)"),0)</f>
        <v>0</v>
      </c>
      <c r="S595">
        <v>0</v>
      </c>
      <c r="T595">
        <v>0</v>
      </c>
      <c r="U595">
        <f>IF(VLOOKUP(B595,AmmoTypeFactors,9,FALSE)="Plasteel",ROUNDUP(('Ammo Input'!H595*MAX(IF('Ammo Input'!J595&gt;0,'Ammo Input'!J595,1)*N595/1000/'Ingredient stats'!$C$4)),0),0)</f>
        <v>0</v>
      </c>
      <c r="V595">
        <f>IFERROR(__xludf.DUMMYFUNCTION("ROUNDUP(IF(ISBLANK(VLOOKUP(B591,AmmoTypeFactors,16,False)),1,VLOOKUP(B591,AmmoTypeFactors,16,False)) * (IFS(REGEXMATCH(B591, ""EMP""), 'Ammo Input'!M591 * N591 / 'Ingredient stats'!$C$5, REGEXMATCH(B591, ""Charge""), (U591^0.75), true, 0) + (IF(VLOOKUP(B5"&amp;"91, AmmoTypeFactors, 10, false), 2,0) + IF('Ammo Input'!P591, 2,0) + IF('Ammo Input'!Q591,MIN(ROUNDUP(0.2*('Ammo Input'!H591/1000)*'Ammo Input'!O591,0),20),0))))"),0)</f>
        <v>0</v>
      </c>
      <c r="W595">
        <v>0</v>
      </c>
      <c r="X595">
        <v>0</v>
      </c>
      <c r="Y595">
        <v>0</v>
      </c>
      <c r="Z595">
        <v>0</v>
      </c>
      <c r="AA595">
        <v>0</v>
      </c>
      <c r="AB595" s="30">
        <f>IF(B595="Sling Bullet (Stone)",ROUNDUP(D595*0.02*E595/'Ingredient stats'!$C$8,0),0)</f>
        <v>0</v>
      </c>
      <c r="AC595">
        <f t="shared" si="24"/>
        <v>8.9</v>
      </c>
      <c r="AD595">
        <f>IF(OR(B595="Buck",B595="Bird",B595="Charge (Scatter)"),'Ammo Input'!J595,"None")</f>
        <v>18</v>
      </c>
      <c r="AE595" t="str">
        <f>_xlfn.IFS(ISTEXT(Calcs!N595),Calcs!N595,Calcs!N595&lt;=40,Calcs!N595,Calcs!N595&gt;41,"40")</f>
        <v>None</v>
      </c>
      <c r="AF595" t="str">
        <f>_xlfn.IFS(ISTEXT(Calcs!O595),Calcs!O595,Calcs!O595&lt;=80,Calcs!O595,Calcs!O595&gt;=81,"80")</f>
        <v>None</v>
      </c>
      <c r="AG595" s="25">
        <f t="shared" si="25"/>
        <v>1</v>
      </c>
      <c r="AH595" s="25">
        <f t="shared" si="26"/>
        <v>1.31</v>
      </c>
      <c r="AI595" s="25">
        <f t="shared" si="27"/>
        <v>1</v>
      </c>
    </row>
    <row r="596" ht="14.4" spans="1:35">
      <c r="A596" s="24" t="str">
        <f>'Ammo Input'!A596</f>
        <v>10 Gauge</v>
      </c>
      <c r="B596" t="str">
        <f>'Ammo Input'!B596</f>
        <v>Slug</v>
      </c>
      <c r="C596">
        <f>ROUNDUP(('Ammo Input'!C596*(MAX('Ammo Input'!D596,'Ammo Input'!F596)*0.5)^2*PI())*3/1000000,2)</f>
        <v>0.09</v>
      </c>
      <c r="D596">
        <f>ROUNDUP(('Ammo Input'!E596+'Ammo Input'!H596*IF('Ammo Input'!J596&lt;&gt;"",MAX('Ammo Input'!J596,1),1))/1000,3)</f>
        <v>0.074</v>
      </c>
      <c r="E596">
        <f>MIN(5000,MAX(25,CEILING(Calcs!L596,_xlfn.IFS(Calcs!L596&lt;100,25,Calcs!L596&lt;250,50,Calcs!L596&lt;1000,250,Calcs!L596&gt;=1000,1000))))</f>
        <v>5000</v>
      </c>
      <c r="F596">
        <f>ROUNDUP('Ammo Input'!G596^(3/4),0)</f>
        <v>108</v>
      </c>
      <c r="G596">
        <f>ROUND((0.5*((IF(OR(B596="HEAT",B596="HEDP"),'Ammo Input'!N596,'Ammo Input'!H596)/1000)*(IF(B596="HEAT",9000,IF(B596="HEDP",1500,'Ammo Input'!G596))^2))),0)</f>
        <v>6450</v>
      </c>
      <c r="H596" s="25" t="str">
        <f>CONCATENATE(IF((B596="Foam")+(B596="Smoke"),"-",ROUND(Calcs!D596,0))," ",VLOOKUP(B596,AmmoTypeFactors,5,FALSE))</f>
        <v>33 Bullet</v>
      </c>
      <c r="I596" s="25" t="str">
        <f>IF(Calcs!E596=0,"None",CONCATENATE(ROUND(Calcs!E596,0)," ",VLOOKUP(B596,AmmoTypeFactors,6,FALSE)))</f>
        <v>None</v>
      </c>
      <c r="J596">
        <f>MROUND(2.42*'Ammo Input'!M596^(1/3)*VLOOKUP(B596,AmmoTypeFactors,3,FALSE),0.5)</f>
        <v>0</v>
      </c>
      <c r="K596" s="25" t="str">
        <f>IF(VLOOKUP(B596,AmmoTypeFactors,12,FALSE),MROUND(J596/3,0.5),"None")</f>
        <v>None</v>
      </c>
      <c r="L596" s="25">
        <f>IF(VLOOKUP(B596,AmmoTypeFactors,8,FALSE),"None",ROUNDUP(IF(Calcs!I596&gt;0,Calcs!I596,Calcs!H596),3))</f>
        <v>129</v>
      </c>
      <c r="M596" s="25">
        <f>IF(VLOOKUP(B596,AmmoTypeFactors,8,FALSE),"None",'Ammo Input'!L596)</f>
        <v>6</v>
      </c>
      <c r="N596">
        <f>'Ammo Input'!O596</f>
        <v>200</v>
      </c>
      <c r="O596" t="e">
        <f>ROUND((P596*0.0036+SUMPRODUCT(Q596:AB596,VLOOKUP($Q$1:$AB$1,IngredientStats,2,FALSE)))/N596*IF('Ammo Input'!R596,0.5,1),2)</f>
        <v>#VALUE!</v>
      </c>
      <c r="P596" t="e">
        <f>(SUMPRODUCT(Q596:AB596,VLOOKUP($Q$1:$AB$1,IngredientStats,4,FALSE))*VLOOKUP(B596,AmmoTypeFactors,14,FALSE)*IF('Ammo Input'!R596,1.1,1))</f>
        <v>#VALUE!</v>
      </c>
      <c r="Q596">
        <f>IFERROR(__xludf.DUMMYFUNCTION("((IF(NOT(OR(REGEXMATCH(B592, ""Arrow""), B592 = ""Javelin"", B592 = ""Stick bomb"")), ROUNDUP(('Ammo Input'!E592 / 1000) * N592)) + IF(VLOOKUP(B592, AmmoTypeFactors, 9, FALSE) = ""Steel"", ROUNDUP(('Ammo Input'!H592 -'Ammo Input'!M592) * MAX(IF('Ammo Inpu"&amp;"t'!J592 &gt; 0, 'Ammo Input'!J592, 1), 1) * N592 / 1000))) / 'Ingredient stats'!$C$2) * IF(ISBLANK(VLOOKUP(B592,AmmoTypeFactors,15,False)),1,VLOOKUP(B592,AmmoTypeFactors,15,False))"),30)</f>
        <v>30</v>
      </c>
      <c r="R596">
        <f>IFERROR(__xludf.DUMMYFUNCTION("ROUNDUP((IF(REGEXMATCH(B592, ""Arrow"") + (B592 = ""Javelin""), 'Ammo Input'!E592) + IF(VLOOKUP(B592, AmmoTypeFactors, 9, FALSE) = ""Wood"", 'Ammo Input'!H592) + IF(B592 = ""Stick bomb"", 'Ammo Input'!E592)) * N592 / 'Ingredient stats'!$C$12 / 1000)"),0)</f>
        <v>0</v>
      </c>
      <c r="S596">
        <v>0</v>
      </c>
      <c r="T596">
        <v>0</v>
      </c>
      <c r="U596">
        <f>IF(VLOOKUP(B596,AmmoTypeFactors,9,FALSE)="Plasteel",ROUNDUP(('Ammo Input'!H596*MAX(IF('Ammo Input'!J596&gt;0,'Ammo Input'!J596,1)*N596/1000/'Ingredient stats'!$C$4)),0),0)</f>
        <v>0</v>
      </c>
      <c r="V596">
        <f>IFERROR(__xludf.DUMMYFUNCTION("ROUNDUP(IF(ISBLANK(VLOOKUP(B592,AmmoTypeFactors,16,False)),1,VLOOKUP(B592,AmmoTypeFactors,16,False)) * (IFS(REGEXMATCH(B592, ""EMP""), 'Ammo Input'!M592 * N592 / 'Ingredient stats'!$C$5, REGEXMATCH(B592, ""Charge""), (U592^0.75), true, 0) + (IF(VLOOKUP(B5"&amp;"92, AmmoTypeFactors, 10, false), 2,0) + IF('Ammo Input'!P592, 2,0) + IF('Ammo Input'!Q592,MIN(ROUNDUP(0.2*('Ammo Input'!H592/1000)*'Ammo Input'!O592,0),20),0))))"),0)</f>
        <v>0</v>
      </c>
      <c r="W596">
        <v>0</v>
      </c>
      <c r="X596">
        <v>0</v>
      </c>
      <c r="Y596">
        <v>0</v>
      </c>
      <c r="Z596">
        <v>0</v>
      </c>
      <c r="AA596">
        <v>0</v>
      </c>
      <c r="AB596" s="30">
        <f>IF(B596="Sling Bullet (Stone)",ROUNDUP(D596*0.02*E596/'Ingredient stats'!$C$8,0),0)</f>
        <v>0</v>
      </c>
      <c r="AC596" t="str">
        <f t="shared" si="24"/>
        <v>None</v>
      </c>
      <c r="AD596" t="str">
        <f>IF(OR(B596="Buck",B596="Bird",B596="Charge (Scatter)"),'Ammo Input'!J596,"None")</f>
        <v>None</v>
      </c>
      <c r="AE596" t="str">
        <f>_xlfn.IFS(ISTEXT(Calcs!N596),Calcs!N596,Calcs!N596&lt;=40,Calcs!N596,Calcs!N596&gt;41,"40")</f>
        <v>None</v>
      </c>
      <c r="AF596" t="str">
        <f>_xlfn.IFS(ISTEXT(Calcs!O596),Calcs!O596,Calcs!O596&lt;=80,Calcs!O596,Calcs!O596&gt;=81,"80")</f>
        <v>None</v>
      </c>
      <c r="AG596" s="25">
        <f t="shared" si="25"/>
        <v>1</v>
      </c>
      <c r="AH596" s="25">
        <f t="shared" si="26"/>
        <v>1.77</v>
      </c>
      <c r="AI596" s="25">
        <f t="shared" si="27"/>
        <v>1</v>
      </c>
    </row>
    <row r="597" ht="14.4" spans="1:35">
      <c r="A597" s="24" t="str">
        <f>'Ammo Input'!A597</f>
        <v>10 Gauge</v>
      </c>
      <c r="B597" t="str">
        <f>'Ammo Input'!B597</f>
        <v>Beanbag</v>
      </c>
      <c r="C597">
        <f>ROUNDUP(('Ammo Input'!C597*(MAX('Ammo Input'!D597,'Ammo Input'!F597)*0.5)^2*PI())*3/1000000,2)</f>
        <v>0.09</v>
      </c>
      <c r="D597">
        <f>ROUNDUP(('Ammo Input'!E597+'Ammo Input'!H597*IF('Ammo Input'!J597&lt;&gt;"",MAX('Ammo Input'!J597,1),1))/1000,3)</f>
        <v>0.099</v>
      </c>
      <c r="E597">
        <f>MIN(5000,MAX(25,CEILING(Calcs!L597,_xlfn.IFS(Calcs!L597&lt;100,25,Calcs!L597&lt;250,50,Calcs!L597&lt;1000,250,Calcs!L597&gt;=1000,1000))))</f>
        <v>5000</v>
      </c>
      <c r="F597">
        <f>ROUNDUP('Ammo Input'!G597^(3/4),0)</f>
        <v>30</v>
      </c>
      <c r="G597">
        <f>ROUND((0.5*((IF(OR(B597="HEAT",B597="HEDP"),'Ammo Input'!N597,'Ammo Input'!H597)/1000)*(IF(B597="HEAT",9000,IF(B597="HEDP",1500,'Ammo Input'!G597))^2))),0)</f>
        <v>302</v>
      </c>
      <c r="H597" s="25" t="str">
        <f>CONCATENATE(IF((B597="Foam")+(B597="Smoke"),"-",ROUND(Calcs!D597,0))," ",VLOOKUP(B597,AmmoTypeFactors,5,FALSE))</f>
        <v>12 Beanbag</v>
      </c>
      <c r="I597" s="25" t="str">
        <f>IF(Calcs!E597=0,"None",CONCATENATE(ROUND(Calcs!E597,0)," ",VLOOKUP(B597,AmmoTypeFactors,6,FALSE)))</f>
        <v>None</v>
      </c>
      <c r="J597">
        <f>MROUND(2.42*'Ammo Input'!M597^(1/3)*VLOOKUP(B597,AmmoTypeFactors,3,FALSE),0.5)</f>
        <v>0</v>
      </c>
      <c r="K597" s="25" t="str">
        <f>IF(VLOOKUP(B597,AmmoTypeFactors,12,FALSE),MROUND(J597/3,0.5),"None")</f>
        <v>None</v>
      </c>
      <c r="L597" s="25">
        <f>IF(VLOOKUP(B597,AmmoTypeFactors,8,FALSE),"None",ROUNDUP(IF(Calcs!I597&gt;0,Calcs!I597,Calcs!H597),3))</f>
        <v>6.04</v>
      </c>
      <c r="M597" s="25">
        <f>IF(VLOOKUP(B597,AmmoTypeFactors,8,FALSE),"None",'Ammo Input'!L597)</f>
        <v>0</v>
      </c>
      <c r="N597">
        <f>'Ammo Input'!O597</f>
        <v>200</v>
      </c>
      <c r="O597" t="e">
        <f>ROUND((P597*0.0036+SUMPRODUCT(Q597:AB597,VLOOKUP($Q$1:$AB$1,IngredientStats,2,FALSE)))/N597*IF('Ammo Input'!R597,0.5,1),2)</f>
        <v>#VALUE!</v>
      </c>
      <c r="P597" t="e">
        <f>(SUMPRODUCT(Q597:AB597,VLOOKUP($Q$1:$AB$1,IngredientStats,4,FALSE))*VLOOKUP(B597,AmmoTypeFactors,14,FALSE)*IF('Ammo Input'!R597,1.1,1))</f>
        <v>#VALUE!</v>
      </c>
      <c r="Q597">
        <f>IFERROR(__xludf.DUMMYFUNCTION("((IF(NOT(OR(REGEXMATCH(B593, ""Arrow""), B593 = ""Javelin"", B593 = ""Stick bomb"")), ROUNDUP(('Ammo Input'!E593 / 1000) * N593)) + IF(VLOOKUP(B593, AmmoTypeFactors, 9, FALSE) = ""Steel"", ROUNDUP(('Ammo Input'!H593 -'Ammo Input'!M593) * MAX(IF('Ammo Inpu"&amp;"t'!J593 &gt; 0, 'Ammo Input'!J593, 1), 1) * N593 / 1000))) / 'Ingredient stats'!$C$2) * IF(ISBLANK(VLOOKUP(B593,AmmoTypeFactors,15,False)),1,VLOOKUP(B593,AmmoTypeFactors,15,False))"),40)</f>
        <v>40</v>
      </c>
      <c r="R597">
        <f>IFERROR(__xludf.DUMMYFUNCTION("ROUNDUP((IF(REGEXMATCH(B593, ""Arrow"") + (B593 = ""Javelin""), 'Ammo Input'!E593) + IF(VLOOKUP(B593, AmmoTypeFactors, 9, FALSE) = ""Wood"", 'Ammo Input'!H593) + IF(B593 = ""Stick bomb"", 'Ammo Input'!E593)) * N593 / 'Ingredient stats'!$C$12 / 1000)"),0)</f>
        <v>0</v>
      </c>
      <c r="S597">
        <v>0</v>
      </c>
      <c r="T597">
        <v>0</v>
      </c>
      <c r="U597">
        <f>IF(VLOOKUP(B597,AmmoTypeFactors,9,FALSE)="Plasteel",ROUNDUP(('Ammo Input'!H597*MAX(IF('Ammo Input'!J597&gt;0,'Ammo Input'!J597,1)*N597/1000/'Ingredient stats'!$C$4)),0),0)</f>
        <v>0</v>
      </c>
      <c r="V597">
        <f>IFERROR(__xludf.DUMMYFUNCTION("ROUNDUP(IF(ISBLANK(VLOOKUP(B593,AmmoTypeFactors,16,False)),1,VLOOKUP(B593,AmmoTypeFactors,16,False)) * (IFS(REGEXMATCH(B593, ""EMP""), 'Ammo Input'!M593 * N593 / 'Ingredient stats'!$C$5, REGEXMATCH(B593, ""Charge""), (U593^0.75), true, 0) + (IF(VLOOKUP(B5"&amp;"93, AmmoTypeFactors, 10, false), 2,0) + IF('Ammo Input'!P593, 2,0) + IF('Ammo Input'!Q593,MIN(ROUNDUP(0.2*('Ammo Input'!H593/1000)*'Ammo Input'!O593,0),20),0))))"),0)</f>
        <v>0</v>
      </c>
      <c r="W597">
        <v>0</v>
      </c>
      <c r="X597">
        <v>0</v>
      </c>
      <c r="Y597">
        <v>0</v>
      </c>
      <c r="Z597">
        <v>16</v>
      </c>
      <c r="AA597">
        <v>0</v>
      </c>
      <c r="AB597" s="30">
        <f>IF(B597="Sling Bullet (Stone)",ROUNDUP(D597*0.02*E597/'Ingredient stats'!$C$8,0),0)</f>
        <v>0</v>
      </c>
      <c r="AC597">
        <f t="shared" si="24"/>
        <v>2</v>
      </c>
      <c r="AD597" t="str">
        <f>IF(OR(B597="Buck",B597="Bird",B597="Charge (Scatter)"),'Ammo Input'!J597,"None")</f>
        <v>None</v>
      </c>
      <c r="AE597" t="str">
        <f>_xlfn.IFS(ISTEXT(Calcs!N597),Calcs!N597,Calcs!N597&lt;=40,Calcs!N597,Calcs!N597&gt;41,"40")</f>
        <v>None</v>
      </c>
      <c r="AF597" t="str">
        <f>_xlfn.IFS(ISTEXT(Calcs!O597),Calcs!O597,Calcs!O597&lt;=80,Calcs!O597,Calcs!O597&gt;=81,"80")</f>
        <v>None</v>
      </c>
      <c r="AG597" s="25">
        <f t="shared" si="25"/>
        <v>1</v>
      </c>
      <c r="AH597" s="25">
        <f t="shared" si="26"/>
        <v>0.5</v>
      </c>
      <c r="AI597" s="25">
        <f t="shared" si="27"/>
        <v>1</v>
      </c>
    </row>
    <row r="598" ht="14.4" spans="1:35">
      <c r="A598" s="24" t="str">
        <f>'Ammo Input'!A598</f>
        <v>10 Gauge</v>
      </c>
      <c r="B598" t="str">
        <f>'Ammo Input'!B598</f>
        <v>EMP Slug</v>
      </c>
      <c r="C598">
        <f>ROUNDUP(('Ammo Input'!C598*(MAX('Ammo Input'!D598,'Ammo Input'!F598)*0.5)^2*PI())*3/1000000,2)</f>
        <v>0.09</v>
      </c>
      <c r="D598">
        <f>ROUNDUP(('Ammo Input'!E598+'Ammo Input'!H598*IF('Ammo Input'!J598&lt;&gt;"",MAX('Ammo Input'!J598,1),1))/1000,3)</f>
        <v>0.086</v>
      </c>
      <c r="E598">
        <f>MIN(5000,MAX(25,CEILING(Calcs!L598,_xlfn.IFS(Calcs!L598&lt;100,25,Calcs!L598&lt;250,50,Calcs!L598&lt;1000,250,Calcs!L598&gt;=1000,1000))))</f>
        <v>5000</v>
      </c>
      <c r="F598">
        <f>ROUNDUP('Ammo Input'!G598^(3/4),0)</f>
        <v>43</v>
      </c>
      <c r="G598">
        <f>ROUND((0.5*((IF(OR(B598="HEAT",B598="HEDP"),'Ammo Input'!N598,'Ammo Input'!H598)/1000)*(IF(B598="HEAT",9000,IF(B598="HEDP",1500,'Ammo Input'!G598))^2))),0)</f>
        <v>698</v>
      </c>
      <c r="H598" s="25" t="str">
        <f>CONCATENATE(IF((B598="Foam")+(B598="Smoke"),"-",ROUND(Calcs!D598,0))," ",VLOOKUP(B598,AmmoTypeFactors,5,FALSE))</f>
        <v>19 EMP</v>
      </c>
      <c r="I598" s="25" t="str">
        <f>IF(Calcs!E598=0,"None",CONCATENATE(ROUND(Calcs!E598,0)," ",VLOOKUP(B598,AmmoTypeFactors,6,FALSE)))</f>
        <v>None</v>
      </c>
      <c r="J598">
        <f>MROUND(2.42*'Ammo Input'!M598^(1/3)*VLOOKUP(B598,AmmoTypeFactors,3,FALSE),0.5)</f>
        <v>0</v>
      </c>
      <c r="K598" s="25" t="str">
        <f>IF(VLOOKUP(B598,AmmoTypeFactors,12,FALSE),MROUND(J598/3,0.5),"None")</f>
        <v>None</v>
      </c>
      <c r="L598" s="25" t="str">
        <f>IF(VLOOKUP(B598,AmmoTypeFactors,8,FALSE),"None",ROUNDUP(IF(Calcs!I598&gt;0,Calcs!I598,Calcs!H598),3))</f>
        <v>None</v>
      </c>
      <c r="M598" s="25" t="str">
        <f>IF(VLOOKUP(B598,AmmoTypeFactors,8,FALSE),"None",'Ammo Input'!L598)</f>
        <v>None</v>
      </c>
      <c r="N598">
        <f>'Ammo Input'!O598</f>
        <v>200</v>
      </c>
      <c r="O598" t="e">
        <f>ROUND((P598*0.0036+SUMPRODUCT(Q598:AB598,VLOOKUP($Q$1:$AB$1,IngredientStats,2,FALSE)))/N598*IF('Ammo Input'!R598,0.5,1),2)</f>
        <v>#VALUE!</v>
      </c>
      <c r="P598" t="e">
        <f>(SUMPRODUCT(Q598:AB598,VLOOKUP($Q$1:$AB$1,IngredientStats,4,FALSE))*VLOOKUP(B598,AmmoTypeFactors,14,FALSE)*IF('Ammo Input'!R598,1.1,1))</f>
        <v>#VALUE!</v>
      </c>
      <c r="Q598">
        <f>IFERROR(__xludf.DUMMYFUNCTION("((IF(NOT(OR(REGEXMATCH(B594, ""Arrow""), B594 = ""Javelin"", B594 = ""Stick bomb"")), ROUNDUP(('Ammo Input'!E594 / 1000) * N594)) + IF(VLOOKUP(B594, AmmoTypeFactors, 9, FALSE) = ""Steel"", ROUNDUP(('Ammo Input'!H594 -'Ammo Input'!M594) * MAX(IF('Ammo Inpu"&amp;"t'!J594 &gt; 0, 'Ammo Input'!J594, 1), 1) * N594 / 1000))) / 'Ingredient stats'!$C$2) * IF(ISBLANK(VLOOKUP(B594,AmmoTypeFactors,15,False)),1,VLOOKUP(B594,AmmoTypeFactors,15,False))"),36)</f>
        <v>36</v>
      </c>
      <c r="R598">
        <f>IFERROR(__xludf.DUMMYFUNCTION("ROUNDUP((IF(REGEXMATCH(B594, ""Arrow"") + (B594 = ""Javelin""), 'Ammo Input'!E594) + IF(VLOOKUP(B594, AmmoTypeFactors, 9, FALSE) = ""Wood"", 'Ammo Input'!H594) + IF(B594 = ""Stick bomb"", 'Ammo Input'!E594)) * N594 / 'Ingredient stats'!$C$12 / 1000)"),0)</f>
        <v>0</v>
      </c>
      <c r="S598">
        <v>0</v>
      </c>
      <c r="T598">
        <v>0</v>
      </c>
      <c r="U598">
        <f>IF(VLOOKUP(B598,AmmoTypeFactors,9,FALSE)="Plasteel",ROUNDUP(('Ammo Input'!H598*MAX(IF('Ammo Input'!J598&gt;0,'Ammo Input'!J598,1)*N598/1000/'Ingredient stats'!$C$4)),0),0)</f>
        <v>0</v>
      </c>
      <c r="V598">
        <f>IFERROR(__xludf.DUMMYFUNCTION("ROUNDUP(IF(ISBLANK(VLOOKUP(B594,AmmoTypeFactors,16,False)),1,VLOOKUP(B594,AmmoTypeFactors,16,False)) * (IFS(REGEXMATCH(B594, ""EMP""), 'Ammo Input'!M594 * N594 / 'Ingredient stats'!$C$5, REGEXMATCH(B594, ""Charge""), (U594^0.75), true, 0) + (IF(VLOOKUP(B5"&amp;"94, AmmoTypeFactors, 10, false), 2,0) + IF('Ammo Input'!P594, 2,0) + IF('Ammo Input'!Q594,MIN(ROUNDUP(0.2*('Ammo Input'!H594/1000)*'Ammo Input'!O594,0),20),0))))"),7)</f>
        <v>7</v>
      </c>
      <c r="W598">
        <v>0</v>
      </c>
      <c r="X598">
        <v>0</v>
      </c>
      <c r="Y598">
        <v>0</v>
      </c>
      <c r="Z598">
        <v>0</v>
      </c>
      <c r="AA598">
        <v>0</v>
      </c>
      <c r="AB598" s="30">
        <f>IF(B598="Sling Bullet (Stone)",ROUNDUP(D598*0.02*E598/'Ingredient stats'!$C$8,0),0)</f>
        <v>0</v>
      </c>
      <c r="AC598" t="str">
        <f t="shared" si="24"/>
        <v>None</v>
      </c>
      <c r="AD598" t="str">
        <f>IF(OR(B598="Buck",B598="Bird",B598="Charge (Scatter)"),'Ammo Input'!J598,"None")</f>
        <v>None</v>
      </c>
      <c r="AE598" t="str">
        <f>_xlfn.IFS(ISTEXT(Calcs!N598),Calcs!N598,Calcs!N598&lt;=40,Calcs!N598,Calcs!N598&gt;41,"40")</f>
        <v>None</v>
      </c>
      <c r="AF598" t="str">
        <f>_xlfn.IFS(ISTEXT(Calcs!O598),Calcs!O598,Calcs!O598&lt;=80,Calcs!O598,Calcs!O598&gt;=81,"80")</f>
        <v>None</v>
      </c>
      <c r="AG598" s="25">
        <f t="shared" si="25"/>
        <v>1</v>
      </c>
      <c r="AH598" s="25">
        <f t="shared" si="26"/>
        <v>0.71</v>
      </c>
      <c r="AI598" s="25">
        <f t="shared" si="27"/>
        <v>1</v>
      </c>
    </row>
    <row r="599" ht="14.4" spans="1:35">
      <c r="A599" s="24" t="str">
        <f>'Ammo Input'!A599</f>
        <v>23x75mmR</v>
      </c>
      <c r="B599" t="str">
        <f>'Ammo Input'!B599</f>
        <v>Buck</v>
      </c>
      <c r="C599">
        <f>ROUNDUP(('Ammo Input'!C599*(MAX('Ammo Input'!D599,'Ammo Input'!F599)*0.5)^2*PI())*3/1000000,2)</f>
        <v>0.1</v>
      </c>
      <c r="D599">
        <f>ROUNDUP(('Ammo Input'!E599+'Ammo Input'!H599*IF('Ammo Input'!J599&lt;&gt;"",MAX('Ammo Input'!J599,1),1))/1000,3)</f>
        <v>0.095</v>
      </c>
      <c r="E599">
        <f>MIN(5000,MAX(25,CEILING(Calcs!L599,_xlfn.IFS(Calcs!L599&lt;100,25,Calcs!L599&lt;250,50,Calcs!L599&lt;1000,250,Calcs!L599&gt;=1000,1000))))</f>
        <v>5000</v>
      </c>
      <c r="F599">
        <f>ROUNDUP('Ammo Input'!G599^(3/4),0)</f>
        <v>88</v>
      </c>
      <c r="G599">
        <f>ROUND((0.5*((IF(OR(B599="HEAT",B599="HEDP"),'Ammo Input'!N599,'Ammo Input'!H599)/1000)*(IF(B599="HEAT",9000,IF(B599="HEDP",1500,'Ammo Input'!G599))^2))),0)</f>
        <v>405</v>
      </c>
      <c r="H599" s="25" t="str">
        <f>CONCATENATE(IF((B599="Foam")+(B599="Smoke"),"-",ROUND(Calcs!D599,0))," ",VLOOKUP(B599,AmmoTypeFactors,5,FALSE))</f>
        <v>10 Bullet</v>
      </c>
      <c r="I599" s="25" t="str">
        <f>IF(Calcs!E599=0,"None",CONCATENATE(ROUND(Calcs!E599,0)," ",VLOOKUP(B599,AmmoTypeFactors,6,FALSE)))</f>
        <v>None</v>
      </c>
      <c r="J599">
        <f>MROUND(2.42*'Ammo Input'!M599^(1/3)*VLOOKUP(B599,AmmoTypeFactors,3,FALSE),0.5)</f>
        <v>0</v>
      </c>
      <c r="K599" s="25" t="str">
        <f>IF(VLOOKUP(B599,AmmoTypeFactors,12,FALSE),MROUND(J599/3,0.5),"None")</f>
        <v>None</v>
      </c>
      <c r="L599" s="25">
        <f>IF(VLOOKUP(B599,AmmoTypeFactors,8,FALSE),"None",ROUNDUP(IF(Calcs!I599&gt;0,Calcs!I599,Calcs!H599),3))</f>
        <v>8.1</v>
      </c>
      <c r="M599" s="25">
        <f>IF(VLOOKUP(B599,AmmoTypeFactors,8,FALSE),"None",'Ammo Input'!L599)</f>
        <v>5</v>
      </c>
      <c r="N599">
        <f>'Ammo Input'!O599</f>
        <v>200</v>
      </c>
      <c r="O599" t="e">
        <f>ROUND((P599*0.0036+SUMPRODUCT(Q599:AB599,VLOOKUP($Q$1:$AB$1,IngredientStats,2,FALSE)))/N599*IF('Ammo Input'!R599,0.5,1),2)</f>
        <v>#VALUE!</v>
      </c>
      <c r="P599" t="e">
        <f>(SUMPRODUCT(Q599:AB599,VLOOKUP($Q$1:$AB$1,IngredientStats,4,FALSE))*VLOOKUP(B599,AmmoTypeFactors,14,FALSE)*IF('Ammo Input'!R599,1.1,1))</f>
        <v>#VALUE!</v>
      </c>
      <c r="Q599">
        <f>IFERROR(__xludf.DUMMYFUNCTION("((IF(NOT(OR(REGEXMATCH(B595, ""Arrow""), B595 = ""Javelin"", B595 = ""Stick bomb"")), ROUNDUP(('Ammo Input'!E595 / 1000) * N595)) + IF(VLOOKUP(B595, AmmoTypeFactors, 9, FALSE) = ""Steel"", ROUNDUP(('Ammo Input'!H595 -'Ammo Input'!M595) * MAX(IF('Ammo Inpu"&amp;"t'!J595 &gt; 0, 'Ammo Input'!J595, 1), 1) * N595 / 1000))) / 'Ingredient stats'!$C$2) * IF(ISBLANK(VLOOKUP(B595,AmmoTypeFactors,15,False)),1,VLOOKUP(B595,AmmoTypeFactors,15,False))"),40)</f>
        <v>40</v>
      </c>
      <c r="R599">
        <f>IFERROR(__xludf.DUMMYFUNCTION("ROUNDUP((IF(REGEXMATCH(B595, ""Arrow"") + (B595 = ""Javelin""), 'Ammo Input'!E595) + IF(VLOOKUP(B595, AmmoTypeFactors, 9, FALSE) = ""Wood"", 'Ammo Input'!H595) + IF(B595 = ""Stick bomb"", 'Ammo Input'!E595)) * N595 / 'Ingredient stats'!$C$12 / 1000)"),0)</f>
        <v>0</v>
      </c>
      <c r="S599">
        <v>0</v>
      </c>
      <c r="T599">
        <v>0</v>
      </c>
      <c r="U599">
        <f>IF(VLOOKUP(B599,AmmoTypeFactors,9,FALSE)="Plasteel",ROUNDUP(('Ammo Input'!H599*MAX(IF('Ammo Input'!J599&gt;0,'Ammo Input'!J599,1)*N599/1000/'Ingredient stats'!$C$4)),0),0)</f>
        <v>0</v>
      </c>
      <c r="V599">
        <f>IFERROR(__xludf.DUMMYFUNCTION("ROUNDUP(IF(ISBLANK(VLOOKUP(B595,AmmoTypeFactors,16,False)),1,VLOOKUP(B595,AmmoTypeFactors,16,False)) * (IFS(REGEXMATCH(B595, ""EMP""), 'Ammo Input'!M595 * N595 / 'Ingredient stats'!$C$5, REGEXMATCH(B595, ""Charge""), (U595^0.75), true, 0) + (IF(VLOOKUP(B5"&amp;"95, AmmoTypeFactors, 10, false), 2,0) + IF('Ammo Input'!P595, 2,0) + IF('Ammo Input'!Q595,MIN(ROUNDUP(0.2*('Ammo Input'!H595/1000)*'Ammo Input'!O595,0),20),0))))"),0)</f>
        <v>0</v>
      </c>
      <c r="W599">
        <v>0</v>
      </c>
      <c r="X599">
        <v>0</v>
      </c>
      <c r="Y599">
        <v>0</v>
      </c>
      <c r="Z599">
        <v>0</v>
      </c>
      <c r="AA599">
        <v>0</v>
      </c>
      <c r="AB599" s="30">
        <f>IF(B599="Sling Bullet (Stone)",ROUNDUP(D599*0.02*E599/'Ingredient stats'!$C$8,0),0)</f>
        <v>0</v>
      </c>
      <c r="AC599">
        <f t="shared" si="24"/>
        <v>8.9</v>
      </c>
      <c r="AD599">
        <f>IF(OR(B599="Buck",B599="Bird",B599="Charge (Scatter)"),'Ammo Input'!J599,"None")</f>
        <v>14</v>
      </c>
      <c r="AE599" t="str">
        <f>_xlfn.IFS(ISTEXT(Calcs!N599),Calcs!N599,Calcs!N599&lt;=40,Calcs!N599,Calcs!N599&gt;41,"40")</f>
        <v>None</v>
      </c>
      <c r="AF599" t="str">
        <f>_xlfn.IFS(ISTEXT(Calcs!O599),Calcs!O599,Calcs!O599&lt;=80,Calcs!O599,Calcs!O599&gt;=81,"80")</f>
        <v>None</v>
      </c>
      <c r="AG599" s="25">
        <f t="shared" si="25"/>
        <v>1</v>
      </c>
      <c r="AH599" s="25">
        <f t="shared" si="26"/>
        <v>1.45</v>
      </c>
      <c r="AI599" s="25">
        <f t="shared" si="27"/>
        <v>1</v>
      </c>
    </row>
    <row r="600" ht="14.4" spans="1:35">
      <c r="A600" s="24" t="str">
        <f>'Ammo Input'!A600</f>
        <v>23x75mmR</v>
      </c>
      <c r="B600" t="str">
        <f>'Ammo Input'!B600</f>
        <v>Slug</v>
      </c>
      <c r="C600">
        <f>ROUNDUP(('Ammo Input'!C600*(MAX('Ammo Input'!D600,'Ammo Input'!F600)*0.5)^2*PI())*3/1000000,2)</f>
        <v>0.1</v>
      </c>
      <c r="D600">
        <f>ROUNDUP(('Ammo Input'!E600+'Ammo Input'!H600*IF('Ammo Input'!J600&lt;&gt;"",MAX('Ammo Input'!J600,1),1))/1000,3)</f>
        <v>0.086</v>
      </c>
      <c r="E600">
        <f>MIN(5000,MAX(25,CEILING(Calcs!L600,_xlfn.IFS(Calcs!L600&lt;100,25,Calcs!L600&lt;250,50,Calcs!L600&lt;1000,250,Calcs!L600&gt;=1000,1000))))</f>
        <v>5000</v>
      </c>
      <c r="F600">
        <f>ROUNDUP('Ammo Input'!G600^(3/4),0)</f>
        <v>106</v>
      </c>
      <c r="G600">
        <f>ROUND((0.5*((IF(OR(B600="HEAT",B600="HEDP"),'Ammo Input'!N600,'Ammo Input'!H600)/1000)*(IF(B600="HEAT",9000,IF(B600="HEDP",1500,'Ammo Input'!G600))^2))),0)</f>
        <v>8125</v>
      </c>
      <c r="H600" s="25" t="str">
        <f>CONCATENATE(IF((B600="Foam")+(B600="Smoke"),"-",ROUND(Calcs!D600,0))," ",VLOOKUP(B600,AmmoTypeFactors,5,FALSE))</f>
        <v>38 Bullet</v>
      </c>
      <c r="I600" s="25" t="str">
        <f>IF(Calcs!E600=0,"None",CONCATENATE(ROUND(Calcs!E600,0)," ",VLOOKUP(B600,AmmoTypeFactors,6,FALSE)))</f>
        <v>None</v>
      </c>
      <c r="J600">
        <f>MROUND(2.42*'Ammo Input'!M600^(1/3)*VLOOKUP(B600,AmmoTypeFactors,3,FALSE),0.5)</f>
        <v>0</v>
      </c>
      <c r="K600" s="25" t="str">
        <f>IF(VLOOKUP(B600,AmmoTypeFactors,12,FALSE),MROUND(J600/3,0.5),"None")</f>
        <v>None</v>
      </c>
      <c r="L600" s="25">
        <f>IF(VLOOKUP(B600,AmmoTypeFactors,8,FALSE),"None",ROUNDUP(IF(Calcs!I600&gt;0,Calcs!I600,Calcs!H600),3))</f>
        <v>162.5</v>
      </c>
      <c r="M600" s="25">
        <f>IF(VLOOKUP(B600,AmmoTypeFactors,8,FALSE),"None",'Ammo Input'!L600)</f>
        <v>8</v>
      </c>
      <c r="N600">
        <f>'Ammo Input'!O600</f>
        <v>200</v>
      </c>
      <c r="O600" t="e">
        <f>ROUND((P600*0.0036+SUMPRODUCT(Q600:AB600,VLOOKUP($Q$1:$AB$1,IngredientStats,2,FALSE)))/N600*IF('Ammo Input'!R600,0.5,1),2)</f>
        <v>#VALUE!</v>
      </c>
      <c r="P600" t="e">
        <f>(SUMPRODUCT(Q600:AB600,VLOOKUP($Q$1:$AB$1,IngredientStats,4,FALSE))*VLOOKUP(B600,AmmoTypeFactors,14,FALSE)*IF('Ammo Input'!R600,1.1,1))</f>
        <v>#VALUE!</v>
      </c>
      <c r="Q600">
        <f>IFERROR(__xludf.DUMMYFUNCTION("((IF(NOT(OR(REGEXMATCH(B596, ""Arrow""), B596 = ""Javelin"", B596 = ""Stick bomb"")), ROUNDUP(('Ammo Input'!E596 / 1000) * N596)) + IF(VLOOKUP(B596, AmmoTypeFactors, 9, FALSE) = ""Steel"", ROUNDUP(('Ammo Input'!H596 -'Ammo Input'!M596) * MAX(IF('Ammo Inpu"&amp;"t'!J596 &gt; 0, 'Ammo Input'!J596, 1), 1) * N596 / 1000))) / 'Ingredient stats'!$C$2) * IF(ISBLANK(VLOOKUP(B596,AmmoTypeFactors,15,False)),1,VLOOKUP(B596,AmmoTypeFactors,15,False))"),36)</f>
        <v>36</v>
      </c>
      <c r="R600">
        <f>IFERROR(__xludf.DUMMYFUNCTION("ROUNDUP((IF(REGEXMATCH(B596, ""Arrow"") + (B596 = ""Javelin""), 'Ammo Input'!E596) + IF(VLOOKUP(B596, AmmoTypeFactors, 9, FALSE) = ""Wood"", 'Ammo Input'!H596) + IF(B596 = ""Stick bomb"", 'Ammo Input'!E596)) * N596 / 'Ingredient stats'!$C$12 / 1000)"),0)</f>
        <v>0</v>
      </c>
      <c r="S600">
        <v>0</v>
      </c>
      <c r="T600">
        <v>0</v>
      </c>
      <c r="U600">
        <f>IF(VLOOKUP(B600,AmmoTypeFactors,9,FALSE)="Plasteel",ROUNDUP(('Ammo Input'!H600*MAX(IF('Ammo Input'!J600&gt;0,'Ammo Input'!J600,1)*N600/1000/'Ingredient stats'!$C$4)),0),0)</f>
        <v>0</v>
      </c>
      <c r="V600">
        <f>IFERROR(__xludf.DUMMYFUNCTION("ROUNDUP(IF(ISBLANK(VLOOKUP(B596,AmmoTypeFactors,16,False)),1,VLOOKUP(B596,AmmoTypeFactors,16,False)) * (IFS(REGEXMATCH(B596, ""EMP""), 'Ammo Input'!M596 * N596 / 'Ingredient stats'!$C$5, REGEXMATCH(B596, ""Charge""), (U596^0.75), true, 0) + (IF(VLOOKUP(B5"&amp;"96, AmmoTypeFactors, 10, false), 2,0) + IF('Ammo Input'!P596, 2,0) + IF('Ammo Input'!Q596,MIN(ROUNDUP(0.2*('Ammo Input'!H596/1000)*'Ammo Input'!O596,0),20),0))))"),0)</f>
        <v>0</v>
      </c>
      <c r="W600">
        <v>0</v>
      </c>
      <c r="X600">
        <v>0</v>
      </c>
      <c r="Y600">
        <v>0</v>
      </c>
      <c r="Z600">
        <v>0</v>
      </c>
      <c r="AA600">
        <v>0</v>
      </c>
      <c r="AB600" s="30">
        <f>IF(B600="Sling Bullet (Stone)",ROUNDUP(D600*0.02*E600/'Ingredient stats'!$C$8,0),0)</f>
        <v>0</v>
      </c>
      <c r="AC600" t="str">
        <f t="shared" si="24"/>
        <v>None</v>
      </c>
      <c r="AD600" t="str">
        <f>IF(OR(B600="Buck",B600="Bird",B600="Charge (Scatter)"),'Ammo Input'!J600,"None")</f>
        <v>None</v>
      </c>
      <c r="AE600" t="str">
        <f>_xlfn.IFS(ISTEXT(Calcs!N600),Calcs!N600,Calcs!N600&lt;=40,Calcs!N600,Calcs!N600&gt;41,"40")</f>
        <v>None</v>
      </c>
      <c r="AF600" t="str">
        <f>_xlfn.IFS(ISTEXT(Calcs!O600),Calcs!O600,Calcs!O600&lt;=80,Calcs!O600,Calcs!O600&gt;=81,"80")</f>
        <v>None</v>
      </c>
      <c r="AG600" s="25">
        <f t="shared" si="25"/>
        <v>1</v>
      </c>
      <c r="AH600" s="25">
        <f t="shared" si="26"/>
        <v>1.74</v>
      </c>
      <c r="AI600" s="25">
        <f t="shared" si="27"/>
        <v>1</v>
      </c>
    </row>
    <row r="601" ht="14.4" spans="1:35">
      <c r="A601" s="24" t="str">
        <f>'Ammo Input'!A601</f>
        <v>23x75mmR</v>
      </c>
      <c r="B601" t="str">
        <f>'Ammo Input'!B601</f>
        <v>Beanbag</v>
      </c>
      <c r="C601">
        <f>ROUNDUP(('Ammo Input'!C601*(MAX('Ammo Input'!D601,'Ammo Input'!F601)*0.5)^2*PI())*3/1000000,2)</f>
        <v>0.1</v>
      </c>
      <c r="D601">
        <f>ROUNDUP(('Ammo Input'!E601+'Ammo Input'!H601*IF('Ammo Input'!J601&lt;&gt;"",MAX('Ammo Input'!J601,1),1))/1000,3)</f>
        <v>0.112</v>
      </c>
      <c r="E601">
        <f>MIN(5000,MAX(25,CEILING(Calcs!L601,_xlfn.IFS(Calcs!L601&lt;100,25,Calcs!L601&lt;250,50,Calcs!L601&lt;1000,250,Calcs!L601&gt;=1000,1000))))</f>
        <v>5000</v>
      </c>
      <c r="F601">
        <f>ROUNDUP('Ammo Input'!G601^(3/4),0)</f>
        <v>30</v>
      </c>
      <c r="G601">
        <f>ROUND((0.5*((IF(OR(B601="HEAT",B601="HEDP"),'Ammo Input'!N601,'Ammo Input'!H601)/1000)*(IF(B601="HEAT",9000,IF(B601="HEDP",1500,'Ammo Input'!G601))^2))),0)</f>
        <v>369</v>
      </c>
      <c r="H601" s="25" t="str">
        <f>CONCATENATE(IF((B601="Foam")+(B601="Smoke"),"-",ROUND(Calcs!D601,0))," ",VLOOKUP(B601,AmmoTypeFactors,5,FALSE))</f>
        <v>13 Beanbag</v>
      </c>
      <c r="I601" s="25" t="str">
        <f>IF(Calcs!E601=0,"None",CONCATENATE(ROUND(Calcs!E601,0)," ",VLOOKUP(B601,AmmoTypeFactors,6,FALSE)))</f>
        <v>None</v>
      </c>
      <c r="J601">
        <f>MROUND(2.42*'Ammo Input'!M601^(1/3)*VLOOKUP(B601,AmmoTypeFactors,3,FALSE),0.5)</f>
        <v>0</v>
      </c>
      <c r="K601" s="25" t="str">
        <f>IF(VLOOKUP(B601,AmmoTypeFactors,12,FALSE),MROUND(J601/3,0.5),"None")</f>
        <v>None</v>
      </c>
      <c r="L601" s="25">
        <f>IF(VLOOKUP(B601,AmmoTypeFactors,8,FALSE),"None",ROUNDUP(IF(Calcs!I601&gt;0,Calcs!I601,Calcs!H601),3))</f>
        <v>7.38</v>
      </c>
      <c r="M601" s="25">
        <f>IF(VLOOKUP(B601,AmmoTypeFactors,8,FALSE),"None",'Ammo Input'!L601)</f>
        <v>0</v>
      </c>
      <c r="N601">
        <f>'Ammo Input'!O601</f>
        <v>200</v>
      </c>
      <c r="O601" t="e">
        <f>ROUND((P601*0.0036+SUMPRODUCT(Q601:AB601,VLOOKUP($Q$1:$AB$1,IngredientStats,2,FALSE)))/N601*IF('Ammo Input'!R601,0.5,1),2)</f>
        <v>#VALUE!</v>
      </c>
      <c r="P601" t="e">
        <f>(SUMPRODUCT(Q601:AB601,VLOOKUP($Q$1:$AB$1,IngredientStats,4,FALSE))*VLOOKUP(B601,AmmoTypeFactors,14,FALSE)*IF('Ammo Input'!R601,1.1,1))</f>
        <v>#VALUE!</v>
      </c>
      <c r="Q601">
        <f>IFERROR(__xludf.DUMMYFUNCTION("((IF(NOT(OR(REGEXMATCH(B597, ""Arrow""), B597 = ""Javelin"", B597 = ""Stick bomb"")), ROUNDUP(('Ammo Input'!E597 / 1000) * N597)) + IF(VLOOKUP(B597, AmmoTypeFactors, 9, FALSE) = ""Steel"", ROUNDUP(('Ammo Input'!H597 -'Ammo Input'!M597) * MAX(IF('Ammo Inpu"&amp;"t'!J597 &gt; 0, 'Ammo Input'!J597, 1), 1) * N597 / 1000))) / 'Ingredient stats'!$C$2) * IF(ISBLANK(VLOOKUP(B597,AmmoTypeFactors,15,False)),1,VLOOKUP(B597,AmmoTypeFactors,15,False))"),48)</f>
        <v>48</v>
      </c>
      <c r="R601">
        <f>IFERROR(__xludf.DUMMYFUNCTION("ROUNDUP((IF(REGEXMATCH(B597, ""Arrow"") + (B597 = ""Javelin""), 'Ammo Input'!E597) + IF(VLOOKUP(B597, AmmoTypeFactors, 9, FALSE) = ""Wood"", 'Ammo Input'!H597) + IF(B597 = ""Stick bomb"", 'Ammo Input'!E597)) * N597 / 'Ingredient stats'!$C$12 / 1000)"),0)</f>
        <v>0</v>
      </c>
      <c r="S601">
        <v>0</v>
      </c>
      <c r="T601">
        <v>0</v>
      </c>
      <c r="U601">
        <f>IF(VLOOKUP(B601,AmmoTypeFactors,9,FALSE)="Plasteel",ROUNDUP(('Ammo Input'!H601*MAX(IF('Ammo Input'!J601&gt;0,'Ammo Input'!J601,1)*N601/1000/'Ingredient stats'!$C$4)),0),0)</f>
        <v>0</v>
      </c>
      <c r="V601">
        <f>IFERROR(__xludf.DUMMYFUNCTION("ROUNDUP(IF(ISBLANK(VLOOKUP(B597,AmmoTypeFactors,16,False)),1,VLOOKUP(B597,AmmoTypeFactors,16,False)) * (IFS(REGEXMATCH(B597, ""EMP""), 'Ammo Input'!M597 * N597 / 'Ingredient stats'!$C$5, REGEXMATCH(B597, ""Charge""), (U597^0.75), true, 0) + (IF(VLOOKUP(B5"&amp;"97, AmmoTypeFactors, 10, false), 2,0) + IF('Ammo Input'!P597, 2,0) + IF('Ammo Input'!Q597,MIN(ROUNDUP(0.2*('Ammo Input'!H597/1000)*'Ammo Input'!O597,0),20),0))))"),0)</f>
        <v>0</v>
      </c>
      <c r="W601">
        <v>0</v>
      </c>
      <c r="X601">
        <v>0</v>
      </c>
      <c r="Y601">
        <v>0</v>
      </c>
      <c r="Z601">
        <v>18</v>
      </c>
      <c r="AA601">
        <v>0</v>
      </c>
      <c r="AB601" s="30">
        <f>IF(B601="Sling Bullet (Stone)",ROUNDUP(D601*0.02*E601/'Ingredient stats'!$C$8,0),0)</f>
        <v>0</v>
      </c>
      <c r="AC601">
        <f t="shared" si="24"/>
        <v>2</v>
      </c>
      <c r="AD601" t="str">
        <f>IF(OR(B601="Buck",B601="Bird",B601="Charge (Scatter)"),'Ammo Input'!J601,"None")</f>
        <v>None</v>
      </c>
      <c r="AE601" t="str">
        <f>_xlfn.IFS(ISTEXT(Calcs!N601),Calcs!N601,Calcs!N601&lt;=40,Calcs!N601,Calcs!N601&gt;41,"40")</f>
        <v>None</v>
      </c>
      <c r="AF601" t="str">
        <f>_xlfn.IFS(ISTEXT(Calcs!O601),Calcs!O601,Calcs!O601&lt;=80,Calcs!O601,Calcs!O601&gt;=81,"80")</f>
        <v>None</v>
      </c>
      <c r="AG601" s="25">
        <f t="shared" si="25"/>
        <v>1</v>
      </c>
      <c r="AH601" s="25">
        <f t="shared" si="26"/>
        <v>0.5</v>
      </c>
      <c r="AI601" s="25">
        <f t="shared" si="27"/>
        <v>1</v>
      </c>
    </row>
    <row r="602" ht="14.4" spans="1:35">
      <c r="A602" s="24" t="str">
        <f>'Ammo Input'!A602</f>
        <v>23x75mmR</v>
      </c>
      <c r="B602" t="str">
        <f>'Ammo Input'!B602</f>
        <v>EMP Slug</v>
      </c>
      <c r="C602">
        <f>ROUNDUP(('Ammo Input'!C602*(MAX('Ammo Input'!D602,'Ammo Input'!F602)*0.5)^2*PI())*3/1000000,2)</f>
        <v>0.1</v>
      </c>
      <c r="D602">
        <f>ROUNDUP(('Ammo Input'!E602+'Ammo Input'!H602*IF('Ammo Input'!J602&lt;&gt;"",MAX('Ammo Input'!J602,1),1))/1000,3)</f>
        <v>0.101</v>
      </c>
      <c r="E602">
        <f>MIN(5000,MAX(25,CEILING(Calcs!L602,_xlfn.IFS(Calcs!L602&lt;100,25,Calcs!L602&lt;250,50,Calcs!L602&lt;1000,250,Calcs!L602&gt;=1000,1000))))</f>
        <v>5000</v>
      </c>
      <c r="F602">
        <f>ROUNDUP('Ammo Input'!G602^(3/4),0)</f>
        <v>60</v>
      </c>
      <c r="G602">
        <f>ROUND((0.5*((IF(OR(B602="HEAT",B602="HEDP"),'Ammo Input'!N602,'Ammo Input'!H602)/1000)*(IF(B602="HEAT",9000,IF(B602="HEDP",1500,'Ammo Input'!G602))^2))),0)</f>
        <v>2116</v>
      </c>
      <c r="H602" s="25" t="str">
        <f>CONCATENATE(IF((B602="Foam")+(B602="Smoke"),"-",ROUND(Calcs!D602,0))," ",VLOOKUP(B602,AmmoTypeFactors,5,FALSE))</f>
        <v>29 EMP</v>
      </c>
      <c r="I602" s="25" t="str">
        <f>IF(Calcs!E602=0,"None",CONCATENATE(ROUND(Calcs!E602,0)," ",VLOOKUP(B602,AmmoTypeFactors,6,FALSE)))</f>
        <v>None</v>
      </c>
      <c r="J602">
        <f>MROUND(2.42*'Ammo Input'!M602^(1/3)*VLOOKUP(B602,AmmoTypeFactors,3,FALSE),0.5)</f>
        <v>0</v>
      </c>
      <c r="K602" s="25" t="str">
        <f>IF(VLOOKUP(B602,AmmoTypeFactors,12,FALSE),MROUND(J602/3,0.5),"None")</f>
        <v>None</v>
      </c>
      <c r="L602" s="25" t="str">
        <f>IF(VLOOKUP(B602,AmmoTypeFactors,8,FALSE),"None",ROUNDUP(IF(Calcs!I602&gt;0,Calcs!I602,Calcs!H602),3))</f>
        <v>None</v>
      </c>
      <c r="M602" s="25" t="str">
        <f>IF(VLOOKUP(B602,AmmoTypeFactors,8,FALSE),"None",'Ammo Input'!L602)</f>
        <v>None</v>
      </c>
      <c r="N602">
        <f>'Ammo Input'!O602</f>
        <v>200</v>
      </c>
      <c r="O602" t="e">
        <f>ROUND((P602*0.0036+SUMPRODUCT(Q602:AB602,VLOOKUP($Q$1:$AB$1,IngredientStats,2,FALSE)))/N602*IF('Ammo Input'!R602,0.5,1),2)</f>
        <v>#VALUE!</v>
      </c>
      <c r="P602" t="e">
        <f>(SUMPRODUCT(Q602:AB602,VLOOKUP($Q$1:$AB$1,IngredientStats,4,FALSE))*VLOOKUP(B602,AmmoTypeFactors,14,FALSE)*IF('Ammo Input'!R602,1.1,1))</f>
        <v>#VALUE!</v>
      </c>
      <c r="Q602">
        <f>IFERROR(__xludf.DUMMYFUNCTION("((IF(NOT(OR(REGEXMATCH(B598, ""Arrow""), B598 = ""Javelin"", B598 = ""Stick bomb"")), ROUNDUP(('Ammo Input'!E598 / 1000) * N598)) + IF(VLOOKUP(B598, AmmoTypeFactors, 9, FALSE) = ""Steel"", ROUNDUP(('Ammo Input'!H598 -'Ammo Input'!M598) * MAX(IF('Ammo Inpu"&amp;"t'!J598 &gt; 0, 'Ammo Input'!J598, 1), 1) * N598 / 1000))) / 'Ingredient stats'!$C$2) * IF(ISBLANK(VLOOKUP(B598,AmmoTypeFactors,15,False)),1,VLOOKUP(B598,AmmoTypeFactors,15,False))"),42)</f>
        <v>42</v>
      </c>
      <c r="R602">
        <f>IFERROR(__xludf.DUMMYFUNCTION("ROUNDUP((IF(REGEXMATCH(B598, ""Arrow"") + (B598 = ""Javelin""), 'Ammo Input'!E598) + IF(VLOOKUP(B598, AmmoTypeFactors, 9, FALSE) = ""Wood"", 'Ammo Input'!H598) + IF(B598 = ""Stick bomb"", 'Ammo Input'!E598)) * N598 / 'Ingredient stats'!$C$12 / 1000)"),0)</f>
        <v>0</v>
      </c>
      <c r="S602">
        <v>0</v>
      </c>
      <c r="T602">
        <v>0</v>
      </c>
      <c r="U602">
        <f>IF(VLOOKUP(B602,AmmoTypeFactors,9,FALSE)="Plasteel",ROUNDUP(('Ammo Input'!H602*MAX(IF('Ammo Input'!J602&gt;0,'Ammo Input'!J602,1)*N602/1000/'Ingredient stats'!$C$4)),0),0)</f>
        <v>0</v>
      </c>
      <c r="V602">
        <f>IFERROR(__xludf.DUMMYFUNCTION("ROUNDUP(IF(ISBLANK(VLOOKUP(B598,AmmoTypeFactors,16,False)),1,VLOOKUP(B598,AmmoTypeFactors,16,False)) * (IFS(REGEXMATCH(B598, ""EMP""), 'Ammo Input'!M598 * N598 / 'Ingredient stats'!$C$5, REGEXMATCH(B598, ""Charge""), (U598^0.75), true, 0) + (IF(VLOOKUP(B5"&amp;"98, AmmoTypeFactors, 10, false), 2,0) + IF('Ammo Input'!P598, 2,0) + IF('Ammo Input'!Q598,MIN(ROUNDUP(0.2*('Ammo Input'!H598/1000)*'Ammo Input'!O598,0),20),0))))"),14)</f>
        <v>14</v>
      </c>
      <c r="W602">
        <v>0</v>
      </c>
      <c r="X602">
        <v>0</v>
      </c>
      <c r="Y602">
        <v>0</v>
      </c>
      <c r="Z602">
        <v>0</v>
      </c>
      <c r="AA602">
        <v>0</v>
      </c>
      <c r="AB602" s="30">
        <f>IF(B602="Sling Bullet (Stone)",ROUNDUP(D602*0.02*E602/'Ingredient stats'!$C$8,0),0)</f>
        <v>0</v>
      </c>
      <c r="AC602" t="str">
        <f t="shared" si="24"/>
        <v>None</v>
      </c>
      <c r="AD602" t="str">
        <f>IF(OR(B602="Buck",B602="Bird",B602="Charge (Scatter)"),'Ammo Input'!J602,"None")</f>
        <v>None</v>
      </c>
      <c r="AE602" t="str">
        <f>_xlfn.IFS(ISTEXT(Calcs!N602),Calcs!N602,Calcs!N602&lt;=40,Calcs!N602,Calcs!N602&gt;41,"40")</f>
        <v>None</v>
      </c>
      <c r="AF602" t="str">
        <f>_xlfn.IFS(ISTEXT(Calcs!O602),Calcs!O602,Calcs!O602&lt;=80,Calcs!O602,Calcs!O602&gt;=81,"80")</f>
        <v>None</v>
      </c>
      <c r="AG602" s="25">
        <f t="shared" si="25"/>
        <v>1</v>
      </c>
      <c r="AH602" s="25">
        <f t="shared" si="26"/>
        <v>1</v>
      </c>
      <c r="AI602" s="25">
        <f t="shared" si="27"/>
        <v>1</v>
      </c>
    </row>
    <row r="603" ht="14.4" spans="1:35">
      <c r="A603" s="14" t="s">
        <v>209</v>
      </c>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row>
    <row r="604" ht="14.4" spans="1:35">
      <c r="A604" s="24" t="str">
        <f>'Ammo Input'!A604</f>
        <v>100x695mmR Cannon</v>
      </c>
      <c r="B604" t="str">
        <f>'Ammo Input'!B604</f>
        <v>HEAT</v>
      </c>
      <c r="C604">
        <f>ROUNDUP(('Ammo Input'!C604*(MAX('Ammo Input'!D604,'Ammo Input'!F604)*0.5)^2*PI())*3/1000000,2)</f>
        <v>41.34</v>
      </c>
      <c r="D604">
        <f>ROUNDUP(('Ammo Input'!E604+'Ammo Input'!H604*IF('Ammo Input'!J604&lt;&gt;"",MAX('Ammo Input'!J604,1),1))/1000,3)</f>
        <v>30.16</v>
      </c>
      <c r="E604">
        <f>MIN(5000,MAX(25,CEILING(Calcs!L604,_xlfn.IFS(Calcs!L604&lt;100,25,Calcs!L604&lt;250,50,Calcs!L604&lt;1000,250,Calcs!L604&gt;=1000,1000))))</f>
        <v>25</v>
      </c>
      <c r="F604">
        <f>ROUNDUP('Ammo Input'!G604^(3/4),0)</f>
        <v>165</v>
      </c>
      <c r="G604">
        <f>ROUND((0.5*((IF(OR(B604="HEAT",B604="HEDP"),'Ammo Input'!N604,'Ammo Input'!H604)/1000)*(IF(B604="HEAT",9000,IF(B604="HEDP",1500,'Ammo Input'!G604))^2))),0)</f>
        <v>10125000</v>
      </c>
      <c r="H604" s="25" t="str">
        <f>CONCATENATE(IF((B604="Foam")+(B604="Smoke"),"-",ROUND(Calcs!D604,0))," ",VLOOKUP(B604,AmmoTypeFactors,5,FALSE))</f>
        <v>341 Bullet</v>
      </c>
      <c r="I604" s="25" t="str">
        <f>IF(Calcs!E604=0,"None",CONCATENATE(ROUND(Calcs!E604,0)," ",VLOOKUP(B604,AmmoTypeFactors,6,FALSE)))</f>
        <v>None</v>
      </c>
      <c r="J604">
        <f>MROUND(2.42*'Ammo Input'!M604^(1/3)*VLOOKUP(B604,AmmoTypeFactors,3,FALSE),0.5)</f>
        <v>1.5</v>
      </c>
      <c r="K604" s="25" t="str">
        <f>IF(VLOOKUP(B604,AmmoTypeFactors,12,FALSE),MROUND(J604/3,0.5),"None")</f>
        <v>None</v>
      </c>
      <c r="L604" s="25">
        <f>IF(VLOOKUP(B604,AmmoTypeFactors,8,FALSE),"None",ROUNDUP(IF(Calcs!I604&gt;0,Calcs!I604,Calcs!H604),3))</f>
        <v>52.045</v>
      </c>
      <c r="M604" s="25">
        <f>IF(VLOOKUP(B604,AmmoTypeFactors,8,FALSE),"None",'Ammo Input'!L604)</f>
        <v>380</v>
      </c>
      <c r="N604">
        <f>'Ammo Input'!O604</f>
        <v>2</v>
      </c>
      <c r="O604" t="e">
        <f>ROUND((P604*0.0036+SUMPRODUCT(Q604:AB604,VLOOKUP($Q$1:$AB$1,IngredientStats,2,FALSE)))/N604*IF('Ammo Input'!R604,0.5,1),2)</f>
        <v>#VALUE!</v>
      </c>
      <c r="P604" t="e">
        <f>(SUMPRODUCT(Q604:AB604,VLOOKUP($Q$1:$AB$1,IngredientStats,4,FALSE))*VLOOKUP(B604,AmmoTypeFactors,14,FALSE)*IF('Ammo Input'!R604,1.1,1))</f>
        <v>#VALUE!</v>
      </c>
      <c r="Q604">
        <f>IFERROR(__xludf.DUMMYFUNCTION("((IF(NOT(OR(REGEXMATCH(B600, ""Arrow""), B600 = ""Javelin"", B600 = ""Stick bomb"")), ROUNDUP(('Ammo Input'!E600 / 1000) * N600)) + IF(VLOOKUP(B600, AmmoTypeFactors, 9, FALSE) = ""Steel"", ROUNDUP(('Ammo Input'!H600 -'Ammo Input'!M600) * MAX(IF('Ammo Inpu"&amp;"t'!J600 &gt; 0, 'Ammo Input'!J600, 1), 1) * N600 / 1000))) / 'Ingredient stats'!$C$2) * IF(ISBLANK(VLOOKUP(B600,AmmoTypeFactors,15,False)),1,VLOOKUP(B600,AmmoTypeFactors,15,False))"),122)</f>
        <v>122</v>
      </c>
      <c r="R604">
        <f>IFERROR(__xludf.DUMMYFUNCTION("ROUNDUP((IF(REGEXMATCH(B600, ""Arrow"") + (B600 = ""Javelin""), 'Ammo Input'!E600) + IF(VLOOKUP(B600, AmmoTypeFactors, 9, FALSE) = ""Wood"", 'Ammo Input'!H600) + IF(B600 = ""Stick bomb"", 'Ammo Input'!E600)) * N600 / 'Ingredient stats'!$C$12 / 1000)"),0)</f>
        <v>0</v>
      </c>
      <c r="S604">
        <v>0</v>
      </c>
      <c r="T604">
        <v>0</v>
      </c>
      <c r="U604">
        <f>IF(VLOOKUP(B604,AmmoTypeFactors,9,FALSE)="Plasteel",ROUNDUP(('Ammo Input'!H604*MAX(IF('Ammo Input'!J604&gt;0,'Ammo Input'!J604,1)*N604/1000/'Ingredient stats'!$C$4)),0),0)</f>
        <v>0</v>
      </c>
      <c r="V604">
        <f>IFERROR(__xludf.DUMMYFUNCTION("ROUNDUP(IF(ISBLANK(VLOOKUP(B600,AmmoTypeFactors,16,False)),1,VLOOKUP(B600,AmmoTypeFactors,16,False)) * (IFS(REGEXMATCH(B600, ""EMP""), 'Ammo Input'!M600 * N600 / 'Ingredient stats'!$C$5, REGEXMATCH(B600, ""Charge""), (U600^0.75), true, 0) + (IF(VLOOKUP(B6"&amp;"00, AmmoTypeFactors, 10, false), 2,0) + IF('Ammo Input'!P600, 2,0) + IF('Ammo Input'!Q600,MIN(ROUNDUP(0.2*('Ammo Input'!H600/1000)*'Ammo Input'!O600,0),20),0))))"),2)</f>
        <v>2</v>
      </c>
      <c r="W604">
        <v>0</v>
      </c>
      <c r="X604">
        <v>5</v>
      </c>
      <c r="Y604">
        <v>0</v>
      </c>
      <c r="Z604">
        <v>0</v>
      </c>
      <c r="AA604" s="30">
        <v>0</v>
      </c>
      <c r="AB604" s="30">
        <f>IF(B604="Sling Bullet (Stone)",ROUNDUP(D604*0.02*E604/'Ingredient stats'!$C$8,0),0)</f>
        <v>0</v>
      </c>
      <c r="AC604" t="str">
        <f t="shared" ref="AC604:AC666" si="28">IF(B604="Buck",8.9,IF(B604="Bird",71.4,IF(B604="Beanbag",2,IF(OR(B604="Charge (Scatter)",B604="Charge (IonScatter)"),8.9,"None"))))</f>
        <v>None</v>
      </c>
      <c r="AD604" t="str">
        <f>IF(OR(B604="Buck",B604="Bird",B604="Charge (Scatter)"),'Ammo Input'!J604,"None")</f>
        <v>None</v>
      </c>
      <c r="AE604">
        <f>_xlfn.IFS(ISTEXT(Calcs!N604),Calcs!N604,Calcs!N604&lt;=40,Calcs!N604,Calcs!N604&gt;41,"40")</f>
        <v>27</v>
      </c>
      <c r="AF604">
        <f>_xlfn.IFS(ISTEXT(Calcs!O604),Calcs!O604,Calcs!O604&lt;=80,Calcs!O604,Calcs!O604&gt;=81,"80")</f>
        <v>15</v>
      </c>
      <c r="AG604" s="25">
        <f t="shared" ref="AG604:AG666" si="29">IF(IFERROR(FIND("-",$H604),0),0,IF($J604,3,1))</f>
        <v>3</v>
      </c>
      <c r="AH604" s="25">
        <f t="shared" ref="AH604:AH666" si="30">IFERROR(ROUND(200/(CEILING(200/$F604*60,1)+1),2),"-")</f>
        <v>2.7</v>
      </c>
      <c r="AI604" s="25">
        <f t="shared" ref="AI604:AI666" si="31">IF(IFERROR(FIND("-",$H604),0),0,IF($J604,2,1))</f>
        <v>2</v>
      </c>
    </row>
    <row r="605" ht="14.4" spans="1:35">
      <c r="A605" s="24" t="str">
        <f>'Ammo Input'!A605</f>
        <v>100x695mmR Cannon</v>
      </c>
      <c r="B605" t="str">
        <f>'Ammo Input'!B605</f>
        <v>HE</v>
      </c>
      <c r="C605">
        <f>ROUNDUP(('Ammo Input'!C605*(MAX('Ammo Input'!D605,'Ammo Input'!F605)*0.5)^2*PI())*3/1000000,2)</f>
        <v>41.34</v>
      </c>
      <c r="D605">
        <f>ROUNDUP(('Ammo Input'!E605+'Ammo Input'!H605*IF('Ammo Input'!J605&lt;&gt;"",MAX('Ammo Input'!J605,1),1))/1000,3)</f>
        <v>30.27</v>
      </c>
      <c r="E605">
        <f>MIN(5000,MAX(25,CEILING(Calcs!L605,_xlfn.IFS(Calcs!L605&lt;100,25,Calcs!L605&lt;250,50,Calcs!L605&lt;1000,250,Calcs!L605&gt;=1000,1000))))</f>
        <v>25</v>
      </c>
      <c r="F605">
        <f>ROUNDUP('Ammo Input'!G605^(3/4),0)</f>
        <v>165</v>
      </c>
      <c r="G605">
        <f>ROUND((0.5*((IF(OR(B605="HEAT",B605="HEDP"),'Ammo Input'!N605,'Ammo Input'!H605)/1000)*(IF(B605="HEAT",9000,IF(B605="HEDP",1500,'Ammo Input'!G605))^2))),0)</f>
        <v>6443550</v>
      </c>
      <c r="H605" s="25" t="str">
        <f>CONCATENATE(IF((B605="Foam")+(B605="Smoke"),"-",ROUND(Calcs!D605,0))," ",VLOOKUP(B605,AmmoTypeFactors,5,FALSE))</f>
        <v>209 Bomb</v>
      </c>
      <c r="I605" s="25" t="str">
        <f>IF(Calcs!E605=0,"None",CONCATENATE(ROUND(Calcs!E605,0)," ",VLOOKUP(B605,AmmoTypeFactors,6,FALSE)))</f>
        <v>None</v>
      </c>
      <c r="J605">
        <f>MROUND(2.42*'Ammo Input'!M605^(1/3)*VLOOKUP(B605,AmmoTypeFactors,3,FALSE),0.5)</f>
        <v>3</v>
      </c>
      <c r="K605" s="25" t="str">
        <f>IF(VLOOKUP(B605,AmmoTypeFactors,12,FALSE),MROUND(J605/3,0.5),"None")</f>
        <v>None</v>
      </c>
      <c r="L605" s="25" t="str">
        <f>IF(VLOOKUP(B605,AmmoTypeFactors,8,FALSE),"None",ROUNDUP(IF(Calcs!I605&gt;0,Calcs!I605,Calcs!H605),3))</f>
        <v>None</v>
      </c>
      <c r="M605" s="25" t="str">
        <f>IF(VLOOKUP(B605,AmmoTypeFactors,8,FALSE),"None",'Ammo Input'!L605)</f>
        <v>None</v>
      </c>
      <c r="N605">
        <f>'Ammo Input'!O605</f>
        <v>2</v>
      </c>
      <c r="O605" t="e">
        <f>ROUND((P605*0.0036+SUMPRODUCT(Q605:AB605,VLOOKUP($Q$1:$AB$1,IngredientStats,2,FALSE)))/N605*IF('Ammo Input'!R605,0.5,1),2)</f>
        <v>#VALUE!</v>
      </c>
      <c r="P605" t="e">
        <f>(SUMPRODUCT(Q605:AB605,VLOOKUP($Q$1:$AB$1,IngredientStats,4,FALSE))*VLOOKUP(B605,AmmoTypeFactors,14,FALSE)*IF('Ammo Input'!R605,1.1,1))</f>
        <v>#VALUE!</v>
      </c>
      <c r="Q605">
        <f>IFERROR(__xludf.DUMMYFUNCTION("((IF(NOT(OR(REGEXMATCH(B601, ""Arrow""), B601 = ""Javelin"", B601 = ""Stick bomb"")), ROUNDUP(('Ammo Input'!E601 / 1000) * N601)) + IF(VLOOKUP(B601, AmmoTypeFactors, 9, FALSE) = ""Steel"", ROUNDUP(('Ammo Input'!H601 -'Ammo Input'!M601) * MAX(IF('Ammo Inpu"&amp;"t'!J601 &gt; 0, 'Ammo Input'!J601, 1), 1) * N601 / 1000))) / 'Ingredient stats'!$C$2) * IF(ISBLANK(VLOOKUP(B601,AmmoTypeFactors,15,False)),1,VLOOKUP(B601,AmmoTypeFactors,15,False))"),122)</f>
        <v>122</v>
      </c>
      <c r="R605">
        <f>IFERROR(__xludf.DUMMYFUNCTION("ROUNDUP((IF(REGEXMATCH(B601, ""Arrow"") + (B601 = ""Javelin""), 'Ammo Input'!E601) + IF(VLOOKUP(B601, AmmoTypeFactors, 9, FALSE) = ""Wood"", 'Ammo Input'!H601) + IF(B601 = ""Stick bomb"", 'Ammo Input'!E601)) * N601 / 'Ingredient stats'!$C$12 / 1000)"),0)</f>
        <v>0</v>
      </c>
      <c r="S605">
        <v>0</v>
      </c>
      <c r="T605">
        <v>0</v>
      </c>
      <c r="U605">
        <f>IF(VLOOKUP(B605,AmmoTypeFactors,9,FALSE)="Plasteel",ROUNDUP(('Ammo Input'!H605*MAX(IF('Ammo Input'!J605&gt;0,'Ammo Input'!J605,1)*N605/1000/'Ingredient stats'!$C$4)),0),0)</f>
        <v>0</v>
      </c>
      <c r="V605">
        <f>IFERROR(__xludf.DUMMYFUNCTION("ROUNDUP(IF(ISBLANK(VLOOKUP(B601,AmmoTypeFactors,16,False)),1,VLOOKUP(B601,AmmoTypeFactors,16,False)) * (IFS(REGEXMATCH(B601, ""EMP""), 'Ammo Input'!M601 * N601 / 'Ingredient stats'!$C$5, REGEXMATCH(B601, ""Charge""), (U601^0.75), true, 0) + (IF(VLOOKUP(B6"&amp;"01, AmmoTypeFactors, 10, false), 2,0) + IF('Ammo Input'!P601, 2,0) + IF('Ammo Input'!Q601,MIN(ROUNDUP(0.2*('Ammo Input'!H601/1000)*'Ammo Input'!O601,0),20),0))))"),2)</f>
        <v>2</v>
      </c>
      <c r="W605">
        <v>0</v>
      </c>
      <c r="X605">
        <v>7</v>
      </c>
      <c r="Y605">
        <v>0</v>
      </c>
      <c r="Z605">
        <v>0</v>
      </c>
      <c r="AA605">
        <v>0</v>
      </c>
      <c r="AB605" s="30">
        <f>IF(B605="Sling Bullet (Stone)",ROUNDUP(D605*0.02*E605/'Ingredient stats'!$C$8,0),0)</f>
        <v>0</v>
      </c>
      <c r="AC605" t="str">
        <f t="shared" si="28"/>
        <v>None</v>
      </c>
      <c r="AD605" t="str">
        <f>IF(OR(B605="Buck",B605="Bird",B605="Charge (Scatter)"),'Ammo Input'!J605,"None")</f>
        <v>None</v>
      </c>
      <c r="AE605" t="str">
        <f>_xlfn.IFS(ISTEXT(Calcs!N605),Calcs!N605,Calcs!N605&lt;=40,Calcs!N605,Calcs!N605&gt;41,"40")</f>
        <v>40</v>
      </c>
      <c r="AF605">
        <f>_xlfn.IFS(ISTEXT(Calcs!O605),Calcs!O605,Calcs!O605&lt;=80,Calcs!O605,Calcs!O605&gt;=81,"80")</f>
        <v>41</v>
      </c>
      <c r="AG605" s="25">
        <f t="shared" si="29"/>
        <v>3</v>
      </c>
      <c r="AH605" s="25">
        <f t="shared" si="30"/>
        <v>2.7</v>
      </c>
      <c r="AI605" s="25">
        <f t="shared" si="31"/>
        <v>2</v>
      </c>
    </row>
    <row r="606" ht="14.4" spans="1:35">
      <c r="A606" s="24" t="str">
        <f>'Ammo Input'!A606</f>
        <v>105x607mmR</v>
      </c>
      <c r="B606" t="str">
        <f>'Ammo Input'!B606</f>
        <v>HEAT</v>
      </c>
      <c r="C606">
        <f>ROUNDUP(('Ammo Input'!C606*(MAX('Ammo Input'!D606,'Ammo Input'!F606)*0.5)^2*PI())*3/1000000,2)</f>
        <v>22.09</v>
      </c>
      <c r="D606">
        <f>ROUNDUP(('Ammo Input'!E606+'Ammo Input'!H606*IF('Ammo Input'!J606&lt;&gt;"",MAX('Ammo Input'!J606,1),1))/1000,3)</f>
        <v>11.008</v>
      </c>
      <c r="E606">
        <f>MIN(5000,MAX(25,CEILING(Calcs!L606,_xlfn.IFS(Calcs!L606&lt;100,25,Calcs!L606&lt;250,50,Calcs!L606&lt;1000,250,Calcs!L606&gt;=1000,1000))))</f>
        <v>25</v>
      </c>
      <c r="F606">
        <f>ROUNDUP('Ammo Input'!G606^(3/4),0)</f>
        <v>107</v>
      </c>
      <c r="G606">
        <f>ROUND((0.5*((IF(OR(B606="HEAT",B606="HEDP"),'Ammo Input'!N606,'Ammo Input'!H606)/1000)*(IF(B606="HEAT",9000,IF(B606="HEDP",1500,'Ammo Input'!G606))^2))),0)</f>
        <v>10125000</v>
      </c>
      <c r="H606" s="25" t="str">
        <f>CONCATENATE(IF((B606="Foam")+(B606="Smoke"),"-",ROUND(Calcs!D606,0))," ",VLOOKUP(B606,AmmoTypeFactors,5,FALSE))</f>
        <v>341 Bullet</v>
      </c>
      <c r="I606" s="25" t="str">
        <f>IF(Calcs!E606=0,"None",CONCATENATE(ROUND(Calcs!E606,0)," ",VLOOKUP(B606,AmmoTypeFactors,6,FALSE)))</f>
        <v>None</v>
      </c>
      <c r="J606">
        <f>MROUND(2.42*'Ammo Input'!M606^(1/3)*VLOOKUP(B606,AmmoTypeFactors,3,FALSE),0.5)</f>
        <v>1.5</v>
      </c>
      <c r="K606" s="25" t="str">
        <f>IF(VLOOKUP(B606,AmmoTypeFactors,12,FALSE),MROUND(J606/3,0.5),"None")</f>
        <v>None</v>
      </c>
      <c r="L606" s="25">
        <f>IF(VLOOKUP(B606,AmmoTypeFactors,8,FALSE),"None",ROUNDUP(IF(Calcs!I606&gt;0,Calcs!I606,Calcs!H606),3))</f>
        <v>53.916</v>
      </c>
      <c r="M606" s="25">
        <f>IF(VLOOKUP(B606,AmmoTypeFactors,8,FALSE),"None",'Ammo Input'!L606)</f>
        <v>410</v>
      </c>
      <c r="N606">
        <f>'Ammo Input'!O606</f>
        <v>2</v>
      </c>
      <c r="O606" t="e">
        <f>ROUND((P606*0.0036+SUMPRODUCT(Q606:AB606,VLOOKUP($Q$1:$AB$1,IngredientStats,2,FALSE)))/N606*IF('Ammo Input'!R606,0.5,1),2)</f>
        <v>#VALUE!</v>
      </c>
      <c r="P606" t="e">
        <f>(SUMPRODUCT(Q606:AB606,VLOOKUP($Q$1:$AB$1,IngredientStats,4,FALSE))*VLOOKUP(B606,AmmoTypeFactors,14,FALSE)*IF('Ammo Input'!R606,1.1,1))</f>
        <v>#VALUE!</v>
      </c>
      <c r="Q606">
        <f>IFERROR(__xludf.DUMMYFUNCTION("((IF(NOT(OR(REGEXMATCH(B602, ""Arrow""), B602 = ""Javelin"", B602 = ""Stick bomb"")), ROUNDUP(('Ammo Input'!E602 / 1000) * N602)) + IF(VLOOKUP(B602, AmmoTypeFactors, 9, FALSE) = ""Steel"", ROUNDUP(('Ammo Input'!H602 -'Ammo Input'!M602) * MAX(IF('Ammo Inpu"&amp;"t'!J602 &gt; 0, 'Ammo Input'!J602, 1), 1) * N602 / 1000))) / 'Ingredient stats'!$C$2) * IF(ISBLANK(VLOOKUP(B602,AmmoTypeFactors,15,False)),1,VLOOKUP(B602,AmmoTypeFactors,15,False))"),46)</f>
        <v>46</v>
      </c>
      <c r="R606">
        <f>IFERROR(__xludf.DUMMYFUNCTION("ROUNDUP((IF(REGEXMATCH(B602, ""Arrow"") + (B602 = ""Javelin""), 'Ammo Input'!E602) + IF(VLOOKUP(B602, AmmoTypeFactors, 9, FALSE) = ""Wood"", 'Ammo Input'!H602) + IF(B602 = ""Stick bomb"", 'Ammo Input'!E602)) * N602 / 'Ingredient stats'!$C$12 / 1000)"),0)</f>
        <v>0</v>
      </c>
      <c r="S606">
        <v>0</v>
      </c>
      <c r="T606">
        <v>0</v>
      </c>
      <c r="U606">
        <f>IF(VLOOKUP(B606,AmmoTypeFactors,9,FALSE)="Plasteel",ROUNDUP(('Ammo Input'!H606*MAX(IF('Ammo Input'!J606&gt;0,'Ammo Input'!J606,1)*N606/1000/'Ingredient stats'!$C$4)),0),0)</f>
        <v>0</v>
      </c>
      <c r="V606">
        <f>IFERROR(__xludf.DUMMYFUNCTION("ROUNDUP(IF(ISBLANK(VLOOKUP(B602,AmmoTypeFactors,16,False)),1,VLOOKUP(B602,AmmoTypeFactors,16,False)) * (IFS(REGEXMATCH(B602, ""EMP""), 'Ammo Input'!M602 * N602 / 'Ingredient stats'!$C$5, REGEXMATCH(B602, ""Charge""), (U602^0.75), true, 0) + (IF(VLOOKUP(B6"&amp;"02, AmmoTypeFactors, 10, false), 2,0) + IF('Ammo Input'!P602, 2,0) + IF('Ammo Input'!Q602,MIN(ROUNDUP(0.2*('Ammo Input'!H602/1000)*'Ammo Input'!O602,0),20),0))))"),2)</f>
        <v>2</v>
      </c>
      <c r="W606">
        <v>0</v>
      </c>
      <c r="X606">
        <v>6</v>
      </c>
      <c r="Y606">
        <v>0</v>
      </c>
      <c r="Z606">
        <v>0</v>
      </c>
      <c r="AA606">
        <v>0</v>
      </c>
      <c r="AB606" s="30">
        <f>IF(B606="Sling Bullet (Stone)",ROUNDUP(D606*0.02*E606/'Ingredient stats'!$C$8,0),0)</f>
        <v>0</v>
      </c>
      <c r="AC606" t="str">
        <f t="shared" si="28"/>
        <v>None</v>
      </c>
      <c r="AD606" t="str">
        <f>IF(OR(B606="Buck",B606="Bird",B606="Charge (Scatter)"),'Ammo Input'!J606,"None")</f>
        <v>None</v>
      </c>
      <c r="AE606">
        <f>_xlfn.IFS(ISTEXT(Calcs!N606),Calcs!N606,Calcs!N606&lt;=40,Calcs!N606,Calcs!N606&gt;41,"40")</f>
        <v>-2</v>
      </c>
      <c r="AF606">
        <f>_xlfn.IFS(ISTEXT(Calcs!O606),Calcs!O606,Calcs!O606&lt;=80,Calcs!O606,Calcs!O606&gt;=81,"80")</f>
        <v>14</v>
      </c>
      <c r="AG606" s="25">
        <f t="shared" si="29"/>
        <v>3</v>
      </c>
      <c r="AH606" s="25">
        <f t="shared" si="30"/>
        <v>1.75</v>
      </c>
      <c r="AI606" s="25">
        <f t="shared" si="31"/>
        <v>2</v>
      </c>
    </row>
    <row r="607" ht="14.4" spans="1:35">
      <c r="A607" s="24" t="str">
        <f>'Ammo Input'!A607</f>
        <v>105x607mmR</v>
      </c>
      <c r="B607" t="str">
        <f>'Ammo Input'!B607</f>
        <v>HE</v>
      </c>
      <c r="C607">
        <f>ROUNDUP(('Ammo Input'!C607*(MAX('Ammo Input'!D607,'Ammo Input'!F607)*0.5)^2*PI())*3/1000000,2)</f>
        <v>22.09</v>
      </c>
      <c r="D607">
        <f>ROUNDUP(('Ammo Input'!E607+'Ammo Input'!H607*IF('Ammo Input'!J607&lt;&gt;"",MAX('Ammo Input'!J607,1),1))/1000,3)</f>
        <v>11.008</v>
      </c>
      <c r="E607">
        <f>MIN(5000,MAX(25,CEILING(Calcs!L607,_xlfn.IFS(Calcs!L607&lt;100,25,Calcs!L607&lt;250,50,Calcs!L607&lt;1000,250,Calcs!L607&gt;=1000,1000))))</f>
        <v>25</v>
      </c>
      <c r="F607">
        <f>ROUNDUP('Ammo Input'!G607^(3/4),0)</f>
        <v>107</v>
      </c>
      <c r="G607">
        <f>ROUND((0.5*((IF(OR(B607="HEAT",B607="HEDP"),'Ammo Input'!N607,'Ammo Input'!H607)/1000)*(IF(B607="HEAT",9000,IF(B607="HEDP",1500,'Ammo Input'!G607))^2))),0)</f>
        <v>1007</v>
      </c>
      <c r="H607" s="25" t="str">
        <f>CONCATENATE(IF((B607="Foam")+(B607="Smoke"),"-",ROUND(Calcs!D607,0))," ",VLOOKUP(B607,AmmoTypeFactors,5,FALSE))</f>
        <v>331 Bomb</v>
      </c>
      <c r="I607" s="25" t="str">
        <f>IF(Calcs!E607=0,"None",CONCATENATE(ROUND(Calcs!E607,0)," ",VLOOKUP(B607,AmmoTypeFactors,6,FALSE)))</f>
        <v>None</v>
      </c>
      <c r="J607">
        <f>MROUND(2.42*'Ammo Input'!M607^(1/3)*VLOOKUP(B607,AmmoTypeFactors,3,FALSE),0.5)</f>
        <v>4</v>
      </c>
      <c r="K607" s="25" t="str">
        <f>IF(VLOOKUP(B607,AmmoTypeFactors,12,FALSE),MROUND(J607/3,0.5),"None")</f>
        <v>None</v>
      </c>
      <c r="L607" s="25" t="str">
        <f>IF(VLOOKUP(B607,AmmoTypeFactors,8,FALSE),"None",ROUNDUP(IF(Calcs!I607&gt;0,Calcs!I607,Calcs!H607),3))</f>
        <v>None</v>
      </c>
      <c r="M607" s="25" t="str">
        <f>IF(VLOOKUP(B607,AmmoTypeFactors,8,FALSE),"None",'Ammo Input'!L607)</f>
        <v>None</v>
      </c>
      <c r="N607">
        <f>'Ammo Input'!O607</f>
        <v>2</v>
      </c>
      <c r="O607" t="e">
        <f>ROUND((P607*0.0036+SUMPRODUCT(Q607:AB607,VLOOKUP($Q$1:$AB$1,IngredientStats,2,FALSE)))/N607*IF('Ammo Input'!R607,0.5,1),2)</f>
        <v>#VALUE!</v>
      </c>
      <c r="P607" t="e">
        <f>(SUMPRODUCT(Q607:AB607,VLOOKUP($Q$1:$AB$1,IngredientStats,4,FALSE))*VLOOKUP(B607,AmmoTypeFactors,14,FALSE)*IF('Ammo Input'!R607,1.1,1))</f>
        <v>#VALUE!</v>
      </c>
      <c r="Q607">
        <f>IFERROR(__xludf.DUMMYFUNCTION("((IF(NOT(OR(REGEXMATCH(B603, ""Arrow""), B603 = ""Javelin"", B603 = ""Stick bomb"")), ROUNDUP(('Ammo Input'!E603 / 1000) * N603)) + IF(VLOOKUP(B603, AmmoTypeFactors, 9, FALSE) = ""Steel"", ROUNDUP(('Ammo Input'!H603 -'Ammo Input'!M603) * MAX(IF('Ammo Inpu"&amp;"t'!J603 &gt; 0, 'Ammo Input'!J603, 1), 1) * N603 / 1000))) / 'Ingredient stats'!$C$2) * IF(ISBLANK(VLOOKUP(B603,AmmoTypeFactors,15,False)),1,VLOOKUP(B603,AmmoTypeFactors,15,False))"),46)</f>
        <v>46</v>
      </c>
      <c r="R607">
        <f>IFERROR(__xludf.DUMMYFUNCTION("ROUNDUP((IF(REGEXMATCH(B603, ""Arrow"") + (B603 = ""Javelin""), 'Ammo Input'!E603) + IF(VLOOKUP(B603, AmmoTypeFactors, 9, FALSE) = ""Wood"", 'Ammo Input'!H603) + IF(B603 = ""Stick bomb"", 'Ammo Input'!E603)) * N603 / 'Ingredient stats'!$C$12 / 1000)"),0)</f>
        <v>0</v>
      </c>
      <c r="S607">
        <v>0</v>
      </c>
      <c r="T607">
        <v>0</v>
      </c>
      <c r="U607">
        <f>IF(VLOOKUP(B607,AmmoTypeFactors,9,FALSE)="Plasteel",ROUNDUP(('Ammo Input'!H607*MAX(IF('Ammo Input'!J607&gt;0,'Ammo Input'!J607,1)*N607/1000/'Ingredient stats'!$C$4)),0),0)</f>
        <v>0</v>
      </c>
      <c r="V607">
        <f>IFERROR(__xludf.DUMMYFUNCTION("ROUNDUP(IF(ISBLANK(VLOOKUP(B603,AmmoTypeFactors,16,False)),1,VLOOKUP(B603,AmmoTypeFactors,16,False)) * (IFS(REGEXMATCH(B603, ""EMP""), 'Ammo Input'!M603 * N603 / 'Ingredient stats'!$C$5, REGEXMATCH(B603, ""Charge""), (U603^0.75), true, 0) + (IF(VLOOKUP(B6"&amp;"03, AmmoTypeFactors, 10, false), 2,0) + IF('Ammo Input'!P603, 2,0) + IF('Ammo Input'!Q603,MIN(ROUNDUP(0.2*('Ammo Input'!H603/1000)*'Ammo Input'!O603,0),20),0))))"),2)</f>
        <v>2</v>
      </c>
      <c r="W607">
        <v>0</v>
      </c>
      <c r="X607">
        <v>14</v>
      </c>
      <c r="Y607">
        <v>0</v>
      </c>
      <c r="Z607">
        <v>0</v>
      </c>
      <c r="AA607">
        <v>0</v>
      </c>
      <c r="AB607" s="30">
        <f>IF(B607="Sling Bullet (Stone)",ROUNDUP(D607*0.02*E607/'Ingredient stats'!$C$8,0),0)</f>
        <v>0</v>
      </c>
      <c r="AC607" t="str">
        <f t="shared" si="28"/>
        <v>None</v>
      </c>
      <c r="AD607" t="str">
        <f>IF(OR(B607="Buck",B607="Bird",B607="Charge (Scatter)"),'Ammo Input'!J607,"None")</f>
        <v>None</v>
      </c>
      <c r="AE607">
        <f>_xlfn.IFS(ISTEXT(Calcs!N607),Calcs!N607,Calcs!N607&lt;=40,Calcs!N607,Calcs!N607&gt;41,"40")</f>
        <v>-7</v>
      </c>
      <c r="AF607">
        <f>_xlfn.IFS(ISTEXT(Calcs!O607),Calcs!O607,Calcs!O607&lt;=80,Calcs!O607,Calcs!O607&gt;=81,"80")</f>
        <v>50</v>
      </c>
      <c r="AG607" s="25">
        <f t="shared" si="29"/>
        <v>3</v>
      </c>
      <c r="AH607" s="25">
        <f t="shared" si="30"/>
        <v>1.75</v>
      </c>
      <c r="AI607" s="25">
        <f t="shared" si="31"/>
        <v>2</v>
      </c>
    </row>
    <row r="608" ht="14.4" spans="1:35">
      <c r="A608" s="24" t="str">
        <f>'Ammo Input'!A608</f>
        <v>105x617mmR</v>
      </c>
      <c r="B608" t="str">
        <f>'Ammo Input'!B608</f>
        <v>HEAT</v>
      </c>
      <c r="C608">
        <f>ROUNDUP(('Ammo Input'!C608*(MAX('Ammo Input'!D608,'Ammo Input'!F608)*0.5)^2*PI())*3/1000000,2)</f>
        <v>44.48</v>
      </c>
      <c r="D608">
        <f>ROUNDUP(('Ammo Input'!E608+'Ammo Input'!H608*IF('Ammo Input'!J608&lt;&gt;"",MAX('Ammo Input'!J608,1),1))/1000,3)</f>
        <v>22.2</v>
      </c>
      <c r="E608">
        <f>MIN(5000,MAX(25,CEILING(Calcs!L608,_xlfn.IFS(Calcs!L608&lt;100,25,Calcs!L608&lt;250,50,Calcs!L608&lt;1000,250,Calcs!L608&gt;=1000,1000))))</f>
        <v>25</v>
      </c>
      <c r="F608">
        <f>ROUNDUP('Ammo Input'!G608^(3/4),0)</f>
        <v>201</v>
      </c>
      <c r="G608">
        <f>ROUND((0.5*((IF(OR(B608="HEAT",B608="HEDP"),'Ammo Input'!N608,'Ammo Input'!H608)/1000)*(IF(B608="HEAT",9000,IF(B608="HEDP",1500,'Ammo Input'!G608))^2))),0)</f>
        <v>8100000</v>
      </c>
      <c r="H608" s="25" t="str">
        <f>CONCATENATE(IF((B608="Foam")+(B608="Smoke"),"-",ROUND(Calcs!D608,0))," ",VLOOKUP(B608,AmmoTypeFactors,5,FALSE))</f>
        <v>316 Bullet</v>
      </c>
      <c r="I608" s="25" t="str">
        <f>IF(Calcs!E608=0,"None",CONCATENATE(ROUND(Calcs!E608,0)," ",VLOOKUP(B608,AmmoTypeFactors,6,FALSE)))</f>
        <v>None</v>
      </c>
      <c r="J608">
        <f>MROUND(2.42*'Ammo Input'!M608^(1/3)*VLOOKUP(B608,AmmoTypeFactors,3,FALSE),0.5)</f>
        <v>1.5</v>
      </c>
      <c r="K608" s="25" t="str">
        <f>IF(VLOOKUP(B608,AmmoTypeFactors,12,FALSE),MROUND(J608/3,0.5),"None")</f>
        <v>None</v>
      </c>
      <c r="L608" s="25">
        <f>IF(VLOOKUP(B608,AmmoTypeFactors,8,FALSE),"None",ROUNDUP(IF(Calcs!I608&gt;0,Calcs!I608,Calcs!H608),3))</f>
        <v>46.013</v>
      </c>
      <c r="M608" s="34">
        <f>IF(VLOOKUP(B608,AmmoTypeFactors,8,FALSE),"None",'Ammo Input'!L608)</f>
        <v>390</v>
      </c>
      <c r="N608">
        <f>'Ammo Input'!O608</f>
        <v>2</v>
      </c>
      <c r="O608" t="e">
        <f>ROUND((P608*0.0036+SUMPRODUCT(Q608:AB608,VLOOKUP($Q$1:$AB$1,IngredientStats,2,FALSE)))/N608*IF('Ammo Input'!R608,0.5,1),2)</f>
        <v>#VALUE!</v>
      </c>
      <c r="P608" t="e">
        <f>(SUMPRODUCT(Q608:AB608,VLOOKUP($Q$1:$AB$1,IngredientStats,4,FALSE))*VLOOKUP(B608,AmmoTypeFactors,14,FALSE)*IF('Ammo Input'!R608,1.1,1))</f>
        <v>#VALUE!</v>
      </c>
      <c r="Q608">
        <f>IFERROR(__xludf.DUMMYFUNCTION("((IF(NOT(OR(REGEXMATCH(B604, ""Arrow""), B604 = ""Javelin"", B604 = ""Stick bomb"")), ROUNDUP(('Ammo Input'!E604 / 1000) * N604)) + IF(VLOOKUP(B604, AmmoTypeFactors, 9, FALSE) = ""Steel"", ROUNDUP(('Ammo Input'!H604 -'Ammo Input'!M604) * MAX(IF('Ammo Inpu"&amp;"t'!J604 &gt; 0, 'Ammo Input'!J604, 1), 1) * N604 / 1000))) / 'Ingredient stats'!$C$2) * IF(ISBLANK(VLOOKUP(B604,AmmoTypeFactors,15,False)),1,VLOOKUP(B604,AmmoTypeFactors,15,False))"),90)</f>
        <v>90</v>
      </c>
      <c r="R608">
        <f>IFERROR(__xludf.DUMMYFUNCTION("ROUNDUP((IF(REGEXMATCH(B604, ""Arrow"") + (B604 = ""Javelin""), 'Ammo Input'!E604) + IF(VLOOKUP(B604, AmmoTypeFactors, 9, FALSE) = ""Wood"", 'Ammo Input'!H604) + IF(B604 = ""Stick bomb"", 'Ammo Input'!E604)) * N604 / 'Ingredient stats'!$C$12 / 1000)"),0)</f>
        <v>0</v>
      </c>
      <c r="S608">
        <v>0</v>
      </c>
      <c r="T608">
        <v>0</v>
      </c>
      <c r="U608">
        <f>IF(VLOOKUP(B608,AmmoTypeFactors,9,FALSE)="Plasteel",ROUNDUP(('Ammo Input'!H608*MAX(IF('Ammo Input'!J608&gt;0,'Ammo Input'!J608,1)*N608/1000/'Ingredient stats'!$C$4)),0),0)</f>
        <v>0</v>
      </c>
      <c r="V608">
        <f>IFERROR(__xludf.DUMMYFUNCTION("ROUNDUP(IF(ISBLANK(VLOOKUP(B604,AmmoTypeFactors,16,False)),1,VLOOKUP(B604,AmmoTypeFactors,16,False)) * (IFS(REGEXMATCH(B604, ""EMP""), 'Ammo Input'!M604 * N604 / 'Ingredient stats'!$C$5, REGEXMATCH(B604, ""Charge""), (U604^0.75), true, 0) + (IF(VLOOKUP(B6"&amp;"04, AmmoTypeFactors, 10, false), 2,0) + IF('Ammo Input'!P604, 2,0) + IF('Ammo Input'!Q604,MIN(ROUNDUP(0.2*('Ammo Input'!H604/1000)*'Ammo Input'!O604,0),20),0))))"),2)</f>
        <v>2</v>
      </c>
      <c r="W608">
        <v>0</v>
      </c>
      <c r="X608">
        <v>4</v>
      </c>
      <c r="Y608">
        <v>0</v>
      </c>
      <c r="Z608">
        <v>0</v>
      </c>
      <c r="AA608">
        <v>0</v>
      </c>
      <c r="AB608" s="30">
        <f>IF(B608="Sling Bullet (Stone)",ROUNDUP(D608*0.02*E608/'Ingredient stats'!$C$8,0),0)</f>
        <v>0</v>
      </c>
      <c r="AC608" t="str">
        <f t="shared" si="28"/>
        <v>None</v>
      </c>
      <c r="AD608" t="str">
        <f>IF(OR(B608="Buck",B608="Bird",B608="Charge (Scatter)"),'Ammo Input'!J608,"None")</f>
        <v>None</v>
      </c>
      <c r="AE608">
        <f>_xlfn.IFS(ISTEXT(Calcs!N608),Calcs!N608,Calcs!N608&lt;=40,Calcs!N608,Calcs!N608&gt;41,"40")</f>
        <v>17</v>
      </c>
      <c r="AF608">
        <f>_xlfn.IFS(ISTEXT(Calcs!O608),Calcs!O608,Calcs!O608&lt;=80,Calcs!O608,Calcs!O608&gt;=81,"80")</f>
        <v>13</v>
      </c>
      <c r="AG608" s="25">
        <f t="shared" si="29"/>
        <v>3</v>
      </c>
      <c r="AH608" s="25">
        <f t="shared" si="30"/>
        <v>3.28</v>
      </c>
      <c r="AI608" s="25">
        <f t="shared" si="31"/>
        <v>2</v>
      </c>
    </row>
    <row r="609" ht="14.4" spans="1:35">
      <c r="A609" s="24" t="str">
        <f>'Ammo Input'!A609</f>
        <v>105x617mmR</v>
      </c>
      <c r="B609" t="str">
        <f>'Ammo Input'!B609</f>
        <v>HE</v>
      </c>
      <c r="C609">
        <f>ROUNDUP(('Ammo Input'!C609*(MAX('Ammo Input'!D609,'Ammo Input'!F609)*0.5)^2*PI())*3/1000000,2)</f>
        <v>45.47</v>
      </c>
      <c r="D609">
        <f>ROUNDUP(('Ammo Input'!E609+'Ammo Input'!H609*IF('Ammo Input'!J609&lt;&gt;"",MAX('Ammo Input'!J609,1),1))/1000,3)</f>
        <v>23</v>
      </c>
      <c r="E609">
        <f>MIN(5000,MAX(25,CEILING(Calcs!L609,_xlfn.IFS(Calcs!L609&lt;100,25,Calcs!L609&lt;250,50,Calcs!L609&lt;1000,250,Calcs!L609&gt;=1000,1000))))</f>
        <v>25</v>
      </c>
      <c r="F609">
        <f>ROUNDUP('Ammo Input'!G609^(3/4),0)</f>
        <v>134</v>
      </c>
      <c r="G609">
        <f>ROUND((0.5*((IF(OR(B609="HEAT",B609="HEDP"),'Ammo Input'!N609,'Ammo Input'!H609)/1000)*(IF(B609="HEAT",9000,IF(B609="HEDP",1500,'Ammo Input'!G609))^2))),0)</f>
        <v>2822258</v>
      </c>
      <c r="H609" s="25" t="str">
        <f>CONCATENATE(IF((B609="Foam")+(B609="Smoke"),"-",ROUND(Calcs!D609,0))," ",VLOOKUP(B609,AmmoTypeFactors,5,FALSE))</f>
        <v>199 Bomb</v>
      </c>
      <c r="I609" s="25" t="str">
        <f>IF(Calcs!E609=0,"None",CONCATENATE(ROUND(Calcs!E609,0)," ",VLOOKUP(B609,AmmoTypeFactors,6,FALSE)))</f>
        <v>None</v>
      </c>
      <c r="J609">
        <f>MROUND(2.42*'Ammo Input'!M609^(1/3)*VLOOKUP(B609,AmmoTypeFactors,3,FALSE),0.5)</f>
        <v>3</v>
      </c>
      <c r="K609" s="25" t="str">
        <f>IF(VLOOKUP(B609,AmmoTypeFactors,12,FALSE),MROUND(J609/3,0.5),"None")</f>
        <v>None</v>
      </c>
      <c r="L609" s="25" t="str">
        <f>IF(VLOOKUP(B609,AmmoTypeFactors,8,FALSE),"None",ROUNDUP(IF(Calcs!I609&gt;0,Calcs!I609,Calcs!H609),3))</f>
        <v>None</v>
      </c>
      <c r="M609" s="25" t="str">
        <f>IF(VLOOKUP(B609,AmmoTypeFactors,8,FALSE),"None",'Ammo Input'!L609)</f>
        <v>None</v>
      </c>
      <c r="N609">
        <f>'Ammo Input'!O609</f>
        <v>2</v>
      </c>
      <c r="O609" t="e">
        <f>ROUND((P609*0.0036+SUMPRODUCT(Q609:AB609,VLOOKUP($Q$1:$AB$1,IngredientStats,2,FALSE)))/N609*IF('Ammo Input'!R609,0.5,1),2)</f>
        <v>#VALUE!</v>
      </c>
      <c r="P609" t="e">
        <f>(SUMPRODUCT(Q609:AB609,VLOOKUP($Q$1:$AB$1,IngredientStats,4,FALSE))*VLOOKUP(B609,AmmoTypeFactors,14,FALSE)*IF('Ammo Input'!R609,1.1,1))</f>
        <v>#VALUE!</v>
      </c>
      <c r="Q609">
        <f>IFERROR(__xludf.DUMMYFUNCTION("((IF(NOT(OR(REGEXMATCH(B605, ""Arrow""), B605 = ""Javelin"", B605 = ""Stick bomb"")), ROUNDUP(('Ammo Input'!E605 / 1000) * N605)) + IF(VLOOKUP(B605, AmmoTypeFactors, 9, FALSE) = ""Steel"", ROUNDUP(('Ammo Input'!H605 -'Ammo Input'!M605) * MAX(IF('Ammo Inpu"&amp;"t'!J605 &gt; 0, 'Ammo Input'!J605, 1), 1) * N605 / 1000))) / 'Ingredient stats'!$C$2) * IF(ISBLANK(VLOOKUP(B605,AmmoTypeFactors,15,False)),1,VLOOKUP(B605,AmmoTypeFactors,15,False))"),94)</f>
        <v>94</v>
      </c>
      <c r="R609">
        <f>IFERROR(__xludf.DUMMYFUNCTION("ROUNDUP((IF(REGEXMATCH(B605, ""Arrow"") + (B605 = ""Javelin""), 'Ammo Input'!E605) + IF(VLOOKUP(B605, AmmoTypeFactors, 9, FALSE) = ""Wood"", 'Ammo Input'!H605) + IF(B605 = ""Stick bomb"", 'Ammo Input'!E605)) * N605 / 'Ingredient stats'!$C$12 / 1000)"),0)</f>
        <v>0</v>
      </c>
      <c r="S609">
        <v>0</v>
      </c>
      <c r="T609">
        <v>0</v>
      </c>
      <c r="U609">
        <f>IF(VLOOKUP(B609,AmmoTypeFactors,9,FALSE)="Plasteel",ROUNDUP(('Ammo Input'!H609*MAX(IF('Ammo Input'!J609&gt;0,'Ammo Input'!J609,1)*N609/1000/'Ingredient stats'!$C$4)),0),0)</f>
        <v>0</v>
      </c>
      <c r="V609">
        <f>IFERROR(__xludf.DUMMYFUNCTION("ROUNDUP(IF(ISBLANK(VLOOKUP(B605,AmmoTypeFactors,16,False)),1,VLOOKUP(B605,AmmoTypeFactors,16,False)) * (IFS(REGEXMATCH(B605, ""EMP""), 'Ammo Input'!M605 * N605 / 'Ingredient stats'!$C$5, REGEXMATCH(B605, ""Charge""), (U605^0.75), true, 0) + (IF(VLOOKUP(B6"&amp;"05, AmmoTypeFactors, 10, false), 2,0) + IF('Ammo Input'!P605, 2,0) + IF('Ammo Input'!Q605,MIN(ROUNDUP(0.2*('Ammo Input'!H605/1000)*'Ammo Input'!O605,0),20),0))))"),2)</f>
        <v>2</v>
      </c>
      <c r="W609">
        <v>0</v>
      </c>
      <c r="X609">
        <v>6</v>
      </c>
      <c r="Y609">
        <v>0</v>
      </c>
      <c r="Z609">
        <v>0</v>
      </c>
      <c r="AA609">
        <v>0</v>
      </c>
      <c r="AB609" s="30">
        <f>IF(B609="Sling Bullet (Stone)",ROUNDUP(D609*0.02*E609/'Ingredient stats'!$C$8,0),0)</f>
        <v>0</v>
      </c>
      <c r="AC609" t="str">
        <f t="shared" si="28"/>
        <v>None</v>
      </c>
      <c r="AD609" t="str">
        <f>IF(OR(B609="Buck",B609="Bird",B609="Charge (Scatter)"),'Ammo Input'!J609,"None")</f>
        <v>None</v>
      </c>
      <c r="AE609">
        <f>_xlfn.IFS(ISTEXT(Calcs!N609),Calcs!N609,Calcs!N609&lt;=40,Calcs!N609,Calcs!N609&gt;41,"40")</f>
        <v>38</v>
      </c>
      <c r="AF609">
        <f>_xlfn.IFS(ISTEXT(Calcs!O609),Calcs!O609,Calcs!O609&lt;=80,Calcs!O609,Calcs!O609&gt;=81,"80")</f>
        <v>38</v>
      </c>
      <c r="AG609" s="25">
        <f t="shared" si="29"/>
        <v>3</v>
      </c>
      <c r="AH609" s="25">
        <f t="shared" si="30"/>
        <v>2.2</v>
      </c>
      <c r="AI609" s="25">
        <f t="shared" si="31"/>
        <v>2</v>
      </c>
    </row>
    <row r="610" ht="14.4" spans="1:35">
      <c r="A610" s="24" t="str">
        <f>'Ammo Input'!A610</f>
        <v>120mm Cannon</v>
      </c>
      <c r="B610" t="str">
        <f>'Ammo Input'!B610</f>
        <v>HEAT</v>
      </c>
      <c r="C610">
        <f>ROUNDUP(('Ammo Input'!C610*(MAX('Ammo Input'!D610,'Ammo Input'!F610)*0.5)^2*PI())*3/1000000,2)</f>
        <v>66.09</v>
      </c>
      <c r="D610">
        <f>ROUNDUP(('Ammo Input'!E610+'Ammo Input'!H610*IF('Ammo Input'!J610&lt;&gt;"",MAX('Ammo Input'!J610,1),1))/1000,3)</f>
        <v>22.3</v>
      </c>
      <c r="E610">
        <f>MIN(5000,MAX(25,CEILING(Calcs!L610,_xlfn.IFS(Calcs!L610&lt;100,25,Calcs!L610&lt;250,50,Calcs!L610&lt;1000,250,Calcs!L610&gt;=1000,1000))))</f>
        <v>25</v>
      </c>
      <c r="F610">
        <f>ROUNDUP('Ammo Input'!G610^(3/4),0)</f>
        <v>229</v>
      </c>
      <c r="G610">
        <f>ROUND((0.5*((IF(OR(B610="HEAT",B610="HEDP"),'Ammo Input'!N610,'Ammo Input'!H610)/1000)*(IF(B610="HEAT",9000,IF(B610="HEDP",1500,'Ammo Input'!G610))^2))),0)</f>
        <v>202500</v>
      </c>
      <c r="H610" s="25" t="str">
        <f>CONCATENATE(IF((B610="Foam")+(B610="Smoke"),"-",ROUND(Calcs!D610,0))," ",VLOOKUP(B610,AmmoTypeFactors,5,FALSE))</f>
        <v>88 Bullet</v>
      </c>
      <c r="I610" s="25" t="str">
        <f>IF(Calcs!E610=0,"None",CONCATENATE(ROUND(Calcs!E610,0)," ",VLOOKUP(B610,AmmoTypeFactors,6,FALSE)))</f>
        <v>None</v>
      </c>
      <c r="J610">
        <f>MROUND(2.42*'Ammo Input'!M610^(1/3)*VLOOKUP(B610,AmmoTypeFactors,3,FALSE),0.5)</f>
        <v>1.5</v>
      </c>
      <c r="K610" s="25" t="str">
        <f>IF(VLOOKUP(B610,AmmoTypeFactors,12,FALSE),MROUND(J610/3,0.5),"None")</f>
        <v>None</v>
      </c>
      <c r="L610" s="25">
        <f>IF(VLOOKUP(B610,AmmoTypeFactors,8,FALSE),"None",ROUNDUP(IF(Calcs!I610&gt;0,Calcs!I610,Calcs!H610),3))</f>
        <v>62.411</v>
      </c>
      <c r="M610" s="34">
        <f>IF(VLOOKUP(B610,AmmoTypeFactors,8,FALSE),"None",'Ammo Input'!L610)</f>
        <v>420</v>
      </c>
      <c r="N610">
        <f>'Ammo Input'!O610</f>
        <v>2</v>
      </c>
      <c r="O610" t="e">
        <f>ROUND((P610*0.0036+SUMPRODUCT(Q610:AB610,VLOOKUP($Q$1:$AB$1,IngredientStats,2,FALSE)))/N610*IF('Ammo Input'!R610,0.5,1),2)</f>
        <v>#VALUE!</v>
      </c>
      <c r="P610" t="e">
        <f>(SUMPRODUCT(Q610:AB610,VLOOKUP($Q$1:$AB$1,IngredientStats,4,FALSE))*VLOOKUP(B610,AmmoTypeFactors,14,FALSE)*IF('Ammo Input'!R610,1.1,1))</f>
        <v>#VALUE!</v>
      </c>
      <c r="Q610">
        <f>IFERROR(__xludf.DUMMYFUNCTION("((IF(NOT(OR(REGEXMATCH(B606, ""Arrow""), B606 = ""Javelin"", B606 = ""Stick bomb"")), ROUNDUP(('Ammo Input'!E606 / 1000) * N606)) + IF(VLOOKUP(B606, AmmoTypeFactors, 9, FALSE) = ""Steel"", ROUNDUP(('Ammo Input'!H606 -'Ammo Input'!M606) * MAX(IF('Ammo Inpu"&amp;"t'!J606 &gt; 0, 'Ammo Input'!J606, 1), 1) * N606 / 1000))) / 'Ingredient stats'!$C$2) * IF(ISBLANK(VLOOKUP(B606,AmmoTypeFactors,15,False)),1,VLOOKUP(B606,AmmoTypeFactors,15,False))"),90)</f>
        <v>90</v>
      </c>
      <c r="R610">
        <f>IFERROR(__xludf.DUMMYFUNCTION("ROUNDUP((IF(REGEXMATCH(B606, ""Arrow"") + (B606 = ""Javelin""), 'Ammo Input'!E606) + IF(VLOOKUP(B606, AmmoTypeFactors, 9, FALSE) = ""Wood"", 'Ammo Input'!H606) + IF(B606 = ""Stick bomb"", 'Ammo Input'!E606)) * N606 / 'Ingredient stats'!$C$12 / 1000)"),0)</f>
        <v>0</v>
      </c>
      <c r="S610">
        <v>0</v>
      </c>
      <c r="T610">
        <v>0</v>
      </c>
      <c r="U610">
        <f>IF(VLOOKUP(B610,AmmoTypeFactors,9,FALSE)="Plasteel",ROUNDUP(('Ammo Input'!H610*MAX(IF('Ammo Input'!J610&gt;0,'Ammo Input'!J610,1)*N610/1000/'Ingredient stats'!$C$4)),0),0)</f>
        <v>0</v>
      </c>
      <c r="V610">
        <f>IFERROR(__xludf.DUMMYFUNCTION("ROUNDUP(IF(ISBLANK(VLOOKUP(B606,AmmoTypeFactors,16,False)),1,VLOOKUP(B606,AmmoTypeFactors,16,False)) * (IFS(REGEXMATCH(B606, ""EMP""), 'Ammo Input'!M606 * N606 / 'Ingredient stats'!$C$5, REGEXMATCH(B606, ""Charge""), (U606^0.75), true, 0) + (IF(VLOOKUP(B6"&amp;"06, AmmoTypeFactors, 10, false), 2,0) + IF('Ammo Input'!P606, 2,0) + IF('Ammo Input'!Q606,MIN(ROUNDUP(0.2*('Ammo Input'!H606/1000)*'Ammo Input'!O606,0),20),0))))"),2)</f>
        <v>2</v>
      </c>
      <c r="W610">
        <v>0</v>
      </c>
      <c r="X610">
        <v>7</v>
      </c>
      <c r="Y610">
        <v>0</v>
      </c>
      <c r="Z610">
        <v>0</v>
      </c>
      <c r="AA610">
        <v>0</v>
      </c>
      <c r="AB610" s="30">
        <f>IF(B610="Sling Bullet (Stone)",ROUNDUP(D610*0.02*E610/'Ingredient stats'!$C$8,0),0)</f>
        <v>0</v>
      </c>
      <c r="AC610" t="str">
        <f t="shared" si="28"/>
        <v>None</v>
      </c>
      <c r="AD610" t="str">
        <f>IF(OR(B610="Buck",B610="Bird",B610="Charge (Scatter)"),'Ammo Input'!J610,"None")</f>
        <v>None</v>
      </c>
      <c r="AE610">
        <f>_xlfn.IFS(ISTEXT(Calcs!N610),Calcs!N610,Calcs!N610&lt;=40,Calcs!N610,Calcs!N610&gt;41,"40")</f>
        <v>18</v>
      </c>
      <c r="AF610">
        <f>_xlfn.IFS(ISTEXT(Calcs!O610),Calcs!O610,Calcs!O610&lt;=80,Calcs!O610,Calcs!O610&gt;=81,"80")</f>
        <v>21</v>
      </c>
      <c r="AG610" s="25">
        <f t="shared" si="29"/>
        <v>3</v>
      </c>
      <c r="AH610" s="25">
        <f t="shared" si="30"/>
        <v>3.7</v>
      </c>
      <c r="AI610" s="25">
        <f t="shared" si="31"/>
        <v>2</v>
      </c>
    </row>
    <row r="611" ht="14.4" spans="1:35">
      <c r="A611" s="24" t="str">
        <f>'Ammo Input'!A611</f>
        <v>120mm Cannon</v>
      </c>
      <c r="B611" t="str">
        <f>'Ammo Input'!B611</f>
        <v>HE</v>
      </c>
      <c r="C611">
        <f>ROUNDUP(('Ammo Input'!C611*(MAX('Ammo Input'!D611,'Ammo Input'!F611)*0.5)^2*PI())*3/1000000,2)</f>
        <v>66.09</v>
      </c>
      <c r="D611">
        <f>ROUNDUP(('Ammo Input'!E611+'Ammo Input'!H611*IF('Ammo Input'!J611&lt;&gt;"",MAX('Ammo Input'!J611,1),1))/1000,3)</f>
        <v>22.3</v>
      </c>
      <c r="E611">
        <f>MIN(5000,MAX(25,CEILING(Calcs!L611,_xlfn.IFS(Calcs!L611&lt;100,25,Calcs!L611&lt;250,50,Calcs!L611&lt;1000,250,Calcs!L611&gt;=1000,1000))))</f>
        <v>25</v>
      </c>
      <c r="F611">
        <f>ROUNDUP('Ammo Input'!G611^(3/4),0)</f>
        <v>229</v>
      </c>
      <c r="G611">
        <f>ROUND((0.5*((IF(OR(B611="HEAT",B611="HEDP"),'Ammo Input'!N611,'Ammo Input'!H611)/1000)*(IF(B611="HEAT",9000,IF(B611="HEDP",1500,'Ammo Input'!G611))^2))),0)</f>
        <v>11172000</v>
      </c>
      <c r="H611" s="25" t="str">
        <f>CONCATENATE(IF((B611="Foam")+(B611="Smoke"),"-",ROUND(Calcs!D611,0))," ",VLOOKUP(B611,AmmoTypeFactors,5,FALSE))</f>
        <v>315 Bomb</v>
      </c>
      <c r="I611" s="25" t="str">
        <f>IF(Calcs!E611=0,"None",CONCATENATE(ROUND(Calcs!E611,0)," ",VLOOKUP(B611,AmmoTypeFactors,6,FALSE)))</f>
        <v>None</v>
      </c>
      <c r="J611">
        <f>MROUND(2.42*'Ammo Input'!M611^(1/3)*VLOOKUP(B611,AmmoTypeFactors,3,FALSE),0.5)</f>
        <v>4</v>
      </c>
      <c r="K611" s="25" t="str">
        <f>IF(VLOOKUP(B611,AmmoTypeFactors,12,FALSE),MROUND(J611/3,0.5),"None")</f>
        <v>None</v>
      </c>
      <c r="L611" s="25" t="str">
        <f>IF(VLOOKUP(B611,AmmoTypeFactors,8,FALSE),"None",ROUNDUP(IF(Calcs!I611&gt;0,Calcs!I611,Calcs!H611),3))</f>
        <v>None</v>
      </c>
      <c r="M611" s="25" t="str">
        <f>IF(VLOOKUP(B611,AmmoTypeFactors,8,FALSE),"None",'Ammo Input'!L611)</f>
        <v>None</v>
      </c>
      <c r="N611">
        <f>'Ammo Input'!O611</f>
        <v>2</v>
      </c>
      <c r="O611" t="e">
        <f>ROUND((P611*0.0036+SUMPRODUCT(Q611:AB611,VLOOKUP($Q$1:$AB$1,IngredientStats,2,FALSE)))/N611*IF('Ammo Input'!R611,0.5,1),2)</f>
        <v>#VALUE!</v>
      </c>
      <c r="P611" t="e">
        <f>(SUMPRODUCT(Q611:AB611,VLOOKUP($Q$1:$AB$1,IngredientStats,4,FALSE))*VLOOKUP(B611,AmmoTypeFactors,14,FALSE)*IF('Ammo Input'!R611,1.1,1))</f>
        <v>#VALUE!</v>
      </c>
      <c r="Q611">
        <f>IFERROR(__xludf.DUMMYFUNCTION("((IF(NOT(OR(REGEXMATCH(B607, ""Arrow""), B607 = ""Javelin"", B607 = ""Stick bomb"")), ROUNDUP(('Ammo Input'!E607 / 1000) * N607)) + IF(VLOOKUP(B607, AmmoTypeFactors, 9, FALSE) = ""Steel"", ROUNDUP(('Ammo Input'!H607 -'Ammo Input'!M607) * MAX(IF('Ammo Inpu"&amp;"t'!J607 &gt; 0, 'Ammo Input'!J607, 1), 1) * N607 / 1000))) / 'Ingredient stats'!$C$2) * IF(ISBLANK(VLOOKUP(B607,AmmoTypeFactors,15,False)),1,VLOOKUP(B607,AmmoTypeFactors,15,False))"),90)</f>
        <v>90</v>
      </c>
      <c r="R611">
        <f>IFERROR(__xludf.DUMMYFUNCTION("ROUNDUP((IF(REGEXMATCH(B607, ""Arrow"") + (B607 = ""Javelin""), 'Ammo Input'!E607) + IF(VLOOKUP(B607, AmmoTypeFactors, 9, FALSE) = ""Wood"", 'Ammo Input'!H607) + IF(B607 = ""Stick bomb"", 'Ammo Input'!E607)) * N607 / 'Ingredient stats'!$C$12 / 1000)"),0)</f>
        <v>0</v>
      </c>
      <c r="S611">
        <v>0</v>
      </c>
      <c r="T611">
        <v>0</v>
      </c>
      <c r="U611">
        <f>IF(VLOOKUP(B611,AmmoTypeFactors,9,FALSE)="Plasteel",ROUNDUP(('Ammo Input'!H611*MAX(IF('Ammo Input'!J611&gt;0,'Ammo Input'!J611,1)*N611/1000/'Ingredient stats'!$C$4)),0),0)</f>
        <v>0</v>
      </c>
      <c r="V611">
        <f>IFERROR(__xludf.DUMMYFUNCTION("ROUNDUP(IF(ISBLANK(VLOOKUP(B607,AmmoTypeFactors,16,False)),1,VLOOKUP(B607,AmmoTypeFactors,16,False)) * (IFS(REGEXMATCH(B607, ""EMP""), 'Ammo Input'!M607 * N607 / 'Ingredient stats'!$C$5, REGEXMATCH(B607, ""Charge""), (U607^0.75), true, 0) + (IF(VLOOKUP(B6"&amp;"07, AmmoTypeFactors, 10, false), 2,0) + IF('Ammo Input'!P607, 2,0) + IF('Ammo Input'!Q607,MIN(ROUNDUP(0.2*('Ammo Input'!H607/1000)*'Ammo Input'!O607,0),20),0))))"),2)</f>
        <v>2</v>
      </c>
      <c r="W611">
        <v>0</v>
      </c>
      <c r="X611">
        <v>13</v>
      </c>
      <c r="Y611">
        <v>0</v>
      </c>
      <c r="Z611">
        <v>0</v>
      </c>
      <c r="AA611">
        <v>0</v>
      </c>
      <c r="AB611" s="30">
        <f>IF(B611="Sling Bullet (Stone)",ROUNDUP(D611*0.02*E611/'Ingredient stats'!$C$8,0),0)</f>
        <v>0</v>
      </c>
      <c r="AC611" t="str">
        <f t="shared" si="28"/>
        <v>None</v>
      </c>
      <c r="AD611" t="str">
        <f>IF(OR(B611="Buck",B611="Bird",B611="Charge (Scatter)"),'Ammo Input'!J611,"None")</f>
        <v>None</v>
      </c>
      <c r="AE611">
        <f>_xlfn.IFS(ISTEXT(Calcs!N611),Calcs!N611,Calcs!N611&lt;=40,Calcs!N611,Calcs!N611&gt;41,"40")</f>
        <v>30</v>
      </c>
      <c r="AF611" t="str">
        <f>_xlfn.IFS(ISTEXT(Calcs!O611),Calcs!O611,Calcs!O611&lt;=80,Calcs!O611,Calcs!O611&gt;=81,"80")</f>
        <v>80</v>
      </c>
      <c r="AG611" s="25">
        <f t="shared" si="29"/>
        <v>3</v>
      </c>
      <c r="AH611" s="25">
        <f t="shared" si="30"/>
        <v>3.7</v>
      </c>
      <c r="AI611" s="25">
        <f t="shared" si="31"/>
        <v>2</v>
      </c>
    </row>
    <row r="612" ht="14.4" spans="1:35">
      <c r="A612" s="24" t="str">
        <f>'Ammo Input'!A612</f>
        <v>105mm Howitzer</v>
      </c>
      <c r="B612" t="str">
        <f>'Ammo Input'!B612</f>
        <v>HE</v>
      </c>
      <c r="C612">
        <f>ROUNDUP(('Ammo Input'!C612*(MAX('Ammo Input'!D612,'Ammo Input'!F612)*0.5)^2*PI())*3/1000000,2)</f>
        <v>20.27</v>
      </c>
      <c r="D612">
        <f>ROUNDUP(('Ammo Input'!E612+'Ammo Input'!H612*IF('Ammo Input'!J612&lt;&gt;"",MAX('Ammo Input'!J612,1),1))/1000,3)</f>
        <v>15</v>
      </c>
      <c r="E612">
        <f>MIN(5000,MAX(25,CEILING(Calcs!L612,_xlfn.IFS(Calcs!L612&lt;100,25,Calcs!L612&lt;250,50,Calcs!L612&lt;1000,250,Calcs!L612&gt;=1000,1000))))</f>
        <v>25</v>
      </c>
      <c r="F612">
        <f>ROUNDUP('Ammo Input'!G612^(3/4),0)</f>
        <v>147</v>
      </c>
      <c r="G612">
        <f>ROUND((0.5*((IF(OR(B612="HEAT",B612="HEDP"),'Ammo Input'!N612,'Ammo Input'!H612)/1000)*(IF(B612="HEAT",9000,IF(B612="HEDP",1500,'Ammo Input'!G612))^2))),0)</f>
        <v>4446750</v>
      </c>
      <c r="H612" s="25" t="str">
        <f>CONCATENATE(IF((B612="Foam")+(B612="Smoke"),"-",ROUND(Calcs!D612,0))," ",VLOOKUP(B612,AmmoTypeFactors,5,FALSE))</f>
        <v>217 Bomb</v>
      </c>
      <c r="I612" s="25" t="str">
        <f>IF(Calcs!E612=0,"None",CONCATENATE(ROUND(Calcs!E612,0)," ",VLOOKUP(B612,AmmoTypeFactors,6,FALSE)))</f>
        <v>None</v>
      </c>
      <c r="J612">
        <f>MROUND(2.42*'Ammo Input'!M612^(1/3)*VLOOKUP(B612,AmmoTypeFactors,3,FALSE),0.5)</f>
        <v>3</v>
      </c>
      <c r="K612" s="25" t="str">
        <f>IF(VLOOKUP(B612,AmmoTypeFactors,12,FALSE),MROUND(J612/3,0.5),"None")</f>
        <v>None</v>
      </c>
      <c r="L612" s="25" t="str">
        <f>IF(VLOOKUP(B612,AmmoTypeFactors,8,FALSE),"None",ROUNDUP(IF(Calcs!I612&gt;0,Calcs!I612,Calcs!H612),3))</f>
        <v>None</v>
      </c>
      <c r="M612" s="25" t="str">
        <f>IF(VLOOKUP(B612,AmmoTypeFactors,8,FALSE),"None",'Ammo Input'!L612)</f>
        <v>None</v>
      </c>
      <c r="N612">
        <f>'Ammo Input'!O612</f>
        <v>2</v>
      </c>
      <c r="O612" t="e">
        <f>ROUND((P612*0.0036+SUMPRODUCT(Q612:AB612,VLOOKUP($Q$1:$AB$1,IngredientStats,2,FALSE)))/N612*IF('Ammo Input'!R612,0.5,1),2)</f>
        <v>#VALUE!</v>
      </c>
      <c r="P612" t="e">
        <f>(SUMPRODUCT(Q612:AB612,VLOOKUP($Q$1:$AB$1,IngredientStats,4,FALSE))*VLOOKUP(B612,AmmoTypeFactors,14,FALSE)*IF('Ammo Input'!R612,1.1,1))</f>
        <v>#VALUE!</v>
      </c>
      <c r="Q612">
        <f>IFERROR(__xludf.DUMMYFUNCTION("((IF(NOT(OR(REGEXMATCH(B608, ""Arrow""), B608 = ""Javelin"", B608 = ""Stick bomb"")), ROUNDUP(('Ammo Input'!E608 / 1000) * N608)) + IF(VLOOKUP(B608, AmmoTypeFactors, 9, FALSE) = ""Steel"", ROUNDUP(('Ammo Input'!H608 -'Ammo Input'!M608) * MAX(IF('Ammo Inpu"&amp;"t'!J608 &gt; 0, 'Ammo Input'!J608, 1), 1) * N608 / 1000))) / 'Ingredient stats'!$C$2) * IF(ISBLANK(VLOOKUP(B608,AmmoTypeFactors,15,False)),1,VLOOKUP(B608,AmmoTypeFactors,15,False))"),60)</f>
        <v>60</v>
      </c>
      <c r="R612">
        <f>IFERROR(__xludf.DUMMYFUNCTION("ROUNDUP((IF(REGEXMATCH(B608, ""Arrow"") + (B608 = ""Javelin""), 'Ammo Input'!E608) + IF(VLOOKUP(B608, AmmoTypeFactors, 9, FALSE) = ""Wood"", 'Ammo Input'!H608) + IF(B608 = ""Stick bomb"", 'Ammo Input'!E608)) * N608 / 'Ingredient stats'!$C$12 / 1000)"),0)</f>
        <v>0</v>
      </c>
      <c r="S612">
        <v>0</v>
      </c>
      <c r="T612">
        <v>0</v>
      </c>
      <c r="U612">
        <f>IF(VLOOKUP(B612,AmmoTypeFactors,9,FALSE)="Plasteel",ROUNDUP(('Ammo Input'!H612*MAX(IF('Ammo Input'!J612&gt;0,'Ammo Input'!J612,1)*N612/1000/'Ingredient stats'!$C$4)),0),0)</f>
        <v>0</v>
      </c>
      <c r="V612">
        <f>IFERROR(__xludf.DUMMYFUNCTION("ROUNDUP(IF(ISBLANK(VLOOKUP(B608,AmmoTypeFactors,16,False)),1,VLOOKUP(B608,AmmoTypeFactors,16,False)) * (IFS(REGEXMATCH(B608, ""EMP""), 'Ammo Input'!M608 * N608 / 'Ingredient stats'!$C$5, REGEXMATCH(B608, ""Charge""), (U608^0.75), true, 0) + (IF(VLOOKUP(B6"&amp;"08, AmmoTypeFactors, 10, false), 2,0) + IF('Ammo Input'!P608, 2,0) + IF('Ammo Input'!Q608,MIN(ROUNDUP(0.2*('Ammo Input'!H608/1000)*'Ammo Input'!O608,0),20),0))))"),2)</f>
        <v>2</v>
      </c>
      <c r="W612">
        <v>0</v>
      </c>
      <c r="X612">
        <v>7</v>
      </c>
      <c r="Y612">
        <v>0</v>
      </c>
      <c r="Z612">
        <v>0</v>
      </c>
      <c r="AA612">
        <v>0</v>
      </c>
      <c r="AB612" s="30">
        <f>IF(B612="Sling Bullet (Stone)",ROUNDUP(D612*0.02*E612/'Ingredient stats'!$C$8,0),0)</f>
        <v>0</v>
      </c>
      <c r="AC612" t="str">
        <f t="shared" si="28"/>
        <v>None</v>
      </c>
      <c r="AD612" t="str">
        <f>IF(OR(B612="Buck",B612="Bird",B612="Charge (Scatter)"),'Ammo Input'!J612,"None")</f>
        <v>None</v>
      </c>
      <c r="AE612" t="str">
        <f>_xlfn.IFS(ISTEXT(Calcs!N612),Calcs!N612,Calcs!N612&lt;=40,Calcs!N612,Calcs!N612&gt;41,"40")</f>
        <v>40</v>
      </c>
      <c r="AF612">
        <f>_xlfn.IFS(ISTEXT(Calcs!O612),Calcs!O612,Calcs!O612&lt;=80,Calcs!O612,Calcs!O612&gt;=81,"80")</f>
        <v>44</v>
      </c>
      <c r="AG612" s="25">
        <f t="shared" si="29"/>
        <v>3</v>
      </c>
      <c r="AH612" s="25">
        <f t="shared" si="30"/>
        <v>2.41</v>
      </c>
      <c r="AI612" s="25">
        <f t="shared" si="31"/>
        <v>2</v>
      </c>
    </row>
    <row r="613" ht="14.4" spans="1:35">
      <c r="A613" s="24" t="str">
        <f>'Ammo Input'!A613</f>
        <v>105mm Howitzer</v>
      </c>
      <c r="B613" t="str">
        <f>'Ammo Input'!B613</f>
        <v>Airburst</v>
      </c>
      <c r="C613">
        <f>ROUNDUP(('Ammo Input'!C613*(MAX('Ammo Input'!D613,'Ammo Input'!F613)*0.5)^2*PI())*3/1000000,2)</f>
        <v>20.27</v>
      </c>
      <c r="D613">
        <f>ROUNDUP(('Ammo Input'!E613+'Ammo Input'!H613*IF('Ammo Input'!J613&lt;&gt;"",MAX('Ammo Input'!J613,1),1))/1000,3)</f>
        <v>15</v>
      </c>
      <c r="E613">
        <f>MIN(5000,MAX(25,CEILING(Calcs!L613,_xlfn.IFS(Calcs!L613&lt;100,25,Calcs!L613&lt;250,50,Calcs!L613&lt;1000,250,Calcs!L613&gt;=1000,1000))))</f>
        <v>25</v>
      </c>
      <c r="F613">
        <f>ROUNDUP('Ammo Input'!G613^(3/4),0)</f>
        <v>147</v>
      </c>
      <c r="G613">
        <f>ROUND((0.5*((IF(OR(B613="HEAT",B613="HEDP"),'Ammo Input'!N613,'Ammo Input'!H613)/1000)*(IF(B613="HEAT",9000,IF(B613="HEDP",1500,'Ammo Input'!G613))^2))),0)</f>
        <v>4446750</v>
      </c>
      <c r="H613" s="25" t="str">
        <f>CONCATENATE(IF((B613="Foam")+(B613="Smoke"),"-",ROUND(Calcs!D613,0))," ",VLOOKUP(B613,AmmoTypeFactors,5,FALSE))</f>
        <v>217 Bomb</v>
      </c>
      <c r="I613" s="25" t="str">
        <f>IF(Calcs!E613=0,"None",CONCATENATE(ROUND(Calcs!E613,0)," ",VLOOKUP(B613,AmmoTypeFactors,6,FALSE)))</f>
        <v>None</v>
      </c>
      <c r="J613">
        <f>MROUND(2.42*'Ammo Input'!M613^(1/3)*VLOOKUP(B613,AmmoTypeFactors,3,FALSE),0.5)</f>
        <v>3</v>
      </c>
      <c r="K613" s="25" t="str">
        <f>IF(VLOOKUP(B613,AmmoTypeFactors,12,FALSE),MROUND(J613/3,0.5),"None")</f>
        <v>None</v>
      </c>
      <c r="L613" s="25" t="str">
        <f>IF(VLOOKUP(B613,AmmoTypeFactors,8,FALSE),"None",ROUNDUP(IF(Calcs!I613&gt;0,Calcs!I613,Calcs!H613),3))</f>
        <v>None</v>
      </c>
      <c r="M613" s="25" t="str">
        <f>IF(VLOOKUP(B613,AmmoTypeFactors,8,FALSE),"None",'Ammo Input'!L613)</f>
        <v>None</v>
      </c>
      <c r="N613">
        <f>'Ammo Input'!O613</f>
        <v>2</v>
      </c>
      <c r="O613" t="e">
        <f>ROUND((P613*0.0036+SUMPRODUCT(Q613:AB613,VLOOKUP($Q$1:$AB$1,IngredientStats,2,FALSE)))/N613*IF('Ammo Input'!R613,0.5,1),2)</f>
        <v>#VALUE!</v>
      </c>
      <c r="P613" t="e">
        <f>(SUMPRODUCT(Q613:AB613,VLOOKUP($Q$1:$AB$1,IngredientStats,4,FALSE))*VLOOKUP(B613,AmmoTypeFactors,14,FALSE)*IF('Ammo Input'!R613,1.1,1))</f>
        <v>#VALUE!</v>
      </c>
      <c r="Q613">
        <f>IFERROR(__xludf.DUMMYFUNCTION("((IF(NOT(OR(REGEXMATCH(B609, ""Arrow""), B609 = ""Javelin"", B609 = ""Stick bomb"")), ROUNDUP(('Ammo Input'!E609 / 1000) * N609)) + IF(VLOOKUP(B609, AmmoTypeFactors, 9, FALSE) = ""Steel"", ROUNDUP(('Ammo Input'!H609 -'Ammo Input'!M609) * MAX(IF('Ammo Inpu"&amp;"t'!J609 &gt; 0, 'Ammo Input'!J609, 1), 1) * N609 / 1000))) / 'Ingredient stats'!$C$2) * IF(ISBLANK(VLOOKUP(B609,AmmoTypeFactors,15,False)),1,VLOOKUP(B609,AmmoTypeFactors,15,False))"),60)</f>
        <v>60</v>
      </c>
      <c r="R613">
        <f>IFERROR(__xludf.DUMMYFUNCTION("ROUNDUP((IF(REGEXMATCH(B609, ""Arrow"") + (B609 = ""Javelin""), 'Ammo Input'!E609) + IF(VLOOKUP(B609, AmmoTypeFactors, 9, FALSE) = ""Wood"", 'Ammo Input'!H609) + IF(B609 = ""Stick bomb"", 'Ammo Input'!E609)) * N609 / 'Ingredient stats'!$C$12 / 1000)"),0)</f>
        <v>0</v>
      </c>
      <c r="S613">
        <v>0</v>
      </c>
      <c r="T613">
        <v>0</v>
      </c>
      <c r="U613">
        <f>IF(VLOOKUP(B613,AmmoTypeFactors,9,FALSE)="Plasteel",ROUNDUP(('Ammo Input'!H613*MAX(IF('Ammo Input'!J613&gt;0,'Ammo Input'!J613,1)*N613/1000/'Ingredient stats'!$C$4)),0),0)</f>
        <v>0</v>
      </c>
      <c r="V613">
        <f>IFERROR(__xludf.DUMMYFUNCTION("ROUNDUP(IF(ISBLANK(VLOOKUP(B609,AmmoTypeFactors,16,False)),1,VLOOKUP(B609,AmmoTypeFactors,16,False)) * (IFS(REGEXMATCH(B609, ""EMP""), 'Ammo Input'!M609 * N609 / 'Ingredient stats'!$C$5, REGEXMATCH(B609, ""Charge""), (U609^0.75), true, 0) + (IF(VLOOKUP(B6"&amp;"09, AmmoTypeFactors, 10, false), 2,0) + IF('Ammo Input'!P609, 2,0) + IF('Ammo Input'!Q609,MIN(ROUNDUP(0.2*('Ammo Input'!H609/1000)*'Ammo Input'!O609,0),20),0))))"),4)</f>
        <v>4</v>
      </c>
      <c r="W613">
        <v>0</v>
      </c>
      <c r="X613">
        <v>7</v>
      </c>
      <c r="Y613">
        <v>0</v>
      </c>
      <c r="Z613">
        <v>0</v>
      </c>
      <c r="AA613">
        <v>0</v>
      </c>
      <c r="AB613" s="30">
        <f>IF(B613="Sling Bullet (Stone)",ROUNDUP(D613*0.02*E613/'Ingredient stats'!$C$8,0),0)</f>
        <v>0</v>
      </c>
      <c r="AC613" t="str">
        <f t="shared" si="28"/>
        <v>None</v>
      </c>
      <c r="AD613" t="str">
        <f>IF(OR(B613="Buck",B613="Bird",B613="Charge (Scatter)"),'Ammo Input'!J613,"None")</f>
        <v>None</v>
      </c>
      <c r="AE613" t="str">
        <f>_xlfn.IFS(ISTEXT(Calcs!N613),Calcs!N613,Calcs!N613&lt;=40,Calcs!N613,Calcs!N613&gt;41,"40")</f>
        <v>40</v>
      </c>
      <c r="AF613">
        <f>_xlfn.IFS(ISTEXT(Calcs!O613),Calcs!O613,Calcs!O613&lt;=80,Calcs!O613,Calcs!O613&gt;=81,"80")</f>
        <v>65</v>
      </c>
      <c r="AG613" s="25">
        <f t="shared" si="29"/>
        <v>3</v>
      </c>
      <c r="AH613" s="25">
        <f t="shared" si="30"/>
        <v>2.41</v>
      </c>
      <c r="AI613" s="25">
        <f t="shared" si="31"/>
        <v>2</v>
      </c>
    </row>
    <row r="614" ht="14.4" spans="1:35">
      <c r="A614" s="24" t="str">
        <f>'Ammo Input'!A614</f>
        <v>105mm Howitzer</v>
      </c>
      <c r="B614" t="str">
        <f>'Ammo Input'!B614</f>
        <v>HEAT</v>
      </c>
      <c r="C614">
        <f>ROUNDUP(('Ammo Input'!C614*(MAX('Ammo Input'!D614,'Ammo Input'!F614)*0.5)^2*PI())*3/1000000,2)</f>
        <v>20.27</v>
      </c>
      <c r="D614">
        <f>ROUNDUP(('Ammo Input'!E614+'Ammo Input'!H614*IF('Ammo Input'!J614&lt;&gt;"",MAX('Ammo Input'!J614,1),1))/1000,3)</f>
        <v>19</v>
      </c>
      <c r="E614">
        <f>MIN(5000,MAX(25,CEILING(Calcs!L614,_xlfn.IFS(Calcs!L614&lt;100,25,Calcs!L614&lt;250,50,Calcs!L614&lt;1000,250,Calcs!L614&gt;=1000,1000))))</f>
        <v>25</v>
      </c>
      <c r="F614">
        <f>ROUNDUP('Ammo Input'!G614^(3/4),0)</f>
        <v>178</v>
      </c>
      <c r="G614">
        <f>ROUND((0.5*((IF(OR(B614="HEAT",B614="HEDP"),'Ammo Input'!N614,'Ammo Input'!H614)/1000)*(IF(B614="HEAT",9000,IF(B614="HEDP",1500,'Ammo Input'!G614))^2))),0)</f>
        <v>11097000</v>
      </c>
      <c r="H614" s="25" t="str">
        <f>CONCATENATE(IF((B614="Foam")+(B614="Smoke"),"-",ROUND(Calcs!D614,0))," ",VLOOKUP(B614,AmmoTypeFactors,5,FALSE))</f>
        <v>352 Bullet</v>
      </c>
      <c r="I614" s="25" t="str">
        <f>IF(Calcs!E614=0,"None",CONCATENATE(ROUND(Calcs!E614,0)," ",VLOOKUP(B614,AmmoTypeFactors,6,FALSE)))</f>
        <v>None</v>
      </c>
      <c r="J614">
        <f>MROUND(2.42*'Ammo Input'!M614^(1/3)*VLOOKUP(B614,AmmoTypeFactors,3,FALSE),0.5)</f>
        <v>1.5</v>
      </c>
      <c r="K614" s="25" t="str">
        <f>IF(VLOOKUP(B614,AmmoTypeFactors,12,FALSE),MROUND(J614/3,0.5),"None")</f>
        <v>None</v>
      </c>
      <c r="L614" s="25">
        <f>IF(VLOOKUP(B614,AmmoTypeFactors,8,FALSE),"None",ROUNDUP(IF(Calcs!I614&gt;0,Calcs!I614,Calcs!H614),3))</f>
        <v>46.013</v>
      </c>
      <c r="M614" s="25">
        <f>IF(VLOOKUP(B614,AmmoTypeFactors,8,FALSE),"None",'Ammo Input'!L614)</f>
        <v>375</v>
      </c>
      <c r="N614">
        <f>'Ammo Input'!O614</f>
        <v>2</v>
      </c>
      <c r="O614" t="e">
        <f>ROUND((P614*0.0036+SUMPRODUCT(Q614:AB614,VLOOKUP($Q$1:$AB$1,IngredientStats,2,FALSE)))/N614*IF('Ammo Input'!R614,0.5,1),2)</f>
        <v>#VALUE!</v>
      </c>
      <c r="P614" t="e">
        <f>(SUMPRODUCT(Q614:AB614,VLOOKUP($Q$1:$AB$1,IngredientStats,4,FALSE))*VLOOKUP(B614,AmmoTypeFactors,14,FALSE)*IF('Ammo Input'!R614,1.1,1))</f>
        <v>#VALUE!</v>
      </c>
      <c r="Q614">
        <f>IFERROR(__xludf.DUMMYFUNCTION("((IF(NOT(OR(REGEXMATCH(B610, ""Arrow""), B610 = ""Javelin"", B610 = ""Stick bomb"")), ROUNDUP(('Ammo Input'!E610 / 1000) * N610)) + IF(VLOOKUP(B610, AmmoTypeFactors, 9, FALSE) = ""Steel"", ROUNDUP(('Ammo Input'!H610 -'Ammo Input'!M610) * MAX(IF('Ammo Inpu"&amp;"t'!J610 &gt; 0, 'Ammo Input'!J610, 1), 1) * N610 / 1000))) / 'Ingredient stats'!$C$2) * IF(ISBLANK(VLOOKUP(B610,AmmoTypeFactors,15,False)),1,VLOOKUP(B610,AmmoTypeFactors,15,False))"),76)</f>
        <v>76</v>
      </c>
      <c r="R614">
        <f>IFERROR(__xludf.DUMMYFUNCTION("ROUNDUP((IF(REGEXMATCH(B610, ""Arrow"") + (B610 = ""Javelin""), 'Ammo Input'!E610) + IF(VLOOKUP(B610, AmmoTypeFactors, 9, FALSE) = ""Wood"", 'Ammo Input'!H610) + IF(B610 = ""Stick bomb"", 'Ammo Input'!E610)) * N610 / 'Ingredient stats'!$C$12 / 1000)"),0)</f>
        <v>0</v>
      </c>
      <c r="S614">
        <v>0</v>
      </c>
      <c r="T614">
        <v>0</v>
      </c>
      <c r="U614">
        <f>IF(VLOOKUP(B614,AmmoTypeFactors,9,FALSE)="Plasteel",ROUNDUP(('Ammo Input'!H614*MAX(IF('Ammo Input'!J614&gt;0,'Ammo Input'!J614,1)*N614/1000/'Ingredient stats'!$C$4)),0),0)</f>
        <v>0</v>
      </c>
      <c r="V614">
        <f>IFERROR(__xludf.DUMMYFUNCTION("ROUNDUP(IF(ISBLANK(VLOOKUP(B610,AmmoTypeFactors,16,False)),1,VLOOKUP(B610,AmmoTypeFactors,16,False)) * (IFS(REGEXMATCH(B610, ""EMP""), 'Ammo Input'!M610 * N610 / 'Ingredient stats'!$C$5, REGEXMATCH(B610, ""Charge""), (U610^0.75), true, 0) + (IF(VLOOKUP(B6"&amp;"10, AmmoTypeFactors, 10, false), 2,0) + IF('Ammo Input'!P610, 2,0) + IF('Ammo Input'!Q610,MIN(ROUNDUP(0.2*('Ammo Input'!H610/1000)*'Ammo Input'!O610,0),20),0))))"),2)</f>
        <v>2</v>
      </c>
      <c r="W614">
        <v>0</v>
      </c>
      <c r="X614">
        <v>4</v>
      </c>
      <c r="Y614">
        <v>0</v>
      </c>
      <c r="Z614">
        <v>0</v>
      </c>
      <c r="AA614">
        <v>0</v>
      </c>
      <c r="AB614" s="30">
        <f>IF(B614="Sling Bullet (Stone)",ROUNDUP(D614*0.02*E614/'Ingredient stats'!$C$8,0),0)</f>
        <v>0</v>
      </c>
      <c r="AC614" t="str">
        <f t="shared" si="28"/>
        <v>None</v>
      </c>
      <c r="AD614" t="str">
        <f>IF(OR(B614="Buck",B614="Bird",B614="Charge (Scatter)"),'Ammo Input'!J614,"None")</f>
        <v>None</v>
      </c>
      <c r="AE614">
        <f>_xlfn.IFS(ISTEXT(Calcs!N614),Calcs!N614,Calcs!N614&lt;=40,Calcs!N614,Calcs!N614&gt;41,"40")</f>
        <v>26</v>
      </c>
      <c r="AF614">
        <f>_xlfn.IFS(ISTEXT(Calcs!O614),Calcs!O614,Calcs!O614&lt;=80,Calcs!O614,Calcs!O614&gt;=81,"80")</f>
        <v>13</v>
      </c>
      <c r="AG614" s="25">
        <f t="shared" si="29"/>
        <v>3</v>
      </c>
      <c r="AH614" s="25">
        <f t="shared" si="30"/>
        <v>2.9</v>
      </c>
      <c r="AI614" s="25">
        <f t="shared" si="31"/>
        <v>2</v>
      </c>
    </row>
    <row r="615" ht="14.4" spans="1:35">
      <c r="A615" s="24" t="str">
        <f>'Ammo Input'!A615</f>
        <v>105mm Howitzer</v>
      </c>
      <c r="B615" t="str">
        <f>'Ammo Input'!B615</f>
        <v>Incendiary (Heavy)</v>
      </c>
      <c r="C615">
        <f>ROUNDUP(('Ammo Input'!C615*(MAX('Ammo Input'!D615,'Ammo Input'!F615)*0.5)^2*PI())*3/1000000,2)</f>
        <v>20.27</v>
      </c>
      <c r="D615">
        <f>ROUNDUP(('Ammo Input'!E615+'Ammo Input'!H615*IF('Ammo Input'!J615&lt;&gt;"",MAX('Ammo Input'!J615,1),1))/1000,3)</f>
        <v>15</v>
      </c>
      <c r="E615">
        <f>MIN(5000,MAX(25,CEILING(Calcs!L615,_xlfn.IFS(Calcs!L615&lt;100,25,Calcs!L615&lt;250,50,Calcs!L615&lt;1000,250,Calcs!L615&gt;=1000,1000))))</f>
        <v>25</v>
      </c>
      <c r="F615">
        <f>ROUNDUP('Ammo Input'!G615^(3/4),0)</f>
        <v>147</v>
      </c>
      <c r="G615">
        <f>ROUND((0.5*((IF(OR(B615="HEAT",B615="HEDP"),'Ammo Input'!N615,'Ammo Input'!H615)/1000)*(IF(B615="HEAT",9000,IF(B615="HEDP",1500,'Ammo Input'!G615))^2))),0)</f>
        <v>4446750</v>
      </c>
      <c r="H615" s="25" t="str">
        <f>CONCATENATE(IF((B615="Foam")+(B615="Smoke"),"-",ROUND(Calcs!D615,0))," ",VLOOKUP(B615,AmmoTypeFactors,5,FALSE))</f>
        <v>15 Flame</v>
      </c>
      <c r="I615" s="25" t="str">
        <f>IF(Calcs!E615=0,"None",CONCATENATE(ROUND(Calcs!E615,0)," ",VLOOKUP(B615,AmmoTypeFactors,6,FALSE)))</f>
        <v>116 Thermobaric</v>
      </c>
      <c r="J615">
        <f>MROUND(2.42*'Ammo Input'!M615^(1/3)*VLOOKUP(B615,AmmoTypeFactors,3,FALSE),0.5)</f>
        <v>8</v>
      </c>
      <c r="K615" s="25">
        <f>IF(VLOOKUP(B615,AmmoTypeFactors,12,FALSE),MROUND(J615/3,0.5),"None")</f>
        <v>2.5</v>
      </c>
      <c r="L615" s="25" t="str">
        <f>IF(VLOOKUP(B615,AmmoTypeFactors,8,FALSE),"None",ROUNDUP(IF(Calcs!I615&gt;0,Calcs!I615,Calcs!H615),3))</f>
        <v>None</v>
      </c>
      <c r="M615" s="25" t="str">
        <f>IF(VLOOKUP(B615,AmmoTypeFactors,8,FALSE),"None",'Ammo Input'!L615)</f>
        <v>None</v>
      </c>
      <c r="N615">
        <f>'Ammo Input'!O615</f>
        <v>2</v>
      </c>
      <c r="O615" t="e">
        <f>ROUND((P615*0.0036+SUMPRODUCT(Q615:AB615,VLOOKUP($Q$1:$AB$1,IngredientStats,2,FALSE)))/N615*IF('Ammo Input'!R615,0.5,1),2)</f>
        <v>#VALUE!</v>
      </c>
      <c r="P615" t="e">
        <f>(SUMPRODUCT(Q615:AB615,VLOOKUP($Q$1:$AB$1,IngredientStats,4,FALSE))*VLOOKUP(B615,AmmoTypeFactors,14,FALSE)*IF('Ammo Input'!R615,1.1,1))</f>
        <v>#VALUE!</v>
      </c>
      <c r="Q615">
        <f>IFERROR(__xludf.DUMMYFUNCTION("((IF(NOT(OR(REGEXMATCH(B611, ""Arrow""), B611 = ""Javelin"", B611 = ""Stick bomb"")), ROUNDUP(('Ammo Input'!E611 / 1000) * N611)) + IF(VLOOKUP(B611, AmmoTypeFactors, 9, FALSE) = ""Steel"", ROUNDUP(('Ammo Input'!H611 -'Ammo Input'!M611) * MAX(IF('Ammo Inpu"&amp;"t'!J611 &gt; 0, 'Ammo Input'!J611, 1), 1) * N611 / 1000))) / 'Ingredient stats'!$C$2) * IF(ISBLANK(VLOOKUP(B611,AmmoTypeFactors,15,False)),1,VLOOKUP(B611,AmmoTypeFactors,15,False))"),60)</f>
        <v>60</v>
      </c>
      <c r="R615">
        <f>IFERROR(__xludf.DUMMYFUNCTION("ROUNDUP((IF(REGEXMATCH(B611, ""Arrow"") + (B611 = ""Javelin""), 'Ammo Input'!E611) + IF(VLOOKUP(B611, AmmoTypeFactors, 9, FALSE) = ""Wood"", 'Ammo Input'!H611) + IF(B611 = ""Stick bomb"", 'Ammo Input'!E611)) * N611 / 'Ingredient stats'!$C$12 / 1000)"),0)</f>
        <v>0</v>
      </c>
      <c r="S615">
        <v>0</v>
      </c>
      <c r="T615">
        <v>0</v>
      </c>
      <c r="U615">
        <f>IF(VLOOKUP(B615,AmmoTypeFactors,9,FALSE)="Plasteel",ROUNDUP(('Ammo Input'!H615*MAX(IF('Ammo Input'!J615&gt;0,'Ammo Input'!J615,1)*N615/1000/'Ingredient stats'!$C$4)),0),0)</f>
        <v>0</v>
      </c>
      <c r="V615">
        <f>IFERROR(__xludf.DUMMYFUNCTION("ROUNDUP(IF(ISBLANK(VLOOKUP(B611,AmmoTypeFactors,16,False)),1,VLOOKUP(B611,AmmoTypeFactors,16,False)) * (IFS(REGEXMATCH(B611, ""EMP""), 'Ammo Input'!M611 * N611 / 'Ingredient stats'!$C$5, REGEXMATCH(B611, ""Charge""), (U611^0.75), true, 0) + (IF(VLOOKUP(B6"&amp;"11, AmmoTypeFactors, 10, false), 2,0) + IF('Ammo Input'!P611, 2,0) + IF('Ammo Input'!Q611,MIN(ROUNDUP(0.2*('Ammo Input'!H611/1000)*'Ammo Input'!O611,0),20),0))))"),2)</f>
        <v>2</v>
      </c>
      <c r="W615">
        <v>3</v>
      </c>
      <c r="X615">
        <v>0</v>
      </c>
      <c r="Y615">
        <v>0</v>
      </c>
      <c r="Z615">
        <v>0</v>
      </c>
      <c r="AA615">
        <v>0</v>
      </c>
      <c r="AB615" s="30">
        <f>IF(B615="Sling Bullet (Stone)",ROUNDUP(D615*0.02*E615/'Ingredient stats'!$C$8,0),0)</f>
        <v>0</v>
      </c>
      <c r="AC615" t="str">
        <f t="shared" si="28"/>
        <v>None</v>
      </c>
      <c r="AD615" t="str">
        <f>IF(OR(B615="Buck",B615="Bird",B615="Charge (Scatter)"),'Ammo Input'!J615,"None")</f>
        <v>None</v>
      </c>
      <c r="AE615" t="str">
        <f>_xlfn.IFS(ISTEXT(Calcs!N615),Calcs!N615,Calcs!N615&lt;=40,Calcs!N615,Calcs!N615&gt;41,"40")</f>
        <v>None</v>
      </c>
      <c r="AF615" t="str">
        <f>_xlfn.IFS(ISTEXT(Calcs!O615),Calcs!O615,Calcs!O615&lt;=80,Calcs!O615,Calcs!O615&gt;=81,"80")</f>
        <v>None</v>
      </c>
      <c r="AG615" s="25">
        <f t="shared" si="29"/>
        <v>3</v>
      </c>
      <c r="AH615" s="25">
        <f t="shared" si="30"/>
        <v>2.41</v>
      </c>
      <c r="AI615" s="25">
        <f t="shared" si="31"/>
        <v>2</v>
      </c>
    </row>
    <row r="616" ht="14.4" spans="1:35">
      <c r="A616" s="24" t="str">
        <f>'Ammo Input'!A616</f>
        <v>105mm Howitzer</v>
      </c>
      <c r="B616" t="str">
        <f>'Ammo Input'!B616</f>
        <v>EMP</v>
      </c>
      <c r="C616">
        <f>ROUNDUP(('Ammo Input'!C616*(MAX('Ammo Input'!D616,'Ammo Input'!F616)*0.5)^2*PI())*3/1000000,2)</f>
        <v>20.27</v>
      </c>
      <c r="D616">
        <f>ROUNDUP(('Ammo Input'!E616+'Ammo Input'!H616*IF('Ammo Input'!J616&lt;&gt;"",MAX('Ammo Input'!J616,1),1))/1000,3)</f>
        <v>15</v>
      </c>
      <c r="E616">
        <f>MIN(5000,MAX(25,CEILING(Calcs!L616,_xlfn.IFS(Calcs!L616&lt;100,25,Calcs!L616&lt;250,50,Calcs!L616&lt;1000,250,Calcs!L616&gt;=1000,1000))))</f>
        <v>25</v>
      </c>
      <c r="F616">
        <f>ROUNDUP('Ammo Input'!G616^(3/4),0)</f>
        <v>147</v>
      </c>
      <c r="G616">
        <f>ROUND((0.5*((IF(OR(B616="HEAT",B616="HEDP"),'Ammo Input'!N616,'Ammo Input'!H616)/1000)*(IF(B616="HEAT",9000,IF(B616="HEDP",1500,'Ammo Input'!G616))^2))),0)</f>
        <v>4446750</v>
      </c>
      <c r="H616" s="25" t="str">
        <f>CONCATENATE(IF((B616="Foam")+(B616="Smoke"),"-",ROUND(Calcs!D616,0))," ",VLOOKUP(B616,AmmoTypeFactors,5,FALSE))</f>
        <v>217 EMP</v>
      </c>
      <c r="I616" s="25" t="str">
        <f>IF(Calcs!E616=0,"None",CONCATENATE(ROUND(Calcs!E616,0)," ",VLOOKUP(B616,AmmoTypeFactors,6,FALSE)))</f>
        <v>None</v>
      </c>
      <c r="J616">
        <f>MROUND(2.42*'Ammo Input'!M616^(1/3)*VLOOKUP(B616,AmmoTypeFactors,3,FALSE),0.5)</f>
        <v>6.5</v>
      </c>
      <c r="K616" s="25" t="str">
        <f>IF(VLOOKUP(B616,AmmoTypeFactors,12,FALSE),MROUND(J616/3,0.5),"None")</f>
        <v>None</v>
      </c>
      <c r="L616" s="25" t="str">
        <f>IF(VLOOKUP(B616,AmmoTypeFactors,8,FALSE),"None",ROUNDUP(IF(Calcs!I616&gt;0,Calcs!I616,Calcs!H616),3))</f>
        <v>None</v>
      </c>
      <c r="M616" s="25" t="str">
        <f>IF(VLOOKUP(B616,AmmoTypeFactors,8,FALSE),"None",'Ammo Input'!L616)</f>
        <v>None</v>
      </c>
      <c r="N616">
        <f>'Ammo Input'!O616</f>
        <v>2</v>
      </c>
      <c r="O616" t="e">
        <f>ROUND((P616*0.0036+SUMPRODUCT(Q616:AB616,VLOOKUP($Q$1:$AB$1,IngredientStats,2,FALSE)))/N616*IF('Ammo Input'!R616,0.5,1),2)</f>
        <v>#VALUE!</v>
      </c>
      <c r="P616" t="e">
        <f>(SUMPRODUCT(Q616:AB616,VLOOKUP($Q$1:$AB$1,IngredientStats,4,FALSE))*VLOOKUP(B616,AmmoTypeFactors,14,FALSE)*IF('Ammo Input'!R616,1.1,1))</f>
        <v>#VALUE!</v>
      </c>
      <c r="Q616">
        <f>IFERROR(__xludf.DUMMYFUNCTION("((IF(NOT(OR(REGEXMATCH(B612, ""Arrow""), B612 = ""Javelin"", B612 = ""Stick bomb"")), ROUNDUP(('Ammo Input'!E612 / 1000) * N612)) + IF(VLOOKUP(B612, AmmoTypeFactors, 9, FALSE) = ""Steel"", ROUNDUP(('Ammo Input'!H612 -'Ammo Input'!M612) * MAX(IF('Ammo Inpu"&amp;"t'!J612 &gt; 0, 'Ammo Input'!J612, 1), 1) * N612 / 1000))) / 'Ingredient stats'!$C$2) * IF(ISBLANK(VLOOKUP(B612,AmmoTypeFactors,15,False)),1,VLOOKUP(B612,AmmoTypeFactors,15,False))"),60)</f>
        <v>60</v>
      </c>
      <c r="R616">
        <f>IFERROR(__xludf.DUMMYFUNCTION("ROUNDUP((IF(REGEXMATCH(B612, ""Arrow"") + (B612 = ""Javelin""), 'Ammo Input'!E612) + IF(VLOOKUP(B612, AmmoTypeFactors, 9, FALSE) = ""Wood"", 'Ammo Input'!H612) + IF(B612 = ""Stick bomb"", 'Ammo Input'!E612)) * N612 / 'Ingredient stats'!$C$12 / 1000)"),0)</f>
        <v>0</v>
      </c>
      <c r="S616">
        <v>0</v>
      </c>
      <c r="T616">
        <v>0</v>
      </c>
      <c r="U616">
        <f>IF(VLOOKUP(B616,AmmoTypeFactors,9,FALSE)="Plasteel",ROUNDUP(('Ammo Input'!H616*MAX(IF('Ammo Input'!J616&gt;0,'Ammo Input'!J616,1)*N616/1000/'Ingredient stats'!$C$4)),0),0)</f>
        <v>0</v>
      </c>
      <c r="V616">
        <f>IFERROR(__xludf.DUMMYFUNCTION("ROUNDUP(IF(ISBLANK(VLOOKUP(B612,AmmoTypeFactors,16,False)),1,VLOOKUP(B612,AmmoTypeFactors,16,False)) * (IFS(REGEXMATCH(B612, ""EMP""), 'Ammo Input'!M612 * N612 / 'Ingredient stats'!$C$5, REGEXMATCH(B612, ""Charge""), (U612^0.75), true, 0) + (IF(VLOOKUP(B6"&amp;"12, AmmoTypeFactors, 10, false), 2,0) + IF('Ammo Input'!P612, 2,0) + IF('Ammo Input'!Q612,MIN(ROUNDUP(0.2*('Ammo Input'!H612/1000)*'Ammo Input'!O612,0),20),0))))"),10)</f>
        <v>10</v>
      </c>
      <c r="W616">
        <v>0</v>
      </c>
      <c r="X616">
        <v>0</v>
      </c>
      <c r="Y616">
        <v>0</v>
      </c>
      <c r="Z616">
        <v>0</v>
      </c>
      <c r="AA616">
        <v>0</v>
      </c>
      <c r="AB616" s="30">
        <f>IF(B616="Sling Bullet (Stone)",ROUNDUP(D616*0.02*E616/'Ingredient stats'!$C$8,0),0)</f>
        <v>0</v>
      </c>
      <c r="AC616" t="str">
        <f t="shared" si="28"/>
        <v>None</v>
      </c>
      <c r="AD616" t="str">
        <f>IF(OR(B616="Buck",B616="Bird",B616="Charge (Scatter)"),'Ammo Input'!J616,"None")</f>
        <v>None</v>
      </c>
      <c r="AE616" t="str">
        <f>_xlfn.IFS(ISTEXT(Calcs!N616),Calcs!N616,Calcs!N616&lt;=40,Calcs!N616,Calcs!N616&gt;41,"40")</f>
        <v>None</v>
      </c>
      <c r="AF616" t="str">
        <f>_xlfn.IFS(ISTEXT(Calcs!O616),Calcs!O616,Calcs!O616&lt;=80,Calcs!O616,Calcs!O616&gt;=81,"80")</f>
        <v>None</v>
      </c>
      <c r="AG616" s="25">
        <f t="shared" si="29"/>
        <v>3</v>
      </c>
      <c r="AH616" s="25">
        <f t="shared" si="30"/>
        <v>2.41</v>
      </c>
      <c r="AI616" s="25">
        <f t="shared" si="31"/>
        <v>2</v>
      </c>
    </row>
    <row r="617" ht="14.4" spans="1:35">
      <c r="A617" s="24" t="str">
        <f>'Ammo Input'!A617</f>
        <v>105mm Howitzer</v>
      </c>
      <c r="B617" t="str">
        <f>'Ammo Input'!B617</f>
        <v>Smoke</v>
      </c>
      <c r="C617">
        <f>ROUNDUP(('Ammo Input'!C617*(MAX('Ammo Input'!D617,'Ammo Input'!F617)*0.5)^2*PI())*3/1000000,2)</f>
        <v>20.27</v>
      </c>
      <c r="D617">
        <f>ROUNDUP(('Ammo Input'!E617+'Ammo Input'!H617*IF('Ammo Input'!J617&lt;&gt;"",MAX('Ammo Input'!J617,1),1))/1000,3)</f>
        <v>15</v>
      </c>
      <c r="E617">
        <f>MIN(5000,MAX(25,CEILING(Calcs!L617,_xlfn.IFS(Calcs!L617&lt;100,25,Calcs!L617&lt;250,50,Calcs!L617&lt;1000,250,Calcs!L617&gt;=1000,1000))))</f>
        <v>25</v>
      </c>
      <c r="F617">
        <f>ROUNDUP('Ammo Input'!G617^(3/4),0)</f>
        <v>141</v>
      </c>
      <c r="G617">
        <f>ROUND((0.5*((IF(OR(B617="HEAT",B617="HEDP"),'Ammo Input'!N617,'Ammo Input'!H617)/1000)*(IF(B617="HEAT",9000,IF(B617="HEDP",1500,'Ammo Input'!G617))^2))),0)</f>
        <v>4018680</v>
      </c>
      <c r="H617" s="25" t="str">
        <f>CONCATENATE(IF((B617="Foam")+(B617="Smoke"),"-",ROUND(Calcs!D617,0))," ",VLOOKUP(B617,AmmoTypeFactors,5,FALSE))</f>
        <v>- Smoke</v>
      </c>
      <c r="I617" s="25" t="str">
        <f>IF(Calcs!E617=0,"None",CONCATENATE(ROUND(Calcs!E617,0)," ",VLOOKUP(B617,AmmoTypeFactors,6,FALSE)))</f>
        <v>None</v>
      </c>
      <c r="J617">
        <f>MROUND(2.42*'Ammo Input'!M617^(1/3)*VLOOKUP(B617,AmmoTypeFactors,3,FALSE),0.5)</f>
        <v>8.5</v>
      </c>
      <c r="K617" s="25" t="str">
        <f>IF(VLOOKUP(B617,AmmoTypeFactors,12,FALSE),MROUND(J617/3,0.5),"None")</f>
        <v>None</v>
      </c>
      <c r="L617" s="25" t="str">
        <f>IF(VLOOKUP(B617,AmmoTypeFactors,8,FALSE),"None",ROUNDUP(IF(Calcs!I617&gt;0,Calcs!I617,Calcs!H617),3))</f>
        <v>None</v>
      </c>
      <c r="M617" s="25" t="str">
        <f>IF(VLOOKUP(B617,AmmoTypeFactors,8,FALSE),"None",'Ammo Input'!L617)</f>
        <v>None</v>
      </c>
      <c r="N617">
        <f>'Ammo Input'!O617</f>
        <v>2</v>
      </c>
      <c r="O617" t="e">
        <f>ROUND((P617*0.0036+SUMPRODUCT(Q617:AB617,VLOOKUP($Q$1:$AB$1,IngredientStats,2,FALSE)))/N617*IF('Ammo Input'!R617,0.5,1),2)</f>
        <v>#VALUE!</v>
      </c>
      <c r="P617" t="e">
        <f>(SUMPRODUCT(Q617:AB617,VLOOKUP($Q$1:$AB$1,IngredientStats,4,FALSE))*VLOOKUP(B617,AmmoTypeFactors,14,FALSE)*IF('Ammo Input'!R617,1.1,1))</f>
        <v>#VALUE!</v>
      </c>
      <c r="Q617">
        <f>IFERROR(__xludf.DUMMYFUNCTION("((IF(NOT(OR(REGEXMATCH(B613, ""Arrow""), B613 = ""Javelin"", B613 = ""Stick bomb"")), ROUNDUP(('Ammo Input'!E613 / 1000) * N613)) + IF(VLOOKUP(B613, AmmoTypeFactors, 9, FALSE) = ""Steel"", ROUNDUP(('Ammo Input'!H613 -'Ammo Input'!M613) * MAX(IF('Ammo Inpu"&amp;"t'!J613 &gt; 0, 'Ammo Input'!J613, 1), 1) * N613 / 1000))) / 'Ingredient stats'!$C$2) * IF(ISBLANK(VLOOKUP(B613,AmmoTypeFactors,15,False)),1,VLOOKUP(B613,AmmoTypeFactors,15,False))"),60)</f>
        <v>60</v>
      </c>
      <c r="R617">
        <f>IFERROR(__xludf.DUMMYFUNCTION("ROUNDUP((IF(REGEXMATCH(B613, ""Arrow"") + (B613 = ""Javelin""), 'Ammo Input'!E613) + IF(VLOOKUP(B613, AmmoTypeFactors, 9, FALSE) = ""Wood"", 'Ammo Input'!H613) + IF(B613 = ""Stick bomb"", 'Ammo Input'!E613)) * N613 / 'Ingredient stats'!$C$12 / 1000)"),0)</f>
        <v>0</v>
      </c>
      <c r="S617">
        <v>0</v>
      </c>
      <c r="T617">
        <v>0</v>
      </c>
      <c r="U617">
        <f>IF(VLOOKUP(B617,AmmoTypeFactors,9,FALSE)="Plasteel",ROUNDUP(('Ammo Input'!H617*MAX(IF('Ammo Input'!J617&gt;0,'Ammo Input'!J617,1)*N617/1000/'Ingredient stats'!$C$4)),0),0)</f>
        <v>0</v>
      </c>
      <c r="V617">
        <f>IFERROR(__xludf.DUMMYFUNCTION("ROUNDUP(IF(ISBLANK(VLOOKUP(B613,AmmoTypeFactors,16,False)),1,VLOOKUP(B613,AmmoTypeFactors,16,False)) * (IFS(REGEXMATCH(B613, ""EMP""), 'Ammo Input'!M613 * N613 / 'Ingredient stats'!$C$5, REGEXMATCH(B613, ""Charge""), (U613^0.75), true, 0) + (IF(VLOOKUP(B6"&amp;"13, AmmoTypeFactors, 10, false), 2,0) + IF('Ammo Input'!P613, 2,0) + IF('Ammo Input'!Q613,MIN(ROUNDUP(0.2*('Ammo Input'!H613/1000)*'Ammo Input'!O613,0),20),0))))"),2)</f>
        <v>2</v>
      </c>
      <c r="W617">
        <v>3</v>
      </c>
      <c r="X617">
        <v>0</v>
      </c>
      <c r="Y617">
        <v>0</v>
      </c>
      <c r="Z617">
        <v>0</v>
      </c>
      <c r="AA617">
        <v>0</v>
      </c>
      <c r="AB617" s="30">
        <f>IF(B617="Sling Bullet (Stone)",ROUNDUP(D617*0.02*E617/'Ingredient stats'!$C$8,0),0)</f>
        <v>0</v>
      </c>
      <c r="AC617" t="str">
        <f t="shared" si="28"/>
        <v>None</v>
      </c>
      <c r="AD617" t="str">
        <f>IF(OR(B617="Buck",B617="Bird",B617="Charge (Scatter)"),'Ammo Input'!J617,"None")</f>
        <v>None</v>
      </c>
      <c r="AE617" t="str">
        <f>_xlfn.IFS(ISTEXT(Calcs!N617),Calcs!N617,Calcs!N617&lt;=40,Calcs!N617,Calcs!N617&gt;41,"40")</f>
        <v>None</v>
      </c>
      <c r="AF617" t="str">
        <f>_xlfn.IFS(ISTEXT(Calcs!O617),Calcs!O617,Calcs!O617&lt;=80,Calcs!O617,Calcs!O617&gt;=81,"80")</f>
        <v>None</v>
      </c>
      <c r="AG617" s="25">
        <f t="shared" si="29"/>
        <v>0</v>
      </c>
      <c r="AH617" s="25">
        <f t="shared" si="30"/>
        <v>2.3</v>
      </c>
      <c r="AI617" s="25">
        <f t="shared" si="31"/>
        <v>0</v>
      </c>
    </row>
    <row r="618" ht="14.4" spans="1:35">
      <c r="A618" s="24" t="str">
        <f>'Ammo Input'!A618</f>
        <v>155mm Howitzer</v>
      </c>
      <c r="B618" t="str">
        <f>'Ammo Input'!B618</f>
        <v>HE</v>
      </c>
      <c r="C618">
        <f>ROUNDUP(('Ammo Input'!C618*(MAX('Ammo Input'!D618,'Ammo Input'!F618)*0.5)^2*PI())*3/1000000,2)</f>
        <v>47.67</v>
      </c>
      <c r="D618">
        <f>ROUNDUP(('Ammo Input'!E618+'Ammo Input'!H618*IF('Ammo Input'!J618&lt;&gt;"",MAX('Ammo Input'!J618,1),1))/1000,3)</f>
        <v>46.7</v>
      </c>
      <c r="E618">
        <f>MIN(5000,MAX(25,CEILING(Calcs!L618,_xlfn.IFS(Calcs!L618&lt;100,25,Calcs!L618&lt;250,50,Calcs!L618&lt;1000,250,Calcs!L618&gt;=1000,1000))))</f>
        <v>25</v>
      </c>
      <c r="F618">
        <f>ROUNDUP('Ammo Input'!G618^(3/4),0)</f>
        <v>155</v>
      </c>
      <c r="G618">
        <f>ROUND((0.5*((IF(OR(B618="HEAT",B618="HEDP"),'Ammo Input'!N618,'Ammo Input'!H618)/1000)*(IF(B618="HEAT",9000,IF(B618="HEDP",1500,'Ammo Input'!G618))^2))),0)</f>
        <v>15969742</v>
      </c>
      <c r="H618" s="25" t="str">
        <f>CONCATENATE(IF((B618="Foam")+(B618="Smoke"),"-",ROUND(Calcs!D618,0))," ",VLOOKUP(B618,AmmoTypeFactors,5,FALSE))</f>
        <v>546 Bomb</v>
      </c>
      <c r="I618" s="25" t="str">
        <f>IF(Calcs!E618=0,"None",CONCATENATE(ROUND(Calcs!E618,0)," ",VLOOKUP(B618,AmmoTypeFactors,6,FALSE)))</f>
        <v>None</v>
      </c>
      <c r="J618">
        <f>MROUND(2.42*'Ammo Input'!M618^(1/3)*VLOOKUP(B618,AmmoTypeFactors,3,FALSE),0.5)</f>
        <v>5.5</v>
      </c>
      <c r="K618" s="25" t="str">
        <f>IF(VLOOKUP(B618,AmmoTypeFactors,12,FALSE),MROUND(J618/3,0.5),"None")</f>
        <v>None</v>
      </c>
      <c r="L618" s="25" t="str">
        <f>IF(VLOOKUP(B618,AmmoTypeFactors,8,FALSE),"None",ROUNDUP(IF(Calcs!I618&gt;0,Calcs!I618,Calcs!H618),3))</f>
        <v>None</v>
      </c>
      <c r="M618" s="25" t="str">
        <f>IF(VLOOKUP(B618,AmmoTypeFactors,8,FALSE),"None",'Ammo Input'!L618)</f>
        <v>None</v>
      </c>
      <c r="N618">
        <f>'Ammo Input'!O618</f>
        <v>1</v>
      </c>
      <c r="O618" t="e">
        <f>ROUND((P618*0.0036+SUMPRODUCT(Q618:AB618,VLOOKUP($Q$1:$AB$1,IngredientStats,2,FALSE)))/N618*IF('Ammo Input'!R618,0.5,1),2)</f>
        <v>#VALUE!</v>
      </c>
      <c r="P618" t="e">
        <f>(SUMPRODUCT(Q618:AB618,VLOOKUP($Q$1:$AB$1,IngredientStats,4,FALSE))*VLOOKUP(B618,AmmoTypeFactors,14,FALSE)*IF('Ammo Input'!R618,1.1,1))</f>
        <v>#VALUE!</v>
      </c>
      <c r="Q618">
        <f>IFERROR(__xludf.DUMMYFUNCTION("((IF(NOT(OR(REGEXMATCH(B614, ""Arrow""), B614 = ""Javelin"", B614 = ""Stick bomb"")), ROUNDUP(('Ammo Input'!E614 / 1000) * N614)) + IF(VLOOKUP(B614, AmmoTypeFactors, 9, FALSE) = ""Steel"", ROUNDUP(('Ammo Input'!H614 -'Ammo Input'!M614) * MAX(IF('Ammo Inpu"&amp;"t'!J614 &gt; 0, 'Ammo Input'!J614, 1), 1) * N614 / 1000))) / 'Ingredient stats'!$C$2) * IF(ISBLANK(VLOOKUP(B614,AmmoTypeFactors,15,False)),1,VLOOKUP(B614,AmmoTypeFactors,15,False))"),94)</f>
        <v>94</v>
      </c>
      <c r="R618">
        <f>IFERROR(__xludf.DUMMYFUNCTION("ROUNDUP((IF(REGEXMATCH(B614, ""Arrow"") + (B614 = ""Javelin""), 'Ammo Input'!E614) + IF(VLOOKUP(B614, AmmoTypeFactors, 9, FALSE) = ""Wood"", 'Ammo Input'!H614) + IF(B614 = ""Stick bomb"", 'Ammo Input'!E614)) * N614 / 'Ingredient stats'!$C$12 / 1000)"),0)</f>
        <v>0</v>
      </c>
      <c r="S618">
        <v>0</v>
      </c>
      <c r="T618">
        <v>0</v>
      </c>
      <c r="U618">
        <f>IF(VLOOKUP(B618,AmmoTypeFactors,9,FALSE)="Plasteel",ROUNDUP(('Ammo Input'!H618*MAX(IF('Ammo Input'!J618&gt;0,'Ammo Input'!J618,1)*N618/1000/'Ingredient stats'!$C$4)),0),0)</f>
        <v>0</v>
      </c>
      <c r="V618">
        <f>IFERROR(__xludf.DUMMYFUNCTION("ROUNDUP(IF(ISBLANK(VLOOKUP(B614,AmmoTypeFactors,16,False)),1,VLOOKUP(B614,AmmoTypeFactors,16,False)) * (IFS(REGEXMATCH(B614, ""EMP""), 'Ammo Input'!M614 * N614 / 'Ingredient stats'!$C$5, REGEXMATCH(B614, ""Charge""), (U614^0.75), true, 0) + (IF(VLOOKUP(B6"&amp;"14, AmmoTypeFactors, 10, false), 2,0) + IF('Ammo Input'!P614, 2,0) + IF('Ammo Input'!Q614,MIN(ROUNDUP(0.2*('Ammo Input'!H614/1000)*'Ammo Input'!O614,0),20),0))))"),2)</f>
        <v>2</v>
      </c>
      <c r="W618">
        <v>0</v>
      </c>
      <c r="X618">
        <v>17</v>
      </c>
      <c r="Y618">
        <v>0</v>
      </c>
      <c r="Z618">
        <v>0</v>
      </c>
      <c r="AA618">
        <v>0</v>
      </c>
      <c r="AB618" s="30">
        <f>IF(B618="Sling Bullet (Stone)",ROUNDUP(D618*0.02*E618/'Ingredient stats'!$C$8,0),0)</f>
        <v>0</v>
      </c>
      <c r="AC618" t="str">
        <f t="shared" si="28"/>
        <v>None</v>
      </c>
      <c r="AD618" t="str">
        <f>IF(OR(B618="Buck",B618="Bird",B618="Charge (Scatter)"),'Ammo Input'!J618,"None")</f>
        <v>None</v>
      </c>
      <c r="AE618" t="str">
        <f>_xlfn.IFS(ISTEXT(Calcs!N618),Calcs!N618,Calcs!N618&lt;=40,Calcs!N618,Calcs!N618&gt;41,"40")</f>
        <v>40</v>
      </c>
      <c r="AF618" t="str">
        <f>_xlfn.IFS(ISTEXT(Calcs!O618),Calcs!O618,Calcs!O618&lt;=80,Calcs!O618,Calcs!O618&gt;=81,"80")</f>
        <v>80</v>
      </c>
      <c r="AG618" s="25">
        <f t="shared" si="29"/>
        <v>3</v>
      </c>
      <c r="AH618" s="25">
        <f t="shared" si="30"/>
        <v>2.53</v>
      </c>
      <c r="AI618" s="25">
        <f t="shared" si="31"/>
        <v>2</v>
      </c>
    </row>
    <row r="619" ht="14.4" spans="1:35">
      <c r="A619" s="24" t="str">
        <f>'Ammo Input'!A619</f>
        <v>155mm Howitzer</v>
      </c>
      <c r="B619" t="str">
        <f>'Ammo Input'!B619</f>
        <v>Airburst</v>
      </c>
      <c r="C619">
        <f>ROUNDUP(('Ammo Input'!C619*(MAX('Ammo Input'!D619,'Ammo Input'!F619)*0.5)^2*PI())*3/1000000,2)</f>
        <v>47.67</v>
      </c>
      <c r="D619">
        <f>ROUNDUP(('Ammo Input'!E619+'Ammo Input'!H619*IF('Ammo Input'!J619&lt;&gt;"",MAX('Ammo Input'!J619,1),1))/1000,3)</f>
        <v>46.7</v>
      </c>
      <c r="E619">
        <f>MIN(5000,MAX(25,CEILING(Calcs!L619,_xlfn.IFS(Calcs!L619&lt;100,25,Calcs!L619&lt;250,50,Calcs!L619&lt;1000,250,Calcs!L619&gt;=1000,1000))))</f>
        <v>25</v>
      </c>
      <c r="F619">
        <f>ROUNDUP('Ammo Input'!G619^(3/4),0)</f>
        <v>155</v>
      </c>
      <c r="G619">
        <f>ROUND((0.5*((IF(OR(B619="HEAT",B619="HEDP"),'Ammo Input'!N619,'Ammo Input'!H619)/1000)*(IF(B619="HEAT",9000,IF(B619="HEDP",1500,'Ammo Input'!G619))^2))),0)</f>
        <v>15969742</v>
      </c>
      <c r="H619" s="25" t="str">
        <f>CONCATENATE(IF((B619="Foam")+(B619="Smoke"),"-",ROUND(Calcs!D619,0))," ",VLOOKUP(B619,AmmoTypeFactors,5,FALSE))</f>
        <v>546 Bomb</v>
      </c>
      <c r="I619" s="25" t="str">
        <f>IF(Calcs!E619=0,"None",CONCATENATE(ROUND(Calcs!E619,0)," ",VLOOKUP(B619,AmmoTypeFactors,6,FALSE)))</f>
        <v>None</v>
      </c>
      <c r="J619">
        <f>MROUND(2.42*'Ammo Input'!M619^(1/3)*VLOOKUP(B619,AmmoTypeFactors,3,FALSE),0.5)</f>
        <v>5.5</v>
      </c>
      <c r="K619" s="25" t="str">
        <f>IF(VLOOKUP(B619,AmmoTypeFactors,12,FALSE),MROUND(J619/3,0.5),"None")</f>
        <v>None</v>
      </c>
      <c r="L619" s="25" t="str">
        <f>IF(VLOOKUP(B619,AmmoTypeFactors,8,FALSE),"None",ROUNDUP(IF(Calcs!I619&gt;0,Calcs!I619,Calcs!H619),3))</f>
        <v>None</v>
      </c>
      <c r="M619" s="25" t="str">
        <f>IF(VLOOKUP(B619,AmmoTypeFactors,8,FALSE),"None",'Ammo Input'!L619)</f>
        <v>None</v>
      </c>
      <c r="N619">
        <f>'Ammo Input'!O619</f>
        <v>1</v>
      </c>
      <c r="O619" t="e">
        <f>ROUND((P619*0.0036+SUMPRODUCT(Q619:AB619,VLOOKUP($Q$1:$AB$1,IngredientStats,2,FALSE)))/N619*IF('Ammo Input'!R619,0.5,1),2)</f>
        <v>#VALUE!</v>
      </c>
      <c r="P619" t="e">
        <f>(SUMPRODUCT(Q619:AB619,VLOOKUP($Q$1:$AB$1,IngredientStats,4,FALSE))*VLOOKUP(B619,AmmoTypeFactors,14,FALSE)*IF('Ammo Input'!R619,1.1,1))</f>
        <v>#VALUE!</v>
      </c>
      <c r="Q619">
        <f>IFERROR(__xludf.DUMMYFUNCTION("((IF(NOT(OR(REGEXMATCH(B615, ""Arrow""), B615 = ""Javelin"", B615 = ""Stick bomb"")), ROUNDUP(('Ammo Input'!E615 / 1000) * N615)) + IF(VLOOKUP(B615, AmmoTypeFactors, 9, FALSE) = ""Steel"", ROUNDUP(('Ammo Input'!H615 -'Ammo Input'!M615) * MAX(IF('Ammo Inpu"&amp;"t'!J615 &gt; 0, 'Ammo Input'!J615, 1), 1) * N615 / 1000))) / 'Ingredient stats'!$C$2) * IF(ISBLANK(VLOOKUP(B615,AmmoTypeFactors,15,False)),1,VLOOKUP(B615,AmmoTypeFactors,15,False))"),94)</f>
        <v>94</v>
      </c>
      <c r="R619">
        <f>IFERROR(__xludf.DUMMYFUNCTION("ROUNDUP((IF(REGEXMATCH(B615, ""Arrow"") + (B615 = ""Javelin""), 'Ammo Input'!E615) + IF(VLOOKUP(B615, AmmoTypeFactors, 9, FALSE) = ""Wood"", 'Ammo Input'!H615) + IF(B615 = ""Stick bomb"", 'Ammo Input'!E615)) * N615 / 'Ingredient stats'!$C$12 / 1000)"),0)</f>
        <v>0</v>
      </c>
      <c r="S619">
        <v>0</v>
      </c>
      <c r="T619">
        <v>0</v>
      </c>
      <c r="U619">
        <f>IF(VLOOKUP(B619,AmmoTypeFactors,9,FALSE)="Plasteel",ROUNDUP(('Ammo Input'!H619*MAX(IF('Ammo Input'!J619&gt;0,'Ammo Input'!J619,1)*N619/1000/'Ingredient stats'!$C$4)),0),0)</f>
        <v>0</v>
      </c>
      <c r="V619">
        <f>IFERROR(__xludf.DUMMYFUNCTION("ROUNDUP(IF(ISBLANK(VLOOKUP(B615,AmmoTypeFactors,16,False)),1,VLOOKUP(B615,AmmoTypeFactors,16,False)) * (IFS(REGEXMATCH(B615, ""EMP""), 'Ammo Input'!M615 * N615 / 'Ingredient stats'!$C$5, REGEXMATCH(B615, ""Charge""), (U615^0.75), true, 0) + (IF(VLOOKUP(B6"&amp;"15, AmmoTypeFactors, 10, false), 2,0) + IF('Ammo Input'!P615, 2,0) + IF('Ammo Input'!Q615,MIN(ROUNDUP(0.2*('Ammo Input'!H615/1000)*'Ammo Input'!O615,0),20),0))))"),4)</f>
        <v>4</v>
      </c>
      <c r="W619">
        <v>0</v>
      </c>
      <c r="X619">
        <v>17</v>
      </c>
      <c r="Y619">
        <v>0</v>
      </c>
      <c r="Z619">
        <v>0</v>
      </c>
      <c r="AA619">
        <v>0</v>
      </c>
      <c r="AB619" s="30">
        <f>IF(B619="Sling Bullet (Stone)",ROUNDUP(D619*0.02*E619/'Ingredient stats'!$C$8,0),0)</f>
        <v>0</v>
      </c>
      <c r="AC619" t="str">
        <f t="shared" si="28"/>
        <v>None</v>
      </c>
      <c r="AD619" t="str">
        <f>IF(OR(B619="Buck",B619="Bird",B619="Charge (Scatter)"),'Ammo Input'!J619,"None")</f>
        <v>None</v>
      </c>
      <c r="AE619" t="str">
        <f>_xlfn.IFS(ISTEXT(Calcs!N619),Calcs!N619,Calcs!N619&lt;=40,Calcs!N619,Calcs!N619&gt;41,"40")</f>
        <v>40</v>
      </c>
      <c r="AF619" t="str">
        <f>_xlfn.IFS(ISTEXT(Calcs!O619),Calcs!O619,Calcs!O619&lt;=80,Calcs!O619,Calcs!O619&gt;=81,"80")</f>
        <v>80</v>
      </c>
      <c r="AG619" s="25">
        <f t="shared" si="29"/>
        <v>3</v>
      </c>
      <c r="AH619" s="25">
        <f t="shared" si="30"/>
        <v>2.53</v>
      </c>
      <c r="AI619" s="25">
        <f t="shared" si="31"/>
        <v>2</v>
      </c>
    </row>
    <row r="620" ht="14.4" spans="1:35">
      <c r="A620" s="24" t="str">
        <f>'Ammo Input'!A620</f>
        <v>155mm Howitzer</v>
      </c>
      <c r="B620" t="str">
        <f>'Ammo Input'!B620</f>
        <v>Incendiary (Heavy)</v>
      </c>
      <c r="C620">
        <f>ROUNDUP(('Ammo Input'!C620*(MAX('Ammo Input'!D620,'Ammo Input'!F620)*0.5)^2*PI())*3/1000000,2)</f>
        <v>47.67</v>
      </c>
      <c r="D620">
        <f>ROUNDUP(('Ammo Input'!E620+'Ammo Input'!H620*IF('Ammo Input'!J620&lt;&gt;"",MAX('Ammo Input'!J620,1),1))/1000,3)</f>
        <v>46.7</v>
      </c>
      <c r="E620">
        <f>MIN(5000,MAX(25,CEILING(Calcs!L620,_xlfn.IFS(Calcs!L620&lt;100,25,Calcs!L620&lt;250,50,Calcs!L620&lt;1000,250,Calcs!L620&gt;=1000,1000))))</f>
        <v>25</v>
      </c>
      <c r="F620">
        <f>ROUNDUP('Ammo Input'!G620^(3/4),0)</f>
        <v>155</v>
      </c>
      <c r="G620">
        <f>ROUND((0.5*((IF(OR(B620="HEAT",B620="HEDP"),'Ammo Input'!N620,'Ammo Input'!H620)/1000)*(IF(B620="HEAT",9000,IF(B620="HEDP",1500,'Ammo Input'!G620))^2))),0)</f>
        <v>15969742</v>
      </c>
      <c r="H620" s="25" t="str">
        <f>CONCATENATE(IF((B620="Foam")+(B620="Smoke"),"-",ROUND(Calcs!D620,0))," ",VLOOKUP(B620,AmmoTypeFactors,5,FALSE))</f>
        <v>31 Flame</v>
      </c>
      <c r="I620" s="25" t="str">
        <f>IF(Calcs!E620=0,"None",CONCATENATE(ROUND(Calcs!E620,0)," ",VLOOKUP(B620,AmmoTypeFactors,6,FALSE)))</f>
        <v>234 Thermobaric</v>
      </c>
      <c r="J620">
        <f>MROUND(2.42*'Ammo Input'!M620^(1/3)*VLOOKUP(B620,AmmoTypeFactors,3,FALSE),0.5)</f>
        <v>11.5</v>
      </c>
      <c r="K620" s="25">
        <f>IF(VLOOKUP(B620,AmmoTypeFactors,12,FALSE),MROUND(J620/3,0.5),"None")</f>
        <v>4</v>
      </c>
      <c r="L620" s="25" t="str">
        <f>IF(VLOOKUP(B620,AmmoTypeFactors,8,FALSE),"None",ROUNDUP(IF(Calcs!I620&gt;0,Calcs!I620,Calcs!H620),3))</f>
        <v>None</v>
      </c>
      <c r="M620" s="25" t="str">
        <f>IF(VLOOKUP(B620,AmmoTypeFactors,8,FALSE),"None",'Ammo Input'!L620)</f>
        <v>None</v>
      </c>
      <c r="N620">
        <f>'Ammo Input'!O620</f>
        <v>1</v>
      </c>
      <c r="O620" t="e">
        <f>ROUND((P620*0.0036+SUMPRODUCT(Q620:AB620,VLOOKUP($Q$1:$AB$1,IngredientStats,2,FALSE)))/N620*IF('Ammo Input'!R620,0.5,1),2)</f>
        <v>#VALUE!</v>
      </c>
      <c r="P620" t="e">
        <f>(SUMPRODUCT(Q620:AB620,VLOOKUP($Q$1:$AB$1,IngredientStats,4,FALSE))*VLOOKUP(B620,AmmoTypeFactors,14,FALSE)*IF('Ammo Input'!R620,1.1,1))</f>
        <v>#VALUE!</v>
      </c>
      <c r="Q620">
        <f>IFERROR(__xludf.DUMMYFUNCTION("((IF(NOT(OR(REGEXMATCH(B616, ""Arrow""), B616 = ""Javelin"", B616 = ""Stick bomb"")), ROUNDUP(('Ammo Input'!E616 / 1000) * N616)) + IF(VLOOKUP(B616, AmmoTypeFactors, 9, FALSE) = ""Steel"", ROUNDUP(('Ammo Input'!H616 -'Ammo Input'!M616) * MAX(IF('Ammo Inpu"&amp;"t'!J616 &gt; 0, 'Ammo Input'!J616, 1), 1) * N616 / 1000))) / 'Ingredient stats'!$C$2) * IF(ISBLANK(VLOOKUP(B616,AmmoTypeFactors,15,False)),1,VLOOKUP(B616,AmmoTypeFactors,15,False))"),94)</f>
        <v>94</v>
      </c>
      <c r="R620">
        <f>IFERROR(__xludf.DUMMYFUNCTION("ROUNDUP((IF(REGEXMATCH(B616, ""Arrow"") + (B616 = ""Javelin""), 'Ammo Input'!E616) + IF(VLOOKUP(B616, AmmoTypeFactors, 9, FALSE) = ""Wood"", 'Ammo Input'!H616) + IF(B616 = ""Stick bomb"", 'Ammo Input'!E616)) * N616 / 'Ingredient stats'!$C$12 / 1000)"),0)</f>
        <v>0</v>
      </c>
      <c r="S620">
        <v>0</v>
      </c>
      <c r="T620">
        <v>0</v>
      </c>
      <c r="U620">
        <f>IF(VLOOKUP(B620,AmmoTypeFactors,9,FALSE)="Plasteel",ROUNDUP(('Ammo Input'!H620*MAX(IF('Ammo Input'!J620&gt;0,'Ammo Input'!J620,1)*N620/1000/'Ingredient stats'!$C$4)),0),0)</f>
        <v>0</v>
      </c>
      <c r="V620">
        <f>IFERROR(__xludf.DUMMYFUNCTION("ROUNDUP(IF(ISBLANK(VLOOKUP(B616,AmmoTypeFactors,16,False)),1,VLOOKUP(B616,AmmoTypeFactors,16,False)) * (IFS(REGEXMATCH(B616, ""EMP""), 'Ammo Input'!M616 * N616 / 'Ingredient stats'!$C$5, REGEXMATCH(B616, ""Charge""), (U616^0.75), true, 0) + (IF(VLOOKUP(B6"&amp;"16, AmmoTypeFactors, 10, false), 2,0) + IF('Ammo Input'!P616, 2,0) + IF('Ammo Input'!Q616,MIN(ROUNDUP(0.2*('Ammo Input'!H616/1000)*'Ammo Input'!O616,0),20),0))))"),2)</f>
        <v>2</v>
      </c>
      <c r="W620">
        <v>5</v>
      </c>
      <c r="X620">
        <v>0</v>
      </c>
      <c r="Y620">
        <v>0</v>
      </c>
      <c r="Z620">
        <v>0</v>
      </c>
      <c r="AA620">
        <v>0</v>
      </c>
      <c r="AB620" s="30">
        <f>IF(B620="Sling Bullet (Stone)",ROUNDUP(D620*0.02*E620/'Ingredient stats'!$C$8,0),0)</f>
        <v>0</v>
      </c>
      <c r="AC620" t="str">
        <f t="shared" si="28"/>
        <v>None</v>
      </c>
      <c r="AD620" t="str">
        <f>IF(OR(B620="Buck",B620="Bird",B620="Charge (Scatter)"),'Ammo Input'!J620,"None")</f>
        <v>None</v>
      </c>
      <c r="AE620" t="str">
        <f>_xlfn.IFS(ISTEXT(Calcs!N620),Calcs!N620,Calcs!N620&lt;=40,Calcs!N620,Calcs!N620&gt;41,"40")</f>
        <v>None</v>
      </c>
      <c r="AF620" t="str">
        <f>_xlfn.IFS(ISTEXT(Calcs!O620),Calcs!O620,Calcs!O620&lt;=80,Calcs!O620,Calcs!O620&gt;=81,"80")</f>
        <v>None</v>
      </c>
      <c r="AG620" s="25">
        <f t="shared" si="29"/>
        <v>3</v>
      </c>
      <c r="AH620" s="25">
        <f t="shared" si="30"/>
        <v>2.53</v>
      </c>
      <c r="AI620" s="25">
        <f t="shared" si="31"/>
        <v>2</v>
      </c>
    </row>
    <row r="621" ht="14.4" spans="1:35">
      <c r="A621" s="24" t="str">
        <f>'Ammo Input'!A621</f>
        <v>155mm Howitzer</v>
      </c>
      <c r="B621" t="str">
        <f>'Ammo Input'!B621</f>
        <v>EMP</v>
      </c>
      <c r="C621">
        <f>ROUNDUP(('Ammo Input'!C621*(MAX('Ammo Input'!D621,'Ammo Input'!F621)*0.5)^2*PI())*3/1000000,2)</f>
        <v>47.67</v>
      </c>
      <c r="D621">
        <f>ROUNDUP(('Ammo Input'!E621+'Ammo Input'!H621*IF('Ammo Input'!J621&lt;&gt;"",MAX('Ammo Input'!J621,1),1))/1000,3)</f>
        <v>46.7</v>
      </c>
      <c r="E621">
        <f>MIN(5000,MAX(25,CEILING(Calcs!L621,_xlfn.IFS(Calcs!L621&lt;100,25,Calcs!L621&lt;250,50,Calcs!L621&lt;1000,250,Calcs!L621&gt;=1000,1000))))</f>
        <v>25</v>
      </c>
      <c r="F621">
        <f>ROUNDUP('Ammo Input'!G621^(3/4),0)</f>
        <v>155</v>
      </c>
      <c r="G621">
        <f>ROUND((0.5*((IF(OR(B621="HEAT",B621="HEDP"),'Ammo Input'!N621,'Ammo Input'!H621)/1000)*(IF(B621="HEAT",9000,IF(B621="HEDP",1500,'Ammo Input'!G621))^2))),0)</f>
        <v>15969742</v>
      </c>
      <c r="H621" s="25" t="str">
        <f>CONCATENATE(IF((B621="Foam")+(B621="Smoke"),"-",ROUND(Calcs!D621,0))," ",VLOOKUP(B621,AmmoTypeFactors,5,FALSE))</f>
        <v>546 EMP</v>
      </c>
      <c r="I621" s="25" t="str">
        <f>IF(Calcs!E621=0,"None",CONCATENATE(ROUND(Calcs!E621,0)," ",VLOOKUP(B621,AmmoTypeFactors,6,FALSE)))</f>
        <v>None</v>
      </c>
      <c r="J621">
        <f>MROUND(2.42*'Ammo Input'!M621^(1/3)*VLOOKUP(B621,AmmoTypeFactors,3,FALSE),0.5)</f>
        <v>10.5</v>
      </c>
      <c r="K621" s="25" t="str">
        <f>IF(VLOOKUP(B621,AmmoTypeFactors,12,FALSE),MROUND(J621/3,0.5),"None")</f>
        <v>None</v>
      </c>
      <c r="L621" s="25" t="str">
        <f>IF(VLOOKUP(B621,AmmoTypeFactors,8,FALSE),"None",ROUNDUP(IF(Calcs!I621&gt;0,Calcs!I621,Calcs!H621),3))</f>
        <v>None</v>
      </c>
      <c r="M621" s="25" t="str">
        <f>IF(VLOOKUP(B621,AmmoTypeFactors,8,FALSE),"None",'Ammo Input'!L621)</f>
        <v>None</v>
      </c>
      <c r="N621">
        <f>'Ammo Input'!O621</f>
        <v>1</v>
      </c>
      <c r="O621" t="e">
        <f>ROUND((P621*0.0036+SUMPRODUCT(Q621:AB621,VLOOKUP($Q$1:$AB$1,IngredientStats,2,FALSE)))/N621*IF('Ammo Input'!R621,0.5,1),2)</f>
        <v>#VALUE!</v>
      </c>
      <c r="P621" t="e">
        <f>(SUMPRODUCT(Q621:AB621,VLOOKUP($Q$1:$AB$1,IngredientStats,4,FALSE))*VLOOKUP(B621,AmmoTypeFactors,14,FALSE)*IF('Ammo Input'!R621,1.1,1))</f>
        <v>#VALUE!</v>
      </c>
      <c r="Q621">
        <f>IFERROR(__xludf.DUMMYFUNCTION("((IF(NOT(OR(REGEXMATCH(B617, ""Arrow""), B617 = ""Javelin"", B617 = ""Stick bomb"")), ROUNDUP(('Ammo Input'!E617 / 1000) * N617)) + IF(VLOOKUP(B617, AmmoTypeFactors, 9, FALSE) = ""Steel"", ROUNDUP(('Ammo Input'!H617 -'Ammo Input'!M617) * MAX(IF('Ammo Inpu"&amp;"t'!J617 &gt; 0, 'Ammo Input'!J617, 1), 1) * N617 / 1000))) / 'Ingredient stats'!$C$2) * IF(ISBLANK(VLOOKUP(B617,AmmoTypeFactors,15,False)),1,VLOOKUP(B617,AmmoTypeFactors,15,False))"),94)</f>
        <v>94</v>
      </c>
      <c r="R621">
        <f>IFERROR(__xludf.DUMMYFUNCTION("ROUNDUP((IF(REGEXMATCH(B617, ""Arrow"") + (B617 = ""Javelin""), 'Ammo Input'!E617) + IF(VLOOKUP(B617, AmmoTypeFactors, 9, FALSE) = ""Wood"", 'Ammo Input'!H617) + IF(B617 = ""Stick bomb"", 'Ammo Input'!E617)) * N617 / 'Ingredient stats'!$C$12 / 1000)"),0)</f>
        <v>0</v>
      </c>
      <c r="S621">
        <v>0</v>
      </c>
      <c r="T621">
        <v>0</v>
      </c>
      <c r="U621">
        <f>IF(VLOOKUP(B621,AmmoTypeFactors,9,FALSE)="Plasteel",ROUNDUP(('Ammo Input'!H621*MAX(IF('Ammo Input'!J621&gt;0,'Ammo Input'!J621,1)*N621/1000/'Ingredient stats'!$C$4)),0),0)</f>
        <v>0</v>
      </c>
      <c r="V621">
        <f>IFERROR(__xludf.DUMMYFUNCTION("ROUNDUP(IF(ISBLANK(VLOOKUP(B617,AmmoTypeFactors,16,False)),1,VLOOKUP(B617,AmmoTypeFactors,16,False)) * (IFS(REGEXMATCH(B617, ""EMP""), 'Ammo Input'!M617 * N617 / 'Ingredient stats'!$C$5, REGEXMATCH(B617, ""Charge""), (U617^0.75), true, 0) + (IF(VLOOKUP(B6"&amp;"17, AmmoTypeFactors, 10, false), 2,0) + IF('Ammo Input'!P617, 2,0) + IF('Ammo Input'!Q617,MIN(ROUNDUP(0.2*('Ammo Input'!H617/1000)*'Ammo Input'!O617,0),20),0))))"),20)</f>
        <v>20</v>
      </c>
      <c r="W621">
        <v>0</v>
      </c>
      <c r="X621">
        <v>0</v>
      </c>
      <c r="Y621">
        <v>0</v>
      </c>
      <c r="Z621">
        <v>0</v>
      </c>
      <c r="AA621">
        <v>0</v>
      </c>
      <c r="AB621" s="30">
        <f>IF(B621="Sling Bullet (Stone)",ROUNDUP(D621*0.02*E621/'Ingredient stats'!$C$8,0),0)</f>
        <v>0</v>
      </c>
      <c r="AC621" t="str">
        <f t="shared" si="28"/>
        <v>None</v>
      </c>
      <c r="AD621" t="str">
        <f>IF(OR(B621="Buck",B621="Bird",B621="Charge (Scatter)"),'Ammo Input'!J621,"None")</f>
        <v>None</v>
      </c>
      <c r="AE621" t="str">
        <f>_xlfn.IFS(ISTEXT(Calcs!N621),Calcs!N621,Calcs!N621&lt;=40,Calcs!N621,Calcs!N621&gt;41,"40")</f>
        <v>None</v>
      </c>
      <c r="AF621" t="str">
        <f>_xlfn.IFS(ISTEXT(Calcs!O621),Calcs!O621,Calcs!O621&lt;=80,Calcs!O621,Calcs!O621&gt;=81,"80")</f>
        <v>None</v>
      </c>
      <c r="AG621" s="25">
        <f t="shared" si="29"/>
        <v>3</v>
      </c>
      <c r="AH621" s="25">
        <f t="shared" si="30"/>
        <v>2.53</v>
      </c>
      <c r="AI621" s="25">
        <f t="shared" si="31"/>
        <v>2</v>
      </c>
    </row>
    <row r="622" ht="14.4" spans="1:35">
      <c r="A622" s="24" t="str">
        <f>'Ammo Input'!A622</f>
        <v>155mm Howitzer</v>
      </c>
      <c r="B622" t="str">
        <f>'Ammo Input'!B622</f>
        <v>Smoke</v>
      </c>
      <c r="C622">
        <f>ROUNDUP(('Ammo Input'!C622*(MAX('Ammo Input'!D622,'Ammo Input'!F622)*0.5)^2*PI())*3/1000000,2)</f>
        <v>47.67</v>
      </c>
      <c r="D622">
        <f>ROUNDUP(('Ammo Input'!E622+'Ammo Input'!H622*IF('Ammo Input'!J622&lt;&gt;"",MAX('Ammo Input'!J622,1),1))/1000,3)</f>
        <v>44.2</v>
      </c>
      <c r="E622">
        <f>MIN(5000,MAX(25,CEILING(Calcs!L622,_xlfn.IFS(Calcs!L622&lt;100,25,Calcs!L622&lt;250,50,Calcs!L622&lt;1000,250,Calcs!L622&gt;=1000,1000))))</f>
        <v>25</v>
      </c>
      <c r="F622">
        <f>ROUNDUP('Ammo Input'!G622^(3/4),0)</f>
        <v>155</v>
      </c>
      <c r="G622">
        <f>ROUND((0.5*((IF(OR(B622="HEAT",B622="HEDP"),'Ammo Input'!N622,'Ammo Input'!H622)/1000)*(IF(B622="HEAT",9000,IF(B622="HEDP",1500,'Ammo Input'!G622))^2))),0)</f>
        <v>15114831</v>
      </c>
      <c r="H622" s="25" t="str">
        <f>CONCATENATE(IF((B622="Foam")+(B622="Smoke"),"-",ROUND(Calcs!D622,0))," ",VLOOKUP(B622,AmmoTypeFactors,5,FALSE))</f>
        <v>- Smoke</v>
      </c>
      <c r="I622" s="25" t="str">
        <f>IF(Calcs!E622=0,"None",CONCATENATE(ROUND(Calcs!E622,0)," ",VLOOKUP(B622,AmmoTypeFactors,6,FALSE)))</f>
        <v>None</v>
      </c>
      <c r="J622">
        <f>MROUND(2.42*'Ammo Input'!M622^(1/3)*VLOOKUP(B622,AmmoTypeFactors,3,FALSE),0.5)</f>
        <v>11</v>
      </c>
      <c r="K622" s="25" t="str">
        <f>IF(VLOOKUP(B622,AmmoTypeFactors,12,FALSE),MROUND(J622/3,0.5),"None")</f>
        <v>None</v>
      </c>
      <c r="L622" s="25" t="str">
        <f>IF(VLOOKUP(B622,AmmoTypeFactors,8,FALSE),"None",ROUNDUP(IF(Calcs!I622&gt;0,Calcs!I622,Calcs!H622),3))</f>
        <v>None</v>
      </c>
      <c r="M622" s="25" t="str">
        <f>IF(VLOOKUP(B622,AmmoTypeFactors,8,FALSE),"None",'Ammo Input'!L622)</f>
        <v>None</v>
      </c>
      <c r="N622">
        <f>'Ammo Input'!O622</f>
        <v>1</v>
      </c>
      <c r="O622" t="e">
        <f>ROUND((P622*0.0036+SUMPRODUCT(Q622:AB622,VLOOKUP($Q$1:$AB$1,IngredientStats,2,FALSE)))/N622*IF('Ammo Input'!R622,0.5,1),2)</f>
        <v>#VALUE!</v>
      </c>
      <c r="P622" t="e">
        <f>(SUMPRODUCT(Q622:AB622,VLOOKUP($Q$1:$AB$1,IngredientStats,4,FALSE))*VLOOKUP(B622,AmmoTypeFactors,14,FALSE)*IF('Ammo Input'!R622,1.1,1))</f>
        <v>#VALUE!</v>
      </c>
      <c r="Q622">
        <f>IFERROR(__xludf.DUMMYFUNCTION("((IF(NOT(OR(REGEXMATCH(B618, ""Arrow""), B618 = ""Javelin"", B618 = ""Stick bomb"")), ROUNDUP(('Ammo Input'!E618 / 1000) * N618)) + IF(VLOOKUP(B618, AmmoTypeFactors, 9, FALSE) = ""Steel"", ROUNDUP(('Ammo Input'!H618 -'Ammo Input'!M618) * MAX(IF('Ammo Inpu"&amp;"t'!J618 &gt; 0, 'Ammo Input'!J618, 1), 1) * N618 / 1000))) / 'Ingredient stats'!$C$2) * IF(ISBLANK(VLOOKUP(B618,AmmoTypeFactors,15,False)),1,VLOOKUP(B618,AmmoTypeFactors,15,False))"),90)</f>
        <v>90</v>
      </c>
      <c r="R622">
        <f>IFERROR(__xludf.DUMMYFUNCTION("ROUNDUP((IF(REGEXMATCH(B618, ""Arrow"") + (B618 = ""Javelin""), 'Ammo Input'!E618) + IF(VLOOKUP(B618, AmmoTypeFactors, 9, FALSE) = ""Wood"", 'Ammo Input'!H618) + IF(B618 = ""Stick bomb"", 'Ammo Input'!E618)) * N618 / 'Ingredient stats'!$C$12 / 1000)"),0)</f>
        <v>0</v>
      </c>
      <c r="S622">
        <v>0</v>
      </c>
      <c r="T622">
        <v>0</v>
      </c>
      <c r="U622">
        <f>IF(VLOOKUP(B622,AmmoTypeFactors,9,FALSE)="Plasteel",ROUNDUP(('Ammo Input'!H622*MAX(IF('Ammo Input'!J622&gt;0,'Ammo Input'!J622,1)*N622/1000/'Ingredient stats'!$C$4)),0),0)</f>
        <v>0</v>
      </c>
      <c r="V622">
        <f>IFERROR(__xludf.DUMMYFUNCTION("ROUNDUP(IF(ISBLANK(VLOOKUP(B618,AmmoTypeFactors,16,False)),1,VLOOKUP(B618,AmmoTypeFactors,16,False)) * (IFS(REGEXMATCH(B618, ""EMP""), 'Ammo Input'!M618 * N618 / 'Ingredient stats'!$C$5, REGEXMATCH(B618, ""Charge""), (U618^0.75), true, 0) + (IF(VLOOKUP(B6"&amp;"18, AmmoTypeFactors, 10, false), 2,0) + IF('Ammo Input'!P618, 2,0) + IF('Ammo Input'!Q618,MIN(ROUNDUP(0.2*('Ammo Input'!H618/1000)*'Ammo Input'!O618,0),20),0))))"),2)</f>
        <v>2</v>
      </c>
      <c r="W622">
        <v>3</v>
      </c>
      <c r="X622">
        <v>0</v>
      </c>
      <c r="Y622">
        <v>0</v>
      </c>
      <c r="Z622">
        <v>0</v>
      </c>
      <c r="AA622">
        <v>0</v>
      </c>
      <c r="AB622" s="30">
        <f>IF(B622="Sling Bullet (Stone)",ROUNDUP(D622*0.02*E622/'Ingredient stats'!$C$8,0),0)</f>
        <v>0</v>
      </c>
      <c r="AC622" t="str">
        <f t="shared" si="28"/>
        <v>None</v>
      </c>
      <c r="AD622" t="str">
        <f>IF(OR(B622="Buck",B622="Bird",B622="Charge (Scatter)"),'Ammo Input'!J622,"None")</f>
        <v>None</v>
      </c>
      <c r="AE622" t="str">
        <f>_xlfn.IFS(ISTEXT(Calcs!N622),Calcs!N622,Calcs!N622&lt;=40,Calcs!N622,Calcs!N622&gt;41,"40")</f>
        <v>None</v>
      </c>
      <c r="AF622" t="str">
        <f>_xlfn.IFS(ISTEXT(Calcs!O622),Calcs!O622,Calcs!O622&lt;=80,Calcs!O622,Calcs!O622&gt;=81,"80")</f>
        <v>None</v>
      </c>
      <c r="AG622" s="25">
        <f t="shared" si="29"/>
        <v>0</v>
      </c>
      <c r="AH622" s="25">
        <f t="shared" si="30"/>
        <v>2.53</v>
      </c>
      <c r="AI622" s="25">
        <f t="shared" si="31"/>
        <v>0</v>
      </c>
    </row>
    <row r="623" ht="14.4" spans="1:35">
      <c r="A623" s="24" t="str">
        <f>'Ammo Input'!A623</f>
        <v>28 cm Spgr.</v>
      </c>
      <c r="B623" t="str">
        <f>'Ammo Input'!B623</f>
        <v>HE</v>
      </c>
      <c r="C623">
        <f>ROUNDUP(('Ammo Input'!C623*(MAX('Ammo Input'!D623,'Ammo Input'!F623)*0.5)^2*PI())*3/1000000,2)</f>
        <v>240.23</v>
      </c>
      <c r="D623">
        <f>ROUNDUP(('Ammo Input'!E623+'Ammo Input'!H623*IF('Ammo Input'!J623&lt;&gt;"",MAX('Ammo Input'!J623,1),1))/1000,3)</f>
        <v>300</v>
      </c>
      <c r="E623">
        <f>MIN(5000,MAX(25,CEILING(Calcs!L623,_xlfn.IFS(Calcs!L623&lt;100,25,Calcs!L623&lt;250,50,Calcs!L623&lt;1000,250,Calcs!L623&gt;=1000,1000))))</f>
        <v>25</v>
      </c>
      <c r="F623">
        <f>ROUNDUP('Ammo Input'!G623^(3/4),0)</f>
        <v>163</v>
      </c>
      <c r="G623">
        <f>ROUND((0.5*((IF(OR(B623="HEAT",B623="HEDP"),'Ammo Input'!N623,'Ammo Input'!H623)/1000)*(IF(B623="HEAT",9000,IF(B623="HEDP",1500,'Ammo Input'!G623))^2))),0)</f>
        <v>118815000</v>
      </c>
      <c r="H623" s="25" t="str">
        <f>CONCATENATE(IF((B623="Foam")+(B623="Smoke"),"-",ROUND(Calcs!D623,0))," ",VLOOKUP(B623,AmmoTypeFactors,5,FALSE))</f>
        <v>837 Bomb</v>
      </c>
      <c r="I623" s="25" t="str">
        <f>IF(Calcs!E623=0,"None",CONCATENATE(ROUND(Calcs!E623,0)," ",VLOOKUP(B623,AmmoTypeFactors,6,FALSE)))</f>
        <v>None</v>
      </c>
      <c r="J623">
        <f>MROUND(2.42*'Ammo Input'!M623^(1/3)*VLOOKUP(B623,AmmoTypeFactors,3,FALSE),0.5)</f>
        <v>7</v>
      </c>
      <c r="K623" s="25" t="str">
        <f>IF(VLOOKUP(B623,AmmoTypeFactors,12,FALSE),MROUND(J623/3,0.5),"None")</f>
        <v>None</v>
      </c>
      <c r="L623" s="25" t="str">
        <f>IF(VLOOKUP(B623,AmmoTypeFactors,8,FALSE),"None",ROUNDUP(IF(Calcs!I623&gt;0,Calcs!I623,Calcs!H623),3))</f>
        <v>None</v>
      </c>
      <c r="M623" s="25" t="str">
        <f>IF(VLOOKUP(B623,AmmoTypeFactors,8,FALSE),"None",'Ammo Input'!L623)</f>
        <v>None</v>
      </c>
      <c r="N623">
        <f>'Ammo Input'!O623</f>
        <v>1</v>
      </c>
      <c r="O623" t="e">
        <f>ROUND((P623*0.0036+SUMPRODUCT(Q623:AB623,VLOOKUP($Q$1:$AB$1,IngredientStats,2,FALSE)))/N623*IF('Ammo Input'!R623,0.5,1),2)</f>
        <v>#VALUE!</v>
      </c>
      <c r="P623" t="e">
        <f>(SUMPRODUCT(Q623:AB623,VLOOKUP($Q$1:$AB$1,IngredientStats,4,FALSE))*VLOOKUP(B623,AmmoTypeFactors,14,FALSE)*IF('Ammo Input'!R623,1.1,1))</f>
        <v>#VALUE!</v>
      </c>
      <c r="Q623">
        <f>IFERROR(__xludf.DUMMYFUNCTION("((IF(NOT(OR(REGEXMATCH(B619, ""Arrow""), B619 = ""Javelin"", B619 = ""Stick bomb"")), ROUNDUP(('Ammo Input'!E619 / 1000) * N619)) + IF(VLOOKUP(B619, AmmoTypeFactors, 9, FALSE) = ""Steel"", ROUNDUP(('Ammo Input'!H619 -'Ammo Input'!M619) * MAX(IF('Ammo Inpu"&amp;"t'!J619 &gt; 0, 'Ammo Input'!J619, 1), 1) * N619 / 1000))) / 'Ingredient stats'!$C$2) * IF(ISBLANK(VLOOKUP(B619,AmmoTypeFactors,15,False)),1,VLOOKUP(B619,AmmoTypeFactors,15,False))"),600)</f>
        <v>600</v>
      </c>
      <c r="R623">
        <f>IFERROR(__xludf.DUMMYFUNCTION("ROUNDUP((IF(REGEXMATCH(B619, ""Arrow"") + (B619 = ""Javelin""), 'Ammo Input'!E619) + IF(VLOOKUP(B619, AmmoTypeFactors, 9, FALSE) = ""Wood"", 'Ammo Input'!H619) + IF(B619 = ""Stick bomb"", 'Ammo Input'!E619)) * N619 / 'Ingredient stats'!$C$12 / 1000)"),0)</f>
        <v>0</v>
      </c>
      <c r="S623">
        <v>0</v>
      </c>
      <c r="T623">
        <v>0</v>
      </c>
      <c r="U623">
        <f>IF(VLOOKUP(B623,AmmoTypeFactors,9,FALSE)="Plasteel",ROUNDUP(('Ammo Input'!H623*MAX(IF('Ammo Input'!J623&gt;0,'Ammo Input'!J623,1)*N623/1000/'Ingredient stats'!$C$4)),0),0)</f>
        <v>0</v>
      </c>
      <c r="V623">
        <f>IFERROR(__xludf.DUMMYFUNCTION("ROUNDUP(IF(ISBLANK(VLOOKUP(B619,AmmoTypeFactors,16,False)),1,VLOOKUP(B619,AmmoTypeFactors,16,False)) * (IFS(REGEXMATCH(B619, ""EMP""), 'Ammo Input'!M619 * N619 / 'Ingredient stats'!$C$5, REGEXMATCH(B619, ""Charge""), (U619^0.75), true, 0) + (IF(VLOOKUP(B6"&amp;"19, AmmoTypeFactors, 10, false), 2,0) + IF('Ammo Input'!P619, 2,0) + IF('Ammo Input'!Q619,MIN(ROUNDUP(0.2*('Ammo Input'!H619/1000)*'Ammo Input'!O619,0),20),0))))"),2)</f>
        <v>2</v>
      </c>
      <c r="W623">
        <v>0</v>
      </c>
      <c r="X623">
        <v>33</v>
      </c>
      <c r="Y623">
        <v>0</v>
      </c>
      <c r="Z623">
        <v>0</v>
      </c>
      <c r="AA623">
        <v>0</v>
      </c>
      <c r="AB623" s="30">
        <f>IF(B623="Sling Bullet (Stone)",ROUNDUP(D623*0.02*E623/'Ingredient stats'!$C$8,0),0)</f>
        <v>0</v>
      </c>
      <c r="AC623" t="str">
        <f t="shared" si="28"/>
        <v>None</v>
      </c>
      <c r="AD623" t="str">
        <f>IF(OR(B623="Buck",B623="Bird",B623="Charge (Scatter)"),'Ammo Input'!J623,"None")</f>
        <v>None</v>
      </c>
      <c r="AE623" t="str">
        <f>_xlfn.IFS(ISTEXT(Calcs!N623),Calcs!N623,Calcs!N623&lt;=40,Calcs!N623,Calcs!N623&gt;41,"40")</f>
        <v>40</v>
      </c>
      <c r="AF623" t="str">
        <f>_xlfn.IFS(ISTEXT(Calcs!O623),Calcs!O623,Calcs!O623&lt;=80,Calcs!O623,Calcs!O623&gt;=81,"80")</f>
        <v>80</v>
      </c>
      <c r="AG623" s="25">
        <f t="shared" si="29"/>
        <v>3</v>
      </c>
      <c r="AH623" s="25">
        <f t="shared" si="30"/>
        <v>2.67</v>
      </c>
      <c r="AI623" s="25">
        <f t="shared" si="31"/>
        <v>2</v>
      </c>
    </row>
    <row r="624" ht="14.4" spans="1:35">
      <c r="A624" s="24" t="str">
        <f>'Ammo Input'!A624</f>
        <v>37x223mmSR</v>
      </c>
      <c r="B624" t="str">
        <f>'Ammo Input'!B624</f>
        <v>HE</v>
      </c>
      <c r="C624">
        <f>ROUNDUP(('Ammo Input'!C624*(MAX('Ammo Input'!D624,'Ammo Input'!F624)*0.5)^2*PI())*3/1000000,2)</f>
        <v>1.6</v>
      </c>
      <c r="D624">
        <f>ROUNDUP(('Ammo Input'!E624+'Ammo Input'!H624*IF('Ammo Input'!J624&lt;&gt;"",MAX('Ammo Input'!J624,1),1))/1000,3)</f>
        <v>1.18</v>
      </c>
      <c r="E624">
        <f>MIN(5000,MAX(25,CEILING(Calcs!L624,_xlfn.IFS(Calcs!L624&lt;100,25,Calcs!L624&lt;250,50,Calcs!L624&lt;1000,250,Calcs!L624&gt;=1000,1000))))</f>
        <v>100</v>
      </c>
      <c r="F624">
        <f>ROUNDUP('Ammo Input'!G624^(3/4),0)</f>
        <v>150</v>
      </c>
      <c r="G624">
        <f>ROUND((0.5*((IF(OR(B624="HEAT",B624="HEDP"),'Ammo Input'!N624,'Ammo Input'!H624)/1000)*(IF(B624="HEAT",9000,IF(B624="HEDP",1500,'Ammo Input'!G624))^2))),0)</f>
        <v>191316</v>
      </c>
      <c r="H624" s="25" t="str">
        <f>CONCATENATE(IF((B624="Foam")+(B624="Smoke"),"-",ROUND(Calcs!D624,0))," ",VLOOKUP(B624,AmmoTypeFactors,5,FALSE))</f>
        <v>0 Bomb</v>
      </c>
      <c r="I624" s="25" t="str">
        <f>IF(Calcs!E624=0,"None",CONCATENATE(ROUND(Calcs!E624,0)," ",VLOOKUP(B624,AmmoTypeFactors,6,FALSE)))</f>
        <v>None</v>
      </c>
      <c r="J624">
        <f>MROUND(2.42*'Ammo Input'!M624^(1/3)*VLOOKUP(B624,AmmoTypeFactors,3,FALSE),0.5)</f>
        <v>0</v>
      </c>
      <c r="K624" s="25" t="str">
        <f>IF(VLOOKUP(B624,AmmoTypeFactors,12,FALSE),MROUND(J624/3,0.5),"None")</f>
        <v>None</v>
      </c>
      <c r="L624" s="25" t="str">
        <f>IF(VLOOKUP(B624,AmmoTypeFactors,8,FALSE),"None",ROUNDUP(IF(Calcs!I624&gt;0,Calcs!I624,Calcs!H624),3))</f>
        <v>None</v>
      </c>
      <c r="M624" s="25" t="str">
        <f>IF(VLOOKUP(B624,AmmoTypeFactors,8,FALSE),"None",'Ammo Input'!L624)</f>
        <v>None</v>
      </c>
      <c r="N624">
        <f>'Ammo Input'!O624</f>
        <v>25</v>
      </c>
      <c r="O624" t="e">
        <f>ROUND((P624*0.0036+SUMPRODUCT(Q624:AB624,VLOOKUP($Q$1:$AB$1,IngredientStats,2,FALSE)))/N624*IF('Ammo Input'!R624,0.5,1),2)</f>
        <v>#VALUE!</v>
      </c>
      <c r="P624" t="e">
        <f>(SUMPRODUCT(Q624:AB624,VLOOKUP($Q$1:$AB$1,IngredientStats,4,FALSE))*VLOOKUP(B624,AmmoTypeFactors,14,FALSE)*IF('Ammo Input'!R624,1.1,1))</f>
        <v>#VALUE!</v>
      </c>
      <c r="Q624">
        <f>IFERROR(__xludf.DUMMYFUNCTION("((IF(NOT(OR(REGEXMATCH(B620, ""Arrow""), B620 = ""Javelin"", B620 = ""Stick bomb"")), ROUNDUP(('Ammo Input'!E620 / 1000) * N620)) + IF(VLOOKUP(B620, AmmoTypeFactors, 9, FALSE) = ""Steel"", ROUNDUP(('Ammo Input'!H620 -'Ammo Input'!M620) * MAX(IF('Ammo Inpu"&amp;"t'!J620 &gt; 0, 'Ammo Input'!J620, 1), 1) * N620 / 1000))) / 'Ingredient stats'!$C$2) * IF(ISBLANK(VLOOKUP(B620,AmmoTypeFactors,15,False)),1,VLOOKUP(B620,AmmoTypeFactors,15,False))"),62)</f>
        <v>62</v>
      </c>
      <c r="R624">
        <f>IFERROR(__xludf.DUMMYFUNCTION("ROUNDUP((IF(REGEXMATCH(B620, ""Arrow"") + (B620 = ""Javelin""), 'Ammo Input'!E620) + IF(VLOOKUP(B620, AmmoTypeFactors, 9, FALSE) = ""Wood"", 'Ammo Input'!H620) + IF(B620 = ""Stick bomb"", 'Ammo Input'!E620)) * N620 / 'Ingredient stats'!$C$12 / 1000)"),0)</f>
        <v>0</v>
      </c>
      <c r="S624">
        <v>0</v>
      </c>
      <c r="T624">
        <v>0</v>
      </c>
      <c r="U624">
        <f>IF(VLOOKUP(B624,AmmoTypeFactors,9,FALSE)="Plasteel",ROUNDUP(('Ammo Input'!H624*MAX(IF('Ammo Input'!J624&gt;0,'Ammo Input'!J624,1)*N624/1000/'Ingredient stats'!$C$4)),0),0)</f>
        <v>0</v>
      </c>
      <c r="V624">
        <f>IFERROR(__xludf.DUMMYFUNCTION("ROUNDUP(IF(ISBLANK(VLOOKUP(B620,AmmoTypeFactors,16,False)),1,VLOOKUP(B620,AmmoTypeFactors,16,False)) * (IFS(REGEXMATCH(B620, ""EMP""), 'Ammo Input'!M620 * N620 / 'Ingredient stats'!$C$5, REGEXMATCH(B620, ""Charge""), (U620^0.75), true, 0) + (IF(VLOOKUP(B6"&amp;"20, AmmoTypeFactors, 10, false), 2,0) + IF('Ammo Input'!P620, 2,0) + IF('Ammo Input'!Q620,MIN(ROUNDUP(0.2*('Ammo Input'!H620/1000)*'Ammo Input'!O620,0),20),0))))"),2)</f>
        <v>2</v>
      </c>
      <c r="W624">
        <v>0</v>
      </c>
      <c r="X624">
        <v>0</v>
      </c>
      <c r="Y624">
        <v>0</v>
      </c>
      <c r="Z624">
        <v>0</v>
      </c>
      <c r="AA624">
        <v>0</v>
      </c>
      <c r="AB624" s="30">
        <f>IF(B624="Sling Bullet (Stone)",ROUNDUP(D624*0.02*E624/'Ingredient stats'!$C$8,0),0)</f>
        <v>0</v>
      </c>
      <c r="AC624" t="str">
        <f t="shared" si="28"/>
        <v>None</v>
      </c>
      <c r="AD624" t="str">
        <f>IF(OR(B624="Buck",B624="Bird",B624="Charge (Scatter)"),'Ammo Input'!J624,"None")</f>
        <v>None</v>
      </c>
      <c r="AE624">
        <f>_xlfn.IFS(ISTEXT(Calcs!N624),Calcs!N624,Calcs!N624&lt;=40,Calcs!N624,Calcs!N624&gt;41,"40")</f>
        <v>3</v>
      </c>
      <c r="AF624">
        <f>_xlfn.IFS(ISTEXT(Calcs!O624),Calcs!O624,Calcs!O624&lt;=80,Calcs!O624,Calcs!O624&gt;=81,"80")</f>
        <v>0</v>
      </c>
      <c r="AG624" s="25">
        <f t="shared" si="29"/>
        <v>1</v>
      </c>
      <c r="AH624" s="25">
        <f t="shared" si="30"/>
        <v>2.47</v>
      </c>
      <c r="AI624" s="25">
        <f t="shared" si="31"/>
        <v>1</v>
      </c>
    </row>
    <row r="625" ht="14.4" spans="1:35">
      <c r="A625" s="24" t="str">
        <f>'Ammo Input'!A625</f>
        <v>37x223mmSR</v>
      </c>
      <c r="B625" t="str">
        <f>'Ammo Input'!B625</f>
        <v>AP</v>
      </c>
      <c r="C625">
        <f>ROUNDUP(('Ammo Input'!C625*(MAX('Ammo Input'!D625,'Ammo Input'!F625)*0.5)^2*PI())*3/1000000,2)</f>
        <v>1.6</v>
      </c>
      <c r="D625">
        <f>ROUNDUP(('Ammo Input'!E625+'Ammo Input'!H625*IF('Ammo Input'!J625&lt;&gt;"",MAX('Ammo Input'!J625,1),1))/1000,3)</f>
        <v>1.47</v>
      </c>
      <c r="E625">
        <f>MIN(5000,MAX(25,CEILING(Calcs!L625,_xlfn.IFS(Calcs!L625&lt;100,25,Calcs!L625&lt;250,50,Calcs!L625&lt;1000,250,Calcs!L625&gt;=1000,1000))))</f>
        <v>100</v>
      </c>
      <c r="F625">
        <f>ROUNDUP('Ammo Input'!G625^(3/4),0)</f>
        <v>125</v>
      </c>
      <c r="G625">
        <f>ROUND((0.5*((IF(OR(B625="HEAT",B625="HEDP"),'Ammo Input'!N625,'Ammo Input'!H625)/1000)*(IF(B625="HEAT",9000,IF(B625="HEDP",1500,'Ammo Input'!G625))^2))),0)</f>
        <v>169922</v>
      </c>
      <c r="H625" s="25" t="str">
        <f>CONCATENATE(IF((B625="Foam")+(B625="Smoke"),"-",ROUND(Calcs!D625,0))," ",VLOOKUP(B625,AmmoTypeFactors,5,FALSE))</f>
        <v>82 Bullet</v>
      </c>
      <c r="I625" s="25" t="str">
        <f>IF(Calcs!E625=0,"None",CONCATENATE(ROUND(Calcs!E625,0)," ",VLOOKUP(B625,AmmoTypeFactors,6,FALSE)))</f>
        <v>None</v>
      </c>
      <c r="J625">
        <f>MROUND(2.42*'Ammo Input'!M625^(1/3)*VLOOKUP(B625,AmmoTypeFactors,3,FALSE),0.5)</f>
        <v>0</v>
      </c>
      <c r="K625" s="25" t="str">
        <f>IF(VLOOKUP(B625,AmmoTypeFactors,12,FALSE),MROUND(J625/3,0.5),"None")</f>
        <v>None</v>
      </c>
      <c r="L625" s="25">
        <f>IF(VLOOKUP(B625,AmmoTypeFactors,8,FALSE),"None",ROUNDUP(IF(Calcs!I625&gt;0,Calcs!I625,Calcs!H625),3))</f>
        <v>3398.44</v>
      </c>
      <c r="M625" s="34">
        <f>IF(VLOOKUP(B625,AmmoTypeFactors,8,FALSE),"None",'Ammo Input'!L625)</f>
        <v>0</v>
      </c>
      <c r="N625">
        <f>'Ammo Input'!O625</f>
        <v>25</v>
      </c>
      <c r="O625" t="e">
        <f>ROUND((P625*0.0036+SUMPRODUCT(Q625:AB625,VLOOKUP($Q$1:$AB$1,IngredientStats,2,FALSE)))/N625*IF('Ammo Input'!R625,0.5,1),2)</f>
        <v>#VALUE!</v>
      </c>
      <c r="P625" t="e">
        <f>(SUMPRODUCT(Q625:AB625,VLOOKUP($Q$1:$AB$1,IngredientStats,4,FALSE))*VLOOKUP(B625,AmmoTypeFactors,14,FALSE)*IF('Ammo Input'!R625,1.1,1))</f>
        <v>#VALUE!</v>
      </c>
      <c r="Q625">
        <f>IFERROR(__xludf.DUMMYFUNCTION("((IF(NOT(OR(REGEXMATCH(B621, ""Arrow""), B621 = ""Javelin"", B621 = ""Stick bomb"")), ROUNDUP(('Ammo Input'!E621 / 1000) * N621)) + IF(VLOOKUP(B621, AmmoTypeFactors, 9, FALSE) = ""Steel"", ROUNDUP(('Ammo Input'!H621 -'Ammo Input'!M621) * MAX(IF('Ammo Inpu"&amp;"t'!J621 &gt; 0, 'Ammo Input'!J621, 1), 1) * N621 / 1000))) / 'Ingredient stats'!$C$2) * IF(ISBLANK(VLOOKUP(B621,AmmoTypeFactors,15,False)),1,VLOOKUP(B621,AmmoTypeFactors,15,False))"),74)</f>
        <v>74</v>
      </c>
      <c r="R625">
        <f>IFERROR(__xludf.DUMMYFUNCTION("ROUNDUP((IF(REGEXMATCH(B621, ""Arrow"") + (B621 = ""Javelin""), 'Ammo Input'!E621) + IF(VLOOKUP(B621, AmmoTypeFactors, 9, FALSE) = ""Wood"", 'Ammo Input'!H621) + IF(B621 = ""Stick bomb"", 'Ammo Input'!E621)) * N621 / 'Ingredient stats'!$C$12 / 1000)"),0)</f>
        <v>0</v>
      </c>
      <c r="S625">
        <v>0</v>
      </c>
      <c r="T625">
        <v>0</v>
      </c>
      <c r="U625">
        <f>IF(VLOOKUP(B625,AmmoTypeFactors,9,FALSE)="Plasteel",ROUNDUP(('Ammo Input'!H625*MAX(IF('Ammo Input'!J625&gt;0,'Ammo Input'!J625,1)*N625/1000/'Ingredient stats'!$C$4)),0),0)</f>
        <v>0</v>
      </c>
      <c r="V625">
        <f>IFERROR(__xludf.DUMMYFUNCTION("ROUNDUP(IF(ISBLANK(VLOOKUP(B621,AmmoTypeFactors,16,False)),1,VLOOKUP(B621,AmmoTypeFactors,16,False)) * (IFS(REGEXMATCH(B621, ""EMP""), 'Ammo Input'!M621 * N621 / 'Ingredient stats'!$C$5, REGEXMATCH(B621, ""Charge""), (U621^0.75), true, 0) + (IF(VLOOKUP(B6"&amp;"21, AmmoTypeFactors, 10, false), 2,0) + IF('Ammo Input'!P621, 2,0) + IF('Ammo Input'!Q621,MIN(ROUNDUP(0.2*('Ammo Input'!H621/1000)*'Ammo Input'!O621,0),20),0))))"),0)</f>
        <v>0</v>
      </c>
      <c r="W625">
        <v>0</v>
      </c>
      <c r="X625">
        <v>0</v>
      </c>
      <c r="Y625">
        <v>0</v>
      </c>
      <c r="Z625">
        <v>0</v>
      </c>
      <c r="AA625">
        <v>0</v>
      </c>
      <c r="AB625" s="30">
        <f>IF(B625="Sling Bullet (Stone)",ROUNDUP(D625*0.02*E625/'Ingredient stats'!$C$8,0),0)</f>
        <v>0</v>
      </c>
      <c r="AC625" t="str">
        <f t="shared" si="28"/>
        <v>None</v>
      </c>
      <c r="AD625" t="str">
        <f>IF(OR(B625="Buck",B625="Bird",B625="Charge (Scatter)"),'Ammo Input'!J625,"None")</f>
        <v>None</v>
      </c>
      <c r="AE625" t="str">
        <f>_xlfn.IFS(ISTEXT(Calcs!N625),Calcs!N625,Calcs!N625&lt;=40,Calcs!N625,Calcs!N625&gt;41,"40")</f>
        <v>None</v>
      </c>
      <c r="AF625" t="str">
        <f>_xlfn.IFS(ISTEXT(Calcs!O625),Calcs!O625,Calcs!O625&lt;=80,Calcs!O625,Calcs!O625&gt;=81,"80")</f>
        <v>None</v>
      </c>
      <c r="AG625" s="25">
        <f t="shared" si="29"/>
        <v>1</v>
      </c>
      <c r="AH625" s="25">
        <f t="shared" si="30"/>
        <v>2.06</v>
      </c>
      <c r="AI625" s="25">
        <f t="shared" si="31"/>
        <v>1</v>
      </c>
    </row>
    <row r="626" ht="14.4" spans="1:35">
      <c r="A626" s="24" t="str">
        <f>'Ammo Input'!A626</f>
        <v>40x365mm Bofors</v>
      </c>
      <c r="B626" t="str">
        <f>'Ammo Input'!B626</f>
        <v>HE</v>
      </c>
      <c r="C626">
        <f>ROUNDUP(('Ammo Input'!C626*(MAX('Ammo Input'!D626,'Ammo Input'!F626)*0.5)^2*PI())*3/1000000,2)</f>
        <v>4.69</v>
      </c>
      <c r="D626">
        <f>ROUNDUP(('Ammo Input'!E626+'Ammo Input'!H626*IF('Ammo Input'!J626&lt;&gt;"",MAX('Ammo Input'!J626,1),1))/1000,3)</f>
        <v>2.15</v>
      </c>
      <c r="E626">
        <f>MIN(5000,MAX(25,CEILING(Calcs!L626,_xlfn.IFS(Calcs!L626&lt;100,25,Calcs!L626&lt;250,50,Calcs!L626&lt;1000,250,Calcs!L626&gt;=1000,1000))))</f>
        <v>25</v>
      </c>
      <c r="F626">
        <f>ROUNDUP('Ammo Input'!G626^(3/4),0)</f>
        <v>181</v>
      </c>
      <c r="G626">
        <f>ROUND((0.5*((IF(OR(B626="HEAT",B626="HEDP"),'Ammo Input'!N626,'Ammo Input'!H626)/1000)*(IF(B626="HEAT",9000,IF(B626="HEDP",1500,'Ammo Input'!G626))^2))),0)</f>
        <v>500372</v>
      </c>
      <c r="H626" s="25" t="str">
        <f>CONCATENATE(IF((B626="Foam")+(B626="Smoke"),"-",ROUND(Calcs!D626,0))," ",VLOOKUP(B626,AmmoTypeFactors,5,FALSE))</f>
        <v>0 Bomb</v>
      </c>
      <c r="I626" s="25" t="str">
        <f>IF(Calcs!E626=0,"None",CONCATENATE(ROUND(Calcs!E626,0)," ",VLOOKUP(B626,AmmoTypeFactors,6,FALSE)))</f>
        <v>None</v>
      </c>
      <c r="J626">
        <f>MROUND(2.42*'Ammo Input'!M626^(1/3)*VLOOKUP(B626,AmmoTypeFactors,3,FALSE),0.5)</f>
        <v>0</v>
      </c>
      <c r="K626" s="25" t="str">
        <f>IF(VLOOKUP(B626,AmmoTypeFactors,12,FALSE),MROUND(J626/3,0.5),"None")</f>
        <v>None</v>
      </c>
      <c r="L626" s="25" t="str">
        <f>IF(VLOOKUP(B626,AmmoTypeFactors,8,FALSE),"None",ROUNDUP(IF(Calcs!I626&gt;0,Calcs!I626,Calcs!H626),3))</f>
        <v>None</v>
      </c>
      <c r="M626" s="25" t="str">
        <f>IF(VLOOKUP(B626,AmmoTypeFactors,8,FALSE),"None",'Ammo Input'!L626)</f>
        <v>None</v>
      </c>
      <c r="N626">
        <f>'Ammo Input'!O626</f>
        <v>25</v>
      </c>
      <c r="O626" t="e">
        <f>ROUND((P626*0.0036+SUMPRODUCT(Q626:AB626,VLOOKUP($Q$1:$AB$1,IngredientStats,2,FALSE)))/N626*IF('Ammo Input'!R626,0.5,1),2)</f>
        <v>#VALUE!</v>
      </c>
      <c r="P626" t="e">
        <f>(SUMPRODUCT(Q626:AB626,VLOOKUP($Q$1:$AB$1,IngredientStats,4,FALSE))*VLOOKUP(B626,AmmoTypeFactors,14,FALSE)*IF('Ammo Input'!R626,1.1,1))</f>
        <v>#VALUE!</v>
      </c>
      <c r="Q626">
        <f>IFERROR(__xludf.DUMMYFUNCTION("((IF(NOT(OR(REGEXMATCH(B622, ""Arrow""), B622 = ""Javelin"", B622 = ""Stick bomb"")), ROUNDUP(('Ammo Input'!E622 / 1000) * N622)) + IF(VLOOKUP(B622, AmmoTypeFactors, 9, FALSE) = ""Steel"", ROUNDUP(('Ammo Input'!H622 -'Ammo Input'!M622) * MAX(IF('Ammo Inpu"&amp;"t'!J622 &gt; 0, 'Ammo Input'!J622, 1), 1) * N622 / 1000))) / 'Ingredient stats'!$C$2) * IF(ISBLANK(VLOOKUP(B622,AmmoTypeFactors,15,False)),1,VLOOKUP(B622,AmmoTypeFactors,15,False))"),108)</f>
        <v>108</v>
      </c>
      <c r="R626">
        <f>IFERROR(__xludf.DUMMYFUNCTION("ROUNDUP((IF(REGEXMATCH(B622, ""Arrow"") + (B622 = ""Javelin""), 'Ammo Input'!E622) + IF(VLOOKUP(B622, AmmoTypeFactors, 9, FALSE) = ""Wood"", 'Ammo Input'!H622) + IF(B622 = ""Stick bomb"", 'Ammo Input'!E622)) * N622 / 'Ingredient stats'!$C$12 / 1000)"),0)</f>
        <v>0</v>
      </c>
      <c r="S626">
        <v>0</v>
      </c>
      <c r="T626">
        <v>0</v>
      </c>
      <c r="U626">
        <f>IF(VLOOKUP(B626,AmmoTypeFactors,9,FALSE)="Plasteel",ROUNDUP(('Ammo Input'!H626*MAX(IF('Ammo Input'!J626&gt;0,'Ammo Input'!J626,1)*N626/1000/'Ingredient stats'!$C$4)),0),0)</f>
        <v>0</v>
      </c>
      <c r="V626">
        <f>IFERROR(__xludf.DUMMYFUNCTION("ROUNDUP(IF(ISBLANK(VLOOKUP(B622,AmmoTypeFactors,16,False)),1,VLOOKUP(B622,AmmoTypeFactors,16,False)) * (IFS(REGEXMATCH(B622, ""EMP""), 'Ammo Input'!M622 * N622 / 'Ingredient stats'!$C$5, REGEXMATCH(B622, ""Charge""), (U622^0.75), true, 0) + (IF(VLOOKUP(B6"&amp;"22, AmmoTypeFactors, 10, false), 2,0) + IF('Ammo Input'!P622, 2,0) + IF('Ammo Input'!Q622,MIN(ROUNDUP(0.2*('Ammo Input'!H622/1000)*'Ammo Input'!O622,0),20),0))))"),2)</f>
        <v>2</v>
      </c>
      <c r="W626">
        <v>0</v>
      </c>
      <c r="X626">
        <v>0</v>
      </c>
      <c r="Y626">
        <v>0</v>
      </c>
      <c r="Z626">
        <v>0</v>
      </c>
      <c r="AA626">
        <v>0</v>
      </c>
      <c r="AB626" s="30">
        <f>IF(B626="Sling Bullet (Stone)",ROUNDUP(D626*0.02*E626/'Ingredient stats'!$C$8,0),0)</f>
        <v>0</v>
      </c>
      <c r="AC626" t="str">
        <f t="shared" si="28"/>
        <v>None</v>
      </c>
      <c r="AD626" t="str">
        <f>IF(OR(B626="Buck",B626="Bird",B626="Charge (Scatter)"),'Ammo Input'!J626,"None")</f>
        <v>None</v>
      </c>
      <c r="AE626">
        <f>_xlfn.IFS(ISTEXT(Calcs!N626),Calcs!N626,Calcs!N626&lt;=40,Calcs!N626,Calcs!N626&gt;41,"40")</f>
        <v>4</v>
      </c>
      <c r="AF626">
        <f>_xlfn.IFS(ISTEXT(Calcs!O626),Calcs!O626,Calcs!O626&lt;=80,Calcs!O626,Calcs!O626&gt;=81,"80")</f>
        <v>0</v>
      </c>
      <c r="AG626" s="25">
        <f t="shared" si="29"/>
        <v>1</v>
      </c>
      <c r="AH626" s="25">
        <f t="shared" si="30"/>
        <v>2.94</v>
      </c>
      <c r="AI626" s="25">
        <f t="shared" si="31"/>
        <v>1</v>
      </c>
    </row>
    <row r="627" ht="14.4" spans="1:35">
      <c r="A627" s="24" t="str">
        <f>'Ammo Input'!A627</f>
        <v>40x365mm Bofors</v>
      </c>
      <c r="B627" t="str">
        <f>'Ammo Input'!B627</f>
        <v>AP</v>
      </c>
      <c r="C627">
        <f>ROUNDUP(('Ammo Input'!C627*(MAX('Ammo Input'!D627,'Ammo Input'!F627)*0.5)^2*PI())*3/1000000,2)</f>
        <v>4.69</v>
      </c>
      <c r="D627">
        <f>ROUNDUP(('Ammo Input'!E627+'Ammo Input'!H627*IF('Ammo Input'!J627&lt;&gt;"",MAX('Ammo Input'!J627,1),1))/1000,3)</f>
        <v>2.15</v>
      </c>
      <c r="E627">
        <f>MIN(5000,MAX(25,CEILING(Calcs!L627,_xlfn.IFS(Calcs!L627&lt;100,25,Calcs!L627&lt;250,50,Calcs!L627&lt;1000,250,Calcs!L627&gt;=1000,1000))))</f>
        <v>25</v>
      </c>
      <c r="F627">
        <f>ROUNDUP('Ammo Input'!G627^(3/4),0)</f>
        <v>181</v>
      </c>
      <c r="G627">
        <f>ROUND((0.5*((IF(OR(B627="HEAT",B627="HEDP"),'Ammo Input'!N627,'Ammo Input'!H627)/1000)*(IF(B627="HEAT",9000,IF(B627="HEDP",1500,'Ammo Input'!G627))^2))),0)</f>
        <v>500372</v>
      </c>
      <c r="H627" s="25" t="str">
        <f>CONCATENATE(IF((B627="Foam")+(B627="Smoke"),"-",ROUND(Calcs!D627,0))," ",VLOOKUP(B627,AmmoTypeFactors,5,FALSE))</f>
        <v>122 Bullet</v>
      </c>
      <c r="I627" s="25" t="str">
        <f>IF(Calcs!E627=0,"None",CONCATENATE(ROUND(Calcs!E627,0)," ",VLOOKUP(B627,AmmoTypeFactors,6,FALSE)))</f>
        <v>None</v>
      </c>
      <c r="J627">
        <f>MROUND(2.42*'Ammo Input'!M627^(1/3)*VLOOKUP(B627,AmmoTypeFactors,3,FALSE),0.5)</f>
        <v>0</v>
      </c>
      <c r="K627" s="25" t="str">
        <f>IF(VLOOKUP(B627,AmmoTypeFactors,12,FALSE),MROUND(J627/3,0.5),"None")</f>
        <v>None</v>
      </c>
      <c r="L627" s="25">
        <f>IF(VLOOKUP(B627,AmmoTypeFactors,8,FALSE),"None",ROUNDUP(IF(Calcs!I627&gt;0,Calcs!I627,Calcs!H627),3))</f>
        <v>10007.44</v>
      </c>
      <c r="M627" s="25">
        <f>IF(VLOOKUP(B627,AmmoTypeFactors,8,FALSE),"None",'Ammo Input'!L627)</f>
        <v>65</v>
      </c>
      <c r="N627">
        <f>'Ammo Input'!O627</f>
        <v>25</v>
      </c>
      <c r="O627" t="e">
        <f>ROUND((P627*0.0036+SUMPRODUCT(Q627:AB627,VLOOKUP($Q$1:$AB$1,IngredientStats,2,FALSE)))/N627*IF('Ammo Input'!R627,0.5,1),2)</f>
        <v>#VALUE!</v>
      </c>
      <c r="P627" t="e">
        <f>(SUMPRODUCT(Q627:AB627,VLOOKUP($Q$1:$AB$1,IngredientStats,4,FALSE))*VLOOKUP(B627,AmmoTypeFactors,14,FALSE)*IF('Ammo Input'!R627,1.1,1))</f>
        <v>#VALUE!</v>
      </c>
      <c r="Q627">
        <f>IFERROR(__xludf.DUMMYFUNCTION("((IF(NOT(OR(REGEXMATCH(B623, ""Arrow""), B623 = ""Javelin"", B623 = ""Stick bomb"")), ROUNDUP(('Ammo Input'!E623 / 1000) * N623)) + IF(VLOOKUP(B623, AmmoTypeFactors, 9, FALSE) = ""Steel"", ROUNDUP(('Ammo Input'!H623 -'Ammo Input'!M623) * MAX(IF('Ammo Inpu"&amp;"t'!J623 &gt; 0, 'Ammo Input'!J623, 1), 1) * N623 / 1000))) / 'Ingredient stats'!$C$2) * IF(ISBLANK(VLOOKUP(B623,AmmoTypeFactors,15,False)),1,VLOOKUP(B623,AmmoTypeFactors,15,False))"),108)</f>
        <v>108</v>
      </c>
      <c r="R627">
        <f>IFERROR(__xludf.DUMMYFUNCTION("ROUNDUP((IF(REGEXMATCH(B623, ""Arrow"") + (B623 = ""Javelin""), 'Ammo Input'!E623) + IF(VLOOKUP(B623, AmmoTypeFactors, 9, FALSE) = ""Wood"", 'Ammo Input'!H623) + IF(B623 = ""Stick bomb"", 'Ammo Input'!E623)) * N623 / 'Ingredient stats'!$C$12 / 1000)"),0)</f>
        <v>0</v>
      </c>
      <c r="S627">
        <v>0</v>
      </c>
      <c r="T627">
        <v>0</v>
      </c>
      <c r="U627">
        <f>IF(VLOOKUP(B627,AmmoTypeFactors,9,FALSE)="Plasteel",ROUNDUP(('Ammo Input'!H627*MAX(IF('Ammo Input'!J627&gt;0,'Ammo Input'!J627,1)*N627/1000/'Ingredient stats'!$C$4)),0),0)</f>
        <v>0</v>
      </c>
      <c r="V627">
        <f>IFERROR(__xludf.DUMMYFUNCTION("ROUNDUP(IF(ISBLANK(VLOOKUP(B623,AmmoTypeFactors,16,False)),1,VLOOKUP(B623,AmmoTypeFactors,16,False)) * (IFS(REGEXMATCH(B623, ""EMP""), 'Ammo Input'!M623 * N623 / 'Ingredient stats'!$C$5, REGEXMATCH(B623, ""Charge""), (U623^0.75), true, 0) + (IF(VLOOKUP(B6"&amp;"23, AmmoTypeFactors, 10, false), 2,0) + IF('Ammo Input'!P623, 2,0) + IF('Ammo Input'!Q623,MIN(ROUNDUP(0.2*('Ammo Input'!H623/1000)*'Ammo Input'!O623,0),20),0))))"),0)</f>
        <v>0</v>
      </c>
      <c r="W627">
        <v>0</v>
      </c>
      <c r="X627">
        <v>0</v>
      </c>
      <c r="Y627">
        <v>0</v>
      </c>
      <c r="Z627">
        <v>0</v>
      </c>
      <c r="AA627">
        <v>0</v>
      </c>
      <c r="AB627" s="30">
        <f>IF(B627="Sling Bullet (Stone)",ROUNDUP(D627*0.02*E627/'Ingredient stats'!$C$8,0),0)</f>
        <v>0</v>
      </c>
      <c r="AC627" t="str">
        <f t="shared" si="28"/>
        <v>None</v>
      </c>
      <c r="AD627" t="str">
        <f>IF(OR(B627="Buck",B627="Bird",B627="Charge (Scatter)"),'Ammo Input'!J627,"None")</f>
        <v>None</v>
      </c>
      <c r="AE627" t="str">
        <f>_xlfn.IFS(ISTEXT(Calcs!N627),Calcs!N627,Calcs!N627&lt;=40,Calcs!N627,Calcs!N627&gt;41,"40")</f>
        <v>None</v>
      </c>
      <c r="AF627" t="str">
        <f>_xlfn.IFS(ISTEXT(Calcs!O627),Calcs!O627,Calcs!O627&lt;=80,Calcs!O627,Calcs!O627&gt;=81,"80")</f>
        <v>None</v>
      </c>
      <c r="AG627" s="25">
        <f t="shared" si="29"/>
        <v>1</v>
      </c>
      <c r="AH627" s="25">
        <f t="shared" si="30"/>
        <v>2.94</v>
      </c>
      <c r="AI627" s="25">
        <f t="shared" si="31"/>
        <v>1</v>
      </c>
    </row>
    <row r="628" ht="14.4" spans="1:35">
      <c r="A628" s="24" t="str">
        <f>'Ammo Input'!A628</f>
        <v>40x365mm Bofors</v>
      </c>
      <c r="B628" t="str">
        <f>'Ammo Input'!B628</f>
        <v>Sabot</v>
      </c>
      <c r="C628">
        <f>ROUNDUP(('Ammo Input'!C628*(MAX('Ammo Input'!D628,'Ammo Input'!F628)*0.5)^2*PI())*3/1000000,2)</f>
        <v>4.69</v>
      </c>
      <c r="D628">
        <f>ROUNDUP(('Ammo Input'!E628+'Ammo Input'!H628*IF('Ammo Input'!J628&lt;&gt;"",MAX('Ammo Input'!J628,1),1))/1000,3)</f>
        <v>2.088</v>
      </c>
      <c r="E628">
        <f>MIN(5000,MAX(25,CEILING(Calcs!L628,_xlfn.IFS(Calcs!L628&lt;100,25,Calcs!L628&lt;250,50,Calcs!L628&lt;1000,250,Calcs!L628&gt;=1000,1000))))</f>
        <v>25</v>
      </c>
      <c r="F628">
        <f>ROUNDUP('Ammo Input'!G628^(3/4),0)</f>
        <v>245</v>
      </c>
      <c r="G628">
        <f>ROUND((0.5*((IF(OR(B628="HEAT",B628="HEDP"),'Ammo Input'!N628,'Ammo Input'!H628)/1000)*(IF(B628="HEAT",9000,IF(B628="HEDP",1500,'Ammo Input'!G628))^2))),0)</f>
        <v>643085</v>
      </c>
      <c r="H628" s="25" t="str">
        <f>CONCATENATE(IF((B628="Foam")+(B628="Smoke"),"-",ROUND(Calcs!D628,0))," ",VLOOKUP(B628,AmmoTypeFactors,5,FALSE))</f>
        <v>117 Bullet</v>
      </c>
      <c r="I628" s="25" t="str">
        <f>IF(Calcs!E628=0,"None",CONCATENATE(ROUND(Calcs!E628,0)," ",VLOOKUP(B628,AmmoTypeFactors,6,FALSE)))</f>
        <v>None</v>
      </c>
      <c r="J628">
        <f>MROUND(2.42*'Ammo Input'!M628^(1/3)*VLOOKUP(B628,AmmoTypeFactors,3,FALSE),0.5)</f>
        <v>0</v>
      </c>
      <c r="K628" s="25" t="str">
        <f>IF(VLOOKUP(B628,AmmoTypeFactors,12,FALSE),MROUND(J628/3,0.5),"None")</f>
        <v>None</v>
      </c>
      <c r="L628" s="25">
        <f>IF(VLOOKUP(B628,AmmoTypeFactors,8,FALSE),"None",ROUNDUP(IF(Calcs!I628&gt;0,Calcs!I628,Calcs!H628),3))</f>
        <v>12861.7</v>
      </c>
      <c r="M628" s="34">
        <f>IF(VLOOKUP(B628,AmmoTypeFactors,8,FALSE),"None",'Ammo Input'!L628)</f>
        <v>175</v>
      </c>
      <c r="N628">
        <f>'Ammo Input'!O628</f>
        <v>25</v>
      </c>
      <c r="O628" t="e">
        <f>ROUND((P628*0.0036+SUMPRODUCT(Q628:AB628,VLOOKUP($Q$1:$AB$1,IngredientStats,2,FALSE)))/N628*IF('Ammo Input'!R628,0.5,1),2)</f>
        <v>#VALUE!</v>
      </c>
      <c r="P628" t="e">
        <f>(SUMPRODUCT(Q628:AB628,VLOOKUP($Q$1:$AB$1,IngredientStats,4,FALSE))*VLOOKUP(B628,AmmoTypeFactors,14,FALSE)*IF('Ammo Input'!R628,1.1,1))</f>
        <v>#VALUE!</v>
      </c>
      <c r="Q628">
        <f>IFERROR(__xludf.DUMMYFUNCTION("((IF(NOT(OR(REGEXMATCH(B624, ""Arrow""), B624 = ""Javelin"", B624 = ""Stick bomb"")), ROUNDUP(('Ammo Input'!E624 / 1000) * N624)) + IF(VLOOKUP(B624, AmmoTypeFactors, 9, FALSE) = ""Steel"", ROUNDUP(('Ammo Input'!H624 -'Ammo Input'!M624) * MAX(IF('Ammo Inpu"&amp;"t'!J624 &gt; 0, 'Ammo Input'!J624, 1), 1) * N624 / 1000))) / 'Ingredient stats'!$C$2) * IF(ISBLANK(VLOOKUP(B624,AmmoTypeFactors,15,False)),1,VLOOKUP(B624,AmmoTypeFactors,15,False))"),78)</f>
        <v>78</v>
      </c>
      <c r="R628">
        <f>IFERROR(__xludf.DUMMYFUNCTION("ROUNDUP((IF(REGEXMATCH(B624, ""Arrow"") + (B624 = ""Javelin""), 'Ammo Input'!E624) + IF(VLOOKUP(B624, AmmoTypeFactors, 9, FALSE) = ""Wood"", 'Ammo Input'!H624) + IF(B624 = ""Stick bomb"", 'Ammo Input'!E624)) * N624 / 'Ingredient stats'!$C$12 / 1000)"),0)</f>
        <v>0</v>
      </c>
      <c r="S628">
        <v>14</v>
      </c>
      <c r="T628">
        <v>14</v>
      </c>
      <c r="U628">
        <f>IF(VLOOKUP(B628,AmmoTypeFactors,9,FALSE)="Plasteel",ROUNDUP(('Ammo Input'!H628*MAX(IF('Ammo Input'!J628&gt;0,'Ammo Input'!J628,1)*N628/1000/'Ingredient stats'!$C$4)),0),0)</f>
        <v>0</v>
      </c>
      <c r="V628">
        <f>IFERROR(__xludf.DUMMYFUNCTION("ROUNDUP(IF(ISBLANK(VLOOKUP(B624,AmmoTypeFactors,16,False)),1,VLOOKUP(B624,AmmoTypeFactors,16,False)) * (IFS(REGEXMATCH(B624, ""EMP""), 'Ammo Input'!M624 * N624 / 'Ingredient stats'!$C$5, REGEXMATCH(B624, ""Charge""), (U624^0.75), true, 0) + (IF(VLOOKUP(B6"&amp;"24, AmmoTypeFactors, 10, false), 2,0) + IF('Ammo Input'!P624, 2,0) + IF('Ammo Input'!Q624,MIN(ROUNDUP(0.2*('Ammo Input'!H624/1000)*'Ammo Input'!O624,0),20),0))))"),0)</f>
        <v>0</v>
      </c>
      <c r="W628">
        <v>0</v>
      </c>
      <c r="X628">
        <v>0</v>
      </c>
      <c r="Y628">
        <v>0</v>
      </c>
      <c r="Z628">
        <v>0</v>
      </c>
      <c r="AA628">
        <v>0</v>
      </c>
      <c r="AB628" s="30">
        <f>IF(B628="Sling Bullet (Stone)",ROUNDUP(D628*0.02*E628/'Ingredient stats'!$C$8,0),0)</f>
        <v>0</v>
      </c>
      <c r="AC628" t="str">
        <f t="shared" si="28"/>
        <v>None</v>
      </c>
      <c r="AD628" t="str">
        <f>IF(OR(B628="Buck",B628="Bird",B628="Charge (Scatter)"),'Ammo Input'!J628,"None")</f>
        <v>None</v>
      </c>
      <c r="AE628" t="str">
        <f>_xlfn.IFS(ISTEXT(Calcs!N628),Calcs!N628,Calcs!N628&lt;=40,Calcs!N628,Calcs!N628&gt;41,"40")</f>
        <v>None</v>
      </c>
      <c r="AF628" t="str">
        <f>_xlfn.IFS(ISTEXT(Calcs!O628),Calcs!O628,Calcs!O628&lt;=80,Calcs!O628,Calcs!O628&gt;=81,"80")</f>
        <v>None</v>
      </c>
      <c r="AG628" s="25">
        <f t="shared" si="29"/>
        <v>1</v>
      </c>
      <c r="AH628" s="25">
        <f t="shared" si="30"/>
        <v>4</v>
      </c>
      <c r="AI628" s="25">
        <f t="shared" si="31"/>
        <v>1</v>
      </c>
    </row>
    <row r="629" ht="14.4" spans="1:35">
      <c r="A629" s="24" t="str">
        <f>'Ammo Input'!A629</f>
        <v>57x307mmR</v>
      </c>
      <c r="B629" t="str">
        <f>'Ammo Input'!B629</f>
        <v>AP</v>
      </c>
      <c r="C629">
        <f>ROUNDUP(('Ammo Input'!C629*(MAX('Ammo Input'!D629,'Ammo Input'!F629)*0.5)^2*PI())*3/1000000,2)</f>
        <v>2.79</v>
      </c>
      <c r="D629">
        <f>ROUNDUP(('Ammo Input'!E629+'Ammo Input'!H629*IF('Ammo Input'!J629&lt;&gt;"",MAX('Ammo Input'!J629,1),1))/1000,3)</f>
        <v>4.3</v>
      </c>
      <c r="E629">
        <f>MIN(5000,MAX(25,CEILING(Calcs!L629,_xlfn.IFS(Calcs!L629&lt;100,25,Calcs!L629&lt;250,50,Calcs!L629&lt;1000,250,Calcs!L629&gt;=1000,1000))))</f>
        <v>25</v>
      </c>
      <c r="F629">
        <f>ROUNDUP('Ammo Input'!G629^(3/4),0)</f>
        <v>92</v>
      </c>
      <c r="G629">
        <f>ROUND((0.5*((IF(OR(B629="HEAT",B629="HEDP"),'Ammo Input'!N629,'Ammo Input'!H629)/1000)*(IF(B629="HEAT",9000,IF(B629="HEDP",1500,'Ammo Input'!G629))^2))),0)</f>
        <v>228043</v>
      </c>
      <c r="H629" s="25" t="str">
        <f>CONCATENATE(IF((B629="Foam")+(B629="Smoke"),"-",ROUND(Calcs!D629,0))," ",VLOOKUP(B629,AmmoTypeFactors,5,FALSE))</f>
        <v>105 Bullet</v>
      </c>
      <c r="I629" s="25" t="str">
        <f>IF(Calcs!E629=0,"None",CONCATENATE(ROUND(Calcs!E629,0)," ",VLOOKUP(B629,AmmoTypeFactors,6,FALSE)))</f>
        <v>None</v>
      </c>
      <c r="J629">
        <f>MROUND(2.42*'Ammo Input'!M629^(1/3)*VLOOKUP(B629,AmmoTypeFactors,3,FALSE),0.5)</f>
        <v>0</v>
      </c>
      <c r="K629" s="25" t="str">
        <f>IF(VLOOKUP(B629,AmmoTypeFactors,12,FALSE),MROUND(J629/3,0.5),"None")</f>
        <v>None</v>
      </c>
      <c r="L629" s="25">
        <f>IF(VLOOKUP(B629,AmmoTypeFactors,8,FALSE),"None",ROUNDUP(IF(Calcs!I629&gt;0,Calcs!I629,Calcs!H629),3))</f>
        <v>4560.86</v>
      </c>
      <c r="M629" s="25">
        <f>IF(VLOOKUP(B629,AmmoTypeFactors,8,FALSE),"None",'Ammo Input'!L629)</f>
        <v>32</v>
      </c>
      <c r="N629">
        <f>'Ammo Input'!O629</f>
        <v>10</v>
      </c>
      <c r="O629" t="e">
        <f>ROUND((P629*0.0036+SUMPRODUCT(Q629:AB629,VLOOKUP($Q$1:$AB$1,IngredientStats,2,FALSE)))/N629*IF('Ammo Input'!R629,0.5,1),2)</f>
        <v>#VALUE!</v>
      </c>
      <c r="P629" t="e">
        <f>(SUMPRODUCT(Q629:AB629,VLOOKUP($Q$1:$AB$1,IngredientStats,4,FALSE))*VLOOKUP(B629,AmmoTypeFactors,14,FALSE)*IF('Ammo Input'!R629,1.1,1))</f>
        <v>#VALUE!</v>
      </c>
      <c r="Q629">
        <f>IFERROR(__xludf.DUMMYFUNCTION("((IF(NOT(OR(REGEXMATCH(B625, ""Arrow""), B625 = ""Javelin"", B625 = ""Stick bomb"")), ROUNDUP(('Ammo Input'!E625 / 1000) * N625)) + IF(VLOOKUP(B625, AmmoTypeFactors, 9, FALSE) = ""Steel"", ROUNDUP(('Ammo Input'!H625 -'Ammo Input'!M625) * MAX(IF('Ammo Inpu"&amp;"t'!J625 &gt; 0, 'Ammo Input'!J625, 1), 1) * N625 / 1000))) / 'Ingredient stats'!$C$2) * IF(ISBLANK(VLOOKUP(B625,AmmoTypeFactors,15,False)),1,VLOOKUP(B625,AmmoTypeFactors,15,False))"),86)</f>
        <v>86</v>
      </c>
      <c r="R629">
        <f>IFERROR(__xludf.DUMMYFUNCTION("ROUNDUP((IF(REGEXMATCH(B625, ""Arrow"") + (B625 = ""Javelin""), 'Ammo Input'!E625) + IF(VLOOKUP(B625, AmmoTypeFactors, 9, FALSE) = ""Wood"", 'Ammo Input'!H625) + IF(B625 = ""Stick bomb"", 'Ammo Input'!E625)) * N625 / 'Ingredient stats'!$C$12 / 1000)"),0)</f>
        <v>0</v>
      </c>
      <c r="S629">
        <v>0</v>
      </c>
      <c r="T629">
        <v>0</v>
      </c>
      <c r="U629">
        <f>IF(VLOOKUP(B629,AmmoTypeFactors,9,FALSE)="Plasteel",ROUNDUP(('Ammo Input'!H629*MAX(IF('Ammo Input'!J629&gt;0,'Ammo Input'!J629,1)*N629/1000/'Ingredient stats'!$C$4)),0),0)</f>
        <v>0</v>
      </c>
      <c r="V629">
        <f>IFERROR(__xludf.DUMMYFUNCTION("ROUNDUP(IF(ISBLANK(VLOOKUP(B625,AmmoTypeFactors,16,False)),1,VLOOKUP(B625,AmmoTypeFactors,16,False)) * (IFS(REGEXMATCH(B625, ""EMP""), 'Ammo Input'!M625 * N625 / 'Ingredient stats'!$C$5, REGEXMATCH(B625, ""Charge""), (U625^0.75), true, 0) + (IF(VLOOKUP(B6"&amp;"25, AmmoTypeFactors, 10, false), 2,0) + IF('Ammo Input'!P625, 2,0) + IF('Ammo Input'!Q625,MIN(ROUNDUP(0.2*('Ammo Input'!H625/1000)*'Ammo Input'!O625,0),20),0))))"),0)</f>
        <v>0</v>
      </c>
      <c r="W629">
        <v>0</v>
      </c>
      <c r="X629">
        <v>0</v>
      </c>
      <c r="Y629">
        <v>0</v>
      </c>
      <c r="Z629">
        <v>0</v>
      </c>
      <c r="AA629">
        <v>0</v>
      </c>
      <c r="AB629" s="30">
        <f>IF(B629="Sling Bullet (Stone)",ROUNDUP(D629*0.02*E629/'Ingredient stats'!$C$8,0),0)</f>
        <v>0</v>
      </c>
      <c r="AC629" t="str">
        <f t="shared" si="28"/>
        <v>None</v>
      </c>
      <c r="AD629" t="str">
        <f>IF(OR(B629="Buck",B629="Bird",B629="Charge (Scatter)"),'Ammo Input'!J629,"None")</f>
        <v>None</v>
      </c>
      <c r="AE629" t="str">
        <f>_xlfn.IFS(ISTEXT(Calcs!N629),Calcs!N629,Calcs!N629&lt;=40,Calcs!N629,Calcs!N629&gt;41,"40")</f>
        <v>None</v>
      </c>
      <c r="AF629" t="str">
        <f>_xlfn.IFS(ISTEXT(Calcs!O629),Calcs!O629,Calcs!O629&lt;=80,Calcs!O629,Calcs!O629&gt;=81,"80")</f>
        <v>None</v>
      </c>
      <c r="AG629" s="25">
        <f t="shared" si="29"/>
        <v>1</v>
      </c>
      <c r="AH629" s="25">
        <f t="shared" si="30"/>
        <v>1.52</v>
      </c>
      <c r="AI629" s="25">
        <f t="shared" si="31"/>
        <v>1</v>
      </c>
    </row>
    <row r="630" ht="14.4" spans="1:35">
      <c r="A630" s="24" t="str">
        <f>'Ammo Input'!A630</f>
        <v>57x307mmR</v>
      </c>
      <c r="B630" t="str">
        <f>'Ammo Input'!B630</f>
        <v>HE</v>
      </c>
      <c r="C630">
        <f>ROUNDUP(('Ammo Input'!C630*(MAX('Ammo Input'!D630,'Ammo Input'!F630)*0.5)^2*PI())*3/1000000,2)</f>
        <v>2.79</v>
      </c>
      <c r="D630">
        <f>ROUNDUP(('Ammo Input'!E630+'Ammo Input'!H630*IF('Ammo Input'!J630&lt;&gt;"",MAX('Ammo Input'!J630,1),1))/1000,3)</f>
        <v>4.3</v>
      </c>
      <c r="E630">
        <f>MIN(5000,MAX(25,CEILING(Calcs!L630,_xlfn.IFS(Calcs!L630&lt;100,25,Calcs!L630&lt;250,50,Calcs!L630&lt;1000,250,Calcs!L630&gt;=1000,1000))))</f>
        <v>25</v>
      </c>
      <c r="F630">
        <f>ROUNDUP('Ammo Input'!G630^(3/4),0)</f>
        <v>92</v>
      </c>
      <c r="G630">
        <f>ROUND((0.5*((IF(OR(B630="HEAT",B630="HEDP"),'Ammo Input'!N630,'Ammo Input'!H630)/1000)*(IF(B630="HEAT",9000,IF(B630="HEDP",1500,'Ammo Input'!G630))^2))),0)</f>
        <v>228043</v>
      </c>
      <c r="H630" s="25" t="str">
        <f>CONCATENATE(IF((B630="Foam")+(B630="Smoke"),"-",ROUND(Calcs!D630,0))," ",VLOOKUP(B630,AmmoTypeFactors,5,FALSE))</f>
        <v>33 Bomb</v>
      </c>
      <c r="I630" s="25" t="str">
        <f>IF(Calcs!E630=0,"None",CONCATENATE(ROUND(Calcs!E630,0)," ",VLOOKUP(B630,AmmoTypeFactors,6,FALSE)))</f>
        <v>None</v>
      </c>
      <c r="J630">
        <f>MROUND(2.42*'Ammo Input'!M630^(1/3)*VLOOKUP(B630,AmmoTypeFactors,3,FALSE),0.5)</f>
        <v>1</v>
      </c>
      <c r="K630" s="25" t="str">
        <f>IF(VLOOKUP(B630,AmmoTypeFactors,12,FALSE),MROUND(J630/3,0.5),"None")</f>
        <v>None</v>
      </c>
      <c r="L630" s="25" t="str">
        <f>IF(VLOOKUP(B630,AmmoTypeFactors,8,FALSE),"None",ROUNDUP(IF(Calcs!I630&gt;0,Calcs!I630,Calcs!H630),3))</f>
        <v>None</v>
      </c>
      <c r="M630" s="25" t="str">
        <f>IF(VLOOKUP(B630,AmmoTypeFactors,8,FALSE),"None",'Ammo Input'!L630)</f>
        <v>None</v>
      </c>
      <c r="N630">
        <f>'Ammo Input'!O630</f>
        <v>10</v>
      </c>
      <c r="O630" t="e">
        <f>ROUND((P630*0.0036+SUMPRODUCT(Q630:AB630,VLOOKUP($Q$1:$AB$1,IngredientStats,2,FALSE)))/N630*IF('Ammo Input'!R630,0.5,1),2)</f>
        <v>#VALUE!</v>
      </c>
      <c r="P630" t="e">
        <f>(SUMPRODUCT(Q630:AB630,VLOOKUP($Q$1:$AB$1,IngredientStats,4,FALSE))*VLOOKUP(B630,AmmoTypeFactors,14,FALSE)*IF('Ammo Input'!R630,1.1,1))</f>
        <v>#VALUE!</v>
      </c>
      <c r="Q630">
        <f>IFERROR(__xludf.DUMMYFUNCTION("((IF(NOT(OR(REGEXMATCH(B626, ""Arrow""), B626 = ""Javelin"", B626 = ""Stick bomb"")), ROUNDUP(('Ammo Input'!E626 / 1000) * N626)) + IF(VLOOKUP(B626, AmmoTypeFactors, 9, FALSE) = ""Steel"", ROUNDUP(('Ammo Input'!H626 -'Ammo Input'!M626) * MAX(IF('Ammo Inpu"&amp;"t'!J626 &gt; 0, 'Ammo Input'!J626, 1), 1) * N626 / 1000))) / 'Ingredient stats'!$C$2) * IF(ISBLANK(VLOOKUP(B626,AmmoTypeFactors,15,False)),1,VLOOKUP(B626,AmmoTypeFactors,15,False))"),86)</f>
        <v>86</v>
      </c>
      <c r="R630">
        <f>IFERROR(__xludf.DUMMYFUNCTION("ROUNDUP((IF(REGEXMATCH(B626, ""Arrow"") + (B626 = ""Javelin""), 'Ammo Input'!E626) + IF(VLOOKUP(B626, AmmoTypeFactors, 9, FALSE) = ""Wood"", 'Ammo Input'!H626) + IF(B626 = ""Stick bomb"", 'Ammo Input'!E626)) * N626 / 'Ingredient stats'!$C$12 / 1000)"),0)</f>
        <v>0</v>
      </c>
      <c r="S630">
        <v>0</v>
      </c>
      <c r="T630">
        <v>0</v>
      </c>
      <c r="U630">
        <f>IF(VLOOKUP(B630,AmmoTypeFactors,9,FALSE)="Plasteel",ROUNDUP(('Ammo Input'!H630*MAX(IF('Ammo Input'!J630&gt;0,'Ammo Input'!J630,1)*N630/1000/'Ingredient stats'!$C$4)),0),0)</f>
        <v>0</v>
      </c>
      <c r="V630">
        <f>IFERROR(__xludf.DUMMYFUNCTION("ROUNDUP(IF(ISBLANK(VLOOKUP(B626,AmmoTypeFactors,16,False)),1,VLOOKUP(B626,AmmoTypeFactors,16,False)) * (IFS(REGEXMATCH(B626, ""EMP""), 'Ammo Input'!M626 * N626 / 'Ingredient stats'!$C$5, REGEXMATCH(B626, ""Charge""), (U626^0.75), true, 0) + (IF(VLOOKUP(B6"&amp;"26, AmmoTypeFactors, 10, false), 2,0) + IF('Ammo Input'!P626, 2,0) + IF('Ammo Input'!Q626,MIN(ROUNDUP(0.2*('Ammo Input'!H626/1000)*'Ammo Input'!O626,0),20),0))))"),2)</f>
        <v>2</v>
      </c>
      <c r="W630">
        <v>0</v>
      </c>
      <c r="X630">
        <v>2</v>
      </c>
      <c r="Y630">
        <v>0</v>
      </c>
      <c r="Z630">
        <v>0</v>
      </c>
      <c r="AA630">
        <v>0</v>
      </c>
      <c r="AB630" s="30">
        <f>IF(B630="Sling Bullet (Stone)",ROUNDUP(D630*0.02*E630/'Ingredient stats'!$C$8,0),0)</f>
        <v>0</v>
      </c>
      <c r="AC630" t="str">
        <f t="shared" si="28"/>
        <v>None</v>
      </c>
      <c r="AD630" t="str">
        <f>IF(OR(B630="Buck",B630="Bird",B630="Charge (Scatter)"),'Ammo Input'!J630,"None")</f>
        <v>None</v>
      </c>
      <c r="AE630">
        <f>_xlfn.IFS(ISTEXT(Calcs!N630),Calcs!N630,Calcs!N630&lt;=40,Calcs!N630,Calcs!N630&gt;41,"40")</f>
        <v>10</v>
      </c>
      <c r="AF630">
        <f>_xlfn.IFS(ISTEXT(Calcs!O630),Calcs!O630,Calcs!O630&lt;=80,Calcs!O630,Calcs!O630&gt;=81,"80")</f>
        <v>2</v>
      </c>
      <c r="AG630" s="25">
        <f t="shared" si="29"/>
        <v>3</v>
      </c>
      <c r="AH630" s="25">
        <f t="shared" si="30"/>
        <v>1.52</v>
      </c>
      <c r="AI630" s="25">
        <f t="shared" si="31"/>
        <v>2</v>
      </c>
    </row>
    <row r="631" ht="14.4" spans="1:35">
      <c r="A631" s="24" t="str">
        <f>'Ammo Input'!A631</f>
        <v>57x438mm Bofors</v>
      </c>
      <c r="B631" t="str">
        <f>'Ammo Input'!B631</f>
        <v>AP</v>
      </c>
      <c r="C631">
        <f>ROUNDUP(('Ammo Input'!C631*(MAX('Ammo Input'!D631,'Ammo Input'!F631)*0.5)^2*PI())*3/1000000,2)</f>
        <v>10.56</v>
      </c>
      <c r="D631">
        <f>ROUNDUP(('Ammo Input'!E631+'Ammo Input'!H631*IF('Ammo Input'!J631&lt;&gt;"",MAX('Ammo Input'!J631,1),1))/1000,3)</f>
        <v>6.1</v>
      </c>
      <c r="E631">
        <f>MIN(5000,MAX(25,CEILING(Calcs!L631,_xlfn.IFS(Calcs!L631&lt;100,25,Calcs!L631&lt;250,50,Calcs!L631&lt;1000,250,Calcs!L631&gt;=1000,1000))))</f>
        <v>25</v>
      </c>
      <c r="F631">
        <f>ROUNDUP('Ammo Input'!G631^(3/4),0)</f>
        <v>183</v>
      </c>
      <c r="G631">
        <f>ROUND((0.5*((IF(OR(B631="HEAT",B631="HEDP"),'Ammo Input'!N631,'Ammo Input'!H631)/1000)*(IF(B631="HEAT",9000,IF(B631="HEDP",1500,'Ammo Input'!G631))^2))),0)</f>
        <v>1285470</v>
      </c>
      <c r="H631" s="25" t="str">
        <f>CONCATENATE(IF((B631="Foam")+(B631="Smoke"),"-",ROUND(Calcs!D631,0))," ",VLOOKUP(B631,AmmoTypeFactors,5,FALSE))</f>
        <v>192 Bullet</v>
      </c>
      <c r="I631" s="25" t="str">
        <f>IF(Calcs!E631=0,"None",CONCATENATE(ROUND(Calcs!E631,0)," ",VLOOKUP(B631,AmmoTypeFactors,6,FALSE)))</f>
        <v>None</v>
      </c>
      <c r="J631">
        <f>MROUND(2.42*'Ammo Input'!M631^(1/3)*VLOOKUP(B631,AmmoTypeFactors,3,FALSE),0.5)</f>
        <v>2</v>
      </c>
      <c r="K631" s="25" t="str">
        <f>IF(VLOOKUP(B631,AmmoTypeFactors,12,FALSE),MROUND(J631/3,0.5),"None")</f>
        <v>None</v>
      </c>
      <c r="L631" s="25">
        <f>IF(VLOOKUP(B631,AmmoTypeFactors,8,FALSE),"None",ROUNDUP(IF(Calcs!I631&gt;0,Calcs!I631,Calcs!H631),3))</f>
        <v>32.429</v>
      </c>
      <c r="M631" s="25">
        <f>IF(VLOOKUP(B631,AmmoTypeFactors,8,FALSE),"None",'Ammo Input'!L631)</f>
        <v>120</v>
      </c>
      <c r="N631">
        <f>'Ammo Input'!O631</f>
        <v>10</v>
      </c>
      <c r="O631" t="e">
        <f>ROUND((P631*0.0036+SUMPRODUCT(Q631:AB631,VLOOKUP($Q$1:$AB$1,IngredientStats,2,FALSE)))/N631*IF('Ammo Input'!R631,0.5,1),2)</f>
        <v>#VALUE!</v>
      </c>
      <c r="P631" t="e">
        <f>(SUMPRODUCT(Q631:AB631,VLOOKUP($Q$1:$AB$1,IngredientStats,4,FALSE))*VLOOKUP(B631,AmmoTypeFactors,14,FALSE)*IF('Ammo Input'!R631,1.1,1))</f>
        <v>#VALUE!</v>
      </c>
      <c r="Q631">
        <f>IFERROR(__xludf.DUMMYFUNCTION("((IF(NOT(OR(REGEXMATCH(B627, ""Arrow""), B627 = ""Javelin"", B627 = ""Stick bomb"")), ROUNDUP(('Ammo Input'!E627 / 1000) * N627)) + IF(VLOOKUP(B627, AmmoTypeFactors, 9, FALSE) = ""Steel"", ROUNDUP(('Ammo Input'!H627 -'Ammo Input'!M627) * MAX(IF('Ammo Inpu"&amp;"t'!J627 &gt; 0, 'Ammo Input'!J627, 1), 1) * N627 / 1000))) / 'Ingredient stats'!$C$2) * IF(ISBLANK(VLOOKUP(B627,AmmoTypeFactors,15,False)),1,VLOOKUP(B627,AmmoTypeFactors,15,False))"),122)</f>
        <v>122</v>
      </c>
      <c r="R631">
        <f>IFERROR(__xludf.DUMMYFUNCTION("ROUNDUP((IF(REGEXMATCH(B627, ""Arrow"") + (B627 = ""Javelin""), 'Ammo Input'!E627) + IF(VLOOKUP(B627, AmmoTypeFactors, 9, FALSE) = ""Wood"", 'Ammo Input'!H627) + IF(B627 = ""Stick bomb"", 'Ammo Input'!E627)) * N627 / 'Ingredient stats'!$C$12 / 1000)"),0)</f>
        <v>0</v>
      </c>
      <c r="S631">
        <v>0</v>
      </c>
      <c r="T631">
        <v>0</v>
      </c>
      <c r="U631">
        <f>IF(VLOOKUP(B631,AmmoTypeFactors,9,FALSE)="Plasteel",ROUNDUP(('Ammo Input'!H631*MAX(IF('Ammo Input'!J631&gt;0,'Ammo Input'!J631,1)*N631/1000/'Ingredient stats'!$C$4)),0),0)</f>
        <v>0</v>
      </c>
      <c r="V631">
        <f>IFERROR(__xludf.DUMMYFUNCTION("ROUNDUP(IF(ISBLANK(VLOOKUP(B627,AmmoTypeFactors,16,False)),1,VLOOKUP(B627,AmmoTypeFactors,16,False)) * (IFS(REGEXMATCH(B627, ""EMP""), 'Ammo Input'!M627 * N627 / 'Ingredient stats'!$C$5, REGEXMATCH(B627, ""Charge""), (U627^0.75), true, 0) + (IF(VLOOKUP(B6"&amp;"27, AmmoTypeFactors, 10, false), 2,0) + IF('Ammo Input'!P627, 2,0) + IF('Ammo Input'!Q627,MIN(ROUNDUP(0.2*('Ammo Input'!H627/1000)*'Ammo Input'!O627,0),20),0))))"),0)</f>
        <v>0</v>
      </c>
      <c r="W631">
        <v>0</v>
      </c>
      <c r="X631">
        <v>0</v>
      </c>
      <c r="Y631">
        <v>0</v>
      </c>
      <c r="Z631">
        <v>0</v>
      </c>
      <c r="AA631">
        <v>0</v>
      </c>
      <c r="AB631" s="30">
        <f>IF(B631="Sling Bullet (Stone)",ROUNDUP(D631*0.02*E631/'Ingredient stats'!$C$8,0),0)</f>
        <v>0</v>
      </c>
      <c r="AC631" t="str">
        <f t="shared" si="28"/>
        <v>None</v>
      </c>
      <c r="AD631" t="str">
        <f>IF(OR(B631="Buck",B631="Bird",B631="Charge (Scatter)"),'Ammo Input'!J631,"None")</f>
        <v>None</v>
      </c>
      <c r="AE631" t="str">
        <f>_xlfn.IFS(ISTEXT(Calcs!N631),Calcs!N631,Calcs!N631&lt;=40,Calcs!N631,Calcs!N631&gt;41,"40")</f>
        <v>None</v>
      </c>
      <c r="AF631" t="str">
        <f>_xlfn.IFS(ISTEXT(Calcs!O631),Calcs!O631,Calcs!O631&lt;=80,Calcs!O631,Calcs!O631&gt;=81,"80")</f>
        <v>None</v>
      </c>
      <c r="AG631" s="25">
        <f t="shared" si="29"/>
        <v>3</v>
      </c>
      <c r="AH631" s="25">
        <f t="shared" si="30"/>
        <v>2.99</v>
      </c>
      <c r="AI631" s="25">
        <f t="shared" si="31"/>
        <v>2</v>
      </c>
    </row>
    <row r="632" ht="14.4" spans="1:35">
      <c r="A632" s="24" t="str">
        <f>'Ammo Input'!A632</f>
        <v>57x438mm Bofors</v>
      </c>
      <c r="B632" t="str">
        <f>'Ammo Input'!B632</f>
        <v>HE</v>
      </c>
      <c r="C632">
        <f>ROUNDUP(('Ammo Input'!C632*(MAX('Ammo Input'!D632,'Ammo Input'!F632)*0.5)^2*PI())*3/1000000,2)</f>
        <v>10.56</v>
      </c>
      <c r="D632">
        <f>ROUNDUP(('Ammo Input'!E632+'Ammo Input'!H632*IF('Ammo Input'!J632&lt;&gt;"",MAX('Ammo Input'!J632,1),1))/1000,3)</f>
        <v>6.1</v>
      </c>
      <c r="E632">
        <f>MIN(5000,MAX(25,CEILING(Calcs!L632,_xlfn.IFS(Calcs!L632&lt;100,25,Calcs!L632&lt;250,50,Calcs!L632&lt;1000,250,Calcs!L632&gt;=1000,1000))))</f>
        <v>25</v>
      </c>
      <c r="F632">
        <f>ROUNDUP('Ammo Input'!G632^(3/4),0)</f>
        <v>183</v>
      </c>
      <c r="G632">
        <f>ROUND((0.5*((IF(OR(B632="HEAT",B632="HEDP"),'Ammo Input'!N632,'Ammo Input'!H632)/1000)*(IF(B632="HEAT",9000,IF(B632="HEDP",1500,'Ammo Input'!G632))^2))),0)</f>
        <v>1285470</v>
      </c>
      <c r="H632" s="25" t="str">
        <f>CONCATENATE(IF((B632="Foam")+(B632="Smoke"),"-",ROUND(Calcs!D632,0))," ",VLOOKUP(B632,AmmoTypeFactors,5,FALSE))</f>
        <v>0 Bomb</v>
      </c>
      <c r="I632" s="25" t="str">
        <f>IF(Calcs!E632=0,"None",CONCATENATE(ROUND(Calcs!E632,0)," ",VLOOKUP(B632,AmmoTypeFactors,6,FALSE)))</f>
        <v>None</v>
      </c>
      <c r="J632">
        <f>MROUND(2.42*'Ammo Input'!M632^(1/3)*VLOOKUP(B632,AmmoTypeFactors,3,FALSE),0.5)</f>
        <v>0</v>
      </c>
      <c r="K632" s="25" t="str">
        <f>IF(VLOOKUP(B632,AmmoTypeFactors,12,FALSE),MROUND(J632/3,0.5),"None")</f>
        <v>None</v>
      </c>
      <c r="L632" s="25" t="str">
        <f>IF(VLOOKUP(B632,AmmoTypeFactors,8,FALSE),"None",ROUNDUP(IF(Calcs!I632&gt;0,Calcs!I632,Calcs!H632),3))</f>
        <v>None</v>
      </c>
      <c r="M632" s="25" t="str">
        <f>IF(VLOOKUP(B632,AmmoTypeFactors,8,FALSE),"None",'Ammo Input'!L632)</f>
        <v>None</v>
      </c>
      <c r="N632">
        <f>'Ammo Input'!O632</f>
        <v>10</v>
      </c>
      <c r="O632" t="e">
        <f>ROUND((P632*0.0036+SUMPRODUCT(Q632:AB632,VLOOKUP($Q$1:$AB$1,IngredientStats,2,FALSE)))/N632*IF('Ammo Input'!R632,0.5,1),2)</f>
        <v>#VALUE!</v>
      </c>
      <c r="P632" t="e">
        <f>(SUMPRODUCT(Q632:AB632,VLOOKUP($Q$1:$AB$1,IngredientStats,4,FALSE))*VLOOKUP(B632,AmmoTypeFactors,14,FALSE)*IF('Ammo Input'!R632,1.1,1))</f>
        <v>#VALUE!</v>
      </c>
      <c r="Q632">
        <f>IFERROR(__xludf.DUMMYFUNCTION("((IF(NOT(OR(REGEXMATCH(B628, ""Arrow""), B628 = ""Javelin"", B628 = ""Stick bomb"")), ROUNDUP(('Ammo Input'!E628 / 1000) * N628)) + IF(VLOOKUP(B628, AmmoTypeFactors, 9, FALSE) = ""Steel"", ROUNDUP(('Ammo Input'!H628 -'Ammo Input'!M628) * MAX(IF('Ammo Inpu"&amp;"t'!J628 &gt; 0, 'Ammo Input'!J628, 1), 1) * N628 / 1000))) / 'Ingredient stats'!$C$2) * IF(ISBLANK(VLOOKUP(B628,AmmoTypeFactors,15,False)),1,VLOOKUP(B628,AmmoTypeFactors,15,False))"),122)</f>
        <v>122</v>
      </c>
      <c r="R632">
        <f>IFERROR(__xludf.DUMMYFUNCTION("ROUNDUP((IF(REGEXMATCH(B628, ""Arrow"") + (B628 = ""Javelin""), 'Ammo Input'!E628) + IF(VLOOKUP(B628, AmmoTypeFactors, 9, FALSE) = ""Wood"", 'Ammo Input'!H628) + IF(B628 = ""Stick bomb"", 'Ammo Input'!E628)) * N628 / 'Ingredient stats'!$C$12 / 1000)"),0)</f>
        <v>0</v>
      </c>
      <c r="S632">
        <v>0</v>
      </c>
      <c r="T632">
        <v>0</v>
      </c>
      <c r="U632">
        <f>IF(VLOOKUP(B632,AmmoTypeFactors,9,FALSE)="Plasteel",ROUNDUP(('Ammo Input'!H632*MAX(IF('Ammo Input'!J632&gt;0,'Ammo Input'!J632,1)*N632/1000/'Ingredient stats'!$C$4)),0),0)</f>
        <v>0</v>
      </c>
      <c r="V632">
        <f>IFERROR(__xludf.DUMMYFUNCTION("ROUNDUP(IF(ISBLANK(VLOOKUP(B628,AmmoTypeFactors,16,False)),1,VLOOKUP(B628,AmmoTypeFactors,16,False)) * (IFS(REGEXMATCH(B628, ""EMP""), 'Ammo Input'!M628 * N628 / 'Ingredient stats'!$C$5, REGEXMATCH(B628, ""Charge""), (U628^0.75), true, 0) + (IF(VLOOKUP(B6"&amp;"28, AmmoTypeFactors, 10, false), 2,0) + IF('Ammo Input'!P628, 2,0) + IF('Ammo Input'!Q628,MIN(ROUNDUP(0.2*('Ammo Input'!H628/1000)*'Ammo Input'!O628,0),20),0))))"),2)</f>
        <v>2</v>
      </c>
      <c r="W632">
        <v>0</v>
      </c>
      <c r="X632">
        <v>0</v>
      </c>
      <c r="Y632">
        <v>0</v>
      </c>
      <c r="Z632">
        <v>0</v>
      </c>
      <c r="AA632">
        <v>0</v>
      </c>
      <c r="AB632" s="30">
        <f>IF(B632="Sling Bullet (Stone)",ROUNDUP(D632*0.02*E632/'Ingredient stats'!$C$8,0),0)</f>
        <v>0</v>
      </c>
      <c r="AC632" t="str">
        <f t="shared" si="28"/>
        <v>None</v>
      </c>
      <c r="AD632" t="str">
        <f>IF(OR(B632="Buck",B632="Bird",B632="Charge (Scatter)"),'Ammo Input'!J632,"None")</f>
        <v>None</v>
      </c>
      <c r="AE632">
        <f>_xlfn.IFS(ISTEXT(Calcs!N632),Calcs!N632,Calcs!N632&lt;=40,Calcs!N632,Calcs!N632&gt;41,"40")</f>
        <v>9</v>
      </c>
      <c r="AF632">
        <f>_xlfn.IFS(ISTEXT(Calcs!O632),Calcs!O632,Calcs!O632&lt;=80,Calcs!O632,Calcs!O632&gt;=81,"80")</f>
        <v>0</v>
      </c>
      <c r="AG632" s="25">
        <f t="shared" si="29"/>
        <v>1</v>
      </c>
      <c r="AH632" s="25">
        <f t="shared" si="30"/>
        <v>2.99</v>
      </c>
      <c r="AI632" s="25">
        <f t="shared" si="31"/>
        <v>1</v>
      </c>
    </row>
    <row r="633" ht="14.4" spans="1:35">
      <c r="A633" s="24" t="str">
        <f>'Ammo Input'!A633</f>
        <v>57x438mm Bofors</v>
      </c>
      <c r="B633" t="str">
        <f>'Ammo Input'!B633</f>
        <v>Sabot</v>
      </c>
      <c r="C633">
        <f>ROUNDUP(('Ammo Input'!C633*(MAX('Ammo Input'!D633,'Ammo Input'!F633)*0.5)^2*PI())*3/1000000,2)</f>
        <v>10.56</v>
      </c>
      <c r="D633">
        <f>ROUNDUP(('Ammo Input'!E633+'Ammo Input'!H633*IF('Ammo Input'!J633&lt;&gt;"",MAX('Ammo Input'!J633,1),1))/1000,3)</f>
        <v>5.071</v>
      </c>
      <c r="E633">
        <f>MIN(5000,MAX(25,CEILING(Calcs!L633,_xlfn.IFS(Calcs!L633&lt;100,25,Calcs!L633&lt;250,50,Calcs!L633&lt;1000,250,Calcs!L633&gt;=1000,1000))))</f>
        <v>25</v>
      </c>
      <c r="F633">
        <f>ROUNDUP('Ammo Input'!G633^(3/4),0)</f>
        <v>248</v>
      </c>
      <c r="G633">
        <f>ROUND((0.5*((IF(OR(B633="HEAT",B633="HEDP"),'Ammo Input'!N633,'Ammo Input'!H633)/1000)*(IF(B633="HEAT",9000,IF(B633="HEDP",1500,'Ammo Input'!G633))^2))),0)</f>
        <v>1651167</v>
      </c>
      <c r="H633" s="25" t="str">
        <f>CONCATENATE(IF((B633="Foam")+(B633="Smoke"),"-",ROUND(Calcs!D633,0))," ",VLOOKUP(B633,AmmoTypeFactors,5,FALSE))</f>
        <v>183 Bullet</v>
      </c>
      <c r="I633" s="25" t="str">
        <f>IF(Calcs!E633=0,"None",CONCATENATE(ROUND(Calcs!E633,0)," ",VLOOKUP(B633,AmmoTypeFactors,6,FALSE)))</f>
        <v>None</v>
      </c>
      <c r="J633">
        <f>MROUND(2.42*'Ammo Input'!M633^(1/3)*VLOOKUP(B633,AmmoTypeFactors,3,FALSE),0.5)</f>
        <v>0</v>
      </c>
      <c r="K633" s="25" t="str">
        <f>IF(VLOOKUP(B633,AmmoTypeFactors,12,FALSE),MROUND(J633/3,0.5),"None")</f>
        <v>None</v>
      </c>
      <c r="L633" s="25">
        <f>IF(VLOOKUP(B633,AmmoTypeFactors,8,FALSE),"None",ROUNDUP(IF(Calcs!I633&gt;0,Calcs!I633,Calcs!H633),3))</f>
        <v>33023.34</v>
      </c>
      <c r="M633" s="25">
        <f>IF(VLOOKUP(B633,AmmoTypeFactors,8,FALSE),"None",'Ammo Input'!L633)</f>
        <v>210</v>
      </c>
      <c r="N633">
        <f>'Ammo Input'!O633</f>
        <v>10</v>
      </c>
      <c r="O633" t="e">
        <f>ROUND((P633*0.0036+SUMPRODUCT(Q633:AB633,VLOOKUP($Q$1:$AB$1,IngredientStats,2,FALSE)))/N633*IF('Ammo Input'!R633,0.5,1),2)</f>
        <v>#VALUE!</v>
      </c>
      <c r="P633" t="e">
        <f>(SUMPRODUCT(Q633:AB633,VLOOKUP($Q$1:$AB$1,IngredientStats,4,FALSE))*VLOOKUP(B633,AmmoTypeFactors,14,FALSE)*IF('Ammo Input'!R633,1.1,1))</f>
        <v>#VALUE!</v>
      </c>
      <c r="Q633">
        <f>IFERROR(__xludf.DUMMYFUNCTION("((IF(NOT(OR(REGEXMATCH(B629, ""Arrow""), B629 = ""Javelin"", B629 = ""Stick bomb"")), ROUNDUP(('Ammo Input'!E629 / 1000) * N629)) + IF(VLOOKUP(B629, AmmoTypeFactors, 9, FALSE) = ""Steel"", ROUNDUP(('Ammo Input'!H629 -'Ammo Input'!M629) * MAX(IF('Ammo Inpu"&amp;"t'!J629 &gt; 0, 'Ammo Input'!J629, 1), 1) * N629 / 1000))) / 'Ingredient stats'!$C$2) * IF(ISBLANK(VLOOKUP(B629,AmmoTypeFactors,15,False)),1,VLOOKUP(B629,AmmoTypeFactors,15,False))"),74)</f>
        <v>74</v>
      </c>
      <c r="R633">
        <f>IFERROR(__xludf.DUMMYFUNCTION("ROUNDUP((IF(REGEXMATCH(B629, ""Arrow"") + (B629 = ""Javelin""), 'Ammo Input'!E629) + IF(VLOOKUP(B629, AmmoTypeFactors, 9, FALSE) = ""Wood"", 'Ammo Input'!H629) + IF(B629 = ""Stick bomb"", 'Ammo Input'!E629)) * N629 / 'Ingredient stats'!$C$12 / 1000)"),0)</f>
        <v>0</v>
      </c>
      <c r="S633">
        <v>14</v>
      </c>
      <c r="T633">
        <v>14</v>
      </c>
      <c r="U633">
        <f>IF(VLOOKUP(B633,AmmoTypeFactors,9,FALSE)="Plasteel",ROUNDUP(('Ammo Input'!H633*MAX(IF('Ammo Input'!J633&gt;0,'Ammo Input'!J633,1)*N633/1000/'Ingredient stats'!$C$4)),0),0)</f>
        <v>0</v>
      </c>
      <c r="V633">
        <f>IFERROR(__xludf.DUMMYFUNCTION("ROUNDUP(IF(ISBLANK(VLOOKUP(B629,AmmoTypeFactors,16,False)),1,VLOOKUP(B629,AmmoTypeFactors,16,False)) * (IFS(REGEXMATCH(B629, ""EMP""), 'Ammo Input'!M629 * N629 / 'Ingredient stats'!$C$5, REGEXMATCH(B629, ""Charge""), (U629^0.75), true, 0) + (IF(VLOOKUP(B6"&amp;"29, AmmoTypeFactors, 10, false), 2,0) + IF('Ammo Input'!P629, 2,0) + IF('Ammo Input'!Q629,MIN(ROUNDUP(0.2*('Ammo Input'!H629/1000)*'Ammo Input'!O629,0),20),0))))"),0)</f>
        <v>0</v>
      </c>
      <c r="W633">
        <v>0</v>
      </c>
      <c r="X633">
        <v>0</v>
      </c>
      <c r="Y633">
        <v>0</v>
      </c>
      <c r="Z633">
        <v>0</v>
      </c>
      <c r="AA633">
        <v>0</v>
      </c>
      <c r="AB633" s="30">
        <f>IF(B633="Sling Bullet (Stone)",ROUNDUP(D633*0.02*E633/'Ingredient stats'!$C$8,0),0)</f>
        <v>0</v>
      </c>
      <c r="AC633" t="str">
        <f t="shared" si="28"/>
        <v>None</v>
      </c>
      <c r="AD633" t="str">
        <f>IF(OR(B633="Buck",B633="Bird",B633="Charge (Scatter)"),'Ammo Input'!J633,"None")</f>
        <v>None</v>
      </c>
      <c r="AE633" t="str">
        <f>_xlfn.IFS(ISTEXT(Calcs!N633),Calcs!N633,Calcs!N633&lt;=40,Calcs!N633,Calcs!N633&gt;41,"40")</f>
        <v>None</v>
      </c>
      <c r="AF633" t="str">
        <f>_xlfn.IFS(ISTEXT(Calcs!O633),Calcs!O633,Calcs!O633&lt;=80,Calcs!O633,Calcs!O633&gt;=81,"80")</f>
        <v>None</v>
      </c>
      <c r="AG633" s="25">
        <f t="shared" si="29"/>
        <v>1</v>
      </c>
      <c r="AH633" s="25">
        <f t="shared" si="30"/>
        <v>4</v>
      </c>
      <c r="AI633" s="25">
        <f t="shared" si="31"/>
        <v>1</v>
      </c>
    </row>
    <row r="634" ht="14.4" spans="1:35">
      <c r="A634" s="24" t="str">
        <f>'Ammo Input'!A634</f>
        <v>75x350mmR</v>
      </c>
      <c r="B634" t="str">
        <f>'Ammo Input'!B634</f>
        <v>AP</v>
      </c>
      <c r="C634">
        <f>ROUNDUP(('Ammo Input'!C634*(MAX('Ammo Input'!D634,'Ammo Input'!F634)*0.5)^2*PI())*3/1000000,2)</f>
        <v>9.28</v>
      </c>
      <c r="D634">
        <f>ROUNDUP(('Ammo Input'!E634+'Ammo Input'!H634*IF('Ammo Input'!J634&lt;&gt;"",MAX('Ammo Input'!J634,1),1))/1000,3)</f>
        <v>8.527</v>
      </c>
      <c r="E634">
        <f>MIN(5000,MAX(25,CEILING(Calcs!L634,_xlfn.IFS(Calcs!L634&lt;100,25,Calcs!L634&lt;250,50,Calcs!L634&lt;1000,250,Calcs!L634&gt;=1000,1000))))</f>
        <v>25</v>
      </c>
      <c r="F634">
        <f>ROUNDUP('Ammo Input'!G634^(3/4),0)</f>
        <v>124</v>
      </c>
      <c r="G634">
        <f>ROUND((0.5*((IF(OR(B634="HEAT",B634="HEDP"),'Ammo Input'!N634,'Ammo Input'!H634)/1000)*(IF(B634="HEAT",9000,IF(B634="HEDP",1500,'Ammo Input'!G634))^2))),0)</f>
        <v>1207453</v>
      </c>
      <c r="H634" s="25" t="str">
        <f>CONCATENATE(IF((B634="Foam")+(B634="Smoke"),"-",ROUND(Calcs!D634,0))," ",VLOOKUP(B634,AmmoTypeFactors,5,FALSE))</f>
        <v>206 Bullet</v>
      </c>
      <c r="I634" s="25" t="str">
        <f>IF(Calcs!E634=0,"None",CONCATENATE(ROUND(Calcs!E634,0)," ",VLOOKUP(B634,AmmoTypeFactors,6,FALSE)))</f>
        <v>None</v>
      </c>
      <c r="J634">
        <f>MROUND(2.42*'Ammo Input'!M634^(1/3)*VLOOKUP(B634,AmmoTypeFactors,3,FALSE),0.5)</f>
        <v>0</v>
      </c>
      <c r="K634" s="25" t="str">
        <f>IF(VLOOKUP(B634,AmmoTypeFactors,12,FALSE),MROUND(J634/3,0.5),"None")</f>
        <v>None</v>
      </c>
      <c r="L634" s="25">
        <f>IF(VLOOKUP(B634,AmmoTypeFactors,8,FALSE),"None",ROUNDUP(IF(Calcs!I634&gt;0,Calcs!I634,Calcs!H634),3))</f>
        <v>24149.06</v>
      </c>
      <c r="M634" s="25">
        <f>IF(VLOOKUP(B634,AmmoTypeFactors,8,FALSE),"None",'Ammo Input'!L634)</f>
        <v>88</v>
      </c>
      <c r="N634">
        <f>'Ammo Input'!O634</f>
        <v>5</v>
      </c>
      <c r="O634" t="e">
        <f>ROUND((P634*0.0036+SUMPRODUCT(Q634:AB634,VLOOKUP($Q$1:$AB$1,IngredientStats,2,FALSE)))/N634*IF('Ammo Input'!R634,0.5,1),2)</f>
        <v>#VALUE!</v>
      </c>
      <c r="P634" t="e">
        <f>(SUMPRODUCT(Q634:AB634,VLOOKUP($Q$1:$AB$1,IngredientStats,4,FALSE))*VLOOKUP(B634,AmmoTypeFactors,14,FALSE)*IF('Ammo Input'!R634,1.1,1))</f>
        <v>#VALUE!</v>
      </c>
      <c r="Q634">
        <f>IFERROR(__xludf.DUMMYFUNCTION("((IF(NOT(OR(REGEXMATCH(B630, ""Arrow""), B630 = ""Javelin"", B630 = ""Stick bomb"")), ROUNDUP(('Ammo Input'!E630 / 1000) * N630)) + IF(VLOOKUP(B630, AmmoTypeFactors, 9, FALSE) = ""Steel"", ROUNDUP(('Ammo Input'!H630 -'Ammo Input'!M630) * MAX(IF('Ammo Inpu"&amp;"t'!J630 &gt; 0, 'Ammo Input'!J630, 1), 1) * N630 / 1000))) / 'Ingredient stats'!$C$2) * IF(ISBLANK(VLOOKUP(B630,AmmoTypeFactors,15,False)),1,VLOOKUP(B630,AmmoTypeFactors,15,False))"),88)</f>
        <v>88</v>
      </c>
      <c r="R634">
        <f>IFERROR(__xludf.DUMMYFUNCTION("ROUNDUP((IF(REGEXMATCH(B630, ""Arrow"") + (B630 = ""Javelin""), 'Ammo Input'!E630) + IF(VLOOKUP(B630, AmmoTypeFactors, 9, FALSE) = ""Wood"", 'Ammo Input'!H630) + IF(B630 = ""Stick bomb"", 'Ammo Input'!E630)) * N630 / 'Ingredient stats'!$C$12 / 1000)"),0)</f>
        <v>0</v>
      </c>
      <c r="S634">
        <v>0</v>
      </c>
      <c r="T634">
        <v>0</v>
      </c>
      <c r="U634">
        <f>IF(VLOOKUP(B634,AmmoTypeFactors,9,FALSE)="Plasteel",ROUNDUP(('Ammo Input'!H634*MAX(IF('Ammo Input'!J634&gt;0,'Ammo Input'!J634,1)*N634/1000/'Ingredient stats'!$C$4)),0),0)</f>
        <v>0</v>
      </c>
      <c r="V634">
        <f>IFERROR(__xludf.DUMMYFUNCTION("ROUNDUP(IF(ISBLANK(VLOOKUP(B630,AmmoTypeFactors,16,False)),1,VLOOKUP(B630,AmmoTypeFactors,16,False)) * (IFS(REGEXMATCH(B630, ""EMP""), 'Ammo Input'!M630 * N630 / 'Ingredient stats'!$C$5, REGEXMATCH(B630, ""Charge""), (U630^0.75), true, 0) + (IF(VLOOKUP(B6"&amp;"30, AmmoTypeFactors, 10, false), 2,0) + IF('Ammo Input'!P630, 2,0) + IF('Ammo Input'!Q630,MIN(ROUNDUP(0.2*('Ammo Input'!H630/1000)*'Ammo Input'!O630,0),20),0))))"),0)</f>
        <v>0</v>
      </c>
      <c r="W634">
        <v>0</v>
      </c>
      <c r="X634">
        <v>0</v>
      </c>
      <c r="Y634">
        <v>0</v>
      </c>
      <c r="Z634">
        <v>0</v>
      </c>
      <c r="AA634">
        <v>0</v>
      </c>
      <c r="AB634" s="30">
        <f>IF(B634="Sling Bullet (Stone)",ROUNDUP(D634*0.02*E634/'Ingredient stats'!$C$8,0),0)</f>
        <v>0</v>
      </c>
      <c r="AC634" t="str">
        <f t="shared" si="28"/>
        <v>None</v>
      </c>
      <c r="AD634" t="str">
        <f>IF(OR(B634="Buck",B634="Bird",B634="Charge (Scatter)"),'Ammo Input'!J634,"None")</f>
        <v>None</v>
      </c>
      <c r="AE634" t="str">
        <f>_xlfn.IFS(ISTEXT(Calcs!N634),Calcs!N634,Calcs!N634&lt;=40,Calcs!N634,Calcs!N634&gt;41,"40")</f>
        <v>None</v>
      </c>
      <c r="AF634" t="str">
        <f>_xlfn.IFS(ISTEXT(Calcs!O634),Calcs!O634,Calcs!O634&lt;=80,Calcs!O634,Calcs!O634&gt;=81,"80")</f>
        <v>None</v>
      </c>
      <c r="AG634" s="25">
        <f t="shared" si="29"/>
        <v>1</v>
      </c>
      <c r="AH634" s="25">
        <f t="shared" si="30"/>
        <v>2.04</v>
      </c>
      <c r="AI634" s="25">
        <f t="shared" si="31"/>
        <v>1</v>
      </c>
    </row>
    <row r="635" ht="14.4" spans="1:35">
      <c r="A635" s="24" t="str">
        <f>'Ammo Input'!A635</f>
        <v>75x350mmR</v>
      </c>
      <c r="B635" t="str">
        <f>'Ammo Input'!B635</f>
        <v>HE</v>
      </c>
      <c r="C635">
        <f>ROUNDUP(('Ammo Input'!C635*(MAX('Ammo Input'!D635,'Ammo Input'!F635)*0.5)^2*PI())*3/1000000,2)</f>
        <v>11.86</v>
      </c>
      <c r="D635">
        <f>ROUNDUP(('Ammo Input'!E635+'Ammo Input'!H635*IF('Ammo Input'!J635&lt;&gt;"",MAX('Ammo Input'!J635,1),1))/1000,3)</f>
        <v>8.527</v>
      </c>
      <c r="E635">
        <f>MIN(5000,MAX(25,CEILING(Calcs!L635,_xlfn.IFS(Calcs!L635&lt;100,25,Calcs!L635&lt;250,50,Calcs!L635&lt;1000,250,Calcs!L635&gt;=1000,1000))))</f>
        <v>25</v>
      </c>
      <c r="F635">
        <f>ROUNDUP('Ammo Input'!G635^(3/4),0)</f>
        <v>100</v>
      </c>
      <c r="G635">
        <f>ROUND((0.5*((IF(OR(B635="HEAT",B635="HEDP"),'Ammo Input'!N635,'Ammo Input'!H635)/1000)*(IF(B635="HEAT",9000,IF(B635="HEDP",1500,'Ammo Input'!G635))^2))),0)</f>
        <v>714599</v>
      </c>
      <c r="H635" s="25" t="str">
        <f>CONCATENATE(IF((B635="Foam")+(B635="Smoke"),"-",ROUND(Calcs!D635,0))," ",VLOOKUP(B635,AmmoTypeFactors,5,FALSE))</f>
        <v>104 Bomb</v>
      </c>
      <c r="I635" s="25" t="str">
        <f>IF(Calcs!E635=0,"None",CONCATENATE(ROUND(Calcs!E635,0)," ",VLOOKUP(B635,AmmoTypeFactors,6,FALSE)))</f>
        <v>None</v>
      </c>
      <c r="J635">
        <f>MROUND(2.42*'Ammo Input'!M635^(1/3)*VLOOKUP(B635,AmmoTypeFactors,3,FALSE),0.5)</f>
        <v>2</v>
      </c>
      <c r="K635" s="25" t="str">
        <f>IF(VLOOKUP(B635,AmmoTypeFactors,12,FALSE),MROUND(J635/3,0.5),"None")</f>
        <v>None</v>
      </c>
      <c r="L635" s="25" t="str">
        <f>IF(VLOOKUP(B635,AmmoTypeFactors,8,FALSE),"None",ROUNDUP(IF(Calcs!I635&gt;0,Calcs!I635,Calcs!H635),3))</f>
        <v>None</v>
      </c>
      <c r="M635" s="25" t="str">
        <f>IF(VLOOKUP(B635,AmmoTypeFactors,8,FALSE),"None",'Ammo Input'!L635)</f>
        <v>None</v>
      </c>
      <c r="N635">
        <f>'Ammo Input'!O635</f>
        <v>5</v>
      </c>
      <c r="O635" t="e">
        <f>ROUND((P635*0.0036+SUMPRODUCT(Q635:AB635,VLOOKUP($Q$1:$AB$1,IngredientStats,2,FALSE)))/N635*IF('Ammo Input'!R635,0.5,1),2)</f>
        <v>#VALUE!</v>
      </c>
      <c r="P635" t="e">
        <f>(SUMPRODUCT(Q635:AB635,VLOOKUP($Q$1:$AB$1,IngredientStats,4,FALSE))*VLOOKUP(B635,AmmoTypeFactors,14,FALSE)*IF('Ammo Input'!R635,1.1,1))</f>
        <v>#VALUE!</v>
      </c>
      <c r="Q635">
        <f>IFERROR(__xludf.DUMMYFUNCTION("((IF(NOT(OR(REGEXMATCH(B631, ""Arrow""), B631 = ""Javelin"", B631 = ""Stick bomb"")), ROUNDUP(('Ammo Input'!E631 / 1000) * N631)) + IF(VLOOKUP(B631, AmmoTypeFactors, 9, FALSE) = ""Steel"", ROUNDUP(('Ammo Input'!H631 -'Ammo Input'!M631) * MAX(IF('Ammo Inpu"&amp;"t'!J631 &gt; 0, 'Ammo Input'!J631, 1), 1) * N631 / 1000))) / 'Ingredient stats'!$C$2) * IF(ISBLANK(VLOOKUP(B631,AmmoTypeFactors,15,False)),1,VLOOKUP(B631,AmmoTypeFactors,15,False))"),88)</f>
        <v>88</v>
      </c>
      <c r="R635">
        <f>IFERROR(__xludf.DUMMYFUNCTION("ROUNDUP((IF(REGEXMATCH(B631, ""Arrow"") + (B631 = ""Javelin""), 'Ammo Input'!E631) + IF(VLOOKUP(B631, AmmoTypeFactors, 9, FALSE) = ""Wood"", 'Ammo Input'!H631) + IF(B631 = ""Stick bomb"", 'Ammo Input'!E631)) * N631 / 'Ingredient stats'!$C$12 / 1000)"),0)</f>
        <v>0</v>
      </c>
      <c r="S635">
        <v>0</v>
      </c>
      <c r="T635">
        <v>0</v>
      </c>
      <c r="U635">
        <f>IF(VLOOKUP(B635,AmmoTypeFactors,9,FALSE)="Plasteel",ROUNDUP(('Ammo Input'!H635*MAX(IF('Ammo Input'!J635&gt;0,'Ammo Input'!J635,1)*N635/1000/'Ingredient stats'!$C$4)),0),0)</f>
        <v>0</v>
      </c>
      <c r="V635">
        <f>IFERROR(__xludf.DUMMYFUNCTION("ROUNDUP(IF(ISBLANK(VLOOKUP(B631,AmmoTypeFactors,16,False)),1,VLOOKUP(B631,AmmoTypeFactors,16,False)) * (IFS(REGEXMATCH(B631, ""EMP""), 'Ammo Input'!M631 * N631 / 'Ingredient stats'!$C$5, REGEXMATCH(B631, ""Charge""), (U631^0.75), true, 0) + (IF(VLOOKUP(B6"&amp;"31, AmmoTypeFactors, 10, false), 2,0) + IF('Ammo Input'!P631, 2,0) + IF('Ammo Input'!Q631,MIN(ROUNDUP(0.2*('Ammo Input'!H631/1000)*'Ammo Input'!O631,0),20),0))))"),2)</f>
        <v>2</v>
      </c>
      <c r="W635">
        <v>0</v>
      </c>
      <c r="X635">
        <v>6</v>
      </c>
      <c r="Y635">
        <v>0</v>
      </c>
      <c r="Z635">
        <v>0</v>
      </c>
      <c r="AA635">
        <v>0</v>
      </c>
      <c r="AB635" s="30">
        <f>IF(B635="Sling Bullet (Stone)",ROUNDUP(D635*0.02*E635/'Ingredient stats'!$C$8,0),0)</f>
        <v>0</v>
      </c>
      <c r="AC635" t="str">
        <f t="shared" si="28"/>
        <v>None</v>
      </c>
      <c r="AD635" t="str">
        <f>IF(OR(B635="Buck",B635="Bird",B635="Charge (Scatter)"),'Ammo Input'!J635,"None")</f>
        <v>None</v>
      </c>
      <c r="AE635">
        <f>_xlfn.IFS(ISTEXT(Calcs!N635),Calcs!N635,Calcs!N635&lt;=40,Calcs!N635,Calcs!N635&gt;41,"40")</f>
        <v>22</v>
      </c>
      <c r="AF635">
        <f>_xlfn.IFS(ISTEXT(Calcs!O635),Calcs!O635,Calcs!O635&lt;=80,Calcs!O635,Calcs!O635&gt;=81,"80")</f>
        <v>13</v>
      </c>
      <c r="AG635" s="25">
        <f t="shared" si="29"/>
        <v>3</v>
      </c>
      <c r="AH635" s="25">
        <f t="shared" si="30"/>
        <v>1.65</v>
      </c>
      <c r="AI635" s="25">
        <f t="shared" si="31"/>
        <v>2</v>
      </c>
    </row>
    <row r="636" ht="14.4" spans="1:35">
      <c r="A636" s="24" t="str">
        <f>'Ammo Input'!A636</f>
        <v>75x350mmR</v>
      </c>
      <c r="B636" t="str">
        <f>'Ammo Input'!B636</f>
        <v>APCR</v>
      </c>
      <c r="C636">
        <f>ROUNDUP(('Ammo Input'!C636*(MAX('Ammo Input'!D636,'Ammo Input'!F636)*0.5)^2*PI())*3/1000000,2)</f>
        <v>9.28</v>
      </c>
      <c r="D636">
        <f>ROUNDUP(('Ammo Input'!E636+'Ammo Input'!H636*IF('Ammo Input'!J636&lt;&gt;"",MAX('Ammo Input'!J636,1),1))/1000,3)</f>
        <v>5.817</v>
      </c>
      <c r="E636">
        <f>MIN(5000,MAX(25,CEILING(Calcs!L636,_xlfn.IFS(Calcs!L636&lt;100,25,Calcs!L636&lt;250,50,Calcs!L636&lt;1000,250,Calcs!L636&gt;=1000,1000))))</f>
        <v>25</v>
      </c>
      <c r="F636">
        <f>ROUNDUP('Ammo Input'!G636^(3/4),0)</f>
        <v>169</v>
      </c>
      <c r="G636">
        <f>ROUND((0.5*((IF(OR(B636="HEAT",B636="HEDP"),'Ammo Input'!N636,'Ammo Input'!H636)/1000)*(IF(B636="HEAT",9000,IF(B636="HEDP",1500,'Ammo Input'!G636))^2))),0)</f>
        <v>1552378</v>
      </c>
      <c r="H636" s="25" t="str">
        <f>CONCATENATE(IF((B636="Foam")+(B636="Smoke"),"-",ROUND(Calcs!D636,0))," ",VLOOKUP(B636,AmmoTypeFactors,5,FALSE))</f>
        <v>197 Bullet</v>
      </c>
      <c r="I636" s="25" t="str">
        <f>IF(Calcs!E636=0,"None",CONCATENATE(ROUND(Calcs!E636,0)," ",VLOOKUP(B636,AmmoTypeFactors,6,FALSE)))</f>
        <v>None</v>
      </c>
      <c r="J636">
        <f>MROUND(2.42*'Ammo Input'!M636^(1/3)*VLOOKUP(B636,AmmoTypeFactors,3,FALSE),0.5)</f>
        <v>0</v>
      </c>
      <c r="K636" s="25" t="str">
        <f>IF(VLOOKUP(B636,AmmoTypeFactors,12,FALSE),MROUND(J636/3,0.5),"None")</f>
        <v>None</v>
      </c>
      <c r="L636" s="25">
        <f>IF(VLOOKUP(B636,AmmoTypeFactors,8,FALSE),"None",ROUNDUP(IF(Calcs!I636&gt;0,Calcs!I636,Calcs!H636),3))</f>
        <v>31047.56</v>
      </c>
      <c r="M636" s="25">
        <f>IF(VLOOKUP(B636,AmmoTypeFactors,8,FALSE),"None",'Ammo Input'!L636)</f>
        <v>154</v>
      </c>
      <c r="N636">
        <f>'Ammo Input'!O636</f>
        <v>5</v>
      </c>
      <c r="O636" t="e">
        <f>ROUND((P636*0.0036+SUMPRODUCT(Q636:AB636,VLOOKUP($Q$1:$AB$1,IngredientStats,2,FALSE)))/N636*IF('Ammo Input'!R636,0.5,1),2)</f>
        <v>#VALUE!</v>
      </c>
      <c r="P636" t="e">
        <f>(SUMPRODUCT(Q636:AB636,VLOOKUP($Q$1:$AB$1,IngredientStats,4,FALSE))*VLOOKUP(B636,AmmoTypeFactors,14,FALSE)*IF('Ammo Input'!R636,1.1,1))</f>
        <v>#VALUE!</v>
      </c>
      <c r="Q636">
        <f>IFERROR(__xludf.DUMMYFUNCTION("((IF(NOT(OR(REGEXMATCH(B632, ""Arrow""), B632 = ""Javelin"", B632 = ""Stick bomb"")), ROUNDUP(('Ammo Input'!E632 / 1000) * N632)) + IF(VLOOKUP(B632, AmmoTypeFactors, 9, FALSE) = ""Steel"", ROUNDUP(('Ammo Input'!H632 -'Ammo Input'!M632) * MAX(IF('Ammo Inpu"&amp;"t'!J632 &gt; 0, 'Ammo Input'!J632, 1), 1) * N632 / 1000))) / 'Ingredient stats'!$C$2) * IF(ISBLANK(VLOOKUP(B632,AmmoTypeFactors,15,False)),1,VLOOKUP(B632,AmmoTypeFactors,15,False))"),48)</f>
        <v>48</v>
      </c>
      <c r="R636">
        <f>IFERROR(__xludf.DUMMYFUNCTION("ROUNDUP((IF(REGEXMATCH(B632, ""Arrow"") + (B632 = ""Javelin""), 'Ammo Input'!E632) + IF(VLOOKUP(B632, AmmoTypeFactors, 9, FALSE) = ""Wood"", 'Ammo Input'!H632) + IF(B632 = ""Stick bomb"", 'Ammo Input'!E632)) * N632 / 'Ingredient stats'!$C$12 / 1000)"),0)</f>
        <v>0</v>
      </c>
      <c r="S636">
        <v>19</v>
      </c>
      <c r="T636">
        <v>0</v>
      </c>
      <c r="U636">
        <f>IF(VLOOKUP(B636,AmmoTypeFactors,9,FALSE)="Plasteel",ROUNDUP(('Ammo Input'!H636*MAX(IF('Ammo Input'!J636&gt;0,'Ammo Input'!J636,1)*N636/1000/'Ingredient stats'!$C$4)),0),0)</f>
        <v>0</v>
      </c>
      <c r="V636">
        <f>IFERROR(__xludf.DUMMYFUNCTION("ROUNDUP(IF(ISBLANK(VLOOKUP(B632,AmmoTypeFactors,16,False)),1,VLOOKUP(B632,AmmoTypeFactors,16,False)) * (IFS(REGEXMATCH(B632, ""EMP""), 'Ammo Input'!M632 * N632 / 'Ingredient stats'!$C$5, REGEXMATCH(B632, ""Charge""), (U632^0.75), true, 0) + (IF(VLOOKUP(B6"&amp;"32, AmmoTypeFactors, 10, false), 2,0) + IF('Ammo Input'!P632, 2,0) + IF('Ammo Input'!Q632,MIN(ROUNDUP(0.2*('Ammo Input'!H632/1000)*'Ammo Input'!O632,0),20),0))))"),0)</f>
        <v>0</v>
      </c>
      <c r="W636">
        <v>0</v>
      </c>
      <c r="X636">
        <v>0</v>
      </c>
      <c r="Y636">
        <v>0</v>
      </c>
      <c r="Z636">
        <v>0</v>
      </c>
      <c r="AA636">
        <v>0</v>
      </c>
      <c r="AB636" s="30">
        <f>IF(B636="Sling Bullet (Stone)",ROUNDUP(D636*0.02*E636/'Ingredient stats'!$C$8,0),0)</f>
        <v>0</v>
      </c>
      <c r="AC636" t="str">
        <f t="shared" si="28"/>
        <v>None</v>
      </c>
      <c r="AD636" t="str">
        <f>IF(OR(B636="Buck",B636="Bird",B636="Charge (Scatter)"),'Ammo Input'!J636,"None")</f>
        <v>None</v>
      </c>
      <c r="AE636" t="str">
        <f>_xlfn.IFS(ISTEXT(Calcs!N636),Calcs!N636,Calcs!N636&lt;=40,Calcs!N636,Calcs!N636&gt;41,"40")</f>
        <v>None</v>
      </c>
      <c r="AF636" t="str">
        <f>_xlfn.IFS(ISTEXT(Calcs!O636),Calcs!O636,Calcs!O636&lt;=80,Calcs!O636,Calcs!O636&gt;=81,"80")</f>
        <v>None</v>
      </c>
      <c r="AG636" s="25">
        <f t="shared" si="29"/>
        <v>1</v>
      </c>
      <c r="AH636" s="25">
        <f t="shared" si="30"/>
        <v>2.74</v>
      </c>
      <c r="AI636" s="25">
        <f t="shared" si="31"/>
        <v>1</v>
      </c>
    </row>
    <row r="637" ht="14.4" spans="1:35">
      <c r="A637" s="24" t="str">
        <f>'Ammo Input'!A637</f>
        <v>77x230mmR</v>
      </c>
      <c r="B637" t="str">
        <f>'Ammo Input'!B637</f>
        <v>HE</v>
      </c>
      <c r="C637">
        <f>ROUNDUP(('Ammo Input'!C637*(MAX('Ammo Input'!D637,'Ammo Input'!F637)*0.5)^2*PI())*3/1000000,2)</f>
        <v>9.32</v>
      </c>
      <c r="D637">
        <f>ROUNDUP(('Ammo Input'!E637+'Ammo Input'!H637*IF('Ammo Input'!J637&lt;&gt;"",MAX('Ammo Input'!J637,1),1))/1000,3)</f>
        <v>6.85</v>
      </c>
      <c r="E637">
        <f>MIN(5000,MAX(25,CEILING(Calcs!L637,_xlfn.IFS(Calcs!L637&lt;100,25,Calcs!L637&lt;250,50,Calcs!L637&lt;1000,250,Calcs!L637&gt;=1000,1000))))</f>
        <v>25</v>
      </c>
      <c r="F637">
        <f>ROUNDUP('Ammo Input'!G637^(3/4),0)</f>
        <v>101</v>
      </c>
      <c r="G637">
        <f>ROUND((0.5*((IF(OR(B637="HEAT",B637="HEDP"),'Ammo Input'!N637,'Ammo Input'!H637)/1000)*(IF(B637="HEAT",9000,IF(B637="HEDP",1500,'Ammo Input'!G637))^2))),0)</f>
        <v>605430</v>
      </c>
      <c r="H637" s="25" t="str">
        <f>CONCATENATE(IF((B637="Foam")+(B637="Smoke"),"-",ROUND(Calcs!D637,0))," ",VLOOKUP(B637,AmmoTypeFactors,5,FALSE))</f>
        <v>57 Bomb</v>
      </c>
      <c r="I637" s="25" t="str">
        <f>IF(Calcs!E637=0,"None",CONCATENATE(ROUND(Calcs!E637,0)," ",VLOOKUP(B637,AmmoTypeFactors,6,FALSE)))</f>
        <v>None</v>
      </c>
      <c r="J637">
        <f>MROUND(2.42*'Ammo Input'!M637^(1/3)*VLOOKUP(B637,AmmoTypeFactors,3,FALSE),0.5)</f>
        <v>1.5</v>
      </c>
      <c r="K637" s="25" t="str">
        <f>IF(VLOOKUP(B637,AmmoTypeFactors,12,FALSE),MROUND(J637/3,0.5),"None")</f>
        <v>None</v>
      </c>
      <c r="L637" s="25" t="str">
        <f>IF(VLOOKUP(B637,AmmoTypeFactors,8,FALSE),"None",ROUNDUP(IF(Calcs!I637&gt;0,Calcs!I637,Calcs!H637),3))</f>
        <v>None</v>
      </c>
      <c r="M637" s="25" t="str">
        <f>IF(VLOOKUP(B637,AmmoTypeFactors,8,FALSE),"None",'Ammo Input'!L637)</f>
        <v>None</v>
      </c>
      <c r="N637">
        <f>'Ammo Input'!O637</f>
        <v>5</v>
      </c>
      <c r="O637" t="e">
        <f>ROUND((P637*0.0036+SUMPRODUCT(Q637:AB637,VLOOKUP($Q$1:$AB$1,IngredientStats,2,FALSE)))/N637*IF('Ammo Input'!R637,0.5,1),2)</f>
        <v>#VALUE!</v>
      </c>
      <c r="P637" t="e">
        <f>(SUMPRODUCT(Q637:AB637,VLOOKUP($Q$1:$AB$1,IngredientStats,4,FALSE))*VLOOKUP(B637,AmmoTypeFactors,14,FALSE)*IF('Ammo Input'!R637,1.1,1))</f>
        <v>#VALUE!</v>
      </c>
      <c r="Q637">
        <f>IFERROR(__xludf.DUMMYFUNCTION("((IF(NOT(OR(REGEXMATCH(B633, ""Arrow""), B633 = ""Javelin"", B633 = ""Stick bomb"")), ROUNDUP(('Ammo Input'!E633 / 1000) * N633)) + IF(VLOOKUP(B633, AmmoTypeFactors, 9, FALSE) = ""Steel"", ROUNDUP(('Ammo Input'!H633 -'Ammo Input'!M633) * MAX(IF('Ammo Inpu"&amp;"t'!J633 &gt; 0, 'Ammo Input'!J633, 1), 1) * N633 / 1000))) / 'Ingredient stats'!$C$2) * IF(ISBLANK(VLOOKUP(B633,AmmoTypeFactors,15,False)),1,VLOOKUP(B633,AmmoTypeFactors,15,False))"),70)</f>
        <v>70</v>
      </c>
      <c r="R637">
        <f>IFERROR(__xludf.DUMMYFUNCTION("ROUNDUP((IF(REGEXMATCH(B633, ""Arrow"") + (B633 = ""Javelin""), 'Ammo Input'!E633) + IF(VLOOKUP(B633, AmmoTypeFactors, 9, FALSE) = ""Wood"", 'Ammo Input'!H633) + IF(B633 = ""Stick bomb"", 'Ammo Input'!E633)) * N633 / 'Ingredient stats'!$C$12 / 1000)"),0)</f>
        <v>0</v>
      </c>
      <c r="S637">
        <v>0</v>
      </c>
      <c r="T637">
        <v>0</v>
      </c>
      <c r="U637">
        <f>IF(VLOOKUP(B637,AmmoTypeFactors,9,FALSE)="Plasteel",ROUNDUP(('Ammo Input'!H637*MAX(IF('Ammo Input'!J637&gt;0,'Ammo Input'!J637,1)*N637/1000/'Ingredient stats'!$C$4)),0),0)</f>
        <v>0</v>
      </c>
      <c r="V637">
        <f>IFERROR(__xludf.DUMMYFUNCTION("ROUNDUP(IF(ISBLANK(VLOOKUP(B633,AmmoTypeFactors,16,False)),1,VLOOKUP(B633,AmmoTypeFactors,16,False)) * (IFS(REGEXMATCH(B633, ""EMP""), 'Ammo Input'!M633 * N633 / 'Ingredient stats'!$C$5, REGEXMATCH(B633, ""Charge""), (U633^0.75), true, 0) + (IF(VLOOKUP(B6"&amp;"33, AmmoTypeFactors, 10, false), 2,0) + IF('Ammo Input'!P633, 2,0) + IF('Ammo Input'!Q633,MIN(ROUNDUP(0.2*('Ammo Input'!H633/1000)*'Ammo Input'!O633,0),20),0))))"),2)</f>
        <v>2</v>
      </c>
      <c r="W637">
        <v>0</v>
      </c>
      <c r="X637">
        <v>2</v>
      </c>
      <c r="Y637">
        <v>0</v>
      </c>
      <c r="Z637">
        <v>0</v>
      </c>
      <c r="AA637">
        <v>0</v>
      </c>
      <c r="AB637" s="30">
        <f>IF(B637="Sling Bullet (Stone)",ROUNDUP(D637*0.02*E637/'Ingredient stats'!$C$8,0),0)</f>
        <v>0</v>
      </c>
      <c r="AC637" t="str">
        <f t="shared" si="28"/>
        <v>None</v>
      </c>
      <c r="AD637" t="str">
        <f>IF(OR(B637="Buck",B637="Bird",B637="Charge (Scatter)"),'Ammo Input'!J637,"None")</f>
        <v>None</v>
      </c>
      <c r="AE637">
        <f>_xlfn.IFS(ISTEXT(Calcs!N637),Calcs!N637,Calcs!N637&lt;=40,Calcs!N637,Calcs!N637&gt;41,"40")</f>
        <v>20</v>
      </c>
      <c r="AF637">
        <f>_xlfn.IFS(ISTEXT(Calcs!O637),Calcs!O637,Calcs!O637&lt;=80,Calcs!O637,Calcs!O637&gt;=81,"80")</f>
        <v>5</v>
      </c>
      <c r="AG637" s="25">
        <f t="shared" si="29"/>
        <v>3</v>
      </c>
      <c r="AH637" s="25">
        <f t="shared" si="30"/>
        <v>1.67</v>
      </c>
      <c r="AI637" s="25">
        <f t="shared" si="31"/>
        <v>2</v>
      </c>
    </row>
    <row r="638" ht="14.4" spans="1:35">
      <c r="A638" s="24" t="str">
        <f>'Ammo Input'!A638</f>
        <v>77x230mmR</v>
      </c>
      <c r="B638" t="str">
        <f>'Ammo Input'!B638</f>
        <v>EMP</v>
      </c>
      <c r="C638">
        <f>ROUNDUP(('Ammo Input'!C638*(MAX('Ammo Input'!D638,'Ammo Input'!F638)*0.5)^2*PI())*3/1000000,2)</f>
        <v>9.32</v>
      </c>
      <c r="D638">
        <f>ROUNDUP(('Ammo Input'!E638+'Ammo Input'!H638*IF('Ammo Input'!J638&lt;&gt;"",MAX('Ammo Input'!J638,1),1))/1000,3)</f>
        <v>6.85</v>
      </c>
      <c r="E638">
        <f>MIN(5000,MAX(25,CEILING(Calcs!L638,_xlfn.IFS(Calcs!L638&lt;100,25,Calcs!L638&lt;250,50,Calcs!L638&lt;1000,250,Calcs!L638&gt;=1000,1000))))</f>
        <v>25</v>
      </c>
      <c r="F638">
        <f>ROUNDUP('Ammo Input'!G638^(3/4),0)</f>
        <v>101</v>
      </c>
      <c r="G638">
        <f>ROUND((0.5*((IF(OR(B638="HEAT",B638="HEDP"),'Ammo Input'!N638,'Ammo Input'!H638)/1000)*(IF(B638="HEAT",9000,IF(B638="HEDP",1500,'Ammo Input'!G638))^2))),0)</f>
        <v>605430</v>
      </c>
      <c r="H638" s="25" t="str">
        <f>CONCATENATE(IF((B638="Foam")+(B638="Smoke"),"-",ROUND(Calcs!D638,0))," ",VLOOKUP(B638,AmmoTypeFactors,5,FALSE))</f>
        <v>57 EMP</v>
      </c>
      <c r="I638" s="25" t="str">
        <f>IF(Calcs!E638=0,"None",CONCATENATE(ROUND(Calcs!E638,0)," ",VLOOKUP(B638,AmmoTypeFactors,6,FALSE)))</f>
        <v>None</v>
      </c>
      <c r="J638">
        <f>MROUND(2.42*'Ammo Input'!M638^(1/3)*VLOOKUP(B638,AmmoTypeFactors,3,FALSE),0.5)</f>
        <v>3</v>
      </c>
      <c r="K638" s="25" t="str">
        <f>IF(VLOOKUP(B638,AmmoTypeFactors,12,FALSE),MROUND(J638/3,0.5),"None")</f>
        <v>None</v>
      </c>
      <c r="L638" s="25" t="str">
        <f>IF(VLOOKUP(B638,AmmoTypeFactors,8,FALSE),"None",ROUNDUP(IF(Calcs!I638&gt;0,Calcs!I638,Calcs!H638),3))</f>
        <v>None</v>
      </c>
      <c r="M638" s="25" t="str">
        <f>IF(VLOOKUP(B638,AmmoTypeFactors,8,FALSE),"None",'Ammo Input'!L638)</f>
        <v>None</v>
      </c>
      <c r="N638">
        <f>'Ammo Input'!O638</f>
        <v>5</v>
      </c>
      <c r="O638" t="e">
        <f>ROUND((P638*0.0036+SUMPRODUCT(Q638:AB638,VLOOKUP($Q$1:$AB$1,IngredientStats,2,FALSE)))/N638*IF('Ammo Input'!R638,0.5,1),2)</f>
        <v>#VALUE!</v>
      </c>
      <c r="P638" t="e">
        <f>(SUMPRODUCT(Q638:AB638,VLOOKUP($Q$1:$AB$1,IngredientStats,4,FALSE))*VLOOKUP(B638,AmmoTypeFactors,14,FALSE)*IF('Ammo Input'!R638,1.1,1))</f>
        <v>#VALUE!</v>
      </c>
      <c r="Q638">
        <f>IFERROR(__xludf.DUMMYFUNCTION("((IF(NOT(OR(REGEXMATCH(B634, ""Arrow""), B634 = ""Javelin"", B634 = ""Stick bomb"")), ROUNDUP(('Ammo Input'!E634 / 1000) * N634)) + IF(VLOOKUP(B634, AmmoTypeFactors, 9, FALSE) = ""Steel"", ROUNDUP(('Ammo Input'!H634 -'Ammo Input'!M634) * MAX(IF('Ammo Inpu"&amp;"t'!J634 &gt; 0, 'Ammo Input'!J634, 1), 1) * N634 / 1000))) / 'Ingredient stats'!$C$2) * IF(ISBLANK(VLOOKUP(B634,AmmoTypeFactors,15,False)),1,VLOOKUP(B634,AmmoTypeFactors,15,False))"),70)</f>
        <v>70</v>
      </c>
      <c r="R638">
        <f>IFERROR(__xludf.DUMMYFUNCTION("ROUNDUP((IF(REGEXMATCH(B634, ""Arrow"") + (B634 = ""Javelin""), 'Ammo Input'!E634) + IF(VLOOKUP(B634, AmmoTypeFactors, 9, FALSE) = ""Wood"", 'Ammo Input'!H634) + IF(B634 = ""Stick bomb"", 'Ammo Input'!E634)) * N634 / 'Ingredient stats'!$C$12 / 1000)"),0)</f>
        <v>0</v>
      </c>
      <c r="S638">
        <v>0</v>
      </c>
      <c r="T638">
        <v>0</v>
      </c>
      <c r="U638">
        <f>IF(VLOOKUP(B638,AmmoTypeFactors,9,FALSE)="Plasteel",ROUNDUP(('Ammo Input'!H638*MAX(IF('Ammo Input'!J638&gt;0,'Ammo Input'!J638,1)*N638/1000/'Ingredient stats'!$C$4)),0),0)</f>
        <v>0</v>
      </c>
      <c r="V638">
        <f>IFERROR(__xludf.DUMMYFUNCTION("ROUNDUP(IF(ISBLANK(VLOOKUP(B634,AmmoTypeFactors,16,False)),1,VLOOKUP(B634,AmmoTypeFactors,16,False)) * (IFS(REGEXMATCH(B634, ""EMP""), 'Ammo Input'!M634 * N634 / 'Ingredient stats'!$C$5, REGEXMATCH(B634, ""Charge""), (U634^0.75), true, 0) + (IF(VLOOKUP(B6"&amp;"34, AmmoTypeFactors, 10, false), 2,0) + IF('Ammo Input'!P634, 2,0) + IF('Ammo Input'!Q634,MIN(ROUNDUP(0.2*('Ammo Input'!H634/1000)*'Ammo Input'!O634,0),20),0))))"),5)</f>
        <v>5</v>
      </c>
      <c r="W638">
        <v>0</v>
      </c>
      <c r="X638">
        <v>0</v>
      </c>
      <c r="Y638">
        <v>0</v>
      </c>
      <c r="Z638">
        <v>0</v>
      </c>
      <c r="AA638">
        <v>0</v>
      </c>
      <c r="AB638" s="30">
        <f>IF(B638="Sling Bullet (Stone)",ROUNDUP(D638*0.02*E638/'Ingredient stats'!$C$8,0),0)</f>
        <v>0</v>
      </c>
      <c r="AC638" t="str">
        <f t="shared" si="28"/>
        <v>None</v>
      </c>
      <c r="AD638" t="str">
        <f>IF(OR(B638="Buck",B638="Bird",B638="Charge (Scatter)"),'Ammo Input'!J638,"None")</f>
        <v>None</v>
      </c>
      <c r="AE638" t="str">
        <f>_xlfn.IFS(ISTEXT(Calcs!N638),Calcs!N638,Calcs!N638&lt;=40,Calcs!N638,Calcs!N638&gt;41,"40")</f>
        <v>None</v>
      </c>
      <c r="AF638" t="str">
        <f>_xlfn.IFS(ISTEXT(Calcs!O638),Calcs!O638,Calcs!O638&lt;=80,Calcs!O638,Calcs!O638&gt;=81,"80")</f>
        <v>None</v>
      </c>
      <c r="AG638" s="25">
        <f t="shared" si="29"/>
        <v>3</v>
      </c>
      <c r="AH638" s="25">
        <f t="shared" si="30"/>
        <v>1.67</v>
      </c>
      <c r="AI638" s="25">
        <f t="shared" si="31"/>
        <v>2</v>
      </c>
    </row>
    <row r="639" ht="14.4" spans="1:35">
      <c r="A639" s="24" t="str">
        <f>'Ammo Input'!A639</f>
        <v>76.2x385mmR Cannon</v>
      </c>
      <c r="B639" t="str">
        <f>'Ammo Input'!B639</f>
        <v>HEAT</v>
      </c>
      <c r="C639">
        <f>ROUNDUP(('Ammo Input'!C639*(MAX('Ammo Input'!D639,'Ammo Input'!F639)*0.5)^2*PI())*3/1000000,2)</f>
        <v>9.7</v>
      </c>
      <c r="D639">
        <f>ROUNDUP(('Ammo Input'!E639+'Ammo Input'!H639*IF('Ammo Input'!J639&lt;&gt;"",MAX('Ammo Input'!J639,1),1))/1000,3)</f>
        <v>8.82</v>
      </c>
      <c r="E639">
        <f>MIN(5000,MAX(25,CEILING(Calcs!L639,_xlfn.IFS(Calcs!L639&lt;100,25,Calcs!L639&lt;250,50,Calcs!L639&lt;1000,250,Calcs!L639&gt;=1000,1000))))</f>
        <v>25</v>
      </c>
      <c r="F639">
        <f>ROUNDUP('Ammo Input'!G639^(3/4),0)</f>
        <v>134</v>
      </c>
      <c r="G639">
        <f>ROUND((0.5*((IF(OR(B639="HEAT",B639="HEDP"),'Ammo Input'!N639,'Ammo Input'!H639)/1000)*(IF(B639="HEAT",9000,IF(B639="HEDP",1500,'Ammo Input'!G639))^2))),0)</f>
        <v>4860000</v>
      </c>
      <c r="H639" s="25" t="str">
        <f>CONCATENATE(IF((B639="Foam")+(B639="Smoke"),"-",ROUND(Calcs!D639,0))," ",VLOOKUP(B639,AmmoTypeFactors,5,FALSE))</f>
        <v>264 Bullet</v>
      </c>
      <c r="I639" s="25" t="str">
        <f>IF(Calcs!E639=0,"None",CONCATENATE(ROUND(Calcs!E639,0)," ",VLOOKUP(B639,AmmoTypeFactors,6,FALSE)))</f>
        <v>None</v>
      </c>
      <c r="J639">
        <f>MROUND(2.42*'Ammo Input'!M639^(1/3)*VLOOKUP(B639,AmmoTypeFactors,3,FALSE),0.5)</f>
        <v>1</v>
      </c>
      <c r="K639" s="25" t="str">
        <f>IF(VLOOKUP(B639,AmmoTypeFactors,12,FALSE),MROUND(J639/3,0.5),"None")</f>
        <v>None</v>
      </c>
      <c r="L639" s="25">
        <f>IF(VLOOKUP(B639,AmmoTypeFactors,8,FALSE),"None",ROUNDUP(IF(Calcs!I639&gt;0,Calcs!I639,Calcs!H639),3))</f>
        <v>32.966</v>
      </c>
      <c r="M639" s="25">
        <f>IF(VLOOKUP(B639,AmmoTypeFactors,8,FALSE),"None",'Ammo Input'!L639)</f>
        <v>300</v>
      </c>
      <c r="N639">
        <f>'Ammo Input'!O639</f>
        <v>5</v>
      </c>
      <c r="O639" t="e">
        <f>ROUND((P639*0.0036+SUMPRODUCT(Q639:AB639,VLOOKUP($Q$1:$AB$1,IngredientStats,2,FALSE)))/N639*IF('Ammo Input'!R639,0.5,1),2)</f>
        <v>#VALUE!</v>
      </c>
      <c r="P639" t="e">
        <f>(SUMPRODUCT(Q639:AB639,VLOOKUP($Q$1:$AB$1,IngredientStats,4,FALSE))*VLOOKUP(B639,AmmoTypeFactors,14,FALSE)*IF('Ammo Input'!R639,1.1,1))</f>
        <v>#VALUE!</v>
      </c>
      <c r="Q639">
        <f>IFERROR(__xludf.DUMMYFUNCTION("((IF(NOT(OR(REGEXMATCH(B635, ""Arrow""), B635 = ""Javelin"", B635 = ""Stick bomb"")), ROUNDUP(('Ammo Input'!E635 / 1000) * N635)) + IF(VLOOKUP(B635, AmmoTypeFactors, 9, FALSE) = ""Steel"", ROUNDUP(('Ammo Input'!H635 -'Ammo Input'!M635) * MAX(IF('Ammo Inpu"&amp;"t'!J635 &gt; 0, 'Ammo Input'!J635, 1), 1) * N635 / 1000))) / 'Ingredient stats'!$C$2) * IF(ISBLANK(VLOOKUP(B635,AmmoTypeFactors,15,False)),1,VLOOKUP(B635,AmmoTypeFactors,15,False))"),90)</f>
        <v>90</v>
      </c>
      <c r="R639">
        <f>IFERROR(__xludf.DUMMYFUNCTION("ROUNDUP((IF(REGEXMATCH(B635, ""Arrow"") + (B635 = ""Javelin""), 'Ammo Input'!E635) + IF(VLOOKUP(B635, AmmoTypeFactors, 9, FALSE) = ""Wood"", 'Ammo Input'!H635) + IF(B635 = ""Stick bomb"", 'Ammo Input'!E635)) * N635 / 'Ingredient stats'!$C$12 / 1000)"),0)</f>
        <v>0</v>
      </c>
      <c r="S639">
        <v>0</v>
      </c>
      <c r="T639">
        <v>0</v>
      </c>
      <c r="U639">
        <f>IF(VLOOKUP(B639,AmmoTypeFactors,9,FALSE)="Plasteel",ROUNDUP(('Ammo Input'!H639*MAX(IF('Ammo Input'!J639&gt;0,'Ammo Input'!J639,1)*N639/1000/'Ingredient stats'!$C$4)),0),0)</f>
        <v>0</v>
      </c>
      <c r="V639">
        <f>IFERROR(__xludf.DUMMYFUNCTION("ROUNDUP(IF(ISBLANK(VLOOKUP(B635,AmmoTypeFactors,16,False)),1,VLOOKUP(B635,AmmoTypeFactors,16,False)) * (IFS(REGEXMATCH(B635, ""EMP""), 'Ammo Input'!M635 * N635 / 'Ingredient stats'!$C$5, REGEXMATCH(B635, ""Charge""), (U635^0.75), true, 0) + (IF(VLOOKUP(B6"&amp;"35, AmmoTypeFactors, 10, false), 2,0) + IF('Ammo Input'!P635, 2,0) + IF('Ammo Input'!Q635,MIN(ROUNDUP(0.2*('Ammo Input'!H635/1000)*'Ammo Input'!O635,0),20),0))))"),2)</f>
        <v>2</v>
      </c>
      <c r="W639">
        <v>0</v>
      </c>
      <c r="X639">
        <v>6</v>
      </c>
      <c r="Y639">
        <v>0</v>
      </c>
      <c r="Z639">
        <v>0</v>
      </c>
      <c r="AA639">
        <v>0</v>
      </c>
      <c r="AB639" s="30">
        <f>IF(B639="Sling Bullet (Stone)",ROUNDUP(D639*0.02*E639/'Ingredient stats'!$C$8,0),0)</f>
        <v>0</v>
      </c>
      <c r="AC639" t="str">
        <f t="shared" si="28"/>
        <v>None</v>
      </c>
      <c r="AD639" t="str">
        <f>IF(OR(B639="Buck",B639="Bird",B639="Charge (Scatter)"),'Ammo Input'!J639,"None")</f>
        <v>None</v>
      </c>
      <c r="AE639">
        <f>_xlfn.IFS(ISTEXT(Calcs!N639),Calcs!N639,Calcs!N639&lt;=40,Calcs!N639,Calcs!N639&gt;41,"40")</f>
        <v>11</v>
      </c>
      <c r="AF639">
        <f>_xlfn.IFS(ISTEXT(Calcs!O639),Calcs!O639,Calcs!O639&lt;=80,Calcs!O639,Calcs!O639&gt;=81,"80")</f>
        <v>7</v>
      </c>
      <c r="AG639" s="25">
        <f t="shared" si="29"/>
        <v>3</v>
      </c>
      <c r="AH639" s="25">
        <f t="shared" si="30"/>
        <v>2.2</v>
      </c>
      <c r="AI639" s="25">
        <f t="shared" si="31"/>
        <v>2</v>
      </c>
    </row>
    <row r="640" ht="14.4" spans="1:35">
      <c r="A640" s="24" t="str">
        <f>'Ammo Input'!A640</f>
        <v>76.2x385mmR Cannon</v>
      </c>
      <c r="B640" t="str">
        <f>'Ammo Input'!B640</f>
        <v>AP</v>
      </c>
      <c r="C640">
        <f>ROUNDUP(('Ammo Input'!C640*(MAX('Ammo Input'!D640,'Ammo Input'!F640)*0.5)^2*PI())*3/1000000,2)</f>
        <v>9.7</v>
      </c>
      <c r="D640">
        <f>ROUNDUP(('Ammo Input'!E640+'Ammo Input'!H640*IF('Ammo Input'!J640&lt;&gt;"",MAX('Ammo Input'!J640,1),1))/1000,3)</f>
        <v>8.82</v>
      </c>
      <c r="E640">
        <f>MIN(5000,MAX(25,CEILING(Calcs!L640,_xlfn.IFS(Calcs!L640&lt;100,25,Calcs!L640&lt;250,50,Calcs!L640&lt;1000,250,Calcs!L640&gt;=1000,1000))))</f>
        <v>25</v>
      </c>
      <c r="F640">
        <f>ROUNDUP('Ammo Input'!G640^(3/4),0)</f>
        <v>134</v>
      </c>
      <c r="G640">
        <f>ROUND((0.5*((IF(OR(B640="HEAT",B640="HEDP"),'Ammo Input'!N640,'Ammo Input'!H640)/1000)*(IF(B640="HEAT",9000,IF(B640="HEDP",1500,'Ammo Input'!G640))^2))),0)</f>
        <v>1433440</v>
      </c>
      <c r="H640" s="25" t="str">
        <f>CONCATENATE(IF((B640="Foam")+(B640="Smoke"),"-",ROUND(Calcs!D640,0))," ",VLOOKUP(B640,AmmoTypeFactors,5,FALSE))</f>
        <v>220 Bullet</v>
      </c>
      <c r="I640" s="25" t="str">
        <f>IF(Calcs!E640=0,"None",CONCATENATE(ROUND(Calcs!E640,0)," ",VLOOKUP(B640,AmmoTypeFactors,6,FALSE)))</f>
        <v>None</v>
      </c>
      <c r="J640">
        <f>MROUND(2.42*'Ammo Input'!M640^(1/3)*VLOOKUP(B640,AmmoTypeFactors,3,FALSE),0.5)</f>
        <v>0</v>
      </c>
      <c r="K640" s="25" t="str">
        <f>IF(VLOOKUP(B640,AmmoTypeFactors,12,FALSE),MROUND(J640/3,0.5),"None")</f>
        <v>None</v>
      </c>
      <c r="L640" s="25">
        <f>IF(VLOOKUP(B640,AmmoTypeFactors,8,FALSE),"None",ROUNDUP(IF(Calcs!I640&gt;0,Calcs!I640,Calcs!H640),3))</f>
        <v>28668.8</v>
      </c>
      <c r="M640" s="25">
        <f>IF(VLOOKUP(B640,AmmoTypeFactors,8,FALSE),"None",'Ammo Input'!L640)</f>
        <v>110</v>
      </c>
      <c r="N640">
        <f>'Ammo Input'!O640</f>
        <v>5</v>
      </c>
      <c r="O640" t="e">
        <f>ROUND((P640*0.0036+SUMPRODUCT(Q640:AB640,VLOOKUP($Q$1:$AB$1,IngredientStats,2,FALSE)))/N640*IF('Ammo Input'!R640,0.5,1),2)</f>
        <v>#VALUE!</v>
      </c>
      <c r="P640" t="e">
        <f>(SUMPRODUCT(Q640:AB640,VLOOKUP($Q$1:$AB$1,IngredientStats,4,FALSE))*VLOOKUP(B640,AmmoTypeFactors,14,FALSE)*IF('Ammo Input'!R640,1.1,1))</f>
        <v>#VALUE!</v>
      </c>
      <c r="Q640">
        <f>IFERROR(__xludf.DUMMYFUNCTION("((IF(NOT(OR(REGEXMATCH(B636, ""Arrow""), B636 = ""Javelin"", B636 = ""Stick bomb"")), ROUNDUP(('Ammo Input'!E636 / 1000) * N636)) + IF(VLOOKUP(B636, AmmoTypeFactors, 9, FALSE) = ""Steel"", ROUNDUP(('Ammo Input'!H636 -'Ammo Input'!M636) * MAX(IF('Ammo Inpu"&amp;"t'!J636 &gt; 0, 'Ammo Input'!J636, 1), 1) * N636 / 1000))) / 'Ingredient stats'!$C$2) * IF(ISBLANK(VLOOKUP(B636,AmmoTypeFactors,15,False)),1,VLOOKUP(B636,AmmoTypeFactors,15,False))"),90)</f>
        <v>90</v>
      </c>
      <c r="R640">
        <f>IFERROR(__xludf.DUMMYFUNCTION("ROUNDUP((IF(REGEXMATCH(B636, ""Arrow"") + (B636 = ""Javelin""), 'Ammo Input'!E636) + IF(VLOOKUP(B636, AmmoTypeFactors, 9, FALSE) = ""Wood"", 'Ammo Input'!H636) + IF(B636 = ""Stick bomb"", 'Ammo Input'!E636)) * N636 / 'Ingredient stats'!$C$12 / 1000)"),0)</f>
        <v>0</v>
      </c>
      <c r="S640">
        <v>0</v>
      </c>
      <c r="T640">
        <v>0</v>
      </c>
      <c r="U640">
        <f>IF(VLOOKUP(B640,AmmoTypeFactors,9,FALSE)="Plasteel",ROUNDUP(('Ammo Input'!H640*MAX(IF('Ammo Input'!J640&gt;0,'Ammo Input'!J640,1)*N640/1000/'Ingredient stats'!$C$4)),0),0)</f>
        <v>0</v>
      </c>
      <c r="V640">
        <f>IFERROR(__xludf.DUMMYFUNCTION("ROUNDUP(IF(ISBLANK(VLOOKUP(B636,AmmoTypeFactors,16,False)),1,VLOOKUP(B636,AmmoTypeFactors,16,False)) * (IFS(REGEXMATCH(B636, ""EMP""), 'Ammo Input'!M636 * N636 / 'Ingredient stats'!$C$5, REGEXMATCH(B636, ""Charge""), (U636^0.75), true, 0) + (IF(VLOOKUP(B6"&amp;"36, AmmoTypeFactors, 10, false), 2,0) + IF('Ammo Input'!P636, 2,0) + IF('Ammo Input'!Q636,MIN(ROUNDUP(0.2*('Ammo Input'!H636/1000)*'Ammo Input'!O636,0),20),0))))"),0)</f>
        <v>0</v>
      </c>
      <c r="W640">
        <v>0</v>
      </c>
      <c r="X640">
        <v>0</v>
      </c>
      <c r="Y640">
        <v>0</v>
      </c>
      <c r="Z640">
        <v>0</v>
      </c>
      <c r="AA640">
        <v>0</v>
      </c>
      <c r="AB640" s="30">
        <f>IF(B640="Sling Bullet (Stone)",ROUNDUP(D640*0.02*E640/'Ingredient stats'!$C$8,0),0)</f>
        <v>0</v>
      </c>
      <c r="AC640" t="str">
        <f t="shared" si="28"/>
        <v>None</v>
      </c>
      <c r="AD640" t="str">
        <f>IF(OR(B640="Buck",B640="Bird",B640="Charge (Scatter)"),'Ammo Input'!J640,"None")</f>
        <v>None</v>
      </c>
      <c r="AE640" t="str">
        <f>_xlfn.IFS(ISTEXT(Calcs!N640),Calcs!N640,Calcs!N640&lt;=40,Calcs!N640,Calcs!N640&gt;41,"40")</f>
        <v>None</v>
      </c>
      <c r="AF640" t="str">
        <f>_xlfn.IFS(ISTEXT(Calcs!O640),Calcs!O640,Calcs!O640&lt;=80,Calcs!O640,Calcs!O640&gt;=81,"80")</f>
        <v>None</v>
      </c>
      <c r="AG640" s="25">
        <f t="shared" si="29"/>
        <v>1</v>
      </c>
      <c r="AH640" s="25">
        <f t="shared" si="30"/>
        <v>2.2</v>
      </c>
      <c r="AI640" s="25">
        <f t="shared" si="31"/>
        <v>1</v>
      </c>
    </row>
    <row r="641" ht="14.4" spans="1:35">
      <c r="A641" s="24" t="str">
        <f>'Ammo Input'!A641</f>
        <v>76.2x385mmR Cannon</v>
      </c>
      <c r="B641" t="str">
        <f>'Ammo Input'!B641</f>
        <v>HE</v>
      </c>
      <c r="C641">
        <f>ROUNDUP(('Ammo Input'!C641*(MAX('Ammo Input'!D641,'Ammo Input'!F641)*0.5)^2*PI())*3/1000000,2)</f>
        <v>9.7</v>
      </c>
      <c r="D641">
        <f>ROUNDUP(('Ammo Input'!E641+'Ammo Input'!H641*IF('Ammo Input'!J641&lt;&gt;"",MAX('Ammo Input'!J641,1),1))/1000,3)</f>
        <v>8.82</v>
      </c>
      <c r="E641">
        <f>MIN(5000,MAX(25,CEILING(Calcs!L641,_xlfn.IFS(Calcs!L641&lt;100,25,Calcs!L641&lt;250,50,Calcs!L641&lt;1000,250,Calcs!L641&gt;=1000,1000))))</f>
        <v>25</v>
      </c>
      <c r="F641">
        <f>ROUNDUP('Ammo Input'!G641^(3/4),0)</f>
        <v>134</v>
      </c>
      <c r="G641">
        <f>ROUND((0.5*((IF(OR(B641="HEAT",B641="HEDP"),'Ammo Input'!N641,'Ammo Input'!H641)/1000)*(IF(B641="HEAT",9000,IF(B641="HEDP",1500,'Ammo Input'!G641))^2))),0)</f>
        <v>1433440</v>
      </c>
      <c r="H641" s="25" t="str">
        <f>CONCATENATE(IF((B641="Foam")+(B641="Smoke"),"-",ROUND(Calcs!D641,0))," ",VLOOKUP(B641,AmmoTypeFactors,5,FALSE))</f>
        <v>99 Bomb</v>
      </c>
      <c r="I641" s="25" t="str">
        <f>IF(Calcs!E641=0,"None",CONCATENATE(ROUND(Calcs!E641,0)," ",VLOOKUP(B641,AmmoTypeFactors,6,FALSE)))</f>
        <v>None</v>
      </c>
      <c r="J641">
        <f>MROUND(2.42*'Ammo Input'!M641^(1/3)*VLOOKUP(B641,AmmoTypeFactors,3,FALSE),0.5)</f>
        <v>2</v>
      </c>
      <c r="K641" s="25" t="str">
        <f>IF(VLOOKUP(B641,AmmoTypeFactors,12,FALSE),MROUND(J641/3,0.5),"None")</f>
        <v>None</v>
      </c>
      <c r="L641" s="25" t="str">
        <f>IF(VLOOKUP(B641,AmmoTypeFactors,8,FALSE),"None",ROUNDUP(IF(Calcs!I641&gt;0,Calcs!I641,Calcs!H641),3))</f>
        <v>None</v>
      </c>
      <c r="M641" s="25" t="str">
        <f>IF(VLOOKUP(B641,AmmoTypeFactors,8,FALSE),"None",'Ammo Input'!L641)</f>
        <v>None</v>
      </c>
      <c r="N641">
        <f>'Ammo Input'!O641</f>
        <v>5</v>
      </c>
      <c r="O641" t="e">
        <f>ROUND((P641*0.0036+SUMPRODUCT(Q641:AB641,VLOOKUP($Q$1:$AB$1,IngredientStats,2,FALSE)))/N641*IF('Ammo Input'!R641,0.5,1),2)</f>
        <v>#VALUE!</v>
      </c>
      <c r="P641" t="e">
        <f>(SUMPRODUCT(Q641:AB641,VLOOKUP($Q$1:$AB$1,IngredientStats,4,FALSE))*VLOOKUP(B641,AmmoTypeFactors,14,FALSE)*IF('Ammo Input'!R641,1.1,1))</f>
        <v>#VALUE!</v>
      </c>
      <c r="Q641">
        <f>IFERROR(__xludf.DUMMYFUNCTION("((IF(NOT(OR(REGEXMATCH(B637, ""Arrow""), B637 = ""Javelin"", B637 = ""Stick bomb"")), ROUNDUP(('Ammo Input'!E637 / 1000) * N637)) + IF(VLOOKUP(B637, AmmoTypeFactors, 9, FALSE) = ""Steel"", ROUNDUP(('Ammo Input'!H637 -'Ammo Input'!M637) * MAX(IF('Ammo Inpu"&amp;"t'!J637 &gt; 0, 'Ammo Input'!J637, 1), 1) * N637 / 1000))) / 'Ingredient stats'!$C$2) * IF(ISBLANK(VLOOKUP(B637,AmmoTypeFactors,15,False)),1,VLOOKUP(B637,AmmoTypeFactors,15,False))"),90)</f>
        <v>90</v>
      </c>
      <c r="R641">
        <f>IFERROR(__xludf.DUMMYFUNCTION("ROUNDUP((IF(REGEXMATCH(B637, ""Arrow"") + (B637 = ""Javelin""), 'Ammo Input'!E637) + IF(VLOOKUP(B637, AmmoTypeFactors, 9, FALSE) = ""Wood"", 'Ammo Input'!H637) + IF(B637 = ""Stick bomb"", 'Ammo Input'!E637)) * N637 / 'Ingredient stats'!$C$12 / 1000)"),0)</f>
        <v>0</v>
      </c>
      <c r="S641">
        <v>0</v>
      </c>
      <c r="T641">
        <v>0</v>
      </c>
      <c r="U641">
        <f>IF(VLOOKUP(B641,AmmoTypeFactors,9,FALSE)="Plasteel",ROUNDUP(('Ammo Input'!H641*MAX(IF('Ammo Input'!J641&gt;0,'Ammo Input'!J641,1)*N641/1000/'Ingredient stats'!$C$4)),0),0)</f>
        <v>0</v>
      </c>
      <c r="V641">
        <f>IFERROR(__xludf.DUMMYFUNCTION("ROUNDUP(IF(ISBLANK(VLOOKUP(B637,AmmoTypeFactors,16,False)),1,VLOOKUP(B637,AmmoTypeFactors,16,False)) * (IFS(REGEXMATCH(B637, ""EMP""), 'Ammo Input'!M637 * N637 / 'Ingredient stats'!$C$5, REGEXMATCH(B637, ""Charge""), (U637^0.75), true, 0) + (IF(VLOOKUP(B6"&amp;"37, AmmoTypeFactors, 10, false), 2,0) + IF('Ammo Input'!P637, 2,0) + IF('Ammo Input'!Q637,MIN(ROUNDUP(0.2*('Ammo Input'!H637/1000)*'Ammo Input'!O637,0),20),0))))"),2)</f>
        <v>2</v>
      </c>
      <c r="W641">
        <v>0</v>
      </c>
      <c r="X641">
        <v>5</v>
      </c>
      <c r="Y641">
        <v>0</v>
      </c>
      <c r="Z641">
        <v>0</v>
      </c>
      <c r="AA641">
        <v>0</v>
      </c>
      <c r="AB641" s="30">
        <f>IF(B641="Sling Bullet (Stone)",ROUNDUP(D641*0.02*E641/'Ingredient stats'!$C$8,0),0)</f>
        <v>0</v>
      </c>
      <c r="AC641" t="str">
        <f t="shared" si="28"/>
        <v>None</v>
      </c>
      <c r="AD641" t="str">
        <f>IF(OR(B641="Buck",B641="Bird",B641="Charge (Scatter)"),'Ammo Input'!J641,"None")</f>
        <v>None</v>
      </c>
      <c r="AE641">
        <f>_xlfn.IFS(ISTEXT(Calcs!N641),Calcs!N641,Calcs!N641&lt;=40,Calcs!N641,Calcs!N641&gt;41,"40")</f>
        <v>21</v>
      </c>
      <c r="AF641">
        <f>_xlfn.IFS(ISTEXT(Calcs!O641),Calcs!O641,Calcs!O641&lt;=80,Calcs!O641,Calcs!O641&gt;=81,"80")</f>
        <v>12</v>
      </c>
      <c r="AG641" s="25">
        <f t="shared" si="29"/>
        <v>3</v>
      </c>
      <c r="AH641" s="25">
        <f t="shared" si="30"/>
        <v>2.2</v>
      </c>
      <c r="AI641" s="25">
        <f t="shared" si="31"/>
        <v>2</v>
      </c>
    </row>
    <row r="642" ht="14.4" spans="1:35">
      <c r="A642" s="24" t="str">
        <f>'Ammo Input'!A642</f>
        <v>76.2x385mmR Cannon</v>
      </c>
      <c r="B642" t="str">
        <f>'Ammo Input'!B642</f>
        <v>APCR</v>
      </c>
      <c r="C642">
        <f>ROUNDUP(('Ammo Input'!C642*(MAX('Ammo Input'!D642,'Ammo Input'!F642)*0.5)^2*PI())*3/1000000,2)</f>
        <v>9.7</v>
      </c>
      <c r="D642">
        <f>ROUNDUP(('Ammo Input'!E642+'Ammo Input'!H642*IF('Ammo Input'!J642&lt;&gt;"",MAX('Ammo Input'!J642,1),1))/1000,3)</f>
        <v>6.16</v>
      </c>
      <c r="E642">
        <f>MIN(5000,MAX(25,CEILING(Calcs!L642,_xlfn.IFS(Calcs!L642&lt;100,25,Calcs!L642&lt;250,50,Calcs!L642&lt;1000,250,Calcs!L642&gt;=1000,1000))))</f>
        <v>25</v>
      </c>
      <c r="F642">
        <f>ROUNDUP('Ammo Input'!G642^(3/4),0)</f>
        <v>181</v>
      </c>
      <c r="G642">
        <f>ROUND((0.5*((IF(OR(B642="HEAT",B642="HEDP"),'Ammo Input'!N642,'Ammo Input'!H642)/1000)*(IF(B642="HEAT",9000,IF(B642="HEDP",1500,'Ammo Input'!G642))^2))),0)</f>
        <v>1841508</v>
      </c>
      <c r="H642" s="25" t="str">
        <f>CONCATENATE(IF((B642="Foam")+(B642="Smoke"),"-",ROUND(Calcs!D642,0))," ",VLOOKUP(B642,AmmoTypeFactors,5,FALSE))</f>
        <v>210 Bullet</v>
      </c>
      <c r="I642" s="25" t="str">
        <f>IF(Calcs!E642=0,"None",CONCATENATE(ROUND(Calcs!E642,0)," ",VLOOKUP(B642,AmmoTypeFactors,6,FALSE)))</f>
        <v>None</v>
      </c>
      <c r="J642">
        <f>MROUND(2.42*'Ammo Input'!M642^(1/3)*VLOOKUP(B642,AmmoTypeFactors,3,FALSE),0.5)</f>
        <v>0</v>
      </c>
      <c r="K642" s="25" t="str">
        <f>IF(VLOOKUP(B642,AmmoTypeFactors,12,FALSE),MROUND(J642/3,0.5),"None")</f>
        <v>None</v>
      </c>
      <c r="L642" s="25">
        <f>IF(VLOOKUP(B642,AmmoTypeFactors,8,FALSE),"None",ROUNDUP(IF(Calcs!I642&gt;0,Calcs!I642,Calcs!H642),3))</f>
        <v>36830.16</v>
      </c>
      <c r="M642" s="25">
        <f>IF(VLOOKUP(B642,AmmoTypeFactors,8,FALSE),"None",'Ammo Input'!L642)</f>
        <v>192</v>
      </c>
      <c r="N642">
        <f>'Ammo Input'!O642</f>
        <v>5</v>
      </c>
      <c r="O642" t="e">
        <f>ROUND((P642*0.0036+SUMPRODUCT(Q642:AB642,VLOOKUP($Q$1:$AB$1,IngredientStats,2,FALSE)))/N642*IF('Ammo Input'!R642,0.5,1),2)</f>
        <v>#VALUE!</v>
      </c>
      <c r="P642" t="e">
        <f>(SUMPRODUCT(Q642:AB642,VLOOKUP($Q$1:$AB$1,IngredientStats,4,FALSE))*VLOOKUP(B642,AmmoTypeFactors,14,FALSE)*IF('Ammo Input'!R642,1.1,1))</f>
        <v>#VALUE!</v>
      </c>
      <c r="Q642">
        <f>IFERROR(__xludf.DUMMYFUNCTION("((IF(NOT(OR(REGEXMATCH(B638, ""Arrow""), B638 = ""Javelin"", B638 = ""Stick bomb"")), ROUNDUP(('Ammo Input'!E638 / 1000) * N638)) + IF(VLOOKUP(B638, AmmoTypeFactors, 9, FALSE) = ""Steel"", ROUNDUP(('Ammo Input'!H638 -'Ammo Input'!M638) * MAX(IF('Ammo Inpu"&amp;"t'!J638 &gt; 0, 'Ammo Input'!J638, 1), 1) * N638 / 1000))) / 'Ingredient stats'!$C$2) * IF(ISBLANK(VLOOKUP(B638,AmmoTypeFactors,15,False)),1,VLOOKUP(B638,AmmoTypeFactors,15,False))"),56)</f>
        <v>56</v>
      </c>
      <c r="R642">
        <f>IFERROR(__xludf.DUMMYFUNCTION("ROUNDUP((IF(REGEXMATCH(B638, ""Arrow"") + (B638 = ""Javelin""), 'Ammo Input'!E638) + IF(VLOOKUP(B638, AmmoTypeFactors, 9, FALSE) = ""Wood"", 'Ammo Input'!H638) + IF(B638 = ""Stick bomb"", 'Ammo Input'!E638)) * N638 / 'Ingredient stats'!$C$12 / 1000)"),0)</f>
        <v>0</v>
      </c>
      <c r="S642">
        <v>18</v>
      </c>
      <c r="T642">
        <v>0</v>
      </c>
      <c r="U642">
        <f>IF(VLOOKUP(B642,AmmoTypeFactors,9,FALSE)="Plasteel",ROUNDUP(('Ammo Input'!H642*MAX(IF('Ammo Input'!J642&gt;0,'Ammo Input'!J642,1)*N642/1000/'Ingredient stats'!$C$4)),0),0)</f>
        <v>0</v>
      </c>
      <c r="V642">
        <f>IFERROR(__xludf.DUMMYFUNCTION("ROUNDUP(IF(ISBLANK(VLOOKUP(B638,AmmoTypeFactors,16,False)),1,VLOOKUP(B638,AmmoTypeFactors,16,False)) * (IFS(REGEXMATCH(B638, ""EMP""), 'Ammo Input'!M638 * N638 / 'Ingredient stats'!$C$5, REGEXMATCH(B638, ""Charge""), (U638^0.75), true, 0) + (IF(VLOOKUP(B6"&amp;"38, AmmoTypeFactors, 10, false), 2,0) + IF('Ammo Input'!P638, 2,0) + IF('Ammo Input'!Q638,MIN(ROUNDUP(0.2*('Ammo Input'!H638/1000)*'Ammo Input'!O638,0),20),0))))"),0)</f>
        <v>0</v>
      </c>
      <c r="W642">
        <v>0</v>
      </c>
      <c r="X642">
        <v>0</v>
      </c>
      <c r="Y642">
        <v>0</v>
      </c>
      <c r="Z642">
        <v>0</v>
      </c>
      <c r="AA642">
        <v>0</v>
      </c>
      <c r="AB642" s="30">
        <f>IF(B642="Sling Bullet (Stone)",ROUNDUP(D642*0.02*E642/'Ingredient stats'!$C$8,0),0)</f>
        <v>0</v>
      </c>
      <c r="AC642" t="str">
        <f t="shared" si="28"/>
        <v>None</v>
      </c>
      <c r="AD642" t="str">
        <f>IF(OR(B642="Buck",B642="Bird",B642="Charge (Scatter)"),'Ammo Input'!J642,"None")</f>
        <v>None</v>
      </c>
      <c r="AE642" t="str">
        <f>_xlfn.IFS(ISTEXT(Calcs!N642),Calcs!N642,Calcs!N642&lt;=40,Calcs!N642,Calcs!N642&gt;41,"40")</f>
        <v>None</v>
      </c>
      <c r="AF642" t="str">
        <f>_xlfn.IFS(ISTEXT(Calcs!O642),Calcs!O642,Calcs!O642&lt;=80,Calcs!O642,Calcs!O642&gt;=81,"80")</f>
        <v>None</v>
      </c>
      <c r="AG642" s="25">
        <f t="shared" si="29"/>
        <v>1</v>
      </c>
      <c r="AH642" s="25">
        <f t="shared" si="30"/>
        <v>2.94</v>
      </c>
      <c r="AI642" s="25">
        <f t="shared" si="31"/>
        <v>1</v>
      </c>
    </row>
    <row r="643" ht="14.4" spans="1:35">
      <c r="A643" s="24" t="str">
        <f>'Ammo Input'!A643</f>
        <v>76.2x385mmR Cannon</v>
      </c>
      <c r="B643" t="str">
        <f>'Ammo Input'!B643</f>
        <v>EMP</v>
      </c>
      <c r="C643">
        <f>ROUNDUP(('Ammo Input'!C643*(MAX('Ammo Input'!D643,'Ammo Input'!F643)*0.5)^2*PI())*3/1000000,2)</f>
        <v>9.7</v>
      </c>
      <c r="D643">
        <f>ROUNDUP(('Ammo Input'!E643+'Ammo Input'!H643*IF('Ammo Input'!J643&lt;&gt;"",MAX('Ammo Input'!J643,1),1))/1000,3)</f>
        <v>8.82</v>
      </c>
      <c r="E643">
        <f>MIN(5000,MAX(25,CEILING(Calcs!L643,_xlfn.IFS(Calcs!L643&lt;100,25,Calcs!L643&lt;250,50,Calcs!L643&lt;1000,250,Calcs!L643&gt;=1000,1000))))</f>
        <v>25</v>
      </c>
      <c r="F643">
        <f>ROUNDUP('Ammo Input'!G643^(3/4),0)</f>
        <v>134</v>
      </c>
      <c r="G643">
        <f>ROUND((0.5*((IF(OR(B643="HEAT",B643="HEDP"),'Ammo Input'!N643,'Ammo Input'!H643)/1000)*(IF(B643="HEAT",9000,IF(B643="HEDP",1500,'Ammo Input'!G643))^2))),0)</f>
        <v>1433440</v>
      </c>
      <c r="H643" s="25" t="str">
        <f>CONCATENATE(IF((B643="Foam")+(B643="Smoke"),"-",ROUND(Calcs!D643,0))," ",VLOOKUP(B643,AmmoTypeFactors,5,FALSE))</f>
        <v>99 EMP</v>
      </c>
      <c r="I643" s="25" t="str">
        <f>IF(Calcs!E643=0,"None",CONCATENATE(ROUND(Calcs!E643,0)," ",VLOOKUP(B643,AmmoTypeFactors,6,FALSE)))</f>
        <v>None</v>
      </c>
      <c r="J643">
        <f>MROUND(2.42*'Ammo Input'!M643^(1/3)*VLOOKUP(B643,AmmoTypeFactors,3,FALSE),0.5)</f>
        <v>4</v>
      </c>
      <c r="K643" s="25" t="str">
        <f>IF(VLOOKUP(B643,AmmoTypeFactors,12,FALSE),MROUND(J643/3,0.5),"None")</f>
        <v>None</v>
      </c>
      <c r="L643" s="25" t="str">
        <f>IF(VLOOKUP(B643,AmmoTypeFactors,8,FALSE),"None",ROUNDUP(IF(Calcs!I643&gt;0,Calcs!I643,Calcs!H643),3))</f>
        <v>None</v>
      </c>
      <c r="M643" s="25" t="str">
        <f>IF(VLOOKUP(B643,AmmoTypeFactors,8,FALSE),"None",'Ammo Input'!L643)</f>
        <v>None</v>
      </c>
      <c r="N643">
        <f>'Ammo Input'!O643</f>
        <v>5</v>
      </c>
      <c r="O643" t="e">
        <f>ROUND((P643*0.0036+SUMPRODUCT(Q643:AB643,VLOOKUP($Q$1:$AB$1,IngredientStats,2,FALSE)))/N643*IF('Ammo Input'!R643,0.5,1),2)</f>
        <v>#VALUE!</v>
      </c>
      <c r="P643" t="e">
        <f>(SUMPRODUCT(Q643:AB643,VLOOKUP($Q$1:$AB$1,IngredientStats,4,FALSE))*VLOOKUP(B643,AmmoTypeFactors,14,FALSE)*IF('Ammo Input'!R643,1.1,1))</f>
        <v>#VALUE!</v>
      </c>
      <c r="Q643">
        <f>IFERROR(__xludf.DUMMYFUNCTION("((IF(NOT(OR(REGEXMATCH(B639, ""Arrow""), B639 = ""Javelin"", B639 = ""Stick bomb"")), ROUNDUP(('Ammo Input'!E639 / 1000) * N639)) + IF(VLOOKUP(B639, AmmoTypeFactors, 9, FALSE) = ""Steel"", ROUNDUP(('Ammo Input'!H639 -'Ammo Input'!M639) * MAX(IF('Ammo Inpu"&amp;"t'!J639 &gt; 0, 'Ammo Input'!J639, 1), 1) * N639 / 1000))) / 'Ingredient stats'!$C$2) * IF(ISBLANK(VLOOKUP(B639,AmmoTypeFactors,15,False)),1,VLOOKUP(B639,AmmoTypeFactors,15,False))"),90)</f>
        <v>90</v>
      </c>
      <c r="R643">
        <f>IFERROR(__xludf.DUMMYFUNCTION("ROUNDUP((IF(REGEXMATCH(B639, ""Arrow"") + (B639 = ""Javelin""), 'Ammo Input'!E639) + IF(VLOOKUP(B639, AmmoTypeFactors, 9, FALSE) = ""Wood"", 'Ammo Input'!H639) + IF(B639 = ""Stick bomb"", 'Ammo Input'!E639)) * N639 / 'Ingredient stats'!$C$12 / 1000)"),0)</f>
        <v>0</v>
      </c>
      <c r="S643">
        <v>0</v>
      </c>
      <c r="T643">
        <v>0</v>
      </c>
      <c r="U643">
        <f>IF(VLOOKUP(B643,AmmoTypeFactors,9,FALSE)="Plasteel",ROUNDUP(('Ammo Input'!H643*MAX(IF('Ammo Input'!J643&gt;0,'Ammo Input'!J643,1)*N643/1000/'Ingredient stats'!$C$4)),0),0)</f>
        <v>0</v>
      </c>
      <c r="V643">
        <f>IFERROR(__xludf.DUMMYFUNCTION("ROUNDUP(IF(ISBLANK(VLOOKUP(B639,AmmoTypeFactors,16,False)),1,VLOOKUP(B639,AmmoTypeFactors,16,False)) * (IFS(REGEXMATCH(B639, ""EMP""), 'Ammo Input'!M639 * N639 / 'Ingredient stats'!$C$5, REGEXMATCH(B639, ""Charge""), (U639^0.75), true, 0) + (IF(VLOOKUP(B6"&amp;"39, AmmoTypeFactors, 10, false), 2,0) + IF('Ammo Input'!P639, 2,0) + IF('Ammo Input'!Q639,MIN(ROUNDUP(0.2*('Ammo Input'!H639/1000)*'Ammo Input'!O639,0),20),0))))"),8)</f>
        <v>8</v>
      </c>
      <c r="W643">
        <v>0</v>
      </c>
      <c r="X643">
        <v>0</v>
      </c>
      <c r="Y643">
        <v>0</v>
      </c>
      <c r="Z643">
        <v>0</v>
      </c>
      <c r="AA643">
        <v>0</v>
      </c>
      <c r="AB643" s="30">
        <f>IF(B643="Sling Bullet (Stone)",ROUNDUP(D643*0.02*E643/'Ingredient stats'!$C$8,0),0)</f>
        <v>0</v>
      </c>
      <c r="AC643" t="str">
        <f t="shared" si="28"/>
        <v>None</v>
      </c>
      <c r="AD643" t="str">
        <f>IF(OR(B643="Buck",B643="Bird",B643="Charge (Scatter)"),'Ammo Input'!J643,"None")</f>
        <v>None</v>
      </c>
      <c r="AE643" t="str">
        <f>_xlfn.IFS(ISTEXT(Calcs!N643),Calcs!N643,Calcs!N643&lt;=40,Calcs!N643,Calcs!N643&gt;41,"40")</f>
        <v>None</v>
      </c>
      <c r="AF643" t="str">
        <f>_xlfn.IFS(ISTEXT(Calcs!O643),Calcs!O643,Calcs!O643&lt;=80,Calcs!O643,Calcs!O643&gt;=81,"80")</f>
        <v>None</v>
      </c>
      <c r="AG643" s="25">
        <f t="shared" si="29"/>
        <v>3</v>
      </c>
      <c r="AH643" s="25">
        <f t="shared" si="30"/>
        <v>2.2</v>
      </c>
      <c r="AI643" s="25">
        <f t="shared" si="31"/>
        <v>2</v>
      </c>
    </row>
    <row r="644" ht="14.4" spans="1:35">
      <c r="A644" s="24" t="str">
        <f>'Ammo Input'!A644</f>
        <v>76.2x539mmR</v>
      </c>
      <c r="B644" t="str">
        <f>'Ammo Input'!B644</f>
        <v>AP</v>
      </c>
      <c r="C644">
        <f>ROUNDUP(('Ammo Input'!C644*(MAX('Ammo Input'!D644,'Ammo Input'!F644)*0.5)^2*PI())*3/1000000,2)</f>
        <v>10.99</v>
      </c>
      <c r="D644">
        <f>ROUNDUP(('Ammo Input'!E644+'Ammo Input'!H644*IF('Ammo Input'!J644&lt;&gt;"",MAX('Ammo Input'!J644,1),1))/1000,3)</f>
        <v>10.8</v>
      </c>
      <c r="E644">
        <f>MIN(5000,MAX(25,CEILING(Calcs!L644,_xlfn.IFS(Calcs!L644&lt;100,25,Calcs!L644&lt;250,50,Calcs!L644&lt;1000,250,Calcs!L644&gt;=1000,1000))))</f>
        <v>25</v>
      </c>
      <c r="F644">
        <f>ROUNDUP('Ammo Input'!G644^(3/4),0)</f>
        <v>154</v>
      </c>
      <c r="G644">
        <f>ROUND((0.5*((IF(OR(B644="HEAT",B644="HEDP"),'Ammo Input'!N644,'Ammo Input'!H644)/1000)*(IF(B644="HEAT",9000,IF(B644="HEDP",1500,'Ammo Input'!G644))^2))),0)</f>
        <v>2286160</v>
      </c>
      <c r="H644" s="25" t="str">
        <f>CONCATENATE(IF((B644="Foam")+(B644="Smoke"),"-",ROUND(Calcs!D644,0))," ",VLOOKUP(B644,AmmoTypeFactors,5,FALSE))</f>
        <v>259 Bullet</v>
      </c>
      <c r="I644" s="25" t="str">
        <f>IF(Calcs!E644=0,"None",CONCATENATE(ROUND(Calcs!E644,0)," ",VLOOKUP(B644,AmmoTypeFactors,6,FALSE)))</f>
        <v>None</v>
      </c>
      <c r="J644">
        <f>MROUND(2.42*'Ammo Input'!M644^(1/3)*VLOOKUP(B644,AmmoTypeFactors,3,FALSE),0.5)</f>
        <v>0</v>
      </c>
      <c r="K644" s="25" t="str">
        <f>IF(VLOOKUP(B644,AmmoTypeFactors,12,FALSE),MROUND(J644/3,0.5),"None")</f>
        <v>None</v>
      </c>
      <c r="L644" s="25">
        <f>IF(VLOOKUP(B644,AmmoTypeFactors,8,FALSE),"None",ROUNDUP(IF(Calcs!I644&gt;0,Calcs!I644,Calcs!H644),3))</f>
        <v>45723.2</v>
      </c>
      <c r="M644" s="25">
        <f>IF(VLOOKUP(B644,AmmoTypeFactors,8,FALSE),"None",'Ammo Input'!L644)</f>
        <v>132</v>
      </c>
      <c r="N644">
        <f>'Ammo Input'!O644</f>
        <v>5</v>
      </c>
      <c r="O644" t="e">
        <f>ROUND((P644*0.0036+SUMPRODUCT(Q644:AB644,VLOOKUP($Q$1:$AB$1,IngredientStats,2,FALSE)))/N644*IF('Ammo Input'!R644,0.5,1),2)</f>
        <v>#VALUE!</v>
      </c>
      <c r="P644" t="e">
        <f>(SUMPRODUCT(Q644:AB644,VLOOKUP($Q$1:$AB$1,IngredientStats,4,FALSE))*VLOOKUP(B644,AmmoTypeFactors,14,FALSE)*IF('Ammo Input'!R644,1.1,1))</f>
        <v>#VALUE!</v>
      </c>
      <c r="Q644">
        <f>IFERROR(__xludf.DUMMYFUNCTION("((IF(NOT(OR(REGEXMATCH(B640, ""Arrow""), B640 = ""Javelin"", B640 = ""Stick bomb"")), ROUNDUP(('Ammo Input'!E640 / 1000) * N640)) + IF(VLOOKUP(B640, AmmoTypeFactors, 9, FALSE) = ""Steel"", ROUNDUP(('Ammo Input'!H640 -'Ammo Input'!M640) * MAX(IF('Ammo Inpu"&amp;"t'!J640 &gt; 0, 'Ammo Input'!J640, 1), 1) * N640 / 1000))) / 'Ingredient stats'!$C$2) * IF(ISBLANK(VLOOKUP(B640,AmmoTypeFactors,15,False)),1,VLOOKUP(B640,AmmoTypeFactors,15,False))"),108)</f>
        <v>108</v>
      </c>
      <c r="R644">
        <f>IFERROR(__xludf.DUMMYFUNCTION("ROUNDUP((IF(REGEXMATCH(B640, ""Arrow"") + (B640 = ""Javelin""), 'Ammo Input'!E640) + IF(VLOOKUP(B640, AmmoTypeFactors, 9, FALSE) = ""Wood"", 'Ammo Input'!H640) + IF(B640 = ""Stick bomb"", 'Ammo Input'!E640)) * N640 / 'Ingredient stats'!$C$12 / 1000)"),0)</f>
        <v>0</v>
      </c>
      <c r="S644">
        <v>0</v>
      </c>
      <c r="T644">
        <v>0</v>
      </c>
      <c r="U644">
        <f>IF(VLOOKUP(B644,AmmoTypeFactors,9,FALSE)="Plasteel",ROUNDUP(('Ammo Input'!H644*MAX(IF('Ammo Input'!J644&gt;0,'Ammo Input'!J644,1)*N644/1000/'Ingredient stats'!$C$4)),0),0)</f>
        <v>0</v>
      </c>
      <c r="V644">
        <f>IFERROR(__xludf.DUMMYFUNCTION("ROUNDUP(IF(ISBLANK(VLOOKUP(B640,AmmoTypeFactors,16,False)),1,VLOOKUP(B640,AmmoTypeFactors,16,False)) * (IFS(REGEXMATCH(B640, ""EMP""), 'Ammo Input'!M640 * N640 / 'Ingredient stats'!$C$5, REGEXMATCH(B640, ""Charge""), (U640^0.75), true, 0) + (IF(VLOOKUP(B6"&amp;"40, AmmoTypeFactors, 10, false), 2,0) + IF('Ammo Input'!P640, 2,0) + IF('Ammo Input'!Q640,MIN(ROUNDUP(0.2*('Ammo Input'!H640/1000)*'Ammo Input'!O640,0),20),0))))"),0)</f>
        <v>0</v>
      </c>
      <c r="W644">
        <v>0</v>
      </c>
      <c r="X644">
        <v>0</v>
      </c>
      <c r="Y644">
        <v>0</v>
      </c>
      <c r="Z644">
        <v>0</v>
      </c>
      <c r="AA644">
        <v>0</v>
      </c>
      <c r="AB644" s="30">
        <f>IF(B644="Sling Bullet (Stone)",ROUNDUP(D644*0.02*E644/'Ingredient stats'!$C$8,0),0)</f>
        <v>0</v>
      </c>
      <c r="AC644" t="str">
        <f t="shared" si="28"/>
        <v>None</v>
      </c>
      <c r="AD644" t="str">
        <f>IF(OR(B644="Buck",B644="Bird",B644="Charge (Scatter)"),'Ammo Input'!J644,"None")</f>
        <v>None</v>
      </c>
      <c r="AE644" t="str">
        <f>_xlfn.IFS(ISTEXT(Calcs!N644),Calcs!N644,Calcs!N644&lt;=40,Calcs!N644,Calcs!N644&gt;41,"40")</f>
        <v>None</v>
      </c>
      <c r="AF644" t="str">
        <f>_xlfn.IFS(ISTEXT(Calcs!O644),Calcs!O644,Calcs!O644&lt;=80,Calcs!O644,Calcs!O644&gt;=81,"80")</f>
        <v>None</v>
      </c>
      <c r="AG644" s="25">
        <f t="shared" si="29"/>
        <v>1</v>
      </c>
      <c r="AH644" s="25">
        <f t="shared" si="30"/>
        <v>2.53</v>
      </c>
      <c r="AI644" s="25">
        <f t="shared" si="31"/>
        <v>1</v>
      </c>
    </row>
    <row r="645" ht="14.4" spans="1:35">
      <c r="A645" s="24" t="str">
        <f>'Ammo Input'!A645</f>
        <v>76.2x539mmR</v>
      </c>
      <c r="B645" t="str">
        <f>'Ammo Input'!B645</f>
        <v>HE</v>
      </c>
      <c r="C645">
        <f>ROUNDUP(('Ammo Input'!C645*(MAX('Ammo Input'!D645,'Ammo Input'!F645)*0.5)^2*PI())*3/1000000,2)</f>
        <v>10.99</v>
      </c>
      <c r="D645">
        <f>ROUNDUP(('Ammo Input'!E645+'Ammo Input'!H645*IF('Ammo Input'!J645&lt;&gt;"",MAX('Ammo Input'!J645,1),1))/1000,3)</f>
        <v>10.8</v>
      </c>
      <c r="E645">
        <f>MIN(5000,MAX(25,CEILING(Calcs!L645,_xlfn.IFS(Calcs!L645&lt;100,25,Calcs!L645&lt;250,50,Calcs!L645&lt;1000,250,Calcs!L645&gt;=1000,1000))))</f>
        <v>25</v>
      </c>
      <c r="F645">
        <f>ROUNDUP('Ammo Input'!G645^(3/4),0)</f>
        <v>154</v>
      </c>
      <c r="G645">
        <f>ROUND((0.5*((IF(OR(B645="HEAT",B645="HEDP"),'Ammo Input'!N645,'Ammo Input'!H645)/1000)*(IF(B645="HEAT",9000,IF(B645="HEDP",1500,'Ammo Input'!G645))^2))),0)</f>
        <v>2286160</v>
      </c>
      <c r="H645" s="25" t="str">
        <f>CONCATENATE(IF((B645="Foam")+(B645="Smoke"),"-",ROUND(Calcs!D645,0))," ",VLOOKUP(B645,AmmoTypeFactors,5,FALSE))</f>
        <v>75 Bomb</v>
      </c>
      <c r="I645" s="25" t="str">
        <f>IF(Calcs!E645=0,"None",CONCATENATE(ROUND(Calcs!E645,0)," ",VLOOKUP(B645,AmmoTypeFactors,6,FALSE)))</f>
        <v>None</v>
      </c>
      <c r="J645">
        <f>MROUND(2.42*'Ammo Input'!M645^(1/3)*VLOOKUP(B645,AmmoTypeFactors,3,FALSE),0.5)</f>
        <v>2</v>
      </c>
      <c r="K645" s="25" t="str">
        <f>IF(VLOOKUP(B645,AmmoTypeFactors,12,FALSE),MROUND(J645/3,0.5),"None")</f>
        <v>None</v>
      </c>
      <c r="L645" s="25" t="str">
        <f>IF(VLOOKUP(B645,AmmoTypeFactors,8,FALSE),"None",ROUNDUP(IF(Calcs!I645&gt;0,Calcs!I645,Calcs!H645),3))</f>
        <v>None</v>
      </c>
      <c r="M645" s="25" t="str">
        <f>IF(VLOOKUP(B645,AmmoTypeFactors,8,FALSE),"None",'Ammo Input'!L645)</f>
        <v>None</v>
      </c>
      <c r="N645">
        <f>'Ammo Input'!O645</f>
        <v>5</v>
      </c>
      <c r="O645" t="e">
        <f>ROUND((P645*0.0036+SUMPRODUCT(Q645:AB645,VLOOKUP($Q$1:$AB$1,IngredientStats,2,FALSE)))/N645*IF('Ammo Input'!R645,0.5,1),2)</f>
        <v>#VALUE!</v>
      </c>
      <c r="P645" t="e">
        <f>(SUMPRODUCT(Q645:AB645,VLOOKUP($Q$1:$AB$1,IngredientStats,4,FALSE))*VLOOKUP(B645,AmmoTypeFactors,14,FALSE)*IF('Ammo Input'!R645,1.1,1))</f>
        <v>#VALUE!</v>
      </c>
      <c r="Q645">
        <f>IFERROR(__xludf.DUMMYFUNCTION("((IF(NOT(OR(REGEXMATCH(B641, ""Arrow""), B641 = ""Javelin"", B641 = ""Stick bomb"")), ROUNDUP(('Ammo Input'!E641 / 1000) * N641)) + IF(VLOOKUP(B641, AmmoTypeFactors, 9, FALSE) = ""Steel"", ROUNDUP(('Ammo Input'!H641 -'Ammo Input'!M641) * MAX(IF('Ammo Inpu"&amp;"t'!J641 &gt; 0, 'Ammo Input'!J641, 1), 1) * N641 / 1000))) / 'Ingredient stats'!$C$2) * IF(ISBLANK(VLOOKUP(B641,AmmoTypeFactors,15,False)),1,VLOOKUP(B641,AmmoTypeFactors,15,False))"),108)</f>
        <v>108</v>
      </c>
      <c r="R645">
        <f>IFERROR(__xludf.DUMMYFUNCTION("ROUNDUP((IF(REGEXMATCH(B641, ""Arrow"") + (B641 = ""Javelin""), 'Ammo Input'!E641) + IF(VLOOKUP(B641, AmmoTypeFactors, 9, FALSE) = ""Wood"", 'Ammo Input'!H641) + IF(B641 = ""Stick bomb"", 'Ammo Input'!E641)) * N641 / 'Ingredient stats'!$C$12 / 1000)"),0)</f>
        <v>0</v>
      </c>
      <c r="S645">
        <v>0</v>
      </c>
      <c r="T645">
        <v>0</v>
      </c>
      <c r="U645">
        <f>IF(VLOOKUP(B645,AmmoTypeFactors,9,FALSE)="Plasteel",ROUNDUP(('Ammo Input'!H645*MAX(IF('Ammo Input'!J645&gt;0,'Ammo Input'!J645,1)*N645/1000/'Ingredient stats'!$C$4)),0),0)</f>
        <v>0</v>
      </c>
      <c r="V645">
        <f>IFERROR(__xludf.DUMMYFUNCTION("ROUNDUP(IF(ISBLANK(VLOOKUP(B641,AmmoTypeFactors,16,False)),1,VLOOKUP(B641,AmmoTypeFactors,16,False)) * (IFS(REGEXMATCH(B641, ""EMP""), 'Ammo Input'!M641 * N641 / 'Ingredient stats'!$C$5, REGEXMATCH(B641, ""Charge""), (U641^0.75), true, 0) + (IF(VLOOKUP(B6"&amp;"41, AmmoTypeFactors, 10, false), 2,0) + IF('Ammo Input'!P641, 2,0) + IF('Ammo Input'!Q641,MIN(ROUNDUP(0.2*('Ammo Input'!H641/1000)*'Ammo Input'!O641,0),20),0))))"),2)</f>
        <v>2</v>
      </c>
      <c r="W645">
        <v>0</v>
      </c>
      <c r="X645">
        <v>3</v>
      </c>
      <c r="Y645">
        <v>0</v>
      </c>
      <c r="Z645">
        <v>0</v>
      </c>
      <c r="AA645">
        <v>0</v>
      </c>
      <c r="AB645" s="30">
        <f>IF(B645="Sling Bullet (Stone)",ROUNDUP(D645*0.02*E645/'Ingredient stats'!$C$8,0),0)</f>
        <v>0</v>
      </c>
      <c r="AC645" t="str">
        <f t="shared" si="28"/>
        <v>None</v>
      </c>
      <c r="AD645" t="str">
        <f>IF(OR(B645="Buck",B645="Bird",B645="Charge (Scatter)"),'Ammo Input'!J645,"None")</f>
        <v>None</v>
      </c>
      <c r="AE645">
        <f>_xlfn.IFS(ISTEXT(Calcs!N645),Calcs!N645,Calcs!N645&lt;=40,Calcs!N645,Calcs!N645&gt;41,"40")</f>
        <v>24</v>
      </c>
      <c r="AF645">
        <f>_xlfn.IFS(ISTEXT(Calcs!O645),Calcs!O645,Calcs!O645&lt;=80,Calcs!O645,Calcs!O645&gt;=81,"80")</f>
        <v>8</v>
      </c>
      <c r="AG645" s="25">
        <f t="shared" si="29"/>
        <v>3</v>
      </c>
      <c r="AH645" s="25">
        <f t="shared" si="30"/>
        <v>2.53</v>
      </c>
      <c r="AI645" s="25">
        <f t="shared" si="31"/>
        <v>2</v>
      </c>
    </row>
    <row r="646" ht="14.4" spans="1:35">
      <c r="A646" s="24" t="str">
        <f>'Ammo Input'!A646</f>
        <v>76.2x539mmR</v>
      </c>
      <c r="B646" t="str">
        <f>'Ammo Input'!B646</f>
        <v>APCR</v>
      </c>
      <c r="C646">
        <f>ROUNDUP(('Ammo Input'!C646*(MAX('Ammo Input'!D646,'Ammo Input'!F646)*0.5)^2*PI())*3/1000000,2)</f>
        <v>10.99</v>
      </c>
      <c r="D646">
        <f>ROUNDUP(('Ammo Input'!E646+'Ammo Input'!H646*IF('Ammo Input'!J646&lt;&gt;"",MAX('Ammo Input'!J646,1),1))/1000,3)</f>
        <v>7.885</v>
      </c>
      <c r="E646">
        <f>MIN(5000,MAX(25,CEILING(Calcs!L646,_xlfn.IFS(Calcs!L646&lt;100,25,Calcs!L646&lt;250,50,Calcs!L646&lt;1000,250,Calcs!L646&gt;=1000,1000))))</f>
        <v>25</v>
      </c>
      <c r="F646">
        <f>ROUNDUP('Ammo Input'!G646^(3/4),0)</f>
        <v>208</v>
      </c>
      <c r="G646">
        <f>ROUND((0.5*((IF(OR(B646="HEAT",B646="HEDP"),'Ammo Input'!N646,'Ammo Input'!H646)/1000)*(IF(B646="HEAT",9000,IF(B646="HEDP",1500,'Ammo Input'!G646))^2))),0)</f>
        <v>2938808</v>
      </c>
      <c r="H646" s="25" t="str">
        <f>CONCATENATE(IF((B646="Foam")+(B646="Smoke"),"-",ROUND(Calcs!D646,0))," ",VLOOKUP(B646,AmmoTypeFactors,5,FALSE))</f>
        <v>247 Bullet</v>
      </c>
      <c r="I646" s="25" t="str">
        <f>IF(Calcs!E646=0,"None",CONCATENATE(ROUND(Calcs!E646,0)," ",VLOOKUP(B646,AmmoTypeFactors,6,FALSE)))</f>
        <v>None</v>
      </c>
      <c r="J646">
        <f>MROUND(2.42*'Ammo Input'!M646^(1/3)*VLOOKUP(B646,AmmoTypeFactors,3,FALSE),0.5)</f>
        <v>0</v>
      </c>
      <c r="K646" s="25" t="str">
        <f>IF(VLOOKUP(B646,AmmoTypeFactors,12,FALSE),MROUND(J646/3,0.5),"None")</f>
        <v>None</v>
      </c>
      <c r="L646" s="25">
        <f>IF(VLOOKUP(B646,AmmoTypeFactors,8,FALSE),"None",ROUNDUP(IF(Calcs!I646&gt;0,Calcs!I646,Calcs!H646),3))</f>
        <v>58776.16</v>
      </c>
      <c r="M646" s="25">
        <f>IF(VLOOKUP(B646,AmmoTypeFactors,8,FALSE),"None",'Ammo Input'!L646)</f>
        <v>231</v>
      </c>
      <c r="N646">
        <f>'Ammo Input'!O646</f>
        <v>5</v>
      </c>
      <c r="O646" t="e">
        <f>ROUND((P646*0.0036+SUMPRODUCT(Q646:AB646,VLOOKUP($Q$1:$AB$1,IngredientStats,2,FALSE)))/N646*IF('Ammo Input'!R646,0.5,1),2)</f>
        <v>#VALUE!</v>
      </c>
      <c r="P646" t="e">
        <f>(SUMPRODUCT(Q646:AB646,VLOOKUP($Q$1:$AB$1,IngredientStats,4,FALSE))*VLOOKUP(B646,AmmoTypeFactors,14,FALSE)*IF('Ammo Input'!R646,1.1,1))</f>
        <v>#VALUE!</v>
      </c>
      <c r="Q646">
        <f>IFERROR(__xludf.DUMMYFUNCTION("((IF(NOT(OR(REGEXMATCH(B642, ""Arrow""), B642 = ""Javelin"", B642 = ""Stick bomb"")), ROUNDUP(('Ammo Input'!E642 / 1000) * N642)) + IF(VLOOKUP(B642, AmmoTypeFactors, 9, FALSE) = ""Steel"", ROUNDUP(('Ammo Input'!H642 -'Ammo Input'!M642) * MAX(IF('Ammo Inpu"&amp;"t'!J642 &gt; 0, 'Ammo Input'!J642, 1), 1) * N642 / 1000))) / 'Ingredient stats'!$C$2) * IF(ISBLANK(VLOOKUP(B642,AmmoTypeFactors,15,False)),1,VLOOKUP(B642,AmmoTypeFactors,15,False))"),80)</f>
        <v>80</v>
      </c>
      <c r="R646">
        <f>IFERROR(__xludf.DUMMYFUNCTION("ROUNDUP((IF(REGEXMATCH(B642, ""Arrow"") + (B642 = ""Javelin""), 'Ammo Input'!E642) + IF(VLOOKUP(B642, AmmoTypeFactors, 9, FALSE) = ""Wood"", 'Ammo Input'!H642) + IF(B642 = ""Stick bomb"", 'Ammo Input'!E642)) * N642 / 'Ingredient stats'!$C$12 / 1000)"),0)</f>
        <v>0</v>
      </c>
      <c r="S646">
        <v>20</v>
      </c>
      <c r="T646">
        <v>0</v>
      </c>
      <c r="U646">
        <f>IF(VLOOKUP(B646,AmmoTypeFactors,9,FALSE)="Plasteel",ROUNDUP(('Ammo Input'!H646*MAX(IF('Ammo Input'!J646&gt;0,'Ammo Input'!J646,1)*N646/1000/'Ingredient stats'!$C$4)),0),0)</f>
        <v>0</v>
      </c>
      <c r="V646">
        <f>IFERROR(__xludf.DUMMYFUNCTION("ROUNDUP(IF(ISBLANK(VLOOKUP(B642,AmmoTypeFactors,16,False)),1,VLOOKUP(B642,AmmoTypeFactors,16,False)) * (IFS(REGEXMATCH(B642, ""EMP""), 'Ammo Input'!M642 * N642 / 'Ingredient stats'!$C$5, REGEXMATCH(B642, ""Charge""), (U642^0.75), true, 0) + (IF(VLOOKUP(B6"&amp;"42, AmmoTypeFactors, 10, false), 2,0) + IF('Ammo Input'!P642, 2,0) + IF('Ammo Input'!Q642,MIN(ROUNDUP(0.2*('Ammo Input'!H642/1000)*'Ammo Input'!O642,0),20),0))))"),0)</f>
        <v>0</v>
      </c>
      <c r="W646">
        <v>0</v>
      </c>
      <c r="X646">
        <v>0</v>
      </c>
      <c r="Y646">
        <v>0</v>
      </c>
      <c r="Z646">
        <v>0</v>
      </c>
      <c r="AA646">
        <v>0</v>
      </c>
      <c r="AB646" s="30">
        <f>IF(B646="Sling Bullet (Stone)",ROUNDUP(D646*0.02*E646/'Ingredient stats'!$C$8,0),0)</f>
        <v>0</v>
      </c>
      <c r="AC646" t="str">
        <f t="shared" si="28"/>
        <v>None</v>
      </c>
      <c r="AD646" t="str">
        <f>IF(OR(B646="Buck",B646="Bird",B646="Charge (Scatter)"),'Ammo Input'!J646,"None")</f>
        <v>None</v>
      </c>
      <c r="AE646" t="str">
        <f>_xlfn.IFS(ISTEXT(Calcs!N646),Calcs!N646,Calcs!N646&lt;=40,Calcs!N646,Calcs!N646&gt;41,"40")</f>
        <v>None</v>
      </c>
      <c r="AF646" t="str">
        <f>_xlfn.IFS(ISTEXT(Calcs!O646),Calcs!O646,Calcs!O646&lt;=80,Calcs!O646,Calcs!O646&gt;=81,"80")</f>
        <v>None</v>
      </c>
      <c r="AG646" s="25">
        <f t="shared" si="29"/>
        <v>1</v>
      </c>
      <c r="AH646" s="25">
        <f t="shared" si="30"/>
        <v>3.39</v>
      </c>
      <c r="AI646" s="25">
        <f t="shared" si="31"/>
        <v>1</v>
      </c>
    </row>
    <row r="647" ht="14.4" spans="1:35">
      <c r="A647" s="24" t="str">
        <f>'Ammo Input'!A647</f>
        <v>81mm Mortar</v>
      </c>
      <c r="B647" t="str">
        <f>'Ammo Input'!B647</f>
        <v>HE</v>
      </c>
      <c r="C647">
        <f>ROUNDUP(('Ammo Input'!C647*(MAX('Ammo Input'!D647,'Ammo Input'!F647)*0.5)^2*PI())*3/1000000,2)</f>
        <v>8.17</v>
      </c>
      <c r="D647">
        <f>ROUNDUP(('Ammo Input'!E647+'Ammo Input'!H647*IF('Ammo Input'!J647&lt;&gt;"",MAX('Ammo Input'!J647,1),1))/1000,3)</f>
        <v>5.27</v>
      </c>
      <c r="E647">
        <f>MIN(5000,MAX(25,CEILING(Calcs!L647,_xlfn.IFS(Calcs!L647&lt;100,25,Calcs!L647&lt;250,50,Calcs!L647&lt;1000,250,Calcs!L647&gt;=1000,1000))))</f>
        <v>25</v>
      </c>
      <c r="F647">
        <f>ROUNDUP('Ammo Input'!G647^(3/4),0)</f>
        <v>0</v>
      </c>
      <c r="G647">
        <f>ROUND((0.5*((IF(OR(B647="HEAT",B647="HEDP"),'Ammo Input'!N647,'Ammo Input'!H647)/1000)*(IF(B647="HEAT",9000,IF(B647="HEDP",1500,'Ammo Input'!G647))^2))),0)</f>
        <v>0</v>
      </c>
      <c r="H647" s="25" t="str">
        <f>CONCATENATE(IF((B647="Foam")+(B647="Smoke"),"-",ROUND(Calcs!D647,0))," ",VLOOKUP(B647,AmmoTypeFactors,5,FALSE))</f>
        <v>156 Bomb</v>
      </c>
      <c r="I647" s="25" t="str">
        <f>IF(Calcs!E647=0,"None",CONCATENATE(ROUND(Calcs!E647,0)," ",VLOOKUP(B647,AmmoTypeFactors,6,FALSE)))</f>
        <v>None</v>
      </c>
      <c r="J647">
        <f>MROUND(2.42*'Ammo Input'!M647^(1/3)*VLOOKUP(B647,AmmoTypeFactors,3,FALSE),0.5)</f>
        <v>2.5</v>
      </c>
      <c r="K647" s="25" t="str">
        <f>IF(VLOOKUP(B647,AmmoTypeFactors,12,FALSE),MROUND(J647/3,0.5),"None")</f>
        <v>None</v>
      </c>
      <c r="L647" s="25" t="str">
        <f>IF(VLOOKUP(B647,AmmoTypeFactors,8,FALSE),"None",ROUNDUP(IF(Calcs!I647&gt;0,Calcs!I647,Calcs!H647),3))</f>
        <v>None</v>
      </c>
      <c r="M647" s="25" t="str">
        <f>IF(VLOOKUP(B647,AmmoTypeFactors,8,FALSE),"None",'Ammo Input'!L647)</f>
        <v>None</v>
      </c>
      <c r="N647">
        <f>'Ammo Input'!O647</f>
        <v>5</v>
      </c>
      <c r="O647" t="e">
        <f>ROUND((P647*0.0036+SUMPRODUCT(Q647:AB647,VLOOKUP($Q$1:$AB$1,IngredientStats,2,FALSE)))/N647*IF('Ammo Input'!R647,0.5,1),2)</f>
        <v>#VALUE!</v>
      </c>
      <c r="P647" t="e">
        <f>(SUMPRODUCT(Q647:AB647,VLOOKUP($Q$1:$AB$1,IngredientStats,4,FALSE))*VLOOKUP(B647,AmmoTypeFactors,14,FALSE)*IF('Ammo Input'!R647,1.1,1))</f>
        <v>#VALUE!</v>
      </c>
      <c r="Q647">
        <f>IFERROR(__xludf.DUMMYFUNCTION("((IF(NOT(OR(REGEXMATCH(B643, ""Arrow""), B643 = ""Javelin"", B643 = ""Stick bomb"")), ROUNDUP(('Ammo Input'!E643 / 1000) * N643)) + IF(VLOOKUP(B643, AmmoTypeFactors, 9, FALSE) = ""Steel"", ROUNDUP(('Ammo Input'!H643 -'Ammo Input'!M643) * MAX(IF('Ammo Inpu"&amp;"t'!J643 &gt; 0, 'Ammo Input'!J643, 1), 1) * N643 / 1000))) / 'Ingredient stats'!$C$2) * IF(ISBLANK(VLOOKUP(B643,AmmoTypeFactors,15,False)),1,VLOOKUP(B643,AmmoTypeFactors,15,False))"),54)</f>
        <v>54</v>
      </c>
      <c r="R647">
        <f>IFERROR(__xludf.DUMMYFUNCTION("ROUNDUP((IF(REGEXMATCH(B643, ""Arrow"") + (B643 = ""Javelin""), 'Ammo Input'!E643) + IF(VLOOKUP(B643, AmmoTypeFactors, 9, FALSE) = ""Wood"", 'Ammo Input'!H643) + IF(B643 = ""Stick bomb"", 'Ammo Input'!E643)) * N643 / 'Ingredient stats'!$C$12 / 1000)"),0)</f>
        <v>0</v>
      </c>
      <c r="S647">
        <v>0</v>
      </c>
      <c r="T647">
        <v>0</v>
      </c>
      <c r="U647">
        <f>IF(VLOOKUP(B647,AmmoTypeFactors,9,FALSE)="Plasteel",ROUNDUP(('Ammo Input'!H647*MAX(IF('Ammo Input'!J647&gt;0,'Ammo Input'!J647,1)*N647/1000/'Ingredient stats'!$C$4)),0),0)</f>
        <v>0</v>
      </c>
      <c r="V647">
        <f>IFERROR(__xludf.DUMMYFUNCTION("ROUNDUP(IF(ISBLANK(VLOOKUP(B643,AmmoTypeFactors,16,False)),1,VLOOKUP(B643,AmmoTypeFactors,16,False)) * (IFS(REGEXMATCH(B643, ""EMP""), 'Ammo Input'!M643 * N643 / 'Ingredient stats'!$C$5, REGEXMATCH(B643, ""Charge""), (U643^0.75), true, 0) + (IF(VLOOKUP(B6"&amp;"43, AmmoTypeFactors, 10, false), 2,0) + IF('Ammo Input'!P643, 2,0) + IF('Ammo Input'!Q643,MIN(ROUNDUP(0.2*('Ammo Input'!H643/1000)*'Ammo Input'!O643,0),20),0))))"),2)</f>
        <v>2</v>
      </c>
      <c r="W647">
        <v>0</v>
      </c>
      <c r="X647">
        <v>10</v>
      </c>
      <c r="Y647">
        <v>0</v>
      </c>
      <c r="Z647">
        <v>0</v>
      </c>
      <c r="AA647">
        <v>0</v>
      </c>
      <c r="AB647" s="30">
        <f>IF(B647="Sling Bullet (Stone)",ROUNDUP(D647*0.02*E647/'Ingredient stats'!$C$8,0),0)</f>
        <v>0</v>
      </c>
      <c r="AC647" t="str">
        <f t="shared" si="28"/>
        <v>None</v>
      </c>
      <c r="AD647" t="str">
        <f>IF(OR(B647="Buck",B647="Bird",B647="Charge (Scatter)"),'Ammo Input'!J647,"None")</f>
        <v>None</v>
      </c>
      <c r="AE647">
        <f>_xlfn.IFS(ISTEXT(Calcs!N647),Calcs!N647,Calcs!N647&lt;=40,Calcs!N647,Calcs!N647&gt;41,"40")</f>
        <v>16</v>
      </c>
      <c r="AF647">
        <f>_xlfn.IFS(ISTEXT(Calcs!O647),Calcs!O647,Calcs!O647&lt;=80,Calcs!O647,Calcs!O647&gt;=81,"80")</f>
        <v>25</v>
      </c>
      <c r="AG647" s="25">
        <f t="shared" si="29"/>
        <v>3</v>
      </c>
      <c r="AH647" s="25" t="str">
        <f t="shared" si="30"/>
        <v>-</v>
      </c>
      <c r="AI647" s="25">
        <f t="shared" si="31"/>
        <v>2</v>
      </c>
    </row>
    <row r="648" ht="14.4" spans="1:35">
      <c r="A648" s="24" t="str">
        <f>'Ammo Input'!A648</f>
        <v>81mm Mortar</v>
      </c>
      <c r="B648" t="str">
        <f>'Ammo Input'!B648</f>
        <v>Airburst</v>
      </c>
      <c r="C648">
        <f>ROUNDUP(('Ammo Input'!C648*(MAX('Ammo Input'!D648,'Ammo Input'!F648)*0.5)^2*PI())*3/1000000,2)</f>
        <v>8.17</v>
      </c>
      <c r="D648">
        <f>ROUNDUP(('Ammo Input'!E648+'Ammo Input'!H648*IF('Ammo Input'!J648&lt;&gt;"",MAX('Ammo Input'!J648,1),1))/1000,3)</f>
        <v>5.27</v>
      </c>
      <c r="E648">
        <f>MIN(5000,MAX(25,CEILING(Calcs!L648,_xlfn.IFS(Calcs!L648&lt;100,25,Calcs!L648&lt;250,50,Calcs!L648&lt;1000,250,Calcs!L648&gt;=1000,1000))))</f>
        <v>25</v>
      </c>
      <c r="F648">
        <f>ROUNDUP('Ammo Input'!G648^(3/4),0)</f>
        <v>0</v>
      </c>
      <c r="G648">
        <f>ROUND((0.5*((IF(OR(B648="HEAT",B648="HEDP"),'Ammo Input'!N648,'Ammo Input'!H648)/1000)*(IF(B648="HEAT",9000,IF(B648="HEDP",1500,'Ammo Input'!G648))^2))),0)</f>
        <v>0</v>
      </c>
      <c r="H648" s="25" t="str">
        <f>CONCATENATE(IF((B648="Foam")+(B648="Smoke"),"-",ROUND(Calcs!D648,0))," ",VLOOKUP(B648,AmmoTypeFactors,5,FALSE))</f>
        <v>156 Bomb</v>
      </c>
      <c r="I648" s="25" t="str">
        <f>IF(Calcs!E648=0,"None",CONCATENATE(ROUND(Calcs!E648,0)," ",VLOOKUP(B648,AmmoTypeFactors,6,FALSE)))</f>
        <v>None</v>
      </c>
      <c r="J648">
        <f>MROUND(2.42*'Ammo Input'!M648^(1/3)*VLOOKUP(B648,AmmoTypeFactors,3,FALSE),0.5)</f>
        <v>2.5</v>
      </c>
      <c r="K648" s="25" t="str">
        <f>IF(VLOOKUP(B648,AmmoTypeFactors,12,FALSE),MROUND(J648/3,0.5),"None")</f>
        <v>None</v>
      </c>
      <c r="L648" s="25" t="str">
        <f>IF(VLOOKUP(B648,AmmoTypeFactors,8,FALSE),"None",ROUNDUP(IF(Calcs!I648&gt;0,Calcs!I648,Calcs!H648),3))</f>
        <v>None</v>
      </c>
      <c r="M648" s="25" t="str">
        <f>IF(VLOOKUP(B648,AmmoTypeFactors,8,FALSE),"None",'Ammo Input'!L648)</f>
        <v>None</v>
      </c>
      <c r="N648">
        <f>'Ammo Input'!O648</f>
        <v>5</v>
      </c>
      <c r="O648" t="e">
        <f>ROUND((P648*0.0036+SUMPRODUCT(Q648:AB648,VLOOKUP($Q$1:$AB$1,IngredientStats,2,FALSE)))/N648*IF('Ammo Input'!R648,0.5,1),2)</f>
        <v>#VALUE!</v>
      </c>
      <c r="P648" t="e">
        <f>(SUMPRODUCT(Q648:AB648,VLOOKUP($Q$1:$AB$1,IngredientStats,4,FALSE))*VLOOKUP(B648,AmmoTypeFactors,14,FALSE)*IF('Ammo Input'!R648,1.1,1))</f>
        <v>#VALUE!</v>
      </c>
      <c r="Q648">
        <f>IFERROR(__xludf.DUMMYFUNCTION("((IF(NOT(OR(REGEXMATCH(B644, ""Arrow""), B644 = ""Javelin"", B644 = ""Stick bomb"")), ROUNDUP(('Ammo Input'!E644 / 1000) * N644)) + IF(VLOOKUP(B644, AmmoTypeFactors, 9, FALSE) = ""Steel"", ROUNDUP(('Ammo Input'!H644 -'Ammo Input'!M644) * MAX(IF('Ammo Inpu"&amp;"t'!J644 &gt; 0, 'Ammo Input'!J644, 1), 1) * N644 / 1000))) / 'Ingredient stats'!$C$2) * IF(ISBLANK(VLOOKUP(B644,AmmoTypeFactors,15,False)),1,VLOOKUP(B644,AmmoTypeFactors,15,False))"),54)</f>
        <v>54</v>
      </c>
      <c r="R648">
        <f>IFERROR(__xludf.DUMMYFUNCTION("ROUNDUP((IF(REGEXMATCH(B644, ""Arrow"") + (B644 = ""Javelin""), 'Ammo Input'!E644) + IF(VLOOKUP(B644, AmmoTypeFactors, 9, FALSE) = ""Wood"", 'Ammo Input'!H644) + IF(B644 = ""Stick bomb"", 'Ammo Input'!E644)) * N644 / 'Ingredient stats'!$C$12 / 1000)"),0)</f>
        <v>0</v>
      </c>
      <c r="S648">
        <v>0</v>
      </c>
      <c r="T648">
        <v>0</v>
      </c>
      <c r="U648">
        <f>IF(VLOOKUP(B648,AmmoTypeFactors,9,FALSE)="Plasteel",ROUNDUP(('Ammo Input'!H648*MAX(IF('Ammo Input'!J648&gt;0,'Ammo Input'!J648,1)*N648/1000/'Ingredient stats'!$C$4)),0),0)</f>
        <v>0</v>
      </c>
      <c r="V648">
        <f>IFERROR(__xludf.DUMMYFUNCTION("ROUNDUP(IF(ISBLANK(VLOOKUP(B644,AmmoTypeFactors,16,False)),1,VLOOKUP(B644,AmmoTypeFactors,16,False)) * (IFS(REGEXMATCH(B644, ""EMP""), 'Ammo Input'!M644 * N644 / 'Ingredient stats'!$C$5, REGEXMATCH(B644, ""Charge""), (U644^0.75), true, 0) + (IF(VLOOKUP(B6"&amp;"44, AmmoTypeFactors, 10, false), 2,0) + IF('Ammo Input'!P644, 2,0) + IF('Ammo Input'!Q644,MIN(ROUNDUP(0.2*('Ammo Input'!H644/1000)*'Ammo Input'!O644,0),20),0))))"),4)</f>
        <v>4</v>
      </c>
      <c r="W648">
        <v>0</v>
      </c>
      <c r="X648">
        <v>10</v>
      </c>
      <c r="Y648">
        <v>0</v>
      </c>
      <c r="Z648">
        <v>0</v>
      </c>
      <c r="AA648">
        <v>0</v>
      </c>
      <c r="AB648" s="30">
        <f>IF(B648="Sling Bullet (Stone)",ROUNDUP(D648*0.02*E648/'Ingredient stats'!$C$8,0),0)</f>
        <v>0</v>
      </c>
      <c r="AC648" t="str">
        <f t="shared" si="28"/>
        <v>None</v>
      </c>
      <c r="AD648" t="str">
        <f>IF(OR(B648="Buck",B648="Bird",B648="Charge (Scatter)"),'Ammo Input'!J648,"None")</f>
        <v>None</v>
      </c>
      <c r="AE648">
        <f>_xlfn.IFS(ISTEXT(Calcs!N648),Calcs!N648,Calcs!N648&lt;=40,Calcs!N648,Calcs!N648&gt;41,"40")</f>
        <v>23</v>
      </c>
      <c r="AF648">
        <f>_xlfn.IFS(ISTEXT(Calcs!O648),Calcs!O648,Calcs!O648&lt;=80,Calcs!O648,Calcs!O648&gt;=81,"80")</f>
        <v>38</v>
      </c>
      <c r="AG648" s="25">
        <f t="shared" si="29"/>
        <v>3</v>
      </c>
      <c r="AH648" s="25" t="str">
        <f t="shared" si="30"/>
        <v>-</v>
      </c>
      <c r="AI648" s="25">
        <f t="shared" si="31"/>
        <v>2</v>
      </c>
    </row>
    <row r="649" ht="14.4" spans="1:35">
      <c r="A649" s="24" t="str">
        <f>'Ammo Input'!A649</f>
        <v>81mm Mortar</v>
      </c>
      <c r="B649" t="str">
        <f>'Ammo Input'!B649</f>
        <v>Incendiary</v>
      </c>
      <c r="C649">
        <f>ROUNDUP(('Ammo Input'!C649*(MAX('Ammo Input'!D649,'Ammo Input'!F649)*0.5)^2*PI())*3/1000000,2)</f>
        <v>9</v>
      </c>
      <c r="D649">
        <f>ROUNDUP(('Ammo Input'!E649+'Ammo Input'!H649*IF('Ammo Input'!J649&lt;&gt;"",MAX('Ammo Input'!J649,1),1))/1000,3)</f>
        <v>5.65</v>
      </c>
      <c r="E649">
        <f>MIN(5000,MAX(25,CEILING(Calcs!L649,_xlfn.IFS(Calcs!L649&lt;100,25,Calcs!L649&lt;250,50,Calcs!L649&lt;1000,250,Calcs!L649&gt;=1000,1000))))</f>
        <v>25</v>
      </c>
      <c r="F649">
        <f>ROUNDUP('Ammo Input'!G649^(3/4),0)</f>
        <v>0</v>
      </c>
      <c r="G649">
        <f>ROUND((0.5*((IF(OR(B649="HEAT",B649="HEDP"),'Ammo Input'!N649,'Ammo Input'!H649)/1000)*(IF(B649="HEAT",9000,IF(B649="HEDP",1500,'Ammo Input'!G649))^2))),0)</f>
        <v>0</v>
      </c>
      <c r="H649" s="25" t="str">
        <f>CONCATENATE(IF((B649="Foam")+(B649="Smoke"),"-",ROUND(Calcs!D649,0))," ",VLOOKUP(B649,AmmoTypeFactors,5,FALSE))</f>
        <v>11 Flame</v>
      </c>
      <c r="I649" s="25" t="str">
        <f>IF(Calcs!E649=0,"None",CONCATENATE(ROUND(Calcs!E649,0)," ",VLOOKUP(B649,AmmoTypeFactors,6,FALSE)))</f>
        <v>None</v>
      </c>
      <c r="J649">
        <f>MROUND(2.42*'Ammo Input'!M649^(1/3)*VLOOKUP(B649,AmmoTypeFactors,3,FALSE),0.5)</f>
        <v>6.5</v>
      </c>
      <c r="K649" s="25" t="str">
        <f>IF(VLOOKUP(B649,AmmoTypeFactors,12,FALSE),MROUND(J649/3,0.5),"None")</f>
        <v>None</v>
      </c>
      <c r="L649" s="25" t="str">
        <f>IF(VLOOKUP(B649,AmmoTypeFactors,8,FALSE),"None",ROUNDUP(IF(Calcs!I649&gt;0,Calcs!I649,Calcs!H649),3))</f>
        <v>None</v>
      </c>
      <c r="M649" s="25" t="str">
        <f>IF(VLOOKUP(B649,AmmoTypeFactors,8,FALSE),"None",'Ammo Input'!L649)</f>
        <v>None</v>
      </c>
      <c r="N649">
        <f>'Ammo Input'!O649</f>
        <v>5</v>
      </c>
      <c r="O649" t="e">
        <f>ROUND((P649*0.0036+SUMPRODUCT(Q649:AB649,VLOOKUP($Q$1:$AB$1,IngredientStats,2,FALSE)))/N649*IF('Ammo Input'!R649,0.5,1),2)</f>
        <v>#VALUE!</v>
      </c>
      <c r="P649" t="e">
        <f>(SUMPRODUCT(Q649:AB649,VLOOKUP($Q$1:$AB$1,IngredientStats,4,FALSE))*VLOOKUP(B649,AmmoTypeFactors,14,FALSE)*IF('Ammo Input'!R649,1.1,1))</f>
        <v>#VALUE!</v>
      </c>
      <c r="Q649">
        <f>IFERROR(__xludf.DUMMYFUNCTION("((IF(NOT(OR(REGEXMATCH(B645, ""Arrow""), B645 = ""Javelin"", B645 = ""Stick bomb"")), ROUNDUP(('Ammo Input'!E645 / 1000) * N645)) + IF(VLOOKUP(B645, AmmoTypeFactors, 9, FALSE) = ""Steel"", ROUNDUP(('Ammo Input'!H645 -'Ammo Input'!M645) * MAX(IF('Ammo Inpu"&amp;"t'!J645 &gt; 0, 'Ammo Input'!J645, 1), 1) * N645 / 1000))) / 'Ingredient stats'!$C$2) * IF(ISBLANK(VLOOKUP(B645,AmmoTypeFactors,15,False)),1,VLOOKUP(B645,AmmoTypeFactors,15,False))"),58)</f>
        <v>58</v>
      </c>
      <c r="R649">
        <f>IFERROR(__xludf.DUMMYFUNCTION("ROUNDUP((IF(REGEXMATCH(B645, ""Arrow"") + (B645 = ""Javelin""), 'Ammo Input'!E645) + IF(VLOOKUP(B645, AmmoTypeFactors, 9, FALSE) = ""Wood"", 'Ammo Input'!H645) + IF(B645 = ""Stick bomb"", 'Ammo Input'!E645)) * N645 / 'Ingredient stats'!$C$12 / 1000)"),0)</f>
        <v>0</v>
      </c>
      <c r="S649">
        <v>0</v>
      </c>
      <c r="T649">
        <v>0</v>
      </c>
      <c r="U649">
        <f>IF(VLOOKUP(B649,AmmoTypeFactors,9,FALSE)="Plasteel",ROUNDUP(('Ammo Input'!H649*MAX(IF('Ammo Input'!J649&gt;0,'Ammo Input'!J649,1)*N649/1000/'Ingredient stats'!$C$4)),0),0)</f>
        <v>0</v>
      </c>
      <c r="V649">
        <f>IFERROR(__xludf.DUMMYFUNCTION("ROUNDUP(IF(ISBLANK(VLOOKUP(B645,AmmoTypeFactors,16,False)),1,VLOOKUP(B645,AmmoTypeFactors,16,False)) * (IFS(REGEXMATCH(B645, ""EMP""), 'Ammo Input'!M645 * N645 / 'Ingredient stats'!$C$5, REGEXMATCH(B645, ""Charge""), (U645^0.75), true, 0) + (IF(VLOOKUP(B6"&amp;"45, AmmoTypeFactors, 10, false), 2,0) + IF('Ammo Input'!P645, 2,0) + IF('Ammo Input'!Q645,MIN(ROUNDUP(0.2*('Ammo Input'!H645/1000)*'Ammo Input'!O645,0),20),0))))"),2)</f>
        <v>2</v>
      </c>
      <c r="W649">
        <v>4</v>
      </c>
      <c r="X649">
        <v>0</v>
      </c>
      <c r="Y649">
        <v>0</v>
      </c>
      <c r="Z649">
        <v>0</v>
      </c>
      <c r="AA649">
        <v>0</v>
      </c>
      <c r="AB649" s="30">
        <f>IF(B649="Sling Bullet (Stone)",ROUNDUP(D649*0.02*E649/'Ingredient stats'!$C$8,0),0)</f>
        <v>0</v>
      </c>
      <c r="AC649" t="str">
        <f t="shared" si="28"/>
        <v>None</v>
      </c>
      <c r="AD649" t="str">
        <f>IF(OR(B649="Buck",B649="Bird",B649="Charge (Scatter)"),'Ammo Input'!J649,"None")</f>
        <v>None</v>
      </c>
      <c r="AE649" t="str">
        <f>_xlfn.IFS(ISTEXT(Calcs!N649),Calcs!N649,Calcs!N649&lt;=40,Calcs!N649,Calcs!N649&gt;41,"40")</f>
        <v>None</v>
      </c>
      <c r="AF649" t="str">
        <f>_xlfn.IFS(ISTEXT(Calcs!O649),Calcs!O649,Calcs!O649&lt;=80,Calcs!O649,Calcs!O649&gt;=81,"80")</f>
        <v>None</v>
      </c>
      <c r="AG649" s="25">
        <f t="shared" si="29"/>
        <v>3</v>
      </c>
      <c r="AH649" s="25" t="str">
        <f t="shared" si="30"/>
        <v>-</v>
      </c>
      <c r="AI649" s="25">
        <f t="shared" si="31"/>
        <v>2</v>
      </c>
    </row>
    <row r="650" ht="14.4" spans="1:35">
      <c r="A650" s="24" t="str">
        <f>'Ammo Input'!A650</f>
        <v>81mm Mortar</v>
      </c>
      <c r="B650" t="str">
        <f>'Ammo Input'!B650</f>
        <v>EMP</v>
      </c>
      <c r="C650">
        <f>ROUNDUP(('Ammo Input'!C650*(MAX('Ammo Input'!D650,'Ammo Input'!F650)*0.5)^2*PI())*3/1000000,2)</f>
        <v>8.17</v>
      </c>
      <c r="D650">
        <f>ROUNDUP(('Ammo Input'!E650+'Ammo Input'!H650*IF('Ammo Input'!J650&lt;&gt;"",MAX('Ammo Input'!J650,1),1))/1000,3)</f>
        <v>5.27</v>
      </c>
      <c r="E650">
        <f>MIN(5000,MAX(25,CEILING(Calcs!L650,_xlfn.IFS(Calcs!L650&lt;100,25,Calcs!L650&lt;250,50,Calcs!L650&lt;1000,250,Calcs!L650&gt;=1000,1000))))</f>
        <v>25</v>
      </c>
      <c r="F650">
        <f>ROUNDUP('Ammo Input'!G650^(3/4),0)</f>
        <v>0</v>
      </c>
      <c r="G650">
        <f>ROUND((0.5*((IF(OR(B650="HEAT",B650="HEDP"),'Ammo Input'!N650,'Ammo Input'!H650)/1000)*(IF(B650="HEAT",9000,IF(B650="HEDP",1500,'Ammo Input'!G650))^2))),0)</f>
        <v>0</v>
      </c>
      <c r="H650" s="25" t="str">
        <f>CONCATENATE(IF((B650="Foam")+(B650="Smoke"),"-",ROUND(Calcs!D650,0))," ",VLOOKUP(B650,AmmoTypeFactors,5,FALSE))</f>
        <v>156 EMP</v>
      </c>
      <c r="I650" s="25" t="str">
        <f>IF(Calcs!E650=0,"None",CONCATENATE(ROUND(Calcs!E650,0)," ",VLOOKUP(B650,AmmoTypeFactors,6,FALSE)))</f>
        <v>None</v>
      </c>
      <c r="J650">
        <f>MROUND(2.42*'Ammo Input'!M650^(1/3)*VLOOKUP(B650,AmmoTypeFactors,3,FALSE),0.5)</f>
        <v>5.5</v>
      </c>
      <c r="K650" s="25" t="str">
        <f>IF(VLOOKUP(B650,AmmoTypeFactors,12,FALSE),MROUND(J650/3,0.5),"None")</f>
        <v>None</v>
      </c>
      <c r="L650" s="25" t="str">
        <f>IF(VLOOKUP(B650,AmmoTypeFactors,8,FALSE),"None",ROUNDUP(IF(Calcs!I650&gt;0,Calcs!I650,Calcs!H650),3))</f>
        <v>None</v>
      </c>
      <c r="M650" s="25" t="str">
        <f>IF(VLOOKUP(B650,AmmoTypeFactors,8,FALSE),"None",'Ammo Input'!L650)</f>
        <v>None</v>
      </c>
      <c r="N650">
        <f>'Ammo Input'!O650</f>
        <v>5</v>
      </c>
      <c r="O650" t="e">
        <f>ROUND((P650*0.0036+SUMPRODUCT(Q650:AB650,VLOOKUP($Q$1:$AB$1,IngredientStats,2,FALSE)))/N650*IF('Ammo Input'!R650,0.5,1),2)</f>
        <v>#VALUE!</v>
      </c>
      <c r="P650" t="e">
        <f>(SUMPRODUCT(Q650:AB650,VLOOKUP($Q$1:$AB$1,IngredientStats,4,FALSE))*VLOOKUP(B650,AmmoTypeFactors,14,FALSE)*IF('Ammo Input'!R650,1.1,1))</f>
        <v>#VALUE!</v>
      </c>
      <c r="Q650">
        <f>IFERROR(__xludf.DUMMYFUNCTION("((IF(NOT(OR(REGEXMATCH(B646, ""Arrow""), B646 = ""Javelin"", B646 = ""Stick bomb"")), ROUNDUP(('Ammo Input'!E646 / 1000) * N646)) + IF(VLOOKUP(B646, AmmoTypeFactors, 9, FALSE) = ""Steel"", ROUNDUP(('Ammo Input'!H646 -'Ammo Input'!M646) * MAX(IF('Ammo Inpu"&amp;"t'!J646 &gt; 0, 'Ammo Input'!J646, 1), 1) * N646 / 1000))) / 'Ingredient stats'!$C$2) * IF(ISBLANK(VLOOKUP(B646,AmmoTypeFactors,15,False)),1,VLOOKUP(B646,AmmoTypeFactors,15,False))"),54)</f>
        <v>54</v>
      </c>
      <c r="R650">
        <f>IFERROR(__xludf.DUMMYFUNCTION("ROUNDUP((IF(REGEXMATCH(B646, ""Arrow"") + (B646 = ""Javelin""), 'Ammo Input'!E646) + IF(VLOOKUP(B646, AmmoTypeFactors, 9, FALSE) = ""Wood"", 'Ammo Input'!H646) + IF(B646 = ""Stick bomb"", 'Ammo Input'!E646)) * N646 / 'Ingredient stats'!$C$12 / 1000)"),0)</f>
        <v>0</v>
      </c>
      <c r="S650">
        <v>0</v>
      </c>
      <c r="T650">
        <v>0</v>
      </c>
      <c r="U650">
        <f>IF(VLOOKUP(B650,AmmoTypeFactors,9,FALSE)="Plasteel",ROUNDUP(('Ammo Input'!H650*MAX(IF('Ammo Input'!J650&gt;0,'Ammo Input'!J650,1)*N650/1000/'Ingredient stats'!$C$4)),0),0)</f>
        <v>0</v>
      </c>
      <c r="V650">
        <f>IFERROR(__xludf.DUMMYFUNCTION("ROUNDUP(IF(ISBLANK(VLOOKUP(B646,AmmoTypeFactors,16,False)),1,VLOOKUP(B646,AmmoTypeFactors,16,False)) * (IFS(REGEXMATCH(B646, ""EMP""), 'Ammo Input'!M646 * N646 / 'Ingredient stats'!$C$5, REGEXMATCH(B646, ""Charge""), (U646^0.75), true, 0) + (IF(VLOOKUP(B6"&amp;"46, AmmoTypeFactors, 10, false), 2,0) + IF('Ammo Input'!P646, 2,0) + IF('Ammo Input'!Q646,MIN(ROUNDUP(0.2*('Ammo Input'!H646/1000)*'Ammo Input'!O646,0),20),0))))"),14)</f>
        <v>14</v>
      </c>
      <c r="W650">
        <v>0</v>
      </c>
      <c r="X650">
        <v>0</v>
      </c>
      <c r="Y650">
        <v>0</v>
      </c>
      <c r="Z650">
        <v>0</v>
      </c>
      <c r="AA650">
        <v>0</v>
      </c>
      <c r="AB650" s="30">
        <f>IF(B650="Sling Bullet (Stone)",ROUNDUP(D650*0.02*E650/'Ingredient stats'!$C$8,0),0)</f>
        <v>0</v>
      </c>
      <c r="AC650" t="str">
        <f t="shared" si="28"/>
        <v>None</v>
      </c>
      <c r="AD650" t="str">
        <f>IF(OR(B650="Buck",B650="Bird",B650="Charge (Scatter)"),'Ammo Input'!J650,"None")</f>
        <v>None</v>
      </c>
      <c r="AE650" t="str">
        <f>_xlfn.IFS(ISTEXT(Calcs!N650),Calcs!N650,Calcs!N650&lt;=40,Calcs!N650,Calcs!N650&gt;41,"40")</f>
        <v>None</v>
      </c>
      <c r="AF650" t="str">
        <f>_xlfn.IFS(ISTEXT(Calcs!O650),Calcs!O650,Calcs!O650&lt;=80,Calcs!O650,Calcs!O650&gt;=81,"80")</f>
        <v>None</v>
      </c>
      <c r="AG650" s="25">
        <f t="shared" si="29"/>
        <v>3</v>
      </c>
      <c r="AH650" s="25" t="str">
        <f t="shared" si="30"/>
        <v>-</v>
      </c>
      <c r="AI650" s="25">
        <f t="shared" si="31"/>
        <v>2</v>
      </c>
    </row>
    <row r="651" ht="14.4" spans="1:35">
      <c r="A651" s="24" t="str">
        <f>'Ammo Input'!A651</f>
        <v>81mm Mortar</v>
      </c>
      <c r="B651" t="str">
        <f>'Ammo Input'!B651</f>
        <v>Foam</v>
      </c>
      <c r="C651">
        <f>ROUNDUP(('Ammo Input'!C651*(MAX('Ammo Input'!D651,'Ammo Input'!F651)*0.5)^2*PI())*3/1000000,2)</f>
        <v>10.01</v>
      </c>
      <c r="D651">
        <f>ROUNDUP(('Ammo Input'!E651+'Ammo Input'!H651*IF('Ammo Input'!J651&lt;&gt;"",MAX('Ammo Input'!J651,1),1))/1000,3)</f>
        <v>4.1</v>
      </c>
      <c r="E651">
        <f>MIN(5000,MAX(25,CEILING(Calcs!L651,_xlfn.IFS(Calcs!L651&lt;100,25,Calcs!L651&lt;250,50,Calcs!L651&lt;1000,250,Calcs!L651&gt;=1000,1000))))</f>
        <v>25</v>
      </c>
      <c r="F651">
        <f>ROUNDUP('Ammo Input'!G651^(3/4),0)</f>
        <v>0</v>
      </c>
      <c r="G651">
        <f>ROUND((0.5*((IF(OR(B651="HEAT",B651="HEDP"),'Ammo Input'!N651,'Ammo Input'!H651)/1000)*(IF(B651="HEAT",9000,IF(B651="HEDP",1500,'Ammo Input'!G651))^2))),0)</f>
        <v>0</v>
      </c>
      <c r="H651" s="25" t="str">
        <f>CONCATENATE(IF((B651="Foam")+(B651="Smoke"),"-",ROUND(Calcs!D651,0))," ",VLOOKUP(B651,AmmoTypeFactors,5,FALSE))</f>
        <v>- Extinguish</v>
      </c>
      <c r="I651" s="25" t="str">
        <f>IF(Calcs!E651=0,"None",CONCATENATE(ROUND(Calcs!E651,0)," ",VLOOKUP(B651,AmmoTypeFactors,6,FALSE)))</f>
        <v>None</v>
      </c>
      <c r="J651">
        <f>MROUND(2.42*'Ammo Input'!M651^(1/3)*VLOOKUP(B651,AmmoTypeFactors,3,FALSE),0.5)</f>
        <v>5</v>
      </c>
      <c r="K651" s="25" t="str">
        <f>IF(VLOOKUP(B651,AmmoTypeFactors,12,FALSE),MROUND(J651/3,0.5),"None")</f>
        <v>None</v>
      </c>
      <c r="L651" s="25" t="str">
        <f>IF(VLOOKUP(B651,AmmoTypeFactors,8,FALSE),"None",ROUNDUP(IF(Calcs!I651&gt;0,Calcs!I651,Calcs!H651),3))</f>
        <v>None</v>
      </c>
      <c r="M651" s="25" t="str">
        <f>IF(VLOOKUP(B651,AmmoTypeFactors,8,FALSE),"None",'Ammo Input'!L651)</f>
        <v>None</v>
      </c>
      <c r="N651">
        <f>'Ammo Input'!O651</f>
        <v>5</v>
      </c>
      <c r="O651" t="e">
        <f>ROUND((P651*0.0036+SUMPRODUCT(Q651:AB651,VLOOKUP($Q$1:$AB$1,IngredientStats,2,FALSE)))/N651*IF('Ammo Input'!R651,0.5,1),2)</f>
        <v>#VALUE!</v>
      </c>
      <c r="P651" t="e">
        <f>(SUMPRODUCT(Q651:AB651,VLOOKUP($Q$1:$AB$1,IngredientStats,4,FALSE))*VLOOKUP(B651,AmmoTypeFactors,14,FALSE)*IF('Ammo Input'!R651,1.1,1))</f>
        <v>#VALUE!</v>
      </c>
      <c r="Q651">
        <f>IFERROR(__xludf.DUMMYFUNCTION("((IF(NOT(OR(REGEXMATCH(B647, ""Arrow""), B647 = ""Javelin"", B647 = ""Stick bomb"")), ROUNDUP(('Ammo Input'!E647 / 1000) * N647)) + IF(VLOOKUP(B647, AmmoTypeFactors, 9, FALSE) = ""Steel"", ROUNDUP(('Ammo Input'!H647 -'Ammo Input'!M647) * MAX(IF('Ammo Inpu"&amp;"t'!J647 &gt; 0, 'Ammo Input'!J647, 1), 1) * N647 / 1000))) / 'Ingredient stats'!$C$2) * IF(ISBLANK(VLOOKUP(B647,AmmoTypeFactors,15,False)),1,VLOOKUP(B647,AmmoTypeFactors,15,False))"),42)</f>
        <v>42</v>
      </c>
      <c r="R651">
        <f>IFERROR(__xludf.DUMMYFUNCTION("ROUNDUP((IF(REGEXMATCH(B647, ""Arrow"") + (B647 = ""Javelin""), 'Ammo Input'!E647) + IF(VLOOKUP(B647, AmmoTypeFactors, 9, FALSE) = ""Wood"", 'Ammo Input'!H647) + IF(B647 = ""Stick bomb"", 'Ammo Input'!E647)) * N647 / 'Ingredient stats'!$C$12 / 1000)"),0)</f>
        <v>0</v>
      </c>
      <c r="S651">
        <v>0</v>
      </c>
      <c r="T651">
        <v>0</v>
      </c>
      <c r="U651">
        <f>IF(VLOOKUP(B651,AmmoTypeFactors,9,FALSE)="Plasteel",ROUNDUP(('Ammo Input'!H651*MAX(IF('Ammo Input'!J651&gt;0,'Ammo Input'!J651,1)*N651/1000/'Ingredient stats'!$C$4)),0),0)</f>
        <v>0</v>
      </c>
      <c r="V651">
        <f>IFERROR(__xludf.DUMMYFUNCTION("ROUNDUP(IF(ISBLANK(VLOOKUP(B647,AmmoTypeFactors,16,False)),1,VLOOKUP(B647,AmmoTypeFactors,16,False)) * (IFS(REGEXMATCH(B647, ""EMP""), 'Ammo Input'!M647 * N647 / 'Ingredient stats'!$C$5, REGEXMATCH(B647, ""Charge""), (U647^0.75), true, 0) + (IF(VLOOKUP(B6"&amp;"47, AmmoTypeFactors, 10, false), 2,0) + IF('Ammo Input'!P647, 2,0) + IF('Ammo Input'!Q647,MIN(ROUNDUP(0.2*('Ammo Input'!H647/1000)*'Ammo Input'!O647,0),20),0))))"),2)</f>
        <v>2</v>
      </c>
      <c r="W651">
        <v>0</v>
      </c>
      <c r="X651">
        <v>0</v>
      </c>
      <c r="Y651">
        <v>17</v>
      </c>
      <c r="Z651">
        <v>0</v>
      </c>
      <c r="AA651">
        <v>0</v>
      </c>
      <c r="AB651" s="30">
        <f>IF(B651="Sling Bullet (Stone)",ROUNDUP(D651*0.02*E651/'Ingredient stats'!$C$8,0),0)</f>
        <v>0</v>
      </c>
      <c r="AC651" t="str">
        <f t="shared" si="28"/>
        <v>None</v>
      </c>
      <c r="AD651" t="str">
        <f>IF(OR(B651="Buck",B651="Bird",B651="Charge (Scatter)"),'Ammo Input'!J651,"None")</f>
        <v>None</v>
      </c>
      <c r="AE651" t="str">
        <f>_xlfn.IFS(ISTEXT(Calcs!N651),Calcs!N651,Calcs!N651&lt;=40,Calcs!N651,Calcs!N651&gt;41,"40")</f>
        <v>None</v>
      </c>
      <c r="AF651" t="str">
        <f>_xlfn.IFS(ISTEXT(Calcs!O651),Calcs!O651,Calcs!O651&lt;=80,Calcs!O651,Calcs!O651&gt;=81,"80")</f>
        <v>None</v>
      </c>
      <c r="AG651" s="25">
        <f t="shared" si="29"/>
        <v>0</v>
      </c>
      <c r="AH651" s="25" t="str">
        <f t="shared" si="30"/>
        <v>-</v>
      </c>
      <c r="AI651" s="25">
        <f t="shared" si="31"/>
        <v>0</v>
      </c>
    </row>
    <row r="652" ht="14.4" spans="1:35">
      <c r="A652" s="24" t="str">
        <f>'Ammo Input'!A652</f>
        <v>81mm Mortar</v>
      </c>
      <c r="B652" t="str">
        <f>'Ammo Input'!B652</f>
        <v>Smoke</v>
      </c>
      <c r="C652">
        <f>ROUNDUP(('Ammo Input'!C652*(MAX('Ammo Input'!D652,'Ammo Input'!F652)*0.5)^2*PI())*3/1000000,2)</f>
        <v>10.01</v>
      </c>
      <c r="D652">
        <f>ROUNDUP(('Ammo Input'!E652+'Ammo Input'!H652*IF('Ammo Input'!J652&lt;&gt;"",MAX('Ammo Input'!J652,1),1))/1000,3)</f>
        <v>4.1</v>
      </c>
      <c r="E652">
        <f>MIN(5000,MAX(25,CEILING(Calcs!L652,_xlfn.IFS(Calcs!L652&lt;100,25,Calcs!L652&lt;250,50,Calcs!L652&lt;1000,250,Calcs!L652&gt;=1000,1000))))</f>
        <v>25</v>
      </c>
      <c r="F652">
        <f>ROUNDUP('Ammo Input'!G652^(3/4),0)</f>
        <v>0</v>
      </c>
      <c r="G652">
        <f>ROUND((0.5*((IF(OR(B652="HEAT",B652="HEDP"),'Ammo Input'!N652,'Ammo Input'!H652)/1000)*(IF(B652="HEAT",9000,IF(B652="HEDP",1500,'Ammo Input'!G652))^2))),0)</f>
        <v>0</v>
      </c>
      <c r="H652" s="25" t="str">
        <f>CONCATENATE(IF((B652="Foam")+(B652="Smoke"),"-",ROUND(Calcs!D652,0))," ",VLOOKUP(B652,AmmoTypeFactors,5,FALSE))</f>
        <v>- Smoke</v>
      </c>
      <c r="I652" s="25" t="str">
        <f>IF(Calcs!E652=0,"None",CONCATENATE(ROUND(Calcs!E652,0)," ",VLOOKUP(B652,AmmoTypeFactors,6,FALSE)))</f>
        <v>None</v>
      </c>
      <c r="J652">
        <f>MROUND(2.42*'Ammo Input'!M652^(1/3)*VLOOKUP(B652,AmmoTypeFactors,3,FALSE),0.5)</f>
        <v>6</v>
      </c>
      <c r="K652" s="25" t="str">
        <f>IF(VLOOKUP(B652,AmmoTypeFactors,12,FALSE),MROUND(J652/3,0.5),"None")</f>
        <v>None</v>
      </c>
      <c r="L652" s="25" t="str">
        <f>IF(VLOOKUP(B652,AmmoTypeFactors,8,FALSE),"None",ROUNDUP(IF(Calcs!I652&gt;0,Calcs!I652,Calcs!H652),3))</f>
        <v>None</v>
      </c>
      <c r="M652" s="25" t="str">
        <f>IF(VLOOKUP(B652,AmmoTypeFactors,8,FALSE),"None",'Ammo Input'!L652)</f>
        <v>None</v>
      </c>
      <c r="N652">
        <f>'Ammo Input'!O652</f>
        <v>5</v>
      </c>
      <c r="O652" t="e">
        <f>ROUND((P652*0.0036+SUMPRODUCT(Q652:AB652,VLOOKUP($Q$1:$AB$1,IngredientStats,2,FALSE)))/N652*IF('Ammo Input'!R652,0.5,1),2)</f>
        <v>#VALUE!</v>
      </c>
      <c r="P652" t="e">
        <f>(SUMPRODUCT(Q652:AB652,VLOOKUP($Q$1:$AB$1,IngredientStats,4,FALSE))*VLOOKUP(B652,AmmoTypeFactors,14,FALSE)*IF('Ammo Input'!R652,1.1,1))</f>
        <v>#VALUE!</v>
      </c>
      <c r="Q652">
        <f>IFERROR(__xludf.DUMMYFUNCTION("((IF(NOT(OR(REGEXMATCH(B648, ""Arrow""), B648 = ""Javelin"", B648 = ""Stick bomb"")), ROUNDUP(('Ammo Input'!E648 / 1000) * N648)) + IF(VLOOKUP(B648, AmmoTypeFactors, 9, FALSE) = ""Steel"", ROUNDUP(('Ammo Input'!H648 -'Ammo Input'!M648) * MAX(IF('Ammo Inpu"&amp;"t'!J648 &gt; 0, 'Ammo Input'!J648, 1), 1) * N648 / 1000))) / 'Ingredient stats'!$C$2) * IF(ISBLANK(VLOOKUP(B648,AmmoTypeFactors,15,False)),1,VLOOKUP(B648,AmmoTypeFactors,15,False))"),42)</f>
        <v>42</v>
      </c>
      <c r="R652">
        <f>IFERROR(__xludf.DUMMYFUNCTION("ROUNDUP((IF(REGEXMATCH(B648, ""Arrow"") + (B648 = ""Javelin""), 'Ammo Input'!E648) + IF(VLOOKUP(B648, AmmoTypeFactors, 9, FALSE) = ""Wood"", 'Ammo Input'!H648) + IF(B648 = ""Stick bomb"", 'Ammo Input'!E648)) * N648 / 'Ingredient stats'!$C$12 / 1000)"),0)</f>
        <v>0</v>
      </c>
      <c r="S652">
        <v>0</v>
      </c>
      <c r="T652">
        <v>0</v>
      </c>
      <c r="U652">
        <f>IF(VLOOKUP(B652,AmmoTypeFactors,9,FALSE)="Plasteel",ROUNDUP(('Ammo Input'!H652*MAX(IF('Ammo Input'!J652&gt;0,'Ammo Input'!J652,1)*N652/1000/'Ingredient stats'!$C$4)),0),0)</f>
        <v>0</v>
      </c>
      <c r="V652">
        <f>IFERROR(__xludf.DUMMYFUNCTION("ROUNDUP(IF(ISBLANK(VLOOKUP(B648,AmmoTypeFactors,16,False)),1,VLOOKUP(B648,AmmoTypeFactors,16,False)) * (IFS(REGEXMATCH(B648, ""EMP""), 'Ammo Input'!M648 * N648 / 'Ingredient stats'!$C$5, REGEXMATCH(B648, ""Charge""), (U648^0.75), true, 0) + (IF(VLOOKUP(B6"&amp;"48, AmmoTypeFactors, 10, false), 2,0) + IF('Ammo Input'!P648, 2,0) + IF('Ammo Input'!Q648,MIN(ROUNDUP(0.2*('Ammo Input'!H648/1000)*'Ammo Input'!O648,0),20),0))))"),2)</f>
        <v>2</v>
      </c>
      <c r="W652">
        <v>3</v>
      </c>
      <c r="X652">
        <v>0</v>
      </c>
      <c r="Y652">
        <v>0</v>
      </c>
      <c r="Z652">
        <v>0</v>
      </c>
      <c r="AA652">
        <v>0</v>
      </c>
      <c r="AB652" s="30">
        <f>IF(B652="Sling Bullet (Stone)",ROUNDUP(D652*0.02*E652/'Ingredient stats'!$C$8,0),0)</f>
        <v>0</v>
      </c>
      <c r="AC652" t="str">
        <f t="shared" si="28"/>
        <v>None</v>
      </c>
      <c r="AD652" t="str">
        <f>IF(OR(B652="Buck",B652="Bird",B652="Charge (Scatter)"),'Ammo Input'!J652,"None")</f>
        <v>None</v>
      </c>
      <c r="AE652" t="str">
        <f>_xlfn.IFS(ISTEXT(Calcs!N652),Calcs!N652,Calcs!N652&lt;=40,Calcs!N652,Calcs!N652&gt;41,"40")</f>
        <v>None</v>
      </c>
      <c r="AF652" t="str">
        <f>_xlfn.IFS(ISTEXT(Calcs!O652),Calcs!O652,Calcs!O652&lt;=80,Calcs!O652,Calcs!O652&gt;=81,"80")</f>
        <v>None</v>
      </c>
      <c r="AG652" s="25">
        <f t="shared" si="29"/>
        <v>0</v>
      </c>
      <c r="AH652" s="25" t="str">
        <f t="shared" si="30"/>
        <v>-</v>
      </c>
      <c r="AI652" s="25">
        <f t="shared" si="31"/>
        <v>0</v>
      </c>
    </row>
    <row r="653" ht="14.4" spans="1:35">
      <c r="A653" s="24" t="str">
        <f>'Ammo Input'!A653</f>
        <v>60mm Mortar</v>
      </c>
      <c r="B653" t="str">
        <f>'Ammo Input'!B653</f>
        <v>HE</v>
      </c>
      <c r="C653">
        <f>ROUNDUP(('Ammo Input'!C653*(MAX('Ammo Input'!D653,'Ammo Input'!F653)*0.5)^2*PI())*3/1000000,2)</f>
        <v>3.41</v>
      </c>
      <c r="D653">
        <f>ROUNDUP(('Ammo Input'!E653+'Ammo Input'!H653*IF('Ammo Input'!J653&lt;&gt;"",MAX('Ammo Input'!J653,1),1))/1000,3)</f>
        <v>1.97</v>
      </c>
      <c r="E653">
        <f>MIN(5000,MAX(25,CEILING(Calcs!L653,_xlfn.IFS(Calcs!L653&lt;100,25,Calcs!L653&lt;250,50,Calcs!L653&lt;1000,250,Calcs!L653&gt;=1000,1000))))</f>
        <v>25</v>
      </c>
      <c r="F653">
        <f>ROUNDUP('Ammo Input'!G653^(3/4),0)</f>
        <v>0</v>
      </c>
      <c r="G653">
        <f>ROUND((0.5*((IF(OR(B653="HEAT",B653="HEDP"),'Ammo Input'!N653,'Ammo Input'!H653)/1000)*(IF(B653="HEAT",9000,IF(B653="HEDP",1500,'Ammo Input'!G653))^2))),0)</f>
        <v>0</v>
      </c>
      <c r="H653" s="25" t="str">
        <f>CONCATENATE(IF((B653="Foam")+(B653="Smoke"),"-",ROUND(Calcs!D653,0))," ",VLOOKUP(B653,AmmoTypeFactors,5,FALSE))</f>
        <v>76 Bomb</v>
      </c>
      <c r="I653" s="25" t="str">
        <f>IF(Calcs!E653=0,"None",CONCATENATE(ROUND(Calcs!E653,0)," ",VLOOKUP(B653,AmmoTypeFactors,6,FALSE)))</f>
        <v>None</v>
      </c>
      <c r="J653">
        <f>MROUND(2.42*'Ammo Input'!M653^(1/3)*VLOOKUP(B653,AmmoTypeFactors,3,FALSE),0.5)</f>
        <v>2</v>
      </c>
      <c r="K653" s="25" t="str">
        <f>IF(VLOOKUP(B653,AmmoTypeFactors,12,FALSE),MROUND(J653/3,0.5),"None")</f>
        <v>None</v>
      </c>
      <c r="L653" s="25" t="str">
        <f>IF(VLOOKUP(B653,AmmoTypeFactors,8,FALSE),"None",ROUNDUP(IF(Calcs!I653&gt;0,Calcs!I653,Calcs!H653),3))</f>
        <v>None</v>
      </c>
      <c r="M653" s="25" t="str">
        <f>IF(VLOOKUP(B653,AmmoTypeFactors,8,FALSE),"None",'Ammo Input'!L653)</f>
        <v>None</v>
      </c>
      <c r="N653">
        <f>'Ammo Input'!O653</f>
        <v>5</v>
      </c>
      <c r="O653" t="e">
        <f>ROUND((P653*0.0036+SUMPRODUCT(Q653:AB653,VLOOKUP($Q$1:$AB$1,IngredientStats,2,FALSE)))/N653*IF('Ammo Input'!R653,0.5,1),2)</f>
        <v>#VALUE!</v>
      </c>
      <c r="P653" t="e">
        <f>(SUMPRODUCT(Q653:AB653,VLOOKUP($Q$1:$AB$1,IngredientStats,4,FALSE))*VLOOKUP(B653,AmmoTypeFactors,14,FALSE)*IF('Ammo Input'!R653,1.1,1))</f>
        <v>#VALUE!</v>
      </c>
      <c r="Q653">
        <f>IFERROR(__xludf.DUMMYFUNCTION("((IF(NOT(OR(REGEXMATCH(B649, ""Arrow""), B649 = ""Javelin"", B649 = ""Stick bomb"")), ROUNDUP(('Ammo Input'!E649 / 1000) * N649)) + IF(VLOOKUP(B649, AmmoTypeFactors, 9, FALSE) = ""Steel"", ROUNDUP(('Ammo Input'!H649 -'Ammo Input'!M649) * MAX(IF('Ammo Inpu"&amp;"t'!J649 &gt; 0, 'Ammo Input'!J649, 1), 1) * N649 / 1000))) / 'Ingredient stats'!$C$2) * IF(ISBLANK(VLOOKUP(B649,AmmoTypeFactors,15,False)),1,VLOOKUP(B649,AmmoTypeFactors,15,False))"),20)</f>
        <v>20</v>
      </c>
      <c r="R653">
        <f>IFERROR(__xludf.DUMMYFUNCTION("ROUNDUP((IF(REGEXMATCH(B649, ""Arrow"") + (B649 = ""Javelin""), 'Ammo Input'!E649) + IF(VLOOKUP(B649, AmmoTypeFactors, 9, FALSE) = ""Wood"", 'Ammo Input'!H649) + IF(B649 = ""Stick bomb"", 'Ammo Input'!E649)) * N649 / 'Ingredient stats'!$C$12 / 1000)"),0)</f>
        <v>0</v>
      </c>
      <c r="S653">
        <v>0</v>
      </c>
      <c r="T653">
        <v>0</v>
      </c>
      <c r="U653">
        <f>IF(VLOOKUP(B653,AmmoTypeFactors,9,FALSE)="Plasteel",ROUNDUP(('Ammo Input'!H653*MAX(IF('Ammo Input'!J653&gt;0,'Ammo Input'!J653,1)*N653/1000/'Ingredient stats'!$C$4)),0),0)</f>
        <v>0</v>
      </c>
      <c r="V653">
        <f>IFERROR(__xludf.DUMMYFUNCTION("ROUNDUP(IF(ISBLANK(VLOOKUP(B649,AmmoTypeFactors,16,False)),1,VLOOKUP(B649,AmmoTypeFactors,16,False)) * (IFS(REGEXMATCH(B649, ""EMP""), 'Ammo Input'!M649 * N649 / 'Ingredient stats'!$C$5, REGEXMATCH(B649, ""Charge""), (U649^0.75), true, 0) + (IF(VLOOKUP(B6"&amp;"49, AmmoTypeFactors, 10, false), 2,0) + IF('Ammo Input'!P649, 2,0) + IF('Ammo Input'!Q649,MIN(ROUNDUP(0.2*('Ammo Input'!H649/1000)*'Ammo Input'!O649,0),20),0))))"),2)</f>
        <v>2</v>
      </c>
      <c r="W653">
        <v>0</v>
      </c>
      <c r="X653">
        <v>4</v>
      </c>
      <c r="Y653">
        <v>0</v>
      </c>
      <c r="Z653">
        <v>0</v>
      </c>
      <c r="AA653">
        <v>0</v>
      </c>
      <c r="AB653" s="30">
        <f>IF(B653="Sling Bullet (Stone)",ROUNDUP(D653*0.02*E653/'Ingredient stats'!$C$8,0),0)</f>
        <v>0</v>
      </c>
      <c r="AC653" t="str">
        <f t="shared" si="28"/>
        <v>None</v>
      </c>
      <c r="AD653" t="str">
        <f>IF(OR(B653="Buck",B653="Bird",B653="Charge (Scatter)"),'Ammo Input'!J653,"None")</f>
        <v>None</v>
      </c>
      <c r="AE653">
        <f>_xlfn.IFS(ISTEXT(Calcs!N653),Calcs!N653,Calcs!N653&lt;=40,Calcs!N653,Calcs!N653&gt;41,"40")</f>
        <v>6</v>
      </c>
      <c r="AF653">
        <f>_xlfn.IFS(ISTEXT(Calcs!O653),Calcs!O653,Calcs!O653&lt;=80,Calcs!O653,Calcs!O653&gt;=81,"80")</f>
        <v>8</v>
      </c>
      <c r="AG653" s="25">
        <f t="shared" si="29"/>
        <v>3</v>
      </c>
      <c r="AH653" s="25" t="str">
        <f t="shared" si="30"/>
        <v>-</v>
      </c>
      <c r="AI653" s="25">
        <f t="shared" si="31"/>
        <v>2</v>
      </c>
    </row>
    <row r="654" ht="14.4" spans="1:35">
      <c r="A654" s="24" t="str">
        <f>'Ammo Input'!A654</f>
        <v>60mm Mortar</v>
      </c>
      <c r="B654" t="str">
        <f>'Ammo Input'!B654</f>
        <v>Incendiary</v>
      </c>
      <c r="C654">
        <f>ROUNDUP(('Ammo Input'!C654*(MAX('Ammo Input'!D654,'Ammo Input'!F654)*0.5)^2*PI())*3/1000000,2)</f>
        <v>3.41</v>
      </c>
      <c r="D654">
        <f>ROUNDUP(('Ammo Input'!E654+'Ammo Input'!H654*IF('Ammo Input'!J654&lt;&gt;"",MAX('Ammo Input'!J654,1),1))/1000,3)</f>
        <v>1.97</v>
      </c>
      <c r="E654">
        <f>MIN(5000,MAX(25,CEILING(Calcs!L654,_xlfn.IFS(Calcs!L654&lt;100,25,Calcs!L654&lt;250,50,Calcs!L654&lt;1000,250,Calcs!L654&gt;=1000,1000))))</f>
        <v>25</v>
      </c>
      <c r="F654">
        <f>ROUNDUP('Ammo Input'!G654^(3/4),0)</f>
        <v>0</v>
      </c>
      <c r="G654">
        <f>ROUND((0.5*((IF(OR(B654="HEAT",B654="HEDP"),'Ammo Input'!N654,'Ammo Input'!H654)/1000)*(IF(B654="HEAT",9000,IF(B654="HEDP",1500,'Ammo Input'!G654))^2))),0)</f>
        <v>0</v>
      </c>
      <c r="H654" s="25" t="str">
        <f>CONCATENATE(IF((B654="Foam")+(B654="Smoke"),"-",ROUND(Calcs!D654,0))," ",VLOOKUP(B654,AmmoTypeFactors,5,FALSE))</f>
        <v>6 Flame</v>
      </c>
      <c r="I654" s="25" t="str">
        <f>IF(Calcs!E654=0,"None",CONCATENATE(ROUND(Calcs!E654,0)," ",VLOOKUP(B654,AmmoTypeFactors,6,FALSE)))</f>
        <v>None</v>
      </c>
      <c r="J654">
        <f>MROUND(2.42*'Ammo Input'!M654^(1/3)*VLOOKUP(B654,AmmoTypeFactors,3,FALSE),0.5)</f>
        <v>4.5</v>
      </c>
      <c r="K654" s="25" t="str">
        <f>IF(VLOOKUP(B654,AmmoTypeFactors,12,FALSE),MROUND(J654/3,0.5),"None")</f>
        <v>None</v>
      </c>
      <c r="L654" s="25" t="str">
        <f>IF(VLOOKUP(B654,AmmoTypeFactors,8,FALSE),"None",ROUNDUP(IF(Calcs!I654&gt;0,Calcs!I654,Calcs!H654),3))</f>
        <v>None</v>
      </c>
      <c r="M654" s="25" t="str">
        <f>IF(VLOOKUP(B654,AmmoTypeFactors,8,FALSE),"None",'Ammo Input'!L654)</f>
        <v>None</v>
      </c>
      <c r="N654">
        <f>'Ammo Input'!O654</f>
        <v>5</v>
      </c>
      <c r="O654" t="e">
        <f>ROUND((P654*0.0036+SUMPRODUCT(Q654:AB654,VLOOKUP($Q$1:$AB$1,IngredientStats,2,FALSE)))/N654*IF('Ammo Input'!R654,0.5,1),2)</f>
        <v>#VALUE!</v>
      </c>
      <c r="P654" t="e">
        <f>(SUMPRODUCT(Q654:AB654,VLOOKUP($Q$1:$AB$1,IngredientStats,4,FALSE))*VLOOKUP(B654,AmmoTypeFactors,14,FALSE)*IF('Ammo Input'!R654,1.1,1))</f>
        <v>#VALUE!</v>
      </c>
      <c r="Q654">
        <f>IFERROR(__xludf.DUMMYFUNCTION("((IF(NOT(OR(REGEXMATCH(B650, ""Arrow""), B650 = ""Javelin"", B650 = ""Stick bomb"")), ROUNDUP(('Ammo Input'!E650 / 1000) * N650)) + IF(VLOOKUP(B650, AmmoTypeFactors, 9, FALSE) = ""Steel"", ROUNDUP(('Ammo Input'!H650 -'Ammo Input'!M650) * MAX(IF('Ammo Inpu"&amp;"t'!J650 &gt; 0, 'Ammo Input'!J650, 1), 1) * N650 / 1000))) / 'Ingredient stats'!$C$2) * IF(ISBLANK(VLOOKUP(B650,AmmoTypeFactors,15,False)),1,VLOOKUP(B650,AmmoTypeFactors,15,False))"),20)</f>
        <v>20</v>
      </c>
      <c r="R654">
        <f>IFERROR(__xludf.DUMMYFUNCTION("ROUNDUP((IF(REGEXMATCH(B650, ""Arrow"") + (B650 = ""Javelin""), 'Ammo Input'!E650) + IF(VLOOKUP(B650, AmmoTypeFactors, 9, FALSE) = ""Wood"", 'Ammo Input'!H650) + IF(B650 = ""Stick bomb"", 'Ammo Input'!E650)) * N650 / 'Ingredient stats'!$C$12 / 1000)"),0)</f>
        <v>0</v>
      </c>
      <c r="S654">
        <v>0</v>
      </c>
      <c r="T654">
        <v>0</v>
      </c>
      <c r="U654">
        <f>IF(VLOOKUP(B654,AmmoTypeFactors,9,FALSE)="Plasteel",ROUNDUP(('Ammo Input'!H654*MAX(IF('Ammo Input'!J654&gt;0,'Ammo Input'!J654,1)*N654/1000/'Ingredient stats'!$C$4)),0),0)</f>
        <v>0</v>
      </c>
      <c r="V654">
        <f>IFERROR(__xludf.DUMMYFUNCTION("ROUNDUP(IF(ISBLANK(VLOOKUP(B650,AmmoTypeFactors,16,False)),1,VLOOKUP(B650,AmmoTypeFactors,16,False)) * (IFS(REGEXMATCH(B650, ""EMP""), 'Ammo Input'!M650 * N650 / 'Ingredient stats'!$C$5, REGEXMATCH(B650, ""Charge""), (U650^0.75), true, 0) + (IF(VLOOKUP(B6"&amp;"50, AmmoTypeFactors, 10, false), 2,0) + IF('Ammo Input'!P650, 2,0) + IF('Ammo Input'!Q650,MIN(ROUNDUP(0.2*('Ammo Input'!H650/1000)*'Ammo Input'!O650,0),20),0))))"),2)</f>
        <v>2</v>
      </c>
      <c r="W654">
        <v>2</v>
      </c>
      <c r="X654">
        <v>0</v>
      </c>
      <c r="Y654">
        <v>0</v>
      </c>
      <c r="Z654">
        <v>0</v>
      </c>
      <c r="AA654">
        <v>0</v>
      </c>
      <c r="AB654" s="30">
        <f>IF(B654="Sling Bullet (Stone)",ROUNDUP(D654*0.02*E654/'Ingredient stats'!$C$8,0),0)</f>
        <v>0</v>
      </c>
      <c r="AC654" t="str">
        <f t="shared" si="28"/>
        <v>None</v>
      </c>
      <c r="AD654" t="str">
        <f>IF(OR(B654="Buck",B654="Bird",B654="Charge (Scatter)"),'Ammo Input'!J654,"None")</f>
        <v>None</v>
      </c>
      <c r="AE654" t="str">
        <f>_xlfn.IFS(ISTEXT(Calcs!N654),Calcs!N654,Calcs!N654&lt;=40,Calcs!N654,Calcs!N654&gt;41,"40")</f>
        <v>None</v>
      </c>
      <c r="AF654" t="str">
        <f>_xlfn.IFS(ISTEXT(Calcs!O654),Calcs!O654,Calcs!O654&lt;=80,Calcs!O654,Calcs!O654&gt;=81,"80")</f>
        <v>None</v>
      </c>
      <c r="AG654" s="25">
        <f t="shared" si="29"/>
        <v>3</v>
      </c>
      <c r="AH654" s="25" t="str">
        <f t="shared" si="30"/>
        <v>-</v>
      </c>
      <c r="AI654" s="25">
        <f t="shared" si="31"/>
        <v>2</v>
      </c>
    </row>
    <row r="655" ht="14.4" spans="1:35">
      <c r="A655" s="24" t="str">
        <f>'Ammo Input'!A655</f>
        <v>60mm Mortar</v>
      </c>
      <c r="B655" t="str">
        <f>'Ammo Input'!B655</f>
        <v>EMP</v>
      </c>
      <c r="C655">
        <f>ROUNDUP(('Ammo Input'!C655*(MAX('Ammo Input'!D655,'Ammo Input'!F655)*0.5)^2*PI())*3/1000000,2)</f>
        <v>3.41</v>
      </c>
      <c r="D655">
        <f>ROUNDUP(('Ammo Input'!E655+'Ammo Input'!H655*IF('Ammo Input'!J655&lt;&gt;"",MAX('Ammo Input'!J655,1),1))/1000,3)</f>
        <v>1.97</v>
      </c>
      <c r="E655">
        <f>MIN(5000,MAX(25,CEILING(Calcs!L655,_xlfn.IFS(Calcs!L655&lt;100,25,Calcs!L655&lt;250,50,Calcs!L655&lt;1000,250,Calcs!L655&gt;=1000,1000))))</f>
        <v>25</v>
      </c>
      <c r="F655">
        <f>ROUNDUP('Ammo Input'!G655^(3/4),0)</f>
        <v>0</v>
      </c>
      <c r="G655">
        <f>ROUND((0.5*((IF(OR(B655="HEAT",B655="HEDP"),'Ammo Input'!N655,'Ammo Input'!H655)/1000)*(IF(B655="HEAT",9000,IF(B655="HEDP",1500,'Ammo Input'!G655))^2))),0)</f>
        <v>0</v>
      </c>
      <c r="H655" s="25" t="str">
        <f>CONCATENATE(IF((B655="Foam")+(B655="Smoke"),"-",ROUND(Calcs!D655,0))," ",VLOOKUP(B655,AmmoTypeFactors,5,FALSE))</f>
        <v>76 EMP</v>
      </c>
      <c r="I655" s="25" t="str">
        <f>IF(Calcs!E655=0,"None",CONCATENATE(ROUND(Calcs!E655,0)," ",VLOOKUP(B655,AmmoTypeFactors,6,FALSE)))</f>
        <v>None</v>
      </c>
      <c r="J655">
        <f>MROUND(2.42*'Ammo Input'!M655^(1/3)*VLOOKUP(B655,AmmoTypeFactors,3,FALSE),0.5)</f>
        <v>3.5</v>
      </c>
      <c r="K655" s="25" t="str">
        <f>IF(VLOOKUP(B655,AmmoTypeFactors,12,FALSE),MROUND(J655/3,0.5),"None")</f>
        <v>None</v>
      </c>
      <c r="L655" s="25" t="str">
        <f>IF(VLOOKUP(B655,AmmoTypeFactors,8,FALSE),"None",ROUNDUP(IF(Calcs!I655&gt;0,Calcs!I655,Calcs!H655),3))</f>
        <v>None</v>
      </c>
      <c r="M655" s="25" t="str">
        <f>IF(VLOOKUP(B655,AmmoTypeFactors,8,FALSE),"None",'Ammo Input'!L655)</f>
        <v>None</v>
      </c>
      <c r="N655">
        <f>'Ammo Input'!O655</f>
        <v>5</v>
      </c>
      <c r="O655" t="e">
        <f>ROUND((P655*0.0036+SUMPRODUCT(Q655:AB655,VLOOKUP($Q$1:$AB$1,IngredientStats,2,FALSE)))/N655*IF('Ammo Input'!R655,0.5,1),2)</f>
        <v>#VALUE!</v>
      </c>
      <c r="P655" t="e">
        <f>(SUMPRODUCT(Q655:AB655,VLOOKUP($Q$1:$AB$1,IngredientStats,4,FALSE))*VLOOKUP(B655,AmmoTypeFactors,14,FALSE)*IF('Ammo Input'!R655,1.1,1))</f>
        <v>#VALUE!</v>
      </c>
      <c r="Q655">
        <f>IFERROR(__xludf.DUMMYFUNCTION("((IF(NOT(OR(REGEXMATCH(B651, ""Arrow""), B651 = ""Javelin"", B651 = ""Stick bomb"")), ROUNDUP(('Ammo Input'!E651 / 1000) * N651)) + IF(VLOOKUP(B651, AmmoTypeFactors, 9, FALSE) = ""Steel"", ROUNDUP(('Ammo Input'!H651 -'Ammo Input'!M651) * MAX(IF('Ammo Inpu"&amp;"t'!J651 &gt; 0, 'Ammo Input'!J651, 1), 1) * N651 / 1000))) / 'Ingredient stats'!$C$2) * IF(ISBLANK(VLOOKUP(B651,AmmoTypeFactors,15,False)),1,VLOOKUP(B651,AmmoTypeFactors,15,False))"),20)</f>
        <v>20</v>
      </c>
      <c r="R655">
        <f>IFERROR(__xludf.DUMMYFUNCTION("ROUNDUP((IF(REGEXMATCH(B651, ""Arrow"") + (B651 = ""Javelin""), 'Ammo Input'!E651) + IF(VLOOKUP(B651, AmmoTypeFactors, 9, FALSE) = ""Wood"", 'Ammo Input'!H651) + IF(B651 = ""Stick bomb"", 'Ammo Input'!E651)) * N651 / 'Ingredient stats'!$C$12 / 1000)"),0)</f>
        <v>0</v>
      </c>
      <c r="S655">
        <v>0</v>
      </c>
      <c r="T655">
        <v>0</v>
      </c>
      <c r="U655">
        <f>IF(VLOOKUP(B655,AmmoTypeFactors,9,FALSE)="Plasteel",ROUNDUP(('Ammo Input'!H655*MAX(IF('Ammo Input'!J655&gt;0,'Ammo Input'!J655,1)*N655/1000/'Ingredient stats'!$C$4)),0),0)</f>
        <v>0</v>
      </c>
      <c r="V655">
        <f>IFERROR(__xludf.DUMMYFUNCTION("ROUNDUP(IF(ISBLANK(VLOOKUP(B651,AmmoTypeFactors,16,False)),1,VLOOKUP(B651,AmmoTypeFactors,16,False)) * (IFS(REGEXMATCH(B651, ""EMP""), 'Ammo Input'!M651 * N651 / 'Ingredient stats'!$C$5, REGEXMATCH(B651, ""Charge""), (U651^0.75), true, 0) + (IF(VLOOKUP(B6"&amp;"51, AmmoTypeFactors, 10, false), 2,0) + IF('Ammo Input'!P651, 2,0) + IF('Ammo Input'!Q651,MIN(ROUNDUP(0.2*('Ammo Input'!H651/1000)*'Ammo Input'!O651,0),20),0))))"),6)</f>
        <v>6</v>
      </c>
      <c r="W655">
        <v>0</v>
      </c>
      <c r="X655">
        <v>0</v>
      </c>
      <c r="Y655">
        <v>0</v>
      </c>
      <c r="Z655">
        <v>0</v>
      </c>
      <c r="AA655">
        <v>0</v>
      </c>
      <c r="AB655" s="30">
        <f>IF(B655="Sling Bullet (Stone)",ROUNDUP(D655*0.02*E655/'Ingredient stats'!$C$8,0),0)</f>
        <v>0</v>
      </c>
      <c r="AC655" t="str">
        <f t="shared" si="28"/>
        <v>None</v>
      </c>
      <c r="AD655" t="str">
        <f>IF(OR(B655="Buck",B655="Bird",B655="Charge (Scatter)"),'Ammo Input'!J655,"None")</f>
        <v>None</v>
      </c>
      <c r="AE655" t="str">
        <f>_xlfn.IFS(ISTEXT(Calcs!N655),Calcs!N655,Calcs!N655&lt;=40,Calcs!N655,Calcs!N655&gt;41,"40")</f>
        <v>None</v>
      </c>
      <c r="AF655" t="str">
        <f>_xlfn.IFS(ISTEXT(Calcs!O655),Calcs!O655,Calcs!O655&lt;=80,Calcs!O655,Calcs!O655&gt;=81,"80")</f>
        <v>None</v>
      </c>
      <c r="AG655" s="25">
        <f t="shared" si="29"/>
        <v>3</v>
      </c>
      <c r="AH655" s="25" t="str">
        <f t="shared" si="30"/>
        <v>-</v>
      </c>
      <c r="AI655" s="25">
        <f t="shared" si="31"/>
        <v>2</v>
      </c>
    </row>
    <row r="656" ht="14.4" spans="1:35">
      <c r="A656" s="24" t="str">
        <f>'Ammo Input'!A656</f>
        <v>60mm Mortar</v>
      </c>
      <c r="B656" t="str">
        <f>'Ammo Input'!B656</f>
        <v>Foam</v>
      </c>
      <c r="C656">
        <f>ROUNDUP(('Ammo Input'!C656*(MAX('Ammo Input'!D656,'Ammo Input'!F656)*0.5)^2*PI())*3/1000000,2)</f>
        <v>3.41</v>
      </c>
      <c r="D656">
        <f>ROUNDUP(('Ammo Input'!E656+'Ammo Input'!H656*IF('Ammo Input'!J656&lt;&gt;"",MAX('Ammo Input'!J656,1),1))/1000,3)</f>
        <v>1.97</v>
      </c>
      <c r="E656">
        <f>MIN(5000,MAX(25,CEILING(Calcs!L656,_xlfn.IFS(Calcs!L656&lt;100,25,Calcs!L656&lt;250,50,Calcs!L656&lt;1000,250,Calcs!L656&gt;=1000,1000))))</f>
        <v>25</v>
      </c>
      <c r="F656">
        <f>ROUNDUP('Ammo Input'!G656^(3/4),0)</f>
        <v>0</v>
      </c>
      <c r="G656">
        <f>ROUND((0.5*((IF(OR(B656="HEAT",B656="HEDP"),'Ammo Input'!N656,'Ammo Input'!H656)/1000)*(IF(B656="HEAT",9000,IF(B656="HEDP",1500,'Ammo Input'!G656))^2))),0)</f>
        <v>0</v>
      </c>
      <c r="H656" s="25" t="str">
        <f>CONCATENATE(IF((B656="Foam")+(B656="Smoke"),"-",ROUND(Calcs!D656,0))," ",VLOOKUP(B656,AmmoTypeFactors,5,FALSE))</f>
        <v>- Extinguish</v>
      </c>
      <c r="I656" s="25" t="str">
        <f>IF(Calcs!E656=0,"None",CONCATENATE(ROUND(Calcs!E656,0)," ",VLOOKUP(B656,AmmoTypeFactors,6,FALSE)))</f>
        <v>None</v>
      </c>
      <c r="J656">
        <f>MROUND(2.42*'Ammo Input'!M656^(1/3)*VLOOKUP(B656,AmmoTypeFactors,3,FALSE),0.5)</f>
        <v>3.5</v>
      </c>
      <c r="K656" s="25" t="str">
        <f>IF(VLOOKUP(B656,AmmoTypeFactors,12,FALSE),MROUND(J656/3,0.5),"None")</f>
        <v>None</v>
      </c>
      <c r="L656" s="25" t="str">
        <f>IF(VLOOKUP(B656,AmmoTypeFactors,8,FALSE),"None",ROUNDUP(IF(Calcs!I656&gt;0,Calcs!I656,Calcs!H656),3))</f>
        <v>None</v>
      </c>
      <c r="M656" s="25" t="str">
        <f>IF(VLOOKUP(B656,AmmoTypeFactors,8,FALSE),"None",'Ammo Input'!L656)</f>
        <v>None</v>
      </c>
      <c r="N656">
        <f>'Ammo Input'!O656</f>
        <v>5</v>
      </c>
      <c r="O656" t="e">
        <f>ROUND((P656*0.0036+SUMPRODUCT(Q656:AB656,VLOOKUP($Q$1:$AB$1,IngredientStats,2,FALSE)))/N656*IF('Ammo Input'!R656,0.5,1),2)</f>
        <v>#VALUE!</v>
      </c>
      <c r="P656" t="e">
        <f>(SUMPRODUCT(Q656:AB656,VLOOKUP($Q$1:$AB$1,IngredientStats,4,FALSE))*VLOOKUP(B656,AmmoTypeFactors,14,FALSE)*IF('Ammo Input'!R656,1.1,1))</f>
        <v>#VALUE!</v>
      </c>
      <c r="Q656">
        <f>IFERROR(__xludf.DUMMYFUNCTION("((IF(NOT(OR(REGEXMATCH(B652, ""Arrow""), B652 = ""Javelin"", B652 = ""Stick bomb"")), ROUNDUP(('Ammo Input'!E652 / 1000) * N652)) + IF(VLOOKUP(B652, AmmoTypeFactors, 9, FALSE) = ""Steel"", ROUNDUP(('Ammo Input'!H652 -'Ammo Input'!M652) * MAX(IF('Ammo Inpu"&amp;"t'!J652 &gt; 0, 'Ammo Input'!J652, 1), 1) * N652 / 1000))) / 'Ingredient stats'!$C$2) * IF(ISBLANK(VLOOKUP(B652,AmmoTypeFactors,15,False)),1,VLOOKUP(B652,AmmoTypeFactors,15,False))"),20)</f>
        <v>20</v>
      </c>
      <c r="R656">
        <f>IFERROR(__xludf.DUMMYFUNCTION("ROUNDUP((IF(REGEXMATCH(B652, ""Arrow"") + (B652 = ""Javelin""), 'Ammo Input'!E652) + IF(VLOOKUP(B652, AmmoTypeFactors, 9, FALSE) = ""Wood"", 'Ammo Input'!H652) + IF(B652 = ""Stick bomb"", 'Ammo Input'!E652)) * N652 / 'Ingredient stats'!$C$12 / 1000)"),0)</f>
        <v>0</v>
      </c>
      <c r="S656">
        <v>0</v>
      </c>
      <c r="T656">
        <v>0</v>
      </c>
      <c r="U656">
        <f>IF(VLOOKUP(B656,AmmoTypeFactors,9,FALSE)="Plasteel",ROUNDUP(('Ammo Input'!H656*MAX(IF('Ammo Input'!J656&gt;0,'Ammo Input'!J656,1)*N656/1000/'Ingredient stats'!$C$4)),0),0)</f>
        <v>0</v>
      </c>
      <c r="V656">
        <f>IFERROR(__xludf.DUMMYFUNCTION("ROUNDUP(IF(ISBLANK(VLOOKUP(B652,AmmoTypeFactors,16,False)),1,VLOOKUP(B652,AmmoTypeFactors,16,False)) * (IFS(REGEXMATCH(B652, ""EMP""), 'Ammo Input'!M652 * N652 / 'Ingredient stats'!$C$5, REGEXMATCH(B652, ""Charge""), (U652^0.75), true, 0) + (IF(VLOOKUP(B6"&amp;"52, AmmoTypeFactors, 10, false), 2,0) + IF('Ammo Input'!P652, 2,0) + IF('Ammo Input'!Q652,MIN(ROUNDUP(0.2*('Ammo Input'!H652/1000)*'Ammo Input'!O652,0),20),0))))"),2)</f>
        <v>2</v>
      </c>
      <c r="W656">
        <v>0</v>
      </c>
      <c r="X656">
        <v>0</v>
      </c>
      <c r="Y656">
        <v>7</v>
      </c>
      <c r="Z656">
        <v>0</v>
      </c>
      <c r="AA656">
        <v>0</v>
      </c>
      <c r="AB656" s="30">
        <f>IF(B656="Sling Bullet (Stone)",ROUNDUP(D656*0.02*E656/'Ingredient stats'!$C$8,0),0)</f>
        <v>0</v>
      </c>
      <c r="AC656" t="str">
        <f t="shared" si="28"/>
        <v>None</v>
      </c>
      <c r="AD656" t="str">
        <f>IF(OR(B656="Buck",B656="Bird",B656="Charge (Scatter)"),'Ammo Input'!J656,"None")</f>
        <v>None</v>
      </c>
      <c r="AE656" t="str">
        <f>_xlfn.IFS(ISTEXT(Calcs!N656),Calcs!N656,Calcs!N656&lt;=40,Calcs!N656,Calcs!N656&gt;41,"40")</f>
        <v>None</v>
      </c>
      <c r="AF656" t="str">
        <f>_xlfn.IFS(ISTEXT(Calcs!O656),Calcs!O656,Calcs!O656&lt;=80,Calcs!O656,Calcs!O656&gt;=81,"80")</f>
        <v>None</v>
      </c>
      <c r="AG656" s="25">
        <f t="shared" si="29"/>
        <v>0</v>
      </c>
      <c r="AH656" s="25" t="str">
        <f t="shared" si="30"/>
        <v>-</v>
      </c>
      <c r="AI656" s="25">
        <f t="shared" si="31"/>
        <v>0</v>
      </c>
    </row>
    <row r="657" ht="14.4" spans="1:35">
      <c r="A657" s="24" t="str">
        <f>'Ammo Input'!A657</f>
        <v>60mm Mortar</v>
      </c>
      <c r="B657" t="str">
        <f>'Ammo Input'!B657</f>
        <v>Smoke</v>
      </c>
      <c r="C657">
        <f>ROUNDUP(('Ammo Input'!C657*(MAX('Ammo Input'!D657,'Ammo Input'!F657)*0.5)^2*PI())*3/1000000,2)</f>
        <v>3.41</v>
      </c>
      <c r="D657">
        <f>ROUNDUP(('Ammo Input'!E657+'Ammo Input'!H657*IF('Ammo Input'!J657&lt;&gt;"",MAX('Ammo Input'!J657,1),1))/1000,3)</f>
        <v>1.97</v>
      </c>
      <c r="E657">
        <f>MIN(5000,MAX(25,CEILING(Calcs!L657,_xlfn.IFS(Calcs!L657&lt;100,25,Calcs!L657&lt;250,50,Calcs!L657&lt;1000,250,Calcs!L657&gt;=1000,1000))))</f>
        <v>25</v>
      </c>
      <c r="F657">
        <f>ROUNDUP('Ammo Input'!G657^(3/4),0)</f>
        <v>0</v>
      </c>
      <c r="G657">
        <f>ROUND((0.5*((IF(OR(B657="HEAT",B657="HEDP"),'Ammo Input'!N657,'Ammo Input'!H657)/1000)*(IF(B657="HEAT",9000,IF(B657="HEDP",1500,'Ammo Input'!G657))^2))),0)</f>
        <v>0</v>
      </c>
      <c r="H657" s="25" t="str">
        <f>CONCATENATE(IF((B657="Foam")+(B657="Smoke"),"-",ROUND(Calcs!D657,0))," ",VLOOKUP(B657,AmmoTypeFactors,5,FALSE))</f>
        <v>- Smoke</v>
      </c>
      <c r="I657" s="25" t="str">
        <f>IF(Calcs!E657=0,"None",CONCATENATE(ROUND(Calcs!E657,0)," ",VLOOKUP(B657,AmmoTypeFactors,6,FALSE)))</f>
        <v>None</v>
      </c>
      <c r="J657">
        <f>MROUND(2.42*'Ammo Input'!M657^(1/3)*VLOOKUP(B657,AmmoTypeFactors,3,FALSE),0.5)</f>
        <v>4.5</v>
      </c>
      <c r="K657" s="25" t="str">
        <f>IF(VLOOKUP(B657,AmmoTypeFactors,12,FALSE),MROUND(J657/3,0.5),"None")</f>
        <v>None</v>
      </c>
      <c r="L657" s="25" t="str">
        <f>IF(VLOOKUP(B657,AmmoTypeFactors,8,FALSE),"None",ROUNDUP(IF(Calcs!I657&gt;0,Calcs!I657,Calcs!H657),3))</f>
        <v>None</v>
      </c>
      <c r="M657" s="25" t="str">
        <f>IF(VLOOKUP(B657,AmmoTypeFactors,8,FALSE),"None",'Ammo Input'!L657)</f>
        <v>None</v>
      </c>
      <c r="N657">
        <f>'Ammo Input'!O657</f>
        <v>5</v>
      </c>
      <c r="O657" t="e">
        <f>ROUND((P657*0.0036+SUMPRODUCT(Q657:AB657,VLOOKUP($Q$1:$AB$1,IngredientStats,2,FALSE)))/N657*IF('Ammo Input'!R657,0.5,1),2)</f>
        <v>#VALUE!</v>
      </c>
      <c r="P657" t="e">
        <f>(SUMPRODUCT(Q657:AB657,VLOOKUP($Q$1:$AB$1,IngredientStats,4,FALSE))*VLOOKUP(B657,AmmoTypeFactors,14,FALSE)*IF('Ammo Input'!R657,1.1,1))</f>
        <v>#VALUE!</v>
      </c>
      <c r="Q657">
        <f>IFERROR(__xludf.DUMMYFUNCTION("((IF(NOT(OR(REGEXMATCH(B653, ""Arrow""), B653 = ""Javelin"", B653 = ""Stick bomb"")), ROUNDUP(('Ammo Input'!E653 / 1000) * N653)) + IF(VLOOKUP(B653, AmmoTypeFactors, 9, FALSE) = ""Steel"", ROUNDUP(('Ammo Input'!H653 -'Ammo Input'!M653) * MAX(IF('Ammo Inpu"&amp;"t'!J653 &gt; 0, 'Ammo Input'!J653, 1), 1) * N653 / 1000))) / 'Ingredient stats'!$C$2) * IF(ISBLANK(VLOOKUP(B653,AmmoTypeFactors,15,False)),1,VLOOKUP(B653,AmmoTypeFactors,15,False))"),20)</f>
        <v>20</v>
      </c>
      <c r="R657">
        <f>IFERROR(__xludf.DUMMYFUNCTION("ROUNDUP((IF(REGEXMATCH(B653, ""Arrow"") + (B653 = ""Javelin""), 'Ammo Input'!E653) + IF(VLOOKUP(B653, AmmoTypeFactors, 9, FALSE) = ""Wood"", 'Ammo Input'!H653) + IF(B653 = ""Stick bomb"", 'Ammo Input'!E653)) * N653 / 'Ingredient stats'!$C$12 / 1000)"),0)</f>
        <v>0</v>
      </c>
      <c r="S657">
        <v>0</v>
      </c>
      <c r="T657">
        <v>0</v>
      </c>
      <c r="U657">
        <f>IF(VLOOKUP(B657,AmmoTypeFactors,9,FALSE)="Plasteel",ROUNDUP(('Ammo Input'!H657*MAX(IF('Ammo Input'!J657&gt;0,'Ammo Input'!J657,1)*N657/1000/'Ingredient stats'!$C$4)),0),0)</f>
        <v>0</v>
      </c>
      <c r="V657">
        <f>IFERROR(__xludf.DUMMYFUNCTION("ROUNDUP(IF(ISBLANK(VLOOKUP(B653,AmmoTypeFactors,16,False)),1,VLOOKUP(B653,AmmoTypeFactors,16,False)) * (IFS(REGEXMATCH(B653, ""EMP""), 'Ammo Input'!M653 * N653 / 'Ingredient stats'!$C$5, REGEXMATCH(B653, ""Charge""), (U653^0.75), true, 0) + (IF(VLOOKUP(B6"&amp;"53, AmmoTypeFactors, 10, false), 2,0) + IF('Ammo Input'!P653, 2,0) + IF('Ammo Input'!Q653,MIN(ROUNDUP(0.2*('Ammo Input'!H653/1000)*'Ammo Input'!O653,0),20),0))))"),2)</f>
        <v>2</v>
      </c>
      <c r="W657">
        <v>1</v>
      </c>
      <c r="X657">
        <v>0</v>
      </c>
      <c r="Y657">
        <v>0</v>
      </c>
      <c r="Z657">
        <v>0</v>
      </c>
      <c r="AA657">
        <v>0</v>
      </c>
      <c r="AB657" s="30">
        <f>IF(B657="Sling Bullet (Stone)",ROUNDUP(D657*0.02*E657/'Ingredient stats'!$C$8,0),0)</f>
        <v>0</v>
      </c>
      <c r="AC657" t="str">
        <f t="shared" si="28"/>
        <v>None</v>
      </c>
      <c r="AD657" t="str">
        <f>IF(OR(B657="Buck",B657="Bird",B657="Charge (Scatter)"),'Ammo Input'!J657,"None")</f>
        <v>None</v>
      </c>
      <c r="AE657" t="str">
        <f>_xlfn.IFS(ISTEXT(Calcs!N657),Calcs!N657,Calcs!N657&lt;=40,Calcs!N657,Calcs!N657&gt;41,"40")</f>
        <v>None</v>
      </c>
      <c r="AF657" t="str">
        <f>_xlfn.IFS(ISTEXT(Calcs!O657),Calcs!O657,Calcs!O657&lt;=80,Calcs!O657,Calcs!O657&gt;=81,"80")</f>
        <v>None</v>
      </c>
      <c r="AG657" s="25">
        <f t="shared" si="29"/>
        <v>0</v>
      </c>
      <c r="AH657" s="25" t="str">
        <f t="shared" si="30"/>
        <v>-</v>
      </c>
      <c r="AI657" s="25">
        <f t="shared" si="31"/>
        <v>0</v>
      </c>
    </row>
    <row r="658" ht="14.4" spans="1:35">
      <c r="A658" s="24" t="str">
        <f>'Ammo Input'!A658</f>
        <v>50mm Type 89</v>
      </c>
      <c r="B658" t="str">
        <f>'Ammo Input'!B658</f>
        <v>HE</v>
      </c>
      <c r="C658">
        <f>ROUNDUP(('Ammo Input'!C658*(MAX('Ammo Input'!D658,'Ammo Input'!F658)*0.5)^2*PI())*3/1000000,2)</f>
        <v>0.87</v>
      </c>
      <c r="D658">
        <f>ROUNDUP(('Ammo Input'!E658+'Ammo Input'!H658*IF('Ammo Input'!J658&lt;&gt;"",MAX('Ammo Input'!J658,1),1))/1000,3)</f>
        <v>0.9</v>
      </c>
      <c r="E658">
        <f>MIN(5000,MAX(25,CEILING(Calcs!L658,_xlfn.IFS(Calcs!L658&lt;100,25,Calcs!L658&lt;250,50,Calcs!L658&lt;1000,250,Calcs!L658&gt;=1000,1000))))</f>
        <v>150</v>
      </c>
      <c r="F658">
        <f>ROUNDUP('Ammo Input'!G658^(3/4),0)</f>
        <v>0</v>
      </c>
      <c r="G658">
        <f>ROUND((0.5*((IF(OR(B658="HEAT",B658="HEDP"),'Ammo Input'!N658,'Ammo Input'!H658)/1000)*(IF(B658="HEAT",9000,IF(B658="HEDP",1500,'Ammo Input'!G658))^2))),0)</f>
        <v>0</v>
      </c>
      <c r="H658" s="25" t="str">
        <f>CONCATENATE(IF((B658="Foam")+(B658="Smoke"),"-",ROUND(Calcs!D658,0))," ",VLOOKUP(B658,AmmoTypeFactors,5,FALSE))</f>
        <v>42 Bomb</v>
      </c>
      <c r="I658" s="25" t="str">
        <f>IF(Calcs!E658=0,"None",CONCATENATE(ROUND(Calcs!E658,0)," ",VLOOKUP(B658,AmmoTypeFactors,6,FALSE)))</f>
        <v>None</v>
      </c>
      <c r="J658">
        <f>MROUND(2.42*'Ammo Input'!M658^(1/3)*VLOOKUP(B658,AmmoTypeFactors,3,FALSE),0.5)</f>
        <v>1.5</v>
      </c>
      <c r="K658" s="25" t="str">
        <f>IF(VLOOKUP(B658,AmmoTypeFactors,12,FALSE),MROUND(J658/3,0.5),"None")</f>
        <v>None</v>
      </c>
      <c r="L658" s="25" t="str">
        <f>IF(VLOOKUP(B658,AmmoTypeFactors,8,FALSE),"None",ROUNDUP(IF(Calcs!I658&gt;0,Calcs!I658,Calcs!H658),3))</f>
        <v>None</v>
      </c>
      <c r="M658" s="25" t="str">
        <f>IF(VLOOKUP(B658,AmmoTypeFactors,8,FALSE),"None",'Ammo Input'!L658)</f>
        <v>None</v>
      </c>
      <c r="N658">
        <f>'Ammo Input'!O658</f>
        <v>5</v>
      </c>
      <c r="O658" t="e">
        <f>ROUND((P658*0.0036+SUMPRODUCT(Q658:AB658,VLOOKUP($Q$1:$AB$1,IngredientStats,2,FALSE)))/N658*IF('Ammo Input'!R658,0.5,1),2)</f>
        <v>#VALUE!</v>
      </c>
      <c r="P658" t="e">
        <f>(SUMPRODUCT(Q658:AB658,VLOOKUP($Q$1:$AB$1,IngredientStats,4,FALSE))*VLOOKUP(B658,AmmoTypeFactors,14,FALSE)*IF('Ammo Input'!R658,1.1,1))</f>
        <v>#VALUE!</v>
      </c>
      <c r="Q658">
        <f>IFERROR(__xludf.DUMMYFUNCTION("((IF(NOT(OR(REGEXMATCH(B654, ""Arrow""), B654 = ""Javelin"", B654 = ""Stick bomb"")), ROUNDUP(('Ammo Input'!E654 / 1000) * N654)) + IF(VLOOKUP(B654, AmmoTypeFactors, 9, FALSE) = ""Steel"", ROUNDUP(('Ammo Input'!H654 -'Ammo Input'!M654) * MAX(IF('Ammo Inpu"&amp;"t'!J654 &gt; 0, 'Ammo Input'!J654, 1), 1) * N654 / 1000))) / 'Ingredient stats'!$C$2) * IF(ISBLANK(VLOOKUP(B654,AmmoTypeFactors,15,False)),1,VLOOKUP(B654,AmmoTypeFactors,15,False))"),10)</f>
        <v>10</v>
      </c>
      <c r="R658">
        <f>IFERROR(__xludf.DUMMYFUNCTION("ROUNDUP((IF(REGEXMATCH(B654, ""Arrow"") + (B654 = ""Javelin""), 'Ammo Input'!E654) + IF(VLOOKUP(B654, AmmoTypeFactors, 9, FALSE) = ""Wood"", 'Ammo Input'!H654) + IF(B654 = ""Stick bomb"", 'Ammo Input'!E654)) * N654 / 'Ingredient stats'!$C$12 / 1000)"),0)</f>
        <v>0</v>
      </c>
      <c r="S658">
        <v>0</v>
      </c>
      <c r="T658">
        <v>0</v>
      </c>
      <c r="U658">
        <f>IF(VLOOKUP(B658,AmmoTypeFactors,9,FALSE)="Plasteel",ROUNDUP(('Ammo Input'!H658*MAX(IF('Ammo Input'!J658&gt;0,'Ammo Input'!J658,1)*N658/1000/'Ingredient stats'!$C$4)),0),0)</f>
        <v>0</v>
      </c>
      <c r="V658">
        <f>IFERROR(__xludf.DUMMYFUNCTION("ROUNDUP(IF(ISBLANK(VLOOKUP(B654,AmmoTypeFactors,16,False)),1,VLOOKUP(B654,AmmoTypeFactors,16,False)) * (IFS(REGEXMATCH(B654, ""EMP""), 'Ammo Input'!M654 * N654 / 'Ingredient stats'!$C$5, REGEXMATCH(B654, ""Charge""), (U654^0.75), true, 0) + (IF(VLOOKUP(B6"&amp;"54, AmmoTypeFactors, 10, false), 2,0) + IF('Ammo Input'!P654, 2,0) + IF('Ammo Input'!Q654,MIN(ROUNDUP(0.2*('Ammo Input'!H654/1000)*'Ammo Input'!O654,0),20),0))))"),2)</f>
        <v>2</v>
      </c>
      <c r="W658">
        <v>0</v>
      </c>
      <c r="X658">
        <v>2</v>
      </c>
      <c r="Y658">
        <v>0</v>
      </c>
      <c r="Z658">
        <v>0</v>
      </c>
      <c r="AA658">
        <v>0</v>
      </c>
      <c r="AB658" s="30">
        <f>IF(B658="Sling Bullet (Stone)",ROUNDUP(D658*0.02*E658/'Ingredient stats'!$C$8,0),0)</f>
        <v>0</v>
      </c>
      <c r="AC658" t="str">
        <f t="shared" si="28"/>
        <v>None</v>
      </c>
      <c r="AD658" t="str">
        <f>IF(OR(B658="Buck",B658="Bird",B658="Charge (Scatter)"),'Ammo Input'!J658,"None")</f>
        <v>None</v>
      </c>
      <c r="AE658">
        <f>_xlfn.IFS(ISTEXT(Calcs!N658),Calcs!N658,Calcs!N658&lt;=40,Calcs!N658,Calcs!N658&gt;41,"40")</f>
        <v>3</v>
      </c>
      <c r="AF658">
        <f>_xlfn.IFS(ISTEXT(Calcs!O658),Calcs!O658,Calcs!O658&lt;=80,Calcs!O658,Calcs!O658&gt;=81,"80")</f>
        <v>3</v>
      </c>
      <c r="AG658" s="25">
        <f t="shared" si="29"/>
        <v>3</v>
      </c>
      <c r="AH658" s="25" t="str">
        <f t="shared" si="30"/>
        <v>-</v>
      </c>
      <c r="AI658" s="25">
        <f t="shared" si="31"/>
        <v>2</v>
      </c>
    </row>
    <row r="659" ht="14.4" spans="1:35">
      <c r="A659" s="24" t="str">
        <f>'Ammo Input'!A659</f>
        <v>50mm Type 89</v>
      </c>
      <c r="B659" t="str">
        <f>'Ammo Input'!B659</f>
        <v>Incendiary</v>
      </c>
      <c r="C659">
        <f>ROUNDUP(('Ammo Input'!C659*(MAX('Ammo Input'!D659,'Ammo Input'!F659)*0.5)^2*PI())*3/1000000,2)</f>
        <v>0.87</v>
      </c>
      <c r="D659">
        <f>ROUNDUP(('Ammo Input'!E659+'Ammo Input'!H659*IF('Ammo Input'!J659&lt;&gt;"",MAX('Ammo Input'!J659,1),1))/1000,3)</f>
        <v>0.9</v>
      </c>
      <c r="E659">
        <f>MIN(5000,MAX(25,CEILING(Calcs!L659,_xlfn.IFS(Calcs!L659&lt;100,25,Calcs!L659&lt;250,50,Calcs!L659&lt;1000,250,Calcs!L659&gt;=1000,1000))))</f>
        <v>150</v>
      </c>
      <c r="F659">
        <f>ROUNDUP('Ammo Input'!G659^(3/4),0)</f>
        <v>0</v>
      </c>
      <c r="G659">
        <f>ROUND((0.5*((IF(OR(B659="HEAT",B659="HEDP"),'Ammo Input'!N659,'Ammo Input'!H659)/1000)*(IF(B659="HEAT",9000,IF(B659="HEDP",1500,'Ammo Input'!G659))^2))),0)</f>
        <v>0</v>
      </c>
      <c r="H659" s="25" t="str">
        <f>CONCATENATE(IF((B659="Foam")+(B659="Smoke"),"-",ROUND(Calcs!D659,0))," ",VLOOKUP(B659,AmmoTypeFactors,5,FALSE))</f>
        <v>6 Flame</v>
      </c>
      <c r="I659" s="25" t="str">
        <f>IF(Calcs!E659=0,"None",CONCATENATE(ROUND(Calcs!E659,0)," ",VLOOKUP(B659,AmmoTypeFactors,6,FALSE)))</f>
        <v>None</v>
      </c>
      <c r="J659">
        <f>MROUND(2.42*'Ammo Input'!M659^(1/3)*VLOOKUP(B659,AmmoTypeFactors,3,FALSE),0.5)</f>
        <v>4.5</v>
      </c>
      <c r="K659" s="25" t="str">
        <f>IF(VLOOKUP(B659,AmmoTypeFactors,12,FALSE),MROUND(J659/3,0.5),"None")</f>
        <v>None</v>
      </c>
      <c r="L659" s="25" t="str">
        <f>IF(VLOOKUP(B659,AmmoTypeFactors,8,FALSE),"None",ROUNDUP(IF(Calcs!I659&gt;0,Calcs!I659,Calcs!H659),3))</f>
        <v>None</v>
      </c>
      <c r="M659" s="25" t="str">
        <f>IF(VLOOKUP(B659,AmmoTypeFactors,8,FALSE),"None",'Ammo Input'!L659)</f>
        <v>None</v>
      </c>
      <c r="N659">
        <f>'Ammo Input'!O659</f>
        <v>5</v>
      </c>
      <c r="O659" t="e">
        <f>ROUND((P659*0.0036+SUMPRODUCT(Q659:AB659,VLOOKUP($Q$1:$AB$1,IngredientStats,2,FALSE)))/N659*IF('Ammo Input'!R659,0.5,1),2)</f>
        <v>#VALUE!</v>
      </c>
      <c r="P659" t="e">
        <f>(SUMPRODUCT(Q659:AB659,VLOOKUP($Q$1:$AB$1,IngredientStats,4,FALSE))*VLOOKUP(B659,AmmoTypeFactors,14,FALSE)*IF('Ammo Input'!R659,1.1,1))</f>
        <v>#VALUE!</v>
      </c>
      <c r="Q659">
        <f>IFERROR(__xludf.DUMMYFUNCTION("((IF(NOT(OR(REGEXMATCH(B655, ""Arrow""), B655 = ""Javelin"", B655 = ""Stick bomb"")), ROUNDUP(('Ammo Input'!E655 / 1000) * N655)) + IF(VLOOKUP(B655, AmmoTypeFactors, 9, FALSE) = ""Steel"", ROUNDUP(('Ammo Input'!H655 -'Ammo Input'!M655) * MAX(IF('Ammo Inpu"&amp;"t'!J655 &gt; 0, 'Ammo Input'!J655, 1), 1) * N655 / 1000))) / 'Ingredient stats'!$C$2) * IF(ISBLANK(VLOOKUP(B655,AmmoTypeFactors,15,False)),1,VLOOKUP(B655,AmmoTypeFactors,15,False))"),10)</f>
        <v>10</v>
      </c>
      <c r="R659">
        <f>IFERROR(__xludf.DUMMYFUNCTION("ROUNDUP((IF(REGEXMATCH(B655, ""Arrow"") + (B655 = ""Javelin""), 'Ammo Input'!E655) + IF(VLOOKUP(B655, AmmoTypeFactors, 9, FALSE) = ""Wood"", 'Ammo Input'!H655) + IF(B655 = ""Stick bomb"", 'Ammo Input'!E655)) * N655 / 'Ingredient stats'!$C$12 / 1000)"),0)</f>
        <v>0</v>
      </c>
      <c r="S659">
        <v>0</v>
      </c>
      <c r="T659">
        <v>0</v>
      </c>
      <c r="U659">
        <f>IF(VLOOKUP(B659,AmmoTypeFactors,9,FALSE)="Plasteel",ROUNDUP(('Ammo Input'!H659*MAX(IF('Ammo Input'!J659&gt;0,'Ammo Input'!J659,1)*N659/1000/'Ingredient stats'!$C$4)),0),0)</f>
        <v>0</v>
      </c>
      <c r="V659">
        <f>IFERROR(__xludf.DUMMYFUNCTION("ROUNDUP(IF(ISBLANK(VLOOKUP(B655,AmmoTypeFactors,16,False)),1,VLOOKUP(B655,AmmoTypeFactors,16,False)) * (IFS(REGEXMATCH(B655, ""EMP""), 'Ammo Input'!M655 * N655 / 'Ingredient stats'!$C$5, REGEXMATCH(B655, ""Charge""), (U655^0.75), true, 0) + (IF(VLOOKUP(B6"&amp;"55, AmmoTypeFactors, 10, false), 2,0) + IF('Ammo Input'!P655, 2,0) + IF('Ammo Input'!Q655,MIN(ROUNDUP(0.2*('Ammo Input'!H655/1000)*'Ammo Input'!O655,0),20),0))))"),2)</f>
        <v>2</v>
      </c>
      <c r="W659">
        <v>2</v>
      </c>
      <c r="X659">
        <v>0</v>
      </c>
      <c r="Y659">
        <v>0</v>
      </c>
      <c r="Z659">
        <v>0</v>
      </c>
      <c r="AA659">
        <v>0</v>
      </c>
      <c r="AB659" s="30">
        <f>IF(B659="Sling Bullet (Stone)",ROUNDUP(D659*0.02*E659/'Ingredient stats'!$C$8,0),0)</f>
        <v>0</v>
      </c>
      <c r="AC659" t="str">
        <f t="shared" si="28"/>
        <v>None</v>
      </c>
      <c r="AD659" t="str">
        <f>IF(OR(B659="Buck",B659="Bird",B659="Charge (Scatter)"),'Ammo Input'!J659,"None")</f>
        <v>None</v>
      </c>
      <c r="AE659" t="str">
        <f>_xlfn.IFS(ISTEXT(Calcs!N659),Calcs!N659,Calcs!N659&lt;=40,Calcs!N659,Calcs!N659&gt;41,"40")</f>
        <v>None</v>
      </c>
      <c r="AF659" t="str">
        <f>_xlfn.IFS(ISTEXT(Calcs!O659),Calcs!O659,Calcs!O659&lt;=80,Calcs!O659,Calcs!O659&gt;=81,"80")</f>
        <v>None</v>
      </c>
      <c r="AG659" s="25">
        <f t="shared" si="29"/>
        <v>3</v>
      </c>
      <c r="AH659" s="25" t="str">
        <f t="shared" si="30"/>
        <v>-</v>
      </c>
      <c r="AI659" s="25">
        <f t="shared" si="31"/>
        <v>2</v>
      </c>
    </row>
    <row r="660" ht="14.4" spans="1:35">
      <c r="A660" s="24" t="str">
        <f>'Ammo Input'!A660</f>
        <v>50mm Type 89</v>
      </c>
      <c r="B660" t="str">
        <f>'Ammo Input'!B660</f>
        <v>EMP</v>
      </c>
      <c r="C660">
        <f>ROUNDUP(('Ammo Input'!C660*(MAX('Ammo Input'!D660,'Ammo Input'!F660)*0.5)^2*PI())*3/1000000,2)</f>
        <v>0.87</v>
      </c>
      <c r="D660">
        <f>ROUNDUP(('Ammo Input'!E660+'Ammo Input'!H660*IF('Ammo Input'!J660&lt;&gt;"",MAX('Ammo Input'!J660,1),1))/1000,3)</f>
        <v>0.9</v>
      </c>
      <c r="E660">
        <f>MIN(5000,MAX(25,CEILING(Calcs!L660,_xlfn.IFS(Calcs!L660&lt;100,25,Calcs!L660&lt;250,50,Calcs!L660&lt;1000,250,Calcs!L660&gt;=1000,1000))))</f>
        <v>150</v>
      </c>
      <c r="F660">
        <f>ROUNDUP('Ammo Input'!G660^(3/4),0)</f>
        <v>0</v>
      </c>
      <c r="G660">
        <f>ROUND((0.5*((IF(OR(B660="HEAT",B660="HEDP"),'Ammo Input'!N660,'Ammo Input'!H660)/1000)*(IF(B660="HEAT",9000,IF(B660="HEDP",1500,'Ammo Input'!G660))^2))),0)</f>
        <v>0</v>
      </c>
      <c r="H660" s="25" t="str">
        <f>CONCATENATE(IF((B660="Foam")+(B660="Smoke"),"-",ROUND(Calcs!D660,0))," ",VLOOKUP(B660,AmmoTypeFactors,5,FALSE))</f>
        <v>42 EMP</v>
      </c>
      <c r="I660" s="25" t="str">
        <f>IF(Calcs!E660=0,"None",CONCATENATE(ROUND(Calcs!E660,0)," ",VLOOKUP(B660,AmmoTypeFactors,6,FALSE)))</f>
        <v>None</v>
      </c>
      <c r="J660">
        <f>MROUND(2.42*'Ammo Input'!M660^(1/3)*VLOOKUP(B660,AmmoTypeFactors,3,FALSE),0.5)</f>
        <v>2.5</v>
      </c>
      <c r="K660" s="25" t="str">
        <f>IF(VLOOKUP(B660,AmmoTypeFactors,12,FALSE),MROUND(J660/3,0.5),"None")</f>
        <v>None</v>
      </c>
      <c r="L660" s="25" t="str">
        <f>IF(VLOOKUP(B660,AmmoTypeFactors,8,FALSE),"None",ROUNDUP(IF(Calcs!I660&gt;0,Calcs!I660,Calcs!H660),3))</f>
        <v>None</v>
      </c>
      <c r="M660" s="25" t="str">
        <f>IF(VLOOKUP(B660,AmmoTypeFactors,8,FALSE),"None",'Ammo Input'!L660)</f>
        <v>None</v>
      </c>
      <c r="N660">
        <f>'Ammo Input'!O660</f>
        <v>5</v>
      </c>
      <c r="O660" t="e">
        <f>ROUND((P660*0.0036+SUMPRODUCT(Q660:AB660,VLOOKUP($Q$1:$AB$1,IngredientStats,2,FALSE)))/N660*IF('Ammo Input'!R660,0.5,1),2)</f>
        <v>#VALUE!</v>
      </c>
      <c r="P660" t="e">
        <f>(SUMPRODUCT(Q660:AB660,VLOOKUP($Q$1:$AB$1,IngredientStats,4,FALSE))*VLOOKUP(B660,AmmoTypeFactors,14,FALSE)*IF('Ammo Input'!R660,1.1,1))</f>
        <v>#VALUE!</v>
      </c>
      <c r="Q660">
        <f>IFERROR(__xludf.DUMMYFUNCTION("((IF(NOT(OR(REGEXMATCH(B656, ""Arrow""), B656 = ""Javelin"", B656 = ""Stick bomb"")), ROUNDUP(('Ammo Input'!E656 / 1000) * N656)) + IF(VLOOKUP(B656, AmmoTypeFactors, 9, FALSE) = ""Steel"", ROUNDUP(('Ammo Input'!H656 -'Ammo Input'!M656) * MAX(IF('Ammo Inpu"&amp;"t'!J656 &gt; 0, 'Ammo Input'!J656, 1), 1) * N656 / 1000))) / 'Ingredient stats'!$C$2) * IF(ISBLANK(VLOOKUP(B656,AmmoTypeFactors,15,False)),1,VLOOKUP(B656,AmmoTypeFactors,15,False))"),10)</f>
        <v>10</v>
      </c>
      <c r="R660">
        <f>IFERROR(__xludf.DUMMYFUNCTION("ROUNDUP((IF(REGEXMATCH(B656, ""Arrow"") + (B656 = ""Javelin""), 'Ammo Input'!E656) + IF(VLOOKUP(B656, AmmoTypeFactors, 9, FALSE) = ""Wood"", 'Ammo Input'!H656) + IF(B656 = ""Stick bomb"", 'Ammo Input'!E656)) * N656 / 'Ingredient stats'!$C$12 / 1000)"),0)</f>
        <v>0</v>
      </c>
      <c r="S660">
        <v>0</v>
      </c>
      <c r="T660">
        <v>0</v>
      </c>
      <c r="U660">
        <f>IF(VLOOKUP(B660,AmmoTypeFactors,9,FALSE)="Plasteel",ROUNDUP(('Ammo Input'!H660*MAX(IF('Ammo Input'!J660&gt;0,'Ammo Input'!J660,1)*N660/1000/'Ingredient stats'!$C$4)),0),0)</f>
        <v>0</v>
      </c>
      <c r="V660">
        <f>IFERROR(__xludf.DUMMYFUNCTION("ROUNDUP(IF(ISBLANK(VLOOKUP(B656,AmmoTypeFactors,16,False)),1,VLOOKUP(B656,AmmoTypeFactors,16,False)) * (IFS(REGEXMATCH(B656, ""EMP""), 'Ammo Input'!M656 * N656 / 'Ingredient stats'!$C$5, REGEXMATCH(B656, ""Charge""), (U656^0.75), true, 0) + (IF(VLOOKUP(B6"&amp;"56, AmmoTypeFactors, 10, false), 2,0) + IF('Ammo Input'!P656, 2,0) + IF('Ammo Input'!Q656,MIN(ROUNDUP(0.2*('Ammo Input'!H656/1000)*'Ammo Input'!O656,0),20),0))))"),4)</f>
        <v>4</v>
      </c>
      <c r="W660">
        <v>0</v>
      </c>
      <c r="X660">
        <v>0</v>
      </c>
      <c r="Y660">
        <v>0</v>
      </c>
      <c r="Z660">
        <v>0</v>
      </c>
      <c r="AA660">
        <v>0</v>
      </c>
      <c r="AB660" s="30">
        <f>IF(B660="Sling Bullet (Stone)",ROUNDUP(D660*0.02*E660/'Ingredient stats'!$C$8,0),0)</f>
        <v>0</v>
      </c>
      <c r="AC660" t="str">
        <f t="shared" si="28"/>
        <v>None</v>
      </c>
      <c r="AD660" t="str">
        <f>IF(OR(B660="Buck",B660="Bird",B660="Charge (Scatter)"),'Ammo Input'!J660,"None")</f>
        <v>None</v>
      </c>
      <c r="AE660" t="str">
        <f>_xlfn.IFS(ISTEXT(Calcs!N660),Calcs!N660,Calcs!N660&lt;=40,Calcs!N660,Calcs!N660&gt;41,"40")</f>
        <v>None</v>
      </c>
      <c r="AF660" t="str">
        <f>_xlfn.IFS(ISTEXT(Calcs!O660),Calcs!O660,Calcs!O660&lt;=80,Calcs!O660,Calcs!O660&gt;=81,"80")</f>
        <v>None</v>
      </c>
      <c r="AG660" s="25">
        <f t="shared" si="29"/>
        <v>3</v>
      </c>
      <c r="AH660" s="25" t="str">
        <f t="shared" si="30"/>
        <v>-</v>
      </c>
      <c r="AI660" s="25">
        <f t="shared" si="31"/>
        <v>2</v>
      </c>
    </row>
    <row r="661" ht="14.4" spans="1:35">
      <c r="A661" s="24" t="str">
        <f>'Ammo Input'!A661</f>
        <v>50mm Type 89</v>
      </c>
      <c r="B661" t="str">
        <f>'Ammo Input'!B661</f>
        <v>Smoke</v>
      </c>
      <c r="C661">
        <f>ROUNDUP(('Ammo Input'!C661*(MAX('Ammo Input'!D661,'Ammo Input'!F661)*0.5)^2*PI())*3/1000000,2)</f>
        <v>0.87</v>
      </c>
      <c r="D661">
        <f>ROUNDUP(('Ammo Input'!E661+'Ammo Input'!H661*IF('Ammo Input'!J661&lt;&gt;"",MAX('Ammo Input'!J661,1),1))/1000,3)</f>
        <v>0.9</v>
      </c>
      <c r="E661">
        <f>MIN(5000,MAX(25,CEILING(Calcs!L661,_xlfn.IFS(Calcs!L661&lt;100,25,Calcs!L661&lt;250,50,Calcs!L661&lt;1000,250,Calcs!L661&gt;=1000,1000))))</f>
        <v>150</v>
      </c>
      <c r="F661">
        <f>ROUNDUP('Ammo Input'!G661^(3/4),0)</f>
        <v>0</v>
      </c>
      <c r="G661">
        <f>ROUND((0.5*((IF(OR(B661="HEAT",B661="HEDP"),'Ammo Input'!N661,'Ammo Input'!H661)/1000)*(IF(B661="HEAT",9000,IF(B661="HEDP",1500,'Ammo Input'!G661))^2))),0)</f>
        <v>0</v>
      </c>
      <c r="H661" s="25" t="str">
        <f>CONCATENATE(IF((B661="Foam")+(B661="Smoke"),"-",ROUND(Calcs!D661,0))," ",VLOOKUP(B661,AmmoTypeFactors,5,FALSE))</f>
        <v>- Smoke</v>
      </c>
      <c r="I661" s="25" t="str">
        <f>IF(Calcs!E661=0,"None",CONCATENATE(ROUND(Calcs!E661,0)," ",VLOOKUP(B661,AmmoTypeFactors,6,FALSE)))</f>
        <v>None</v>
      </c>
      <c r="J661">
        <f>MROUND(2.42*'Ammo Input'!M661^(1/3)*VLOOKUP(B661,AmmoTypeFactors,3,FALSE),0.5)</f>
        <v>3</v>
      </c>
      <c r="K661" s="25" t="str">
        <f>IF(VLOOKUP(B661,AmmoTypeFactors,12,FALSE),MROUND(J661/3,0.5),"None")</f>
        <v>None</v>
      </c>
      <c r="L661" s="25" t="str">
        <f>IF(VLOOKUP(B661,AmmoTypeFactors,8,FALSE),"None",ROUNDUP(IF(Calcs!I661&gt;0,Calcs!I661,Calcs!H661),3))</f>
        <v>None</v>
      </c>
      <c r="M661" s="25" t="str">
        <f>IF(VLOOKUP(B661,AmmoTypeFactors,8,FALSE),"None",'Ammo Input'!L661)</f>
        <v>None</v>
      </c>
      <c r="N661">
        <f>'Ammo Input'!O661</f>
        <v>5</v>
      </c>
      <c r="O661" t="e">
        <f>ROUND((P661*0.0036+SUMPRODUCT(Q661:AB661,VLOOKUP($Q$1:$AB$1,IngredientStats,2,FALSE)))/N661*IF('Ammo Input'!R661,0.5,1),2)</f>
        <v>#VALUE!</v>
      </c>
      <c r="P661" t="e">
        <f>(SUMPRODUCT(Q661:AB661,VLOOKUP($Q$1:$AB$1,IngredientStats,4,FALSE))*VLOOKUP(B661,AmmoTypeFactors,14,FALSE)*IF('Ammo Input'!R661,1.1,1))</f>
        <v>#VALUE!</v>
      </c>
      <c r="Q661">
        <f>IFERROR(__xludf.DUMMYFUNCTION("((IF(NOT(OR(REGEXMATCH(B657, ""Arrow""), B657 = ""Javelin"", B657 = ""Stick bomb"")), ROUNDUP(('Ammo Input'!E657 / 1000) * N657)) + IF(VLOOKUP(B657, AmmoTypeFactors, 9, FALSE) = ""Steel"", ROUNDUP(('Ammo Input'!H657 -'Ammo Input'!M657) * MAX(IF('Ammo Inpu"&amp;"t'!J657 &gt; 0, 'Ammo Input'!J657, 1), 1) * N657 / 1000))) / 'Ingredient stats'!$C$2) * IF(ISBLANK(VLOOKUP(B657,AmmoTypeFactors,15,False)),1,VLOOKUP(B657,AmmoTypeFactors,15,False))"),10)</f>
        <v>10</v>
      </c>
      <c r="R661">
        <f>IFERROR(__xludf.DUMMYFUNCTION("ROUNDUP((IF(REGEXMATCH(B657, ""Arrow"") + (B657 = ""Javelin""), 'Ammo Input'!E657) + IF(VLOOKUP(B657, AmmoTypeFactors, 9, FALSE) = ""Wood"", 'Ammo Input'!H657) + IF(B657 = ""Stick bomb"", 'Ammo Input'!E657)) * N657 / 'Ingredient stats'!$C$12 / 1000)"),0)</f>
        <v>0</v>
      </c>
      <c r="S661">
        <v>0</v>
      </c>
      <c r="T661">
        <v>0</v>
      </c>
      <c r="U661">
        <f>IF(VLOOKUP(B661,AmmoTypeFactors,9,FALSE)="Plasteel",ROUNDUP(('Ammo Input'!H661*MAX(IF('Ammo Input'!J661&gt;0,'Ammo Input'!J661,1)*N661/1000/'Ingredient stats'!$C$4)),0),0)</f>
        <v>0</v>
      </c>
      <c r="V661">
        <f>IFERROR(__xludf.DUMMYFUNCTION("ROUNDUP(IF(ISBLANK(VLOOKUP(B657,AmmoTypeFactors,16,False)),1,VLOOKUP(B657,AmmoTypeFactors,16,False)) * (IFS(REGEXMATCH(B657, ""EMP""), 'Ammo Input'!M657 * N657 / 'Ingredient stats'!$C$5, REGEXMATCH(B657, ""Charge""), (U657^0.75), true, 0) + (IF(VLOOKUP(B6"&amp;"57, AmmoTypeFactors, 10, false), 2,0) + IF('Ammo Input'!P657, 2,0) + IF('Ammo Input'!Q657,MIN(ROUNDUP(0.2*('Ammo Input'!H657/1000)*'Ammo Input'!O657,0),20),0))))"),2)</f>
        <v>2</v>
      </c>
      <c r="W661">
        <v>1</v>
      </c>
      <c r="X661">
        <v>0</v>
      </c>
      <c r="Y661">
        <v>0</v>
      </c>
      <c r="Z661">
        <v>0</v>
      </c>
      <c r="AA661">
        <v>0</v>
      </c>
      <c r="AB661" s="30">
        <f>IF(B661="Sling Bullet (Stone)",ROUNDUP(D661*0.02*E661/'Ingredient stats'!$C$8,0),0)</f>
        <v>0</v>
      </c>
      <c r="AC661" t="str">
        <f t="shared" si="28"/>
        <v>None</v>
      </c>
      <c r="AD661" t="str">
        <f>IF(OR(B661="Buck",B661="Bird",B661="Charge (Scatter)"),'Ammo Input'!J661,"None")</f>
        <v>None</v>
      </c>
      <c r="AE661" t="str">
        <f>_xlfn.IFS(ISTEXT(Calcs!N661),Calcs!N661,Calcs!N661&lt;=40,Calcs!N661,Calcs!N661&gt;41,"40")</f>
        <v>None</v>
      </c>
      <c r="AF661" t="str">
        <f>_xlfn.IFS(ISTEXT(Calcs!O661),Calcs!O661,Calcs!O661&lt;=80,Calcs!O661,Calcs!O661&gt;=81,"80")</f>
        <v>None</v>
      </c>
      <c r="AG661" s="25">
        <f t="shared" si="29"/>
        <v>0</v>
      </c>
      <c r="AH661" s="25" t="str">
        <f t="shared" si="30"/>
        <v>-</v>
      </c>
      <c r="AI661" s="25">
        <f t="shared" si="31"/>
        <v>0</v>
      </c>
    </row>
    <row r="662" ht="14.4" spans="1:35">
      <c r="A662" s="24" t="str">
        <f>'Ammo Input'!A662</f>
        <v>90mm Cannon</v>
      </c>
      <c r="B662" t="str">
        <f>'Ammo Input'!B662</f>
        <v>HEAT</v>
      </c>
      <c r="C662">
        <f>ROUNDUP(('Ammo Input'!C662*(MAX('Ammo Input'!D662,'Ammo Input'!F662)*0.5)^2*PI())*3/1000000,2)</f>
        <v>22.41</v>
      </c>
      <c r="D662">
        <f>ROUNDUP(('Ammo Input'!E662+'Ammo Input'!H662*IF('Ammo Input'!J662&lt;&gt;"",MAX('Ammo Input'!J662,1),1))/1000,3)</f>
        <v>19.5</v>
      </c>
      <c r="E662">
        <f>MIN(5000,MAX(25,CEILING(Calcs!L662,_xlfn.IFS(Calcs!L662&lt;100,25,Calcs!L662&lt;250,50,Calcs!L662&lt;1000,250,Calcs!L662&gt;=1000,1000))))</f>
        <v>25</v>
      </c>
      <c r="F662">
        <f>ROUNDUP('Ammo Input'!G662^(3/4),0)</f>
        <v>151</v>
      </c>
      <c r="G662">
        <f>ROUND((0.5*((IF(OR(B662="HEAT",B662="HEDP"),'Ammo Input'!N662,'Ammo Input'!H662)/1000)*(IF(B662="HEAT",9000,IF(B662="HEDP",1500,'Ammo Input'!G662))^2))),0)</f>
        <v>7290000</v>
      </c>
      <c r="H662" s="25" t="str">
        <f>CONCATENATE(IF((B662="Foam")+(B662="Smoke"),"-",ROUND(Calcs!D662,0))," ",VLOOKUP(B662,AmmoTypeFactors,5,FALSE))</f>
        <v>304 Bullet</v>
      </c>
      <c r="I662" s="25" t="str">
        <f>IF(Calcs!E662=0,"None",CONCATENATE(ROUND(Calcs!E662,0)," ",VLOOKUP(B662,AmmoTypeFactors,6,FALSE)))</f>
        <v>None</v>
      </c>
      <c r="J662">
        <f>MROUND(2.42*'Ammo Input'!M662^(1/3)*VLOOKUP(B662,AmmoTypeFactors,3,FALSE),0.5)</f>
        <v>1</v>
      </c>
      <c r="K662" s="25" t="str">
        <f>IF(VLOOKUP(B662,AmmoTypeFactors,12,FALSE),MROUND(J662/3,0.5),"None")</f>
        <v>None</v>
      </c>
      <c r="L662" s="25">
        <f>IF(VLOOKUP(B662,AmmoTypeFactors,8,FALSE),"None",ROUNDUP(IF(Calcs!I662&gt;0,Calcs!I662,Calcs!H662),3))</f>
        <v>38.055</v>
      </c>
      <c r="M662" s="25">
        <f>IF(VLOOKUP(B662,AmmoTypeFactors,8,FALSE),"None",'Ammo Input'!L662)</f>
        <v>500</v>
      </c>
      <c r="N662">
        <f>'Ammo Input'!O662</f>
        <v>5</v>
      </c>
      <c r="O662" t="e">
        <f>ROUND((P662*0.0036+SUMPRODUCT(Q662:AB662,VLOOKUP($Q$1:$AB$1,IngredientStats,2,FALSE)))/N662*IF('Ammo Input'!R662,0.5,1),2)</f>
        <v>#VALUE!</v>
      </c>
      <c r="P662" t="e">
        <f>(SUMPRODUCT(Q662:AB662,VLOOKUP($Q$1:$AB$1,IngredientStats,4,FALSE))*VLOOKUP(B662,AmmoTypeFactors,14,FALSE)*IF('Ammo Input'!R662,1.1,1))</f>
        <v>#VALUE!</v>
      </c>
      <c r="Q662">
        <f>IFERROR(__xludf.DUMMYFUNCTION("((IF(NOT(OR(REGEXMATCH(B658, ""Arrow""), B658 = ""Javelin"", B658 = ""Stick bomb"")), ROUNDUP(('Ammo Input'!E658 / 1000) * N658)) + IF(VLOOKUP(B658, AmmoTypeFactors, 9, FALSE) = ""Steel"", ROUNDUP(('Ammo Input'!H658 -'Ammo Input'!M658) * MAX(IF('Ammo Inpu"&amp;"t'!J658 &gt; 0, 'Ammo Input'!J658, 1), 1) * N658 / 1000))) / 'Ingredient stats'!$C$2) * IF(ISBLANK(VLOOKUP(B658,AmmoTypeFactors,15,False)),1,VLOOKUP(B658,AmmoTypeFactors,15,False))"),196)</f>
        <v>196</v>
      </c>
      <c r="R662">
        <f>IFERROR(__xludf.DUMMYFUNCTION("ROUNDUP((IF(REGEXMATCH(B658, ""Arrow"") + (B658 = ""Javelin""), 'Ammo Input'!E658) + IF(VLOOKUP(B658, AmmoTypeFactors, 9, FALSE) = ""Wood"", 'Ammo Input'!H658) + IF(B658 = ""Stick bomb"", 'Ammo Input'!E658)) * N658 / 'Ingredient stats'!$C$12 / 1000)"),0)</f>
        <v>0</v>
      </c>
      <c r="S662">
        <v>0</v>
      </c>
      <c r="T662">
        <v>0</v>
      </c>
      <c r="U662">
        <f>IF(VLOOKUP(B662,AmmoTypeFactors,9,FALSE)="Plasteel",ROUNDUP(('Ammo Input'!H662*MAX(IF('Ammo Input'!J662&gt;0,'Ammo Input'!J662,1)*N662/1000/'Ingredient stats'!$C$4)),0),0)</f>
        <v>0</v>
      </c>
      <c r="V662">
        <f>IFERROR(__xludf.DUMMYFUNCTION("ROUNDUP(IF(ISBLANK(VLOOKUP(B658,AmmoTypeFactors,16,False)),1,VLOOKUP(B658,AmmoTypeFactors,16,False)) * (IFS(REGEXMATCH(B658, ""EMP""), 'Ammo Input'!M658 * N658 / 'Ingredient stats'!$C$5, REGEXMATCH(B658, ""Charge""), (U658^0.75), true, 0) + (IF(VLOOKUP(B6"&amp;"58, AmmoTypeFactors, 10, false), 2,0) + IF('Ammo Input'!P658, 2,0) + IF('Ammo Input'!Q658,MIN(ROUNDUP(0.2*('Ammo Input'!H658/1000)*'Ammo Input'!O658,0),20),0))))"),2)</f>
        <v>2</v>
      </c>
      <c r="W662">
        <v>0</v>
      </c>
      <c r="X662">
        <v>8</v>
      </c>
      <c r="Y662">
        <v>0</v>
      </c>
      <c r="Z662">
        <v>0</v>
      </c>
      <c r="AA662">
        <v>0</v>
      </c>
      <c r="AB662" s="30">
        <f>IF(B662="Sling Bullet (Stone)",ROUNDUP(D662*0.02*E662/'Ingredient stats'!$C$8,0),0)</f>
        <v>0</v>
      </c>
      <c r="AC662" t="str">
        <f t="shared" si="28"/>
        <v>None</v>
      </c>
      <c r="AD662" t="str">
        <f>IF(OR(B662="Buck",B662="Bird",B662="Charge (Scatter)"),'Ammo Input'!J662,"None")</f>
        <v>None</v>
      </c>
      <c r="AE662">
        <f>_xlfn.IFS(ISTEXT(Calcs!N662),Calcs!N662,Calcs!N662&lt;=40,Calcs!N662,Calcs!N662&gt;41,"40")</f>
        <v>22</v>
      </c>
      <c r="AF662">
        <f>_xlfn.IFS(ISTEXT(Calcs!O662),Calcs!O662,Calcs!O662&lt;=80,Calcs!O662,Calcs!O662&gt;=81,"80")</f>
        <v>9</v>
      </c>
      <c r="AG662" s="25">
        <f t="shared" si="29"/>
        <v>3</v>
      </c>
      <c r="AH662" s="25">
        <f t="shared" si="30"/>
        <v>2.47</v>
      </c>
      <c r="AI662" s="25">
        <f t="shared" si="31"/>
        <v>2</v>
      </c>
    </row>
    <row r="663" ht="14.4" spans="1:35">
      <c r="A663" s="24" t="str">
        <f>'Ammo Input'!A663</f>
        <v>90mm Cannon</v>
      </c>
      <c r="B663" t="str">
        <f>'Ammo Input'!B663</f>
        <v>AP</v>
      </c>
      <c r="C663">
        <f>ROUNDUP(('Ammo Input'!C663*(MAX('Ammo Input'!D663,'Ammo Input'!F663)*0.5)^2*PI())*3/1000000,2)</f>
        <v>22.41</v>
      </c>
      <c r="D663">
        <f>ROUNDUP(('Ammo Input'!E663+'Ammo Input'!H663*IF('Ammo Input'!J663&lt;&gt;"",MAX('Ammo Input'!J663,1),1))/1000,3)</f>
        <v>18</v>
      </c>
      <c r="E663">
        <f>MIN(5000,MAX(25,CEILING(Calcs!L663,_xlfn.IFS(Calcs!L663&lt;100,25,Calcs!L663&lt;250,50,Calcs!L663&lt;1000,250,Calcs!L663&gt;=1000,1000))))</f>
        <v>25</v>
      </c>
      <c r="F663">
        <f>ROUNDUP('Ammo Input'!G663^(3/4),0)</f>
        <v>151</v>
      </c>
      <c r="G663">
        <f>ROUND((0.5*((IF(OR(B663="HEAT",B663="HEDP"),'Ammo Input'!N663,'Ammo Input'!H663)/1000)*(IF(B663="HEAT",9000,IF(B663="HEDP",1500,'Ammo Input'!G663))^2))),0)</f>
        <v>3520000</v>
      </c>
      <c r="H663" s="25" t="str">
        <f>CONCATENATE(IF((B663="Foam")+(B663="Smoke"),"-",ROUND(Calcs!D663,0))," ",VLOOKUP(B663,AmmoTypeFactors,5,FALSE))</f>
        <v>318 Bullet</v>
      </c>
      <c r="I663" s="25" t="str">
        <f>IF(Calcs!E663=0,"None",CONCATENATE(ROUND(Calcs!E663,0)," ",VLOOKUP(B663,AmmoTypeFactors,6,FALSE)))</f>
        <v>None</v>
      </c>
      <c r="J663">
        <f>MROUND(2.42*'Ammo Input'!M663^(1/3)*VLOOKUP(B663,AmmoTypeFactors,3,FALSE),0.5)</f>
        <v>0</v>
      </c>
      <c r="K663" s="25" t="str">
        <f>IF(VLOOKUP(B663,AmmoTypeFactors,12,FALSE),MROUND(J663/3,0.5),"None")</f>
        <v>None</v>
      </c>
      <c r="L663" s="25">
        <f>IF(VLOOKUP(B663,AmmoTypeFactors,8,FALSE),"None",ROUNDUP(IF(Calcs!I663&gt;0,Calcs!I663,Calcs!H663),3))</f>
        <v>70400</v>
      </c>
      <c r="M663" s="25">
        <f>IF(VLOOKUP(B663,AmmoTypeFactors,8,FALSE),"None",'Ammo Input'!L663)</f>
        <v>170</v>
      </c>
      <c r="N663">
        <f>'Ammo Input'!O663</f>
        <v>5</v>
      </c>
      <c r="O663" t="e">
        <f>ROUND((P663*0.0036+SUMPRODUCT(Q663:AB663,VLOOKUP($Q$1:$AB$1,IngredientStats,2,FALSE)))/N663*IF('Ammo Input'!R663,0.5,1),2)</f>
        <v>#VALUE!</v>
      </c>
      <c r="P663" t="e">
        <f>(SUMPRODUCT(Q663:AB663,VLOOKUP($Q$1:$AB$1,IngredientStats,4,FALSE))*VLOOKUP(B663,AmmoTypeFactors,14,FALSE)*IF('Ammo Input'!R663,1.1,1))</f>
        <v>#VALUE!</v>
      </c>
      <c r="Q663">
        <f>IFERROR(__xludf.DUMMYFUNCTION("((IF(NOT(OR(REGEXMATCH(B659, ""Arrow""), B659 = ""Javelin"", B659 = ""Stick bomb"")), ROUNDUP(('Ammo Input'!E659 / 1000) * N659)) + IF(VLOOKUP(B659, AmmoTypeFactors, 9, FALSE) = ""Steel"", ROUNDUP(('Ammo Input'!H659 -'Ammo Input'!M659) * MAX(IF('Ammo Inpu"&amp;"t'!J659 &gt; 0, 'Ammo Input'!J659, 1), 1) * N659 / 1000))) / 'Ingredient stats'!$C$2) * IF(ISBLANK(VLOOKUP(B659,AmmoTypeFactors,15,False)),1,VLOOKUP(B659,AmmoTypeFactors,15,False))"),180)</f>
        <v>180</v>
      </c>
      <c r="R663">
        <f>IFERROR(__xludf.DUMMYFUNCTION("ROUNDUP((IF(REGEXMATCH(B659, ""Arrow"") + (B659 = ""Javelin""), 'Ammo Input'!E659) + IF(VLOOKUP(B659, AmmoTypeFactors, 9, FALSE) = ""Wood"", 'Ammo Input'!H659) + IF(B659 = ""Stick bomb"", 'Ammo Input'!E659)) * N659 / 'Ingredient stats'!$C$12 / 1000)"),0)</f>
        <v>0</v>
      </c>
      <c r="S663">
        <v>0</v>
      </c>
      <c r="T663">
        <v>0</v>
      </c>
      <c r="U663">
        <f>IF(VLOOKUP(B663,AmmoTypeFactors,9,FALSE)="Plasteel",ROUNDUP(('Ammo Input'!H663*MAX(IF('Ammo Input'!J663&gt;0,'Ammo Input'!J663,1)*N663/1000/'Ingredient stats'!$C$4)),0),0)</f>
        <v>0</v>
      </c>
      <c r="V663">
        <f>IFERROR(__xludf.DUMMYFUNCTION("ROUNDUP(IF(ISBLANK(VLOOKUP(B659,AmmoTypeFactors,16,False)),1,VLOOKUP(B659,AmmoTypeFactors,16,False)) * (IFS(REGEXMATCH(B659, ""EMP""), 'Ammo Input'!M659 * N659 / 'Ingredient stats'!$C$5, REGEXMATCH(B659, ""Charge""), (U659^0.75), true, 0) + (IF(VLOOKUP(B6"&amp;"59, AmmoTypeFactors, 10, false), 2,0) + IF('Ammo Input'!P659, 2,0) + IF('Ammo Input'!Q659,MIN(ROUNDUP(0.2*('Ammo Input'!H659/1000)*'Ammo Input'!O659,0),20),0))))"),0)</f>
        <v>0</v>
      </c>
      <c r="W663">
        <v>0</v>
      </c>
      <c r="X663">
        <v>0</v>
      </c>
      <c r="Y663">
        <v>0</v>
      </c>
      <c r="Z663">
        <v>0</v>
      </c>
      <c r="AA663">
        <v>0</v>
      </c>
      <c r="AB663" s="30">
        <f>IF(B663="Sling Bullet (Stone)",ROUNDUP(D663*0.02*E663/'Ingredient stats'!$C$8,0),0)</f>
        <v>0</v>
      </c>
      <c r="AC663" t="str">
        <f t="shared" si="28"/>
        <v>None</v>
      </c>
      <c r="AD663" t="str">
        <f>IF(OR(B663="Buck",B663="Bird",B663="Charge (Scatter)"),'Ammo Input'!J663,"None")</f>
        <v>None</v>
      </c>
      <c r="AE663" t="str">
        <f>_xlfn.IFS(ISTEXT(Calcs!N663),Calcs!N663,Calcs!N663&lt;=40,Calcs!N663,Calcs!N663&gt;41,"40")</f>
        <v>None</v>
      </c>
      <c r="AF663" t="str">
        <f>_xlfn.IFS(ISTEXT(Calcs!O663),Calcs!O663,Calcs!O663&lt;=80,Calcs!O663,Calcs!O663&gt;=81,"80")</f>
        <v>None</v>
      </c>
      <c r="AG663" s="25">
        <f t="shared" si="29"/>
        <v>1</v>
      </c>
      <c r="AH663" s="25">
        <f t="shared" si="30"/>
        <v>2.47</v>
      </c>
      <c r="AI663" s="25">
        <f t="shared" si="31"/>
        <v>1</v>
      </c>
    </row>
    <row r="664" ht="14.4" spans="1:35">
      <c r="A664" s="24" t="str">
        <f>'Ammo Input'!A664</f>
        <v>90mm Cannon</v>
      </c>
      <c r="B664" t="str">
        <f>'Ammo Input'!B664</f>
        <v>HE</v>
      </c>
      <c r="C664">
        <f>ROUNDUP(('Ammo Input'!C664*(MAX('Ammo Input'!D664,'Ammo Input'!F664)*0.5)^2*PI())*3/1000000,2)</f>
        <v>22.41</v>
      </c>
      <c r="D664">
        <f>ROUNDUP(('Ammo Input'!E664+'Ammo Input'!H664*IF('Ammo Input'!J664&lt;&gt;"",MAX('Ammo Input'!J664,1),1))/1000,3)</f>
        <v>18</v>
      </c>
      <c r="E664">
        <f>MIN(5000,MAX(25,CEILING(Calcs!L664,_xlfn.IFS(Calcs!L664&lt;100,25,Calcs!L664&lt;250,50,Calcs!L664&lt;1000,250,Calcs!L664&gt;=1000,1000))))</f>
        <v>25</v>
      </c>
      <c r="F664">
        <f>ROUNDUP('Ammo Input'!G664^(3/4),0)</f>
        <v>151</v>
      </c>
      <c r="G664">
        <f>ROUND((0.5*((IF(OR(B664="HEAT",B664="HEDP"),'Ammo Input'!N664,'Ammo Input'!H664)/1000)*(IF(B664="HEAT",9000,IF(B664="HEDP",1500,'Ammo Input'!G664))^2))),0)</f>
        <v>3520000</v>
      </c>
      <c r="H664" s="25" t="str">
        <f>CONCATENATE(IF((B664="Foam")+(B664="Smoke"),"-",ROUND(Calcs!D664,0))," ",VLOOKUP(B664,AmmoTypeFactors,5,FALSE))</f>
        <v>152 Bomb</v>
      </c>
      <c r="I664" s="25" t="str">
        <f>IF(Calcs!E664=0,"None",CONCATENATE(ROUND(Calcs!E664,0)," ",VLOOKUP(B664,AmmoTypeFactors,6,FALSE)))</f>
        <v>None</v>
      </c>
      <c r="J664">
        <f>MROUND(2.42*'Ammo Input'!M664^(1/3)*VLOOKUP(B664,AmmoTypeFactors,3,FALSE),0.5)</f>
        <v>2.5</v>
      </c>
      <c r="K664" s="25" t="str">
        <f>IF(VLOOKUP(B664,AmmoTypeFactors,12,FALSE),MROUND(J664/3,0.5),"None")</f>
        <v>None</v>
      </c>
      <c r="L664" s="25" t="str">
        <f>IF(VLOOKUP(B664,AmmoTypeFactors,8,FALSE),"None",ROUNDUP(IF(Calcs!I664&gt;0,Calcs!I664,Calcs!H664),3))</f>
        <v>None</v>
      </c>
      <c r="M664" s="25" t="str">
        <f>IF(VLOOKUP(B664,AmmoTypeFactors,8,FALSE),"None",'Ammo Input'!L664)</f>
        <v>None</v>
      </c>
      <c r="N664">
        <f>'Ammo Input'!O664</f>
        <v>5</v>
      </c>
      <c r="O664" t="e">
        <f>ROUND((P664*0.0036+SUMPRODUCT(Q664:AB664,VLOOKUP($Q$1:$AB$1,IngredientStats,2,FALSE)))/N664*IF('Ammo Input'!R664,0.5,1),2)</f>
        <v>#VALUE!</v>
      </c>
      <c r="P664" t="e">
        <f>(SUMPRODUCT(Q664:AB664,VLOOKUP($Q$1:$AB$1,IngredientStats,4,FALSE))*VLOOKUP(B664,AmmoTypeFactors,14,FALSE)*IF('Ammo Input'!R664,1.1,1))</f>
        <v>#VALUE!</v>
      </c>
      <c r="Q664">
        <f>IFERROR(__xludf.DUMMYFUNCTION("((IF(NOT(OR(REGEXMATCH(B660, ""Arrow""), B660 = ""Javelin"", B660 = ""Stick bomb"")), ROUNDUP(('Ammo Input'!E660 / 1000) * N660)) + IF(VLOOKUP(B660, AmmoTypeFactors, 9, FALSE) = ""Steel"", ROUNDUP(('Ammo Input'!H660 -'Ammo Input'!M660) * MAX(IF('Ammo Inpu"&amp;"t'!J660 &gt; 0, 'Ammo Input'!J660, 1), 1) * N660 / 1000))) / 'Ingredient stats'!$C$2) * IF(ISBLANK(VLOOKUP(B660,AmmoTypeFactors,15,False)),1,VLOOKUP(B660,AmmoTypeFactors,15,False))"),180)</f>
        <v>180</v>
      </c>
      <c r="R664">
        <f>IFERROR(__xludf.DUMMYFUNCTION("ROUNDUP((IF(REGEXMATCH(B660, ""Arrow"") + (B660 = ""Javelin""), 'Ammo Input'!E660) + IF(VLOOKUP(B660, AmmoTypeFactors, 9, FALSE) = ""Wood"", 'Ammo Input'!H660) + IF(B660 = ""Stick bomb"", 'Ammo Input'!E660)) * N660 / 'Ingredient stats'!$C$12 / 1000)"),0)</f>
        <v>0</v>
      </c>
      <c r="S664">
        <v>0</v>
      </c>
      <c r="T664">
        <v>0</v>
      </c>
      <c r="U664">
        <f>IF(VLOOKUP(B664,AmmoTypeFactors,9,FALSE)="Plasteel",ROUNDUP(('Ammo Input'!H664*MAX(IF('Ammo Input'!J664&gt;0,'Ammo Input'!J664,1)*N664/1000/'Ingredient stats'!$C$4)),0),0)</f>
        <v>0</v>
      </c>
      <c r="V664">
        <f>IFERROR(__xludf.DUMMYFUNCTION("ROUNDUP(IF(ISBLANK(VLOOKUP(B660,AmmoTypeFactors,16,False)),1,VLOOKUP(B660,AmmoTypeFactors,16,False)) * (IFS(REGEXMATCH(B660, ""EMP""), 'Ammo Input'!M660 * N660 / 'Ingredient stats'!$C$5, REGEXMATCH(B660, ""Charge""), (U660^0.75), true, 0) + (IF(VLOOKUP(B6"&amp;"60, AmmoTypeFactors, 10, false), 2,0) + IF('Ammo Input'!P660, 2,0) + IF('Ammo Input'!Q660,MIN(ROUNDUP(0.2*('Ammo Input'!H660/1000)*'Ammo Input'!O660,0),20),0))))"),2)</f>
        <v>2</v>
      </c>
      <c r="W664">
        <v>0</v>
      </c>
      <c r="X664">
        <v>10</v>
      </c>
      <c r="Y664">
        <v>0</v>
      </c>
      <c r="Z664">
        <v>0</v>
      </c>
      <c r="AA664">
        <v>0</v>
      </c>
      <c r="AB664" s="30">
        <f>IF(B664="Sling Bullet (Stone)",ROUNDUP(D664*0.02*E664/'Ingredient stats'!$C$8,0),0)</f>
        <v>0</v>
      </c>
      <c r="AC664" t="str">
        <f t="shared" si="28"/>
        <v>None</v>
      </c>
      <c r="AD664" t="str">
        <f>IF(OR(B664="Buck",B664="Bird",B664="Charge (Scatter)"),'Ammo Input'!J664,"None")</f>
        <v>None</v>
      </c>
      <c r="AE664">
        <f>_xlfn.IFS(ISTEXT(Calcs!N664),Calcs!N664,Calcs!N664&lt;=40,Calcs!N664,Calcs!N664&gt;41,"40")</f>
        <v>36</v>
      </c>
      <c r="AF664">
        <f>_xlfn.IFS(ISTEXT(Calcs!O664),Calcs!O664,Calcs!O664&lt;=80,Calcs!O664,Calcs!O664&gt;=81,"80")</f>
        <v>24</v>
      </c>
      <c r="AG664" s="25">
        <f t="shared" si="29"/>
        <v>3</v>
      </c>
      <c r="AH664" s="25">
        <f t="shared" si="30"/>
        <v>2.47</v>
      </c>
      <c r="AI664" s="25">
        <f t="shared" si="31"/>
        <v>2</v>
      </c>
    </row>
    <row r="665" ht="14.4" spans="1:35">
      <c r="A665" s="24" t="str">
        <f>'Ammo Input'!A665</f>
        <v>90mm Cannon</v>
      </c>
      <c r="B665" t="str">
        <f>'Ammo Input'!B665</f>
        <v>APCR</v>
      </c>
      <c r="C665">
        <f>ROUNDUP(('Ammo Input'!C665*(MAX('Ammo Input'!D665,'Ammo Input'!F665)*0.5)^2*PI())*3/1000000,2)</f>
        <v>22.41</v>
      </c>
      <c r="D665">
        <f>ROUNDUP(('Ammo Input'!E665+'Ammo Input'!H665*IF('Ammo Input'!J665&lt;&gt;"",MAX('Ammo Input'!J665,1),1))/1000,3)</f>
        <v>13.3</v>
      </c>
      <c r="E665">
        <f>MIN(5000,MAX(25,CEILING(Calcs!L665,_xlfn.IFS(Calcs!L665&lt;100,25,Calcs!L665&lt;250,50,Calcs!L665&lt;1000,250,Calcs!L665&gt;=1000,1000))))</f>
        <v>25</v>
      </c>
      <c r="F665">
        <f>ROUNDUP('Ammo Input'!G665^(3/4),0)</f>
        <v>204</v>
      </c>
      <c r="G665">
        <f>ROUND((0.5*((IF(OR(B665="HEAT",B665="HEDP"),'Ammo Input'!N665,'Ammo Input'!H665)/1000)*(IF(B665="HEAT",9000,IF(B665="HEDP",1500,'Ammo Input'!G665))^2))),0)</f>
        <v>4536000</v>
      </c>
      <c r="H665" s="25" t="str">
        <f>CONCATENATE(IF((B665="Foam")+(B665="Smoke"),"-",ROUND(Calcs!D665,0))," ",VLOOKUP(B665,AmmoTypeFactors,5,FALSE))</f>
        <v>304 Bullet</v>
      </c>
      <c r="I665" s="25" t="str">
        <f>IF(Calcs!E665=0,"None",CONCATENATE(ROUND(Calcs!E665,0)," ",VLOOKUP(B665,AmmoTypeFactors,6,FALSE)))</f>
        <v>None</v>
      </c>
      <c r="J665">
        <f>MROUND(2.42*'Ammo Input'!M665^(1/3)*VLOOKUP(B665,AmmoTypeFactors,3,FALSE),0.5)</f>
        <v>0</v>
      </c>
      <c r="K665" s="25" t="str">
        <f>IF(VLOOKUP(B665,AmmoTypeFactors,12,FALSE),MROUND(J665/3,0.5),"None")</f>
        <v>None</v>
      </c>
      <c r="L665" s="25">
        <f>IF(VLOOKUP(B665,AmmoTypeFactors,8,FALSE),"None",ROUNDUP(IF(Calcs!I665&gt;0,Calcs!I665,Calcs!H665),3))</f>
        <v>90720</v>
      </c>
      <c r="M665" s="25">
        <f>IF(VLOOKUP(B665,AmmoTypeFactors,8,FALSE),"None",'Ammo Input'!L665)</f>
        <v>300</v>
      </c>
      <c r="N665">
        <f>'Ammo Input'!O665</f>
        <v>5</v>
      </c>
      <c r="O665" t="e">
        <f>ROUND((P665*0.0036+SUMPRODUCT(Q665:AB665,VLOOKUP($Q$1:$AB$1,IngredientStats,2,FALSE)))/N665*IF('Ammo Input'!R665,0.5,1),2)</f>
        <v>#VALUE!</v>
      </c>
      <c r="P665" t="e">
        <f>(SUMPRODUCT(Q665:AB665,VLOOKUP($Q$1:$AB$1,IngredientStats,4,FALSE))*VLOOKUP(B665,AmmoTypeFactors,14,FALSE)*IF('Ammo Input'!R665,1.1,1))</f>
        <v>#VALUE!</v>
      </c>
      <c r="Q665">
        <f>IFERROR(__xludf.DUMMYFUNCTION("((IF(NOT(OR(REGEXMATCH(B661, ""Arrow""), B661 = ""Javelin"", B661 = ""Stick bomb"")), ROUNDUP(('Ammo Input'!E661 / 1000) * N661)) + IF(VLOOKUP(B661, AmmoTypeFactors, 9, FALSE) = ""Steel"", ROUNDUP(('Ammo Input'!H661 -'Ammo Input'!M661) * MAX(IF('Ammo Inpu"&amp;"t'!J661 &gt; 0, 'Ammo Input'!J661, 1), 1) * N661 / 1000))) / 'Ingredient stats'!$C$2) * IF(ISBLANK(VLOOKUP(B661,AmmoTypeFactors,15,False)),1,VLOOKUP(B661,AmmoTypeFactors,15,False))"),140)</f>
        <v>140</v>
      </c>
      <c r="R665">
        <f>IFERROR(__xludf.DUMMYFUNCTION("ROUNDUP((IF(REGEXMATCH(B661, ""Arrow"") + (B661 = ""Javelin""), 'Ammo Input'!E661) + IF(VLOOKUP(B661, AmmoTypeFactors, 9, FALSE) = ""Wood"", 'Ammo Input'!H661) + IF(B661 = ""Stick bomb"", 'Ammo Input'!E661)) * N661 / 'Ingredient stats'!$C$12 / 1000)"),0)</f>
        <v>0</v>
      </c>
      <c r="S665">
        <v>32</v>
      </c>
      <c r="T665">
        <v>0</v>
      </c>
      <c r="U665">
        <f>IF(VLOOKUP(B665,AmmoTypeFactors,9,FALSE)="Plasteel",ROUNDUP(('Ammo Input'!H665*MAX(IF('Ammo Input'!J665&gt;0,'Ammo Input'!J665,1)*N665/1000/'Ingredient stats'!$C$4)),0),0)</f>
        <v>0</v>
      </c>
      <c r="V665">
        <f>IFERROR(__xludf.DUMMYFUNCTION("ROUNDUP(IF(ISBLANK(VLOOKUP(B661,AmmoTypeFactors,16,False)),1,VLOOKUP(B661,AmmoTypeFactors,16,False)) * (IFS(REGEXMATCH(B661, ""EMP""), 'Ammo Input'!M661 * N661 / 'Ingredient stats'!$C$5, REGEXMATCH(B661, ""Charge""), (U661^0.75), true, 0) + (IF(VLOOKUP(B6"&amp;"61, AmmoTypeFactors, 10, false), 2,0) + IF('Ammo Input'!P661, 2,0) + IF('Ammo Input'!Q661,MIN(ROUNDUP(0.2*('Ammo Input'!H661/1000)*'Ammo Input'!O661,0),20),0))))"),0)</f>
        <v>0</v>
      </c>
      <c r="W665">
        <v>0</v>
      </c>
      <c r="X665">
        <v>0</v>
      </c>
      <c r="Y665">
        <v>0</v>
      </c>
      <c r="Z665">
        <v>0</v>
      </c>
      <c r="AA665">
        <v>0</v>
      </c>
      <c r="AB665" s="30">
        <f>IF(B665="Sling Bullet (Stone)",ROUNDUP(D665*0.02*E665/'Ingredient stats'!$C$8,0),0)</f>
        <v>0</v>
      </c>
      <c r="AC665" t="str">
        <f t="shared" si="28"/>
        <v>None</v>
      </c>
      <c r="AD665" t="str">
        <f>IF(OR(B665="Buck",B665="Bird",B665="Charge (Scatter)"),'Ammo Input'!J665,"None")</f>
        <v>None</v>
      </c>
      <c r="AE665" t="str">
        <f>_xlfn.IFS(ISTEXT(Calcs!N665),Calcs!N665,Calcs!N665&lt;=40,Calcs!N665,Calcs!N665&gt;41,"40")</f>
        <v>None</v>
      </c>
      <c r="AF665" t="str">
        <f>_xlfn.IFS(ISTEXT(Calcs!O665),Calcs!O665,Calcs!O665&lt;=80,Calcs!O665,Calcs!O665&gt;=81,"80")</f>
        <v>None</v>
      </c>
      <c r="AG665" s="25">
        <f t="shared" si="29"/>
        <v>1</v>
      </c>
      <c r="AH665" s="25">
        <f t="shared" si="30"/>
        <v>3.33</v>
      </c>
      <c r="AI665" s="25">
        <f t="shared" si="31"/>
        <v>1</v>
      </c>
    </row>
    <row r="666" ht="14.4" spans="1:35">
      <c r="A666" s="24" t="str">
        <f>'Ammo Input'!A666</f>
        <v>90mm Cannon</v>
      </c>
      <c r="B666" t="str">
        <f>'Ammo Input'!B666</f>
        <v>EMP</v>
      </c>
      <c r="C666">
        <f>ROUNDUP(('Ammo Input'!C666*(MAX('Ammo Input'!D666,'Ammo Input'!F666)*0.5)^2*PI())*3/1000000,2)</f>
        <v>22.41</v>
      </c>
      <c r="D666">
        <f>ROUNDUP(('Ammo Input'!E666+'Ammo Input'!H666*IF('Ammo Input'!J666&lt;&gt;"",MAX('Ammo Input'!J666,1),1))/1000,3)</f>
        <v>18</v>
      </c>
      <c r="E666">
        <f>MIN(5000,MAX(25,CEILING(Calcs!L666,_xlfn.IFS(Calcs!L666&lt;100,25,Calcs!L666&lt;250,50,Calcs!L666&lt;1000,250,Calcs!L666&gt;=1000,1000))))</f>
        <v>25</v>
      </c>
      <c r="F666">
        <f>ROUNDUP('Ammo Input'!G666^(3/4),0)</f>
        <v>151</v>
      </c>
      <c r="G666">
        <f>ROUND((0.5*((IF(OR(B666="HEAT",B666="HEDP"),'Ammo Input'!N666,'Ammo Input'!H666)/1000)*(IF(B666="HEAT",9000,IF(B666="HEDP",1500,'Ammo Input'!G666))^2))),0)</f>
        <v>3520000</v>
      </c>
      <c r="H666" s="25" t="str">
        <f>CONCATENATE(IF((B666="Foam")+(B666="Smoke"),"-",ROUND(Calcs!D666,0))," ",VLOOKUP(B666,AmmoTypeFactors,5,FALSE))</f>
        <v>152 EMP</v>
      </c>
      <c r="I666" s="25" t="str">
        <f>IF(Calcs!E666=0,"None",CONCATENATE(ROUND(Calcs!E666,0)," ",VLOOKUP(B666,AmmoTypeFactors,6,FALSE)))</f>
        <v>None</v>
      </c>
      <c r="J666">
        <f>MROUND(2.42*'Ammo Input'!M666^(1/3)*VLOOKUP(B666,AmmoTypeFactors,3,FALSE),0.5)</f>
        <v>5</v>
      </c>
      <c r="K666" s="25" t="str">
        <f>IF(VLOOKUP(B666,AmmoTypeFactors,12,FALSE),MROUND(J666/3,0.5),"None")</f>
        <v>None</v>
      </c>
      <c r="L666" s="25" t="str">
        <f>IF(VLOOKUP(B666,AmmoTypeFactors,8,FALSE),"None",ROUNDUP(IF(Calcs!I666&gt;0,Calcs!I666,Calcs!H666),3))</f>
        <v>None</v>
      </c>
      <c r="M666" s="25" t="str">
        <f>IF(VLOOKUP(B666,AmmoTypeFactors,8,FALSE),"None",'Ammo Input'!L666)</f>
        <v>None</v>
      </c>
      <c r="N666">
        <f>'Ammo Input'!O666</f>
        <v>5</v>
      </c>
      <c r="O666" t="e">
        <f>ROUND((P666*0.0036+SUMPRODUCT(Q666:AB666,VLOOKUP($Q$1:$AB$1,IngredientStats,2,FALSE)))/N666*IF('Ammo Input'!R666,0.5,1),2)</f>
        <v>#VALUE!</v>
      </c>
      <c r="P666" t="e">
        <f>(SUMPRODUCT(Q666:AB666,VLOOKUP($Q$1:$AB$1,IngredientStats,4,FALSE))*VLOOKUP(B666,AmmoTypeFactors,14,FALSE)*IF('Ammo Input'!R666,1.1,1))</f>
        <v>#VALUE!</v>
      </c>
      <c r="Q666">
        <f>IFERROR(__xludf.DUMMYFUNCTION("((IF(NOT(OR(REGEXMATCH(B662, ""Arrow""), B662 = ""Javelin"", B662 = ""Stick bomb"")), ROUNDUP(('Ammo Input'!E662 / 1000) * N662)) + IF(VLOOKUP(B662, AmmoTypeFactors, 9, FALSE) = ""Steel"", ROUNDUP(('Ammo Input'!H662 -'Ammo Input'!M662) * MAX(IF('Ammo Inpu"&amp;"t'!J662 &gt; 0, 'Ammo Input'!J662, 1), 1) * N662 / 1000))) / 'Ingredient stats'!$C$2) * IF(ISBLANK(VLOOKUP(B662,AmmoTypeFactors,15,False)),1,VLOOKUP(B662,AmmoTypeFactors,15,False))"),180)</f>
        <v>180</v>
      </c>
      <c r="R666">
        <f>IFERROR(__xludf.DUMMYFUNCTION("ROUNDUP((IF(REGEXMATCH(B662, ""Arrow"") + (B662 = ""Javelin""), 'Ammo Input'!E662) + IF(VLOOKUP(B662, AmmoTypeFactors, 9, FALSE) = ""Wood"", 'Ammo Input'!H662) + IF(B662 = ""Stick bomb"", 'Ammo Input'!E662)) * N662 / 'Ingredient stats'!$C$12 / 1000)"),0)</f>
        <v>0</v>
      </c>
      <c r="S666">
        <v>0</v>
      </c>
      <c r="T666">
        <v>0</v>
      </c>
      <c r="U666">
        <f>IF(VLOOKUP(B666,AmmoTypeFactors,9,FALSE)="Plasteel",ROUNDUP(('Ammo Input'!H666*MAX(IF('Ammo Input'!J666&gt;0,'Ammo Input'!J666,1)*N666/1000/'Ingredient stats'!$C$4)),0),0)</f>
        <v>0</v>
      </c>
      <c r="V666">
        <f>IFERROR(__xludf.DUMMYFUNCTION("ROUNDUP(IF(ISBLANK(VLOOKUP(B662,AmmoTypeFactors,16,False)),1,VLOOKUP(B662,AmmoTypeFactors,16,False)) * (IFS(REGEXMATCH(B662, ""EMP""), 'Ammo Input'!M662 * N662 / 'Ingredient stats'!$C$5, REGEXMATCH(B662, ""Charge""), (U662^0.75), true, 0) + (IF(VLOOKUP(B6"&amp;"62, AmmoTypeFactors, 10, false), 2,0) + IF('Ammo Input'!P662, 2,0) + IF('Ammo Input'!Q662,MIN(ROUNDUP(0.2*('Ammo Input'!H662/1000)*'Ammo Input'!O662,0),20),0))))"),13)</f>
        <v>13</v>
      </c>
      <c r="W666">
        <v>0</v>
      </c>
      <c r="X666">
        <v>0</v>
      </c>
      <c r="Y666">
        <v>0</v>
      </c>
      <c r="Z666">
        <v>0</v>
      </c>
      <c r="AA666">
        <v>0</v>
      </c>
      <c r="AB666" s="30">
        <f>IF(B666="Sling Bullet (Stone)",ROUNDUP(D666*0.02*E666/'Ingredient stats'!$C$8,0),0)</f>
        <v>0</v>
      </c>
      <c r="AC666" t="str">
        <f t="shared" si="28"/>
        <v>None</v>
      </c>
      <c r="AD666" t="str">
        <f>IF(OR(B666="Buck",B666="Bird",B666="Charge (Scatter)"),'Ammo Input'!J666,"None")</f>
        <v>None</v>
      </c>
      <c r="AE666" t="str">
        <f>_xlfn.IFS(ISTEXT(Calcs!N666),Calcs!N666,Calcs!N666&lt;=40,Calcs!N666,Calcs!N666&gt;41,"40")</f>
        <v>None</v>
      </c>
      <c r="AF666" t="str">
        <f>_xlfn.IFS(ISTEXT(Calcs!O666),Calcs!O666,Calcs!O666&lt;=80,Calcs!O666,Calcs!O666&gt;=81,"80")</f>
        <v>None</v>
      </c>
      <c r="AG666" s="25">
        <f t="shared" si="29"/>
        <v>3</v>
      </c>
      <c r="AH666" s="25">
        <f t="shared" si="30"/>
        <v>2.47</v>
      </c>
      <c r="AI666" s="25">
        <f t="shared" si="31"/>
        <v>2</v>
      </c>
    </row>
    <row r="667" ht="14.4" spans="1:35">
      <c r="A667" s="14" t="s">
        <v>231</v>
      </c>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row>
    <row r="668" ht="14.4" spans="1:35">
      <c r="A668" s="24" t="str">
        <f>'Ammo Input'!A668</f>
        <v>Crossbow Bolt</v>
      </c>
      <c r="B668" t="str">
        <f>'Ammo Input'!B668</f>
        <v>Arrow (Stone)</v>
      </c>
      <c r="C668">
        <f>ROUNDUP(('Ammo Input'!C668*(MAX('Ammo Input'!D668,'Ammo Input'!F668)*0.5)^2*PI())*3/1000000,2)</f>
        <v>0.24</v>
      </c>
      <c r="D668">
        <f>ROUNDUP(('Ammo Input'!E668+'Ammo Input'!H668*IF('Ammo Input'!J668&lt;&gt;"",MAX('Ammo Input'!J668,1),1))/1000,3)</f>
        <v>0.081</v>
      </c>
      <c r="E668">
        <f>MIN(5000,MAX(25,CEILING(Calcs!L668,_xlfn.IFS(Calcs!L668&lt;100,25,Calcs!L668&lt;250,50,Calcs!L668&lt;1000,250,Calcs!L668&gt;=1000,1000))))</f>
        <v>4000</v>
      </c>
      <c r="F668">
        <f>ROUNDUP('Ammo Input'!G668^(3/4),0)</f>
        <v>19</v>
      </c>
      <c r="G668">
        <f>ROUND((0.5*((IF(OR(B668="HEAT",B668="HEDP"),'Ammo Input'!N668,'Ammo Input'!H668)/1000)*(IF(B668="HEAT",9000,IF(B668="HEDP",1500,'Ammo Input'!G668))^2))),0)</f>
        <v>50</v>
      </c>
      <c r="H668" s="25" t="str">
        <f>CONCATENATE(IF((B668="Foam")+(B668="Smoke"),"-",ROUND(Calcs!D668,0))," ",VLOOKUP(B668,AmmoTypeFactors,5,FALSE))</f>
        <v>8 Arrow</v>
      </c>
      <c r="I668" s="25" t="str">
        <f>IF(Calcs!E668=0,"None",CONCATENATE(ROUND(Calcs!E668,0)," ",VLOOKUP(B668,AmmoTypeFactors,6,FALSE)))</f>
        <v>None</v>
      </c>
      <c r="J668">
        <f>MROUND(2.42*'Ammo Input'!M668^(1/3)*VLOOKUP(B668,AmmoTypeFactors,3,FALSE),0.5)</f>
        <v>0</v>
      </c>
      <c r="K668" s="25" t="str">
        <f>IF(VLOOKUP(B668,AmmoTypeFactors,12,FALSE),MROUND(J668/3,0.5),"None")</f>
        <v>None</v>
      </c>
      <c r="L668" s="25">
        <f>IF(VLOOKUP(B668,AmmoTypeFactors,8,FALSE),"None",ROUNDUP(IF(Calcs!I668&gt;0,Calcs!I668,Calcs!H668),3))</f>
        <v>1</v>
      </c>
      <c r="M668" s="25">
        <f>IF(VLOOKUP(B668,AmmoTypeFactors,8,FALSE),"None",'Ammo Input'!L668)</f>
        <v>1.5</v>
      </c>
      <c r="N668">
        <f>'Ammo Input'!O668</f>
        <v>10</v>
      </c>
      <c r="O668" t="e">
        <f>ROUND((P668*0.0036+SUMPRODUCT(Q668:AB668,VLOOKUP($Q$1:$AB$1,IngredientStats,2,FALSE)))/N668*IF('Ammo Input'!R668,0.5,1),2)</f>
        <v>#VALUE!</v>
      </c>
      <c r="P668" t="e">
        <f>(SUMPRODUCT(Q668:AB668,VLOOKUP($Q$1:$AB$1,IngredientStats,4,FALSE))*VLOOKUP(B668,AmmoTypeFactors,14,FALSE)*IF('Ammo Input'!R668,1.1,1))</f>
        <v>#VALUE!</v>
      </c>
      <c r="Q668">
        <f>IFERROR(__xludf.DUMMYFUNCTION("((IF(NOT(OR(REGEXMATCH(B664, ""Arrow""), B664 = ""Javelin"", B664 = ""Stick bomb"")), ROUNDUP(('Ammo Input'!E664 / 1000) * N664)) + IF(VLOOKUP(B664, AmmoTypeFactors, 9, FALSE) = ""Steel"", ROUNDUP(('Ammo Input'!H664 -'Ammo Input'!M664) * MAX(IF('Ammo Inpu"&amp;"t'!J664 &gt; 0, 'Ammo Input'!J664, 1), 1) * N664 / 1000))) / 'Ingredient stats'!$C$2) * IF(ISBLANK(VLOOKUP(B664,AmmoTypeFactors,15,False)),1,VLOOKUP(B664,AmmoTypeFactors,15,False))"),0)</f>
        <v>0</v>
      </c>
      <c r="R668">
        <f>IFERROR(__xludf.DUMMYFUNCTION("ROUNDUP((IF(REGEXMATCH(B664, ""Arrow"") + (B664 = ""Javelin""), 'Ammo Input'!E664) + IF(VLOOKUP(B664, AmmoTypeFactors, 9, FALSE) = ""Wood"", 'Ammo Input'!H664) + IF(B664 = ""Stick bomb"", 'Ammo Input'!E664)) * N664 / 'Ingredient stats'!$C$12 / 1000)"),3)</f>
        <v>3</v>
      </c>
      <c r="S668">
        <v>0</v>
      </c>
      <c r="T668">
        <v>0</v>
      </c>
      <c r="U668">
        <f>IF(VLOOKUP(B668,AmmoTypeFactors,9,FALSE)="Plasteel",ROUNDUP(('Ammo Input'!H668*MAX(IF('Ammo Input'!J668&gt;0,'Ammo Input'!J668,1)*N668/1000/'Ingredient stats'!$C$4)),0),0)</f>
        <v>0</v>
      </c>
      <c r="V668">
        <f>IFERROR(__xludf.DUMMYFUNCTION("ROUNDUP(IF(ISBLANK(VLOOKUP(B664,AmmoTypeFactors,16,False)),1,VLOOKUP(B664,AmmoTypeFactors,16,False)) * (IFS(REGEXMATCH(B664, ""EMP""), 'Ammo Input'!M664 * N664 / 'Ingredient stats'!$C$5, REGEXMATCH(B664, ""Charge""), (U664^0.75), true, 0) + (IF(VLOOKUP(B6"&amp;"64, AmmoTypeFactors, 10, false), 2,0) + IF('Ammo Input'!P664, 2,0) + IF('Ammo Input'!Q664,MIN(ROUNDUP(0.2*('Ammo Input'!H664/1000)*'Ammo Input'!O664,0),20),0))))"),0)</f>
        <v>0</v>
      </c>
      <c r="W668">
        <v>0</v>
      </c>
      <c r="X668">
        <v>0</v>
      </c>
      <c r="Y668">
        <v>0</v>
      </c>
      <c r="Z668">
        <v>0</v>
      </c>
      <c r="AA668" s="30">
        <v>0</v>
      </c>
      <c r="AB668" s="30">
        <f>IF(B668="Sling Bullet (Stone)",ROUNDUP(D668*0.02*E668/'Ingredient stats'!$C$8,0),0)</f>
        <v>0</v>
      </c>
      <c r="AC668" t="str">
        <f t="shared" ref="AC668:AC702" si="32">IF(B668="Buck",8.9,IF(B668="Bird",71.4,IF(B668="Beanbag",2,IF(OR(B668="Charge (Scatter)",B668="Charge (IonScatter)"),8.9,"None"))))</f>
        <v>None</v>
      </c>
      <c r="AD668" t="str">
        <f>IF(OR(B668="Buck",B668="Bird",B668="Charge (Scatter)"),'Ammo Input'!J668,"None")</f>
        <v>None</v>
      </c>
      <c r="AE668" t="str">
        <f>_xlfn.IFS(ISTEXT(Calcs!N668),Calcs!N668,Calcs!N668&lt;=40,Calcs!N668,Calcs!N668&gt;41,"40")</f>
        <v>None</v>
      </c>
      <c r="AF668" t="str">
        <f>_xlfn.IFS(ISTEXT(Calcs!O668),Calcs!O668,Calcs!O668&lt;=80,Calcs!O668,Calcs!O668&gt;=81,"80")</f>
        <v>None</v>
      </c>
      <c r="AG668" s="25">
        <f t="shared" ref="AG668:AG702" si="33">IF(IFERROR(FIND("-",$H668),0),0,IF($J668,3,1))</f>
        <v>1</v>
      </c>
      <c r="AH668" s="25">
        <f t="shared" ref="AH668:AH702" si="34">IFERROR(ROUND(200/(CEILING(200/$F668*60,1)+1),2),"-")</f>
        <v>0.32</v>
      </c>
      <c r="AI668" s="25">
        <f t="shared" ref="AI668:AI702" si="35">IF(IFERROR(FIND("-",$H668),0),0,IF($J668,2,1))</f>
        <v>1</v>
      </c>
    </row>
    <row r="669" ht="14.4" spans="1:35">
      <c r="A669" s="24" t="str">
        <f>'Ammo Input'!A669</f>
        <v>Crossbow Bolt</v>
      </c>
      <c r="B669" t="str">
        <f>'Ammo Input'!B669</f>
        <v>Arrow (Steel)</v>
      </c>
      <c r="C669">
        <f>ROUNDUP(('Ammo Input'!C669*(MAX('Ammo Input'!D669,'Ammo Input'!F669)*0.5)^2*PI())*3/1000000,2)</f>
        <v>0.24</v>
      </c>
      <c r="D669">
        <f>ROUNDUP(('Ammo Input'!E669+'Ammo Input'!H669*IF('Ammo Input'!J669&lt;&gt;"",MAX('Ammo Input'!J669,1),1))/1000,3)</f>
        <v>0.131</v>
      </c>
      <c r="E669">
        <f>MIN(5000,MAX(25,CEILING(Calcs!L669,_xlfn.IFS(Calcs!L669&lt;100,25,Calcs!L669&lt;250,50,Calcs!L669&lt;1000,250,Calcs!L669&gt;=1000,1000))))</f>
        <v>4000</v>
      </c>
      <c r="F669">
        <f>ROUNDUP('Ammo Input'!G669^(3/4),0)</f>
        <v>28</v>
      </c>
      <c r="G669">
        <f>ROUND((0.5*((IF(OR(B669="HEAT",B669="HEDP"),'Ammo Input'!N669,'Ammo Input'!H669)/1000)*(IF(B669="HEAT",9000,IF(B669="HEDP",1500,'Ammo Input'!G669))^2))),0)</f>
        <v>325</v>
      </c>
      <c r="H669" s="25" t="str">
        <f>CONCATENATE(IF((B669="Foam")+(B669="Smoke"),"-",ROUND(Calcs!D669,0))," ",VLOOKUP(B669,AmmoTypeFactors,5,FALSE))</f>
        <v>11 Arrow</v>
      </c>
      <c r="I669" s="25" t="str">
        <f>IF(Calcs!E669=0,"None",CONCATENATE(ROUND(Calcs!E669,0)," ",VLOOKUP(B669,AmmoTypeFactors,6,FALSE)))</f>
        <v>None</v>
      </c>
      <c r="J669">
        <f>MROUND(2.42*'Ammo Input'!M669^(1/3)*VLOOKUP(B669,AmmoTypeFactors,3,FALSE),0.5)</f>
        <v>0</v>
      </c>
      <c r="K669" s="25" t="str">
        <f>IF(VLOOKUP(B669,AmmoTypeFactors,12,FALSE),MROUND(J669/3,0.5),"None")</f>
        <v>None</v>
      </c>
      <c r="L669" s="25">
        <f>IF(VLOOKUP(B669,AmmoTypeFactors,8,FALSE),"None",ROUNDUP(IF(Calcs!I669&gt;0,Calcs!I669,Calcs!H669),3))</f>
        <v>6.5</v>
      </c>
      <c r="M669" s="25">
        <f>IF(VLOOKUP(B669,AmmoTypeFactors,8,FALSE),"None",'Ammo Input'!L669)</f>
        <v>2.5</v>
      </c>
      <c r="N669">
        <f>'Ammo Input'!O669</f>
        <v>10</v>
      </c>
      <c r="O669" t="e">
        <f>ROUND((P669*0.0036+SUMPRODUCT(Q669:AB669,VLOOKUP($Q$1:$AB$1,IngredientStats,2,FALSE)))/N669*IF('Ammo Input'!R669,0.5,1),2)</f>
        <v>#VALUE!</v>
      </c>
      <c r="P669" t="e">
        <f>(SUMPRODUCT(Q669:AB669,VLOOKUP($Q$1:$AB$1,IngredientStats,4,FALSE))*VLOOKUP(B669,AmmoTypeFactors,14,FALSE)*IF('Ammo Input'!R669,1.1,1))</f>
        <v>#VALUE!</v>
      </c>
      <c r="Q669">
        <f>IFERROR(__xludf.DUMMYFUNCTION("((IF(NOT(OR(REGEXMATCH(B665, ""Arrow""), B665 = ""Javelin"", B665 = ""Stick bomb"")), ROUNDUP(('Ammo Input'!E665 / 1000) * N665)) + IF(VLOOKUP(B665, AmmoTypeFactors, 9, FALSE) = ""Steel"", ROUNDUP(('Ammo Input'!H665 -'Ammo Input'!M665) * MAX(IF('Ammo Inpu"&amp;"t'!J665 &gt; 0, 'Ammo Input'!J665, 1), 1) * N665 / 1000))) / 'Ingredient stats'!$C$2) * IF(ISBLANK(VLOOKUP(B665,AmmoTypeFactors,15,False)),1,VLOOKUP(B665,AmmoTypeFactors,15,False))"),2)</f>
        <v>2</v>
      </c>
      <c r="R669">
        <f>IFERROR(__xludf.DUMMYFUNCTION("ROUNDUP((IF(REGEXMATCH(B665, ""Arrow"") + (B665 = ""Javelin""), 'Ammo Input'!E665) + IF(VLOOKUP(B665, AmmoTypeFactors, 9, FALSE) = ""Wood"", 'Ammo Input'!H665) + IF(B665 = ""Stick bomb"", 'Ammo Input'!E665)) * N665 / 'Ingredient stats'!$C$12 / 1000)"),2)</f>
        <v>2</v>
      </c>
      <c r="S669">
        <v>0</v>
      </c>
      <c r="T669">
        <v>0</v>
      </c>
      <c r="U669">
        <f>IF(VLOOKUP(B669,AmmoTypeFactors,9,FALSE)="Plasteel",ROUNDUP(('Ammo Input'!H669*MAX(IF('Ammo Input'!J669&gt;0,'Ammo Input'!J669,1)*N669/1000/'Ingredient stats'!$C$4)),0),0)</f>
        <v>0</v>
      </c>
      <c r="V669">
        <f>IFERROR(__xludf.DUMMYFUNCTION("ROUNDUP(IF(ISBLANK(VLOOKUP(B665,AmmoTypeFactors,16,False)),1,VLOOKUP(B665,AmmoTypeFactors,16,False)) * (IFS(REGEXMATCH(B665, ""EMP""), 'Ammo Input'!M665 * N665 / 'Ingredient stats'!$C$5, REGEXMATCH(B665, ""Charge""), (U665^0.75), true, 0) + (IF(VLOOKUP(B6"&amp;"65, AmmoTypeFactors, 10, false), 2,0) + IF('Ammo Input'!P665, 2,0) + IF('Ammo Input'!Q665,MIN(ROUNDUP(0.2*('Ammo Input'!H665/1000)*'Ammo Input'!O665,0),20),0))))"),0)</f>
        <v>0</v>
      </c>
      <c r="W669">
        <v>0</v>
      </c>
      <c r="X669">
        <v>0</v>
      </c>
      <c r="Y669">
        <v>0</v>
      </c>
      <c r="Z669">
        <v>0</v>
      </c>
      <c r="AA669">
        <v>0</v>
      </c>
      <c r="AB669" s="30">
        <f>IF(B669="Sling Bullet (Stone)",ROUNDUP(D669*0.02*E669/'Ingredient stats'!$C$8,0),0)</f>
        <v>0</v>
      </c>
      <c r="AC669" t="str">
        <f t="shared" si="32"/>
        <v>None</v>
      </c>
      <c r="AD669" t="str">
        <f>IF(OR(B669="Buck",B669="Bird",B669="Charge (Scatter)"),'Ammo Input'!J669,"None")</f>
        <v>None</v>
      </c>
      <c r="AE669" t="str">
        <f>_xlfn.IFS(ISTEXT(Calcs!N669),Calcs!N669,Calcs!N669&lt;=40,Calcs!N669,Calcs!N669&gt;41,"40")</f>
        <v>None</v>
      </c>
      <c r="AF669" t="str">
        <f>_xlfn.IFS(ISTEXT(Calcs!O669),Calcs!O669,Calcs!O669&lt;=80,Calcs!O669,Calcs!O669&gt;=81,"80")</f>
        <v>None</v>
      </c>
      <c r="AG669" s="25">
        <f t="shared" si="33"/>
        <v>1</v>
      </c>
      <c r="AH669" s="25">
        <f t="shared" si="34"/>
        <v>0.47</v>
      </c>
      <c r="AI669" s="25">
        <f t="shared" si="35"/>
        <v>1</v>
      </c>
    </row>
    <row r="670" ht="14.4" spans="1:35">
      <c r="A670" s="24" t="str">
        <f>'Ammo Input'!A670</f>
        <v>Crossbow Bolt</v>
      </c>
      <c r="B670" t="str">
        <f>'Ammo Input'!B670</f>
        <v>Arrow (Plasteel)</v>
      </c>
      <c r="C670">
        <f>ROUNDUP(('Ammo Input'!C670*(MAX('Ammo Input'!D670,'Ammo Input'!F670)*0.5)^2*PI())*3/1000000,2)</f>
        <v>0.24</v>
      </c>
      <c r="D670">
        <f>ROUNDUP(('Ammo Input'!E670+'Ammo Input'!H670*IF('Ammo Input'!J670&lt;&gt;"",MAX('Ammo Input'!J670,1),1))/1000,3)</f>
        <v>0.131</v>
      </c>
      <c r="E670">
        <f>MIN(5000,MAX(25,CEILING(Calcs!L670,_xlfn.IFS(Calcs!L670&lt;100,25,Calcs!L670&lt;250,50,Calcs!L670&lt;1000,250,Calcs!L670&gt;=1000,1000))))</f>
        <v>4000</v>
      </c>
      <c r="F670">
        <f>ROUNDUP('Ammo Input'!G670^(3/4),0)</f>
        <v>31</v>
      </c>
      <c r="G670">
        <f>ROUND((0.5*((IF(OR(B670="HEAT",B670="HEDP"),'Ammo Input'!N670,'Ammo Input'!H670)/1000)*(IF(B670="HEAT",9000,IF(B670="HEDP",1500,'Ammo Input'!G670))^2))),0)</f>
        <v>406</v>
      </c>
      <c r="H670" s="25" t="str">
        <f>CONCATENATE(IF((B670="Foam")+(B670="Smoke"),"-",ROUND(Calcs!D670,0))," ",VLOOKUP(B670,AmmoTypeFactors,5,FALSE))</f>
        <v>10 Arrow</v>
      </c>
      <c r="I670" s="25" t="str">
        <f>IF(Calcs!E670=0,"None",CONCATENATE(ROUND(Calcs!E670,0)," ",VLOOKUP(B670,AmmoTypeFactors,6,FALSE)))</f>
        <v>None</v>
      </c>
      <c r="J670">
        <f>MROUND(2.42*'Ammo Input'!M670^(1/3)*VLOOKUP(B670,AmmoTypeFactors,3,FALSE),0.5)</f>
        <v>0</v>
      </c>
      <c r="K670" s="25" t="str">
        <f>IF(VLOOKUP(B670,AmmoTypeFactors,12,FALSE),MROUND(J670/3,0.5),"None")</f>
        <v>None</v>
      </c>
      <c r="L670" s="25">
        <f>IF(VLOOKUP(B670,AmmoTypeFactors,8,FALSE),"None",ROUNDUP(IF(Calcs!I670&gt;0,Calcs!I670,Calcs!H670),3))</f>
        <v>8.12</v>
      </c>
      <c r="M670" s="25">
        <f>IF(VLOOKUP(B670,AmmoTypeFactors,8,FALSE),"None",'Ammo Input'!L670)</f>
        <v>3.5</v>
      </c>
      <c r="N670">
        <f>'Ammo Input'!O670</f>
        <v>10</v>
      </c>
      <c r="O670" t="e">
        <f>ROUND((P670*0.0036+SUMPRODUCT(Q670:AB670,VLOOKUP($Q$1:$AB$1,IngredientStats,2,FALSE)))/N670*IF('Ammo Input'!R670,0.5,1),2)</f>
        <v>#VALUE!</v>
      </c>
      <c r="P670" t="e">
        <f>(SUMPRODUCT(Q670:AB670,VLOOKUP($Q$1:$AB$1,IngredientStats,4,FALSE))*VLOOKUP(B670,AmmoTypeFactors,14,FALSE)*IF('Ammo Input'!R670,1.1,1))</f>
        <v>#VALUE!</v>
      </c>
      <c r="Q670">
        <f>IFERROR(__xludf.DUMMYFUNCTION("((IF(NOT(OR(REGEXMATCH(B666, ""Arrow""), B666 = ""Javelin"", B666 = ""Stick bomb"")), ROUNDUP(('Ammo Input'!E666 / 1000) * N666)) + IF(VLOOKUP(B666, AmmoTypeFactors, 9, FALSE) = ""Steel"", ROUNDUP(('Ammo Input'!H666 -'Ammo Input'!M666) * MAX(IF('Ammo Inpu"&amp;"t'!J666 &gt; 0, 'Ammo Input'!J666, 1), 1) * N666 / 1000))) / 'Ingredient stats'!$C$2) * IF(ISBLANK(VLOOKUP(B666,AmmoTypeFactors,15,False)),1,VLOOKUP(B666,AmmoTypeFactors,15,False))"),0)</f>
        <v>0</v>
      </c>
      <c r="R670">
        <f>IFERROR(__xludf.DUMMYFUNCTION("ROUNDUP((IF(REGEXMATCH(B666, ""Arrow"") + (B666 = ""Javelin""), 'Ammo Input'!E666) + IF(VLOOKUP(B666, AmmoTypeFactors, 9, FALSE) = ""Wood"", 'Ammo Input'!H666) + IF(B666 = ""Stick bomb"", 'Ammo Input'!E666)) * N666 / 'Ingredient stats'!$C$12 / 1000)"),2)</f>
        <v>2</v>
      </c>
      <c r="S670">
        <v>0</v>
      </c>
      <c r="T670">
        <v>0</v>
      </c>
      <c r="U670">
        <f>IF(VLOOKUP(B670,AmmoTypeFactors,9,FALSE)="Plasteel",ROUNDUP(('Ammo Input'!H670*MAX(IF('Ammo Input'!J670&gt;0,'Ammo Input'!J670,1)*N670/1000/'Ingredient stats'!$C$4)),0),0)</f>
        <v>4</v>
      </c>
      <c r="V670">
        <f>IFERROR(__xludf.DUMMYFUNCTION("ROUNDUP(IF(ISBLANK(VLOOKUP(B666,AmmoTypeFactors,16,False)),1,VLOOKUP(B666,AmmoTypeFactors,16,False)) * (IFS(REGEXMATCH(B666, ""EMP""), 'Ammo Input'!M666 * N666 / 'Ingredient stats'!$C$5, REGEXMATCH(B666, ""Charge""), (U666^0.75), true, 0) + (IF(VLOOKUP(B6"&amp;"66, AmmoTypeFactors, 10, false), 2,0) + IF('Ammo Input'!P666, 2,0) + IF('Ammo Input'!Q666,MIN(ROUNDUP(0.2*('Ammo Input'!H666/1000)*'Ammo Input'!O666,0),20),0))))"),0)</f>
        <v>0</v>
      </c>
      <c r="W670">
        <v>0</v>
      </c>
      <c r="X670">
        <v>0</v>
      </c>
      <c r="Y670">
        <v>0</v>
      </c>
      <c r="Z670">
        <v>0</v>
      </c>
      <c r="AA670">
        <v>0</v>
      </c>
      <c r="AB670" s="30">
        <f>IF(B670="Sling Bullet (Stone)",ROUNDUP(D670*0.02*E670/'Ingredient stats'!$C$8,0),0)</f>
        <v>0</v>
      </c>
      <c r="AC670" t="str">
        <f t="shared" si="32"/>
        <v>None</v>
      </c>
      <c r="AD670" t="str">
        <f>IF(OR(B670="Buck",B670="Bird",B670="Charge (Scatter)"),'Ammo Input'!J670,"None")</f>
        <v>None</v>
      </c>
      <c r="AE670" t="str">
        <f>_xlfn.IFS(ISTEXT(Calcs!N670),Calcs!N670,Calcs!N670&lt;=40,Calcs!N670,Calcs!N670&gt;41,"40")</f>
        <v>None</v>
      </c>
      <c r="AF670" t="str">
        <f>_xlfn.IFS(ISTEXT(Calcs!O670),Calcs!O670,Calcs!O670&lt;=80,Calcs!O670,Calcs!O670&gt;=81,"80")</f>
        <v>None</v>
      </c>
      <c r="AG670" s="25">
        <f t="shared" si="33"/>
        <v>1</v>
      </c>
      <c r="AH670" s="25">
        <f t="shared" si="34"/>
        <v>0.51</v>
      </c>
      <c r="AI670" s="25">
        <f t="shared" si="35"/>
        <v>1</v>
      </c>
    </row>
    <row r="671" ht="14.4" spans="1:35">
      <c r="A671" s="24" t="str">
        <f>'Ammo Input'!A671</f>
        <v>Crossbow Bolt</v>
      </c>
      <c r="B671" t="str">
        <f>'Ammo Input'!B671</f>
        <v>Arrow (Venom)</v>
      </c>
      <c r="C671">
        <f>ROUNDUP(('Ammo Input'!C671*(MAX('Ammo Input'!D671,'Ammo Input'!F671)*0.5)^2*PI())*3/1000000,2)</f>
        <v>0.24</v>
      </c>
      <c r="D671">
        <f>ROUNDUP(('Ammo Input'!E671+'Ammo Input'!H671*IF('Ammo Input'!J671&lt;&gt;"",MAX('Ammo Input'!J671,1),1))/1000,3)</f>
        <v>0.131</v>
      </c>
      <c r="E671">
        <f>MIN(5000,MAX(25,CEILING(Calcs!L671,_xlfn.IFS(Calcs!L671&lt;100,25,Calcs!L671&lt;250,50,Calcs!L671&lt;1000,250,Calcs!L671&gt;=1000,1000))))</f>
        <v>4000</v>
      </c>
      <c r="F671">
        <f>ROUNDUP('Ammo Input'!G671^(3/4),0)</f>
        <v>28</v>
      </c>
      <c r="G671">
        <f>ROUND((0.5*((IF(OR(B671="HEAT",B671="HEDP"),'Ammo Input'!N671,'Ammo Input'!H671)/1000)*(IF(B671="HEAT",9000,IF(B671="HEDP",1500,'Ammo Input'!G671))^2))),0)</f>
        <v>325</v>
      </c>
      <c r="H671" s="25" t="str">
        <f>CONCATENATE(IF((B671="Foam")+(B671="Smoke"),"-",ROUND(Calcs!D671,0))," ",VLOOKUP(B671,AmmoTypeFactors,5,FALSE))</f>
        <v>11 ArrowVenom</v>
      </c>
      <c r="I671" s="25" t="str">
        <f>IF(Calcs!E671=0,"None",CONCATENATE(ROUND(Calcs!E671,0)," ",VLOOKUP(B671,AmmoTypeFactors,6,FALSE)))</f>
        <v>None</v>
      </c>
      <c r="J671">
        <f>MROUND(2.42*'Ammo Input'!M671^(1/3)*VLOOKUP(B671,AmmoTypeFactors,3,FALSE),0.5)</f>
        <v>0</v>
      </c>
      <c r="K671" s="25" t="str">
        <f>IF(VLOOKUP(B671,AmmoTypeFactors,12,FALSE),MROUND(J671/3,0.5),"None")</f>
        <v>None</v>
      </c>
      <c r="L671" s="25">
        <f>IF(VLOOKUP(B671,AmmoTypeFactors,8,FALSE),"None",ROUNDUP(IF(Calcs!I671&gt;0,Calcs!I671,Calcs!H671),3))</f>
        <v>6.5</v>
      </c>
      <c r="M671" s="25">
        <f>IF(VLOOKUP(B671,AmmoTypeFactors,8,FALSE),"None",'Ammo Input'!L671)</f>
        <v>2.5</v>
      </c>
      <c r="N671">
        <f>'Ammo Input'!O671</f>
        <v>10</v>
      </c>
      <c r="O671" t="e">
        <f>ROUND((P671*0.0036+SUMPRODUCT(Q671:AB671,VLOOKUP($Q$1:$AB$1,IngredientStats,2,FALSE)))/N671*IF('Ammo Input'!R671,0.5,1),2)</f>
        <v>#VALUE!</v>
      </c>
      <c r="P671" t="e">
        <f>(SUMPRODUCT(Q671:AB671,VLOOKUP($Q$1:$AB$1,IngredientStats,4,FALSE))*VLOOKUP(B671,AmmoTypeFactors,14,FALSE)*IF('Ammo Input'!R671,1.1,1))</f>
        <v>#VALUE!</v>
      </c>
      <c r="Q671">
        <f>IFERROR(__xludf.DUMMYFUNCTION("((IF(NOT(OR(REGEXMATCH(B667, ""Arrow""), B667 = ""Javelin"", B667 = ""Stick bomb"")), ROUNDUP(('Ammo Input'!E667 / 1000) * N667)) + IF(VLOOKUP(B667, AmmoTypeFactors, 9, FALSE) = ""Steel"", ROUNDUP(('Ammo Input'!H667 -'Ammo Input'!M667) * MAX(IF('Ammo Inpu"&amp;"t'!J667 &gt; 0, 'Ammo Input'!J667, 1), 1) * N667 / 1000))) / 'Ingredient stats'!$C$2) * IF(ISBLANK(VLOOKUP(B667,AmmoTypeFactors,15,False)),1,VLOOKUP(B667,AmmoTypeFactors,15,False))"),2)</f>
        <v>2</v>
      </c>
      <c r="R671">
        <f>IFERROR(__xludf.DUMMYFUNCTION("ROUNDUP((IF(REGEXMATCH(B667, ""Arrow"") + (B667 = ""Javelin""), 'Ammo Input'!E667) + IF(VLOOKUP(B667, AmmoTypeFactors, 9, FALSE) = ""Wood"", 'Ammo Input'!H667) + IF(B667 = ""Stick bomb"", 'Ammo Input'!E667)) * N667 / 'Ingredient stats'!$C$12 / 1000)"),2)</f>
        <v>2</v>
      </c>
      <c r="S671">
        <v>0</v>
      </c>
      <c r="T671">
        <v>0</v>
      </c>
      <c r="U671">
        <f>IF(VLOOKUP(B671,AmmoTypeFactors,9,FALSE)="Plasteel",ROUNDUP(('Ammo Input'!H671*MAX(IF('Ammo Input'!J671&gt;0,'Ammo Input'!J671,1)*N671/1000/'Ingredient stats'!$C$4)),0),0)</f>
        <v>0</v>
      </c>
      <c r="V671">
        <f>IFERROR(__xludf.DUMMYFUNCTION("ROUNDUP(IF(ISBLANK(VLOOKUP(B667,AmmoTypeFactors,16,False)),1,VLOOKUP(B667,AmmoTypeFactors,16,False)) * (IFS(REGEXMATCH(B667, ""EMP""), 'Ammo Input'!M667 * N667 / 'Ingredient stats'!$C$5, REGEXMATCH(B667, ""Charge""), (U667^0.75), true, 0) + (IF(VLOOKUP(B6"&amp;"67, AmmoTypeFactors, 10, false), 2,0) + IF('Ammo Input'!P667, 2,0) + IF('Ammo Input'!Q667,MIN(ROUNDUP(0.2*('Ammo Input'!H667/1000)*'Ammo Input'!O667,0),20),0))))"),0)</f>
        <v>0</v>
      </c>
      <c r="W671">
        <v>0</v>
      </c>
      <c r="X671">
        <v>0</v>
      </c>
      <c r="Y671">
        <v>0</v>
      </c>
      <c r="Z671">
        <v>0</v>
      </c>
      <c r="AA671">
        <v>3</v>
      </c>
      <c r="AB671" s="30">
        <f>IF(B671="Sling Bullet (Stone)",ROUNDUP(D671*0.02*E671/'Ingredient stats'!$C$8,0),0)</f>
        <v>0</v>
      </c>
      <c r="AC671" t="str">
        <f t="shared" si="32"/>
        <v>None</v>
      </c>
      <c r="AD671" t="str">
        <f>IF(OR(B671="Buck",B671="Bird",B671="Charge (Scatter)"),'Ammo Input'!J671,"None")</f>
        <v>None</v>
      </c>
      <c r="AE671" t="str">
        <f>_xlfn.IFS(ISTEXT(Calcs!N671),Calcs!N671,Calcs!N671&lt;=40,Calcs!N671,Calcs!N671&gt;41,"40")</f>
        <v>None</v>
      </c>
      <c r="AF671" t="str">
        <f>_xlfn.IFS(ISTEXT(Calcs!O671),Calcs!O671,Calcs!O671&lt;=80,Calcs!O671,Calcs!O671&gt;=81,"80")</f>
        <v>None</v>
      </c>
      <c r="AG671" s="25">
        <f t="shared" si="33"/>
        <v>1</v>
      </c>
      <c r="AH671" s="25">
        <f t="shared" si="34"/>
        <v>0.47</v>
      </c>
      <c r="AI671" s="25">
        <f t="shared" si="35"/>
        <v>1</v>
      </c>
    </row>
    <row r="672" ht="14.4" spans="1:35">
      <c r="A672" s="24" t="str">
        <f>'Ammo Input'!A672</f>
        <v>Crossbow Bolt</v>
      </c>
      <c r="B672" t="str">
        <f>'Ammo Input'!B672</f>
        <v>Arrow (Flaming)</v>
      </c>
      <c r="C672">
        <f>ROUNDUP(('Ammo Input'!C672*(MAX('Ammo Input'!D672,'Ammo Input'!F672)*0.5)^2*PI())*3/1000000,2)</f>
        <v>0.24</v>
      </c>
      <c r="D672">
        <f>ROUNDUP(('Ammo Input'!E672+'Ammo Input'!H672*IF('Ammo Input'!J672&lt;&gt;"",MAX('Ammo Input'!J672,1),1))/1000,3)</f>
        <v>0.086</v>
      </c>
      <c r="E672">
        <f>MIN(5000,MAX(25,CEILING(Calcs!L672,_xlfn.IFS(Calcs!L672&lt;100,25,Calcs!L672&lt;250,50,Calcs!L672&lt;1000,250,Calcs!L672&gt;=1000,1000))))</f>
        <v>4000</v>
      </c>
      <c r="F672">
        <f>ROUNDUP('Ammo Input'!G672^(3/4),0)</f>
        <v>28</v>
      </c>
      <c r="G672">
        <f>ROUND((0.5*((IF(OR(B672="HEAT",B672="HEDP"),'Ammo Input'!N672,'Ammo Input'!H672)/1000)*(IF(B672="HEAT",9000,IF(B672="HEDP",1500,'Ammo Input'!G672))^2))),0)</f>
        <v>163</v>
      </c>
      <c r="H672" s="25" t="str">
        <f>CONCATENATE(IF((B672="Foam")+(B672="Smoke"),"-",ROUND(Calcs!D672,0))," ",VLOOKUP(B672,AmmoTypeFactors,5,FALSE))</f>
        <v>4 Flame</v>
      </c>
      <c r="I672" s="25" t="str">
        <f>IF(Calcs!E672=0,"None",CONCATENATE(ROUND(Calcs!E672,0)," ",VLOOKUP(B672,AmmoTypeFactors,6,FALSE)))</f>
        <v>None</v>
      </c>
      <c r="J672">
        <f>MROUND(2.42*'Ammo Input'!M672^(1/3)*VLOOKUP(B672,AmmoTypeFactors,3,FALSE),0.5)</f>
        <v>0</v>
      </c>
      <c r="K672" s="25" t="str">
        <f>IF(VLOOKUP(B672,AmmoTypeFactors,12,FALSE),MROUND(J672/3,0.5),"None")</f>
        <v>None</v>
      </c>
      <c r="L672" s="25">
        <f>IF(VLOOKUP(B672,AmmoTypeFactors,8,FALSE),"None",ROUNDUP(IF(Calcs!I672&gt;0,Calcs!I672,Calcs!H672),3))</f>
        <v>3.26</v>
      </c>
      <c r="M672" s="25">
        <f>IF(VLOOKUP(B672,AmmoTypeFactors,8,FALSE),"None",'Ammo Input'!L672)</f>
        <v>1.5</v>
      </c>
      <c r="N672">
        <f>'Ammo Input'!O672</f>
        <v>10</v>
      </c>
      <c r="O672" t="e">
        <f>ROUND((P672*0.0036+SUMPRODUCT(Q672:AB672,VLOOKUP($Q$1:$AB$1,IngredientStats,2,FALSE)))/N672*IF('Ammo Input'!R672,0.5,1),2)</f>
        <v>#VALUE!</v>
      </c>
      <c r="P672" t="e">
        <f>(SUMPRODUCT(Q672:AB672,VLOOKUP($Q$1:$AB$1,IngredientStats,4,FALSE))*VLOOKUP(B672,AmmoTypeFactors,14,FALSE)*IF('Ammo Input'!R672,1.1,1))</f>
        <v>#VALUE!</v>
      </c>
      <c r="Q672">
        <f>IFERROR(__xludf.DUMMYFUNCTION("((IF(NOT(OR(REGEXMATCH(B668, ""Arrow""), B668 = ""Javelin"", B668 = ""Stick bomb"")), ROUNDUP(('Ammo Input'!E668 / 1000) * N668)) + IF(VLOOKUP(B668, AmmoTypeFactors, 9, FALSE) = ""Steel"", ROUNDUP(('Ammo Input'!H668 -'Ammo Input'!M668) * MAX(IF('Ammo Inpu"&amp;"t'!J668 &gt; 0, 'Ammo Input'!J668, 1), 1) * N668 / 1000))) / 'Ingredient stats'!$C$2) * IF(ISBLANK(VLOOKUP(B668,AmmoTypeFactors,15,False)),1,VLOOKUP(B668,AmmoTypeFactors,15,False))"),2)</f>
        <v>2</v>
      </c>
      <c r="R672">
        <f>IFERROR(__xludf.DUMMYFUNCTION("ROUNDUP((IF(REGEXMATCH(B668, ""Arrow"") + (B668 = ""Javelin""), 'Ammo Input'!E668) + IF(VLOOKUP(B668, AmmoTypeFactors, 9, FALSE) = ""Wood"", 'Ammo Input'!H668) + IF(B668 = ""Stick bomb"", 'Ammo Input'!E668)) * N668 / 'Ingredient stats'!$C$12 / 1000)"),2)</f>
        <v>2</v>
      </c>
      <c r="S672">
        <v>0</v>
      </c>
      <c r="T672">
        <v>0</v>
      </c>
      <c r="U672">
        <f>IF(VLOOKUP(B672,AmmoTypeFactors,9,FALSE)="Plasteel",ROUNDUP(('Ammo Input'!H672*MAX(IF('Ammo Input'!J672&gt;0,'Ammo Input'!J672,1)*N672/1000/'Ingredient stats'!$C$4)),0),0)</f>
        <v>0</v>
      </c>
      <c r="V672">
        <f>IFERROR(__xludf.DUMMYFUNCTION("ROUNDUP(IF(ISBLANK(VLOOKUP(B668,AmmoTypeFactors,16,False)),1,VLOOKUP(B668,AmmoTypeFactors,16,False)) * (IFS(REGEXMATCH(B668, ""EMP""), 'Ammo Input'!M668 * N668 / 'Ingredient stats'!$C$5, REGEXMATCH(B668, ""Charge""), (U668^0.75), true, 0) + (IF(VLOOKUP(B6"&amp;"68, AmmoTypeFactors, 10, false), 2,0) + IF('Ammo Input'!P668, 2,0) + IF('Ammo Input'!Q668,MIN(ROUNDUP(0.2*('Ammo Input'!H668/1000)*'Ammo Input'!O668,0),20),0))))"),0)</f>
        <v>0</v>
      </c>
      <c r="W672">
        <v>1</v>
      </c>
      <c r="X672">
        <v>0</v>
      </c>
      <c r="Y672">
        <v>0</v>
      </c>
      <c r="Z672">
        <v>0</v>
      </c>
      <c r="AA672">
        <v>0</v>
      </c>
      <c r="AB672" s="30">
        <f>IF(B672="Sling Bullet (Stone)",ROUNDUP(D672*0.02*E672/'Ingredient stats'!$C$8,0),0)</f>
        <v>0</v>
      </c>
      <c r="AC672" t="str">
        <f t="shared" si="32"/>
        <v>None</v>
      </c>
      <c r="AD672" t="str">
        <f>IF(OR(B672="Buck",B672="Bird",B672="Charge (Scatter)"),'Ammo Input'!J672,"None")</f>
        <v>None</v>
      </c>
      <c r="AE672" t="str">
        <f>_xlfn.IFS(ISTEXT(Calcs!N672),Calcs!N672,Calcs!N672&lt;=40,Calcs!N672,Calcs!N672&gt;41,"40")</f>
        <v>None</v>
      </c>
      <c r="AF672" t="str">
        <f>_xlfn.IFS(ISTEXT(Calcs!O672),Calcs!O672,Calcs!O672&lt;=80,Calcs!O672,Calcs!O672&gt;=81,"80")</f>
        <v>None</v>
      </c>
      <c r="AG672" s="25">
        <f t="shared" si="33"/>
        <v>1</v>
      </c>
      <c r="AH672" s="25">
        <f t="shared" si="34"/>
        <v>0.47</v>
      </c>
      <c r="AI672" s="25">
        <f t="shared" si="35"/>
        <v>1</v>
      </c>
    </row>
    <row r="673" ht="14.4" spans="1:35">
      <c r="A673" s="24" t="str">
        <f>'Ammo Input'!A673</f>
        <v>Arrow</v>
      </c>
      <c r="B673" t="str">
        <f>'Ammo Input'!B673</f>
        <v>Arrow (Stone)</v>
      </c>
      <c r="C673">
        <f>ROUNDUP(('Ammo Input'!C673*(MAX('Ammo Input'!D673,'Ammo Input'!F673)*0.5)^2*PI())*3/1000000,2)</f>
        <v>0.08</v>
      </c>
      <c r="D673">
        <f>ROUNDUP(('Ammo Input'!E673+'Ammo Input'!H673*IF('Ammo Input'!J673&lt;&gt;"",MAX('Ammo Input'!J673,1),1))/1000,3)</f>
        <v>0.028</v>
      </c>
      <c r="E673">
        <f>MIN(5000,MAX(25,CEILING(Calcs!L673,_xlfn.IFS(Calcs!L673&lt;100,25,Calcs!L673&lt;250,50,Calcs!L673&lt;1000,250,Calcs!L673&gt;=1000,1000))))</f>
        <v>5000</v>
      </c>
      <c r="F673">
        <f>ROUNDUP('Ammo Input'!G673^(3/4),0)</f>
        <v>26</v>
      </c>
      <c r="G673">
        <f>ROUND((0.5*((IF(OR(B673="HEAT",B673="HEDP"),'Ammo Input'!N673,'Ammo Input'!H673)/1000)*(IF(B673="HEAT",9000,IF(B673="HEDP",1500,'Ammo Input'!G673))^2))),0)</f>
        <v>44</v>
      </c>
      <c r="H673" s="25" t="str">
        <f>CONCATENATE(IF((B673="Foam")+(B673="Smoke"),"-",ROUND(Calcs!D673,0))," ",VLOOKUP(B673,AmmoTypeFactors,5,FALSE))</f>
        <v>6 Arrow</v>
      </c>
      <c r="I673" s="25" t="str">
        <f>IF(Calcs!E673=0,"None",CONCATENATE(ROUND(Calcs!E673,0)," ",VLOOKUP(B673,AmmoTypeFactors,6,FALSE)))</f>
        <v>None</v>
      </c>
      <c r="J673">
        <f>MROUND(2.42*'Ammo Input'!M673^(1/3)*VLOOKUP(B673,AmmoTypeFactors,3,FALSE),0.5)</f>
        <v>0</v>
      </c>
      <c r="K673" s="25" t="str">
        <f>IF(VLOOKUP(B673,AmmoTypeFactors,12,FALSE),MROUND(J673/3,0.5),"None")</f>
        <v>None</v>
      </c>
      <c r="L673" s="25">
        <f>IF(VLOOKUP(B673,AmmoTypeFactors,8,FALSE),"None",ROUNDUP(IF(Calcs!I673&gt;0,Calcs!I673,Calcs!H673),3))</f>
        <v>0.88</v>
      </c>
      <c r="M673" s="25">
        <f>IF(VLOOKUP(B673,AmmoTypeFactors,8,FALSE),"None",'Ammo Input'!L673)</f>
        <v>0.2</v>
      </c>
      <c r="N673">
        <f>'Ammo Input'!O673</f>
        <v>10</v>
      </c>
      <c r="O673" t="e">
        <f>ROUND((P673*0.0036+SUMPRODUCT(Q673:AB673,VLOOKUP($Q$1:$AB$1,IngredientStats,2,FALSE)))/N673*IF('Ammo Input'!R673,0.5,1),2)</f>
        <v>#VALUE!</v>
      </c>
      <c r="P673" t="e">
        <f>(SUMPRODUCT(Q673:AB673,VLOOKUP($Q$1:$AB$1,IngredientStats,4,FALSE))*VLOOKUP(B673,AmmoTypeFactors,14,FALSE)*IF('Ammo Input'!R673,1.1,1))</f>
        <v>#VALUE!</v>
      </c>
      <c r="Q673">
        <f>IFERROR(__xludf.DUMMYFUNCTION("((IF(NOT(OR(REGEXMATCH(B669, ""Arrow""), B669 = ""Javelin"", B669 = ""Stick bomb"")), ROUNDUP(('Ammo Input'!E669 / 1000) * N669)) + IF(VLOOKUP(B669, AmmoTypeFactors, 9, FALSE) = ""Steel"", ROUNDUP(('Ammo Input'!H669 -'Ammo Input'!M669) * MAX(IF('Ammo Inpu"&amp;"t'!J669 &gt; 0, 'Ammo Input'!J669, 1), 1) * N669 / 1000))) / 'Ingredient stats'!$C$2) * IF(ISBLANK(VLOOKUP(B669,AmmoTypeFactors,15,False)),1,VLOOKUP(B669,AmmoTypeFactors,15,False))"),0)</f>
        <v>0</v>
      </c>
      <c r="R673">
        <f>IFERROR(__xludf.DUMMYFUNCTION("ROUNDUP((IF(REGEXMATCH(B669, ""Arrow"") + (B669 = ""Javelin""), 'Ammo Input'!E669) + IF(VLOOKUP(B669, AmmoTypeFactors, 9, FALSE) = ""Wood"", 'Ammo Input'!H669) + IF(B669 = ""Stick bomb"", 'Ammo Input'!E669)) * N669 / 'Ingredient stats'!$C$12 / 1000)"),1)</f>
        <v>1</v>
      </c>
      <c r="S673">
        <v>0</v>
      </c>
      <c r="T673">
        <v>0</v>
      </c>
      <c r="U673">
        <f>IF(VLOOKUP(B673,AmmoTypeFactors,9,FALSE)="Plasteel",ROUNDUP(('Ammo Input'!H673*MAX(IF('Ammo Input'!J673&gt;0,'Ammo Input'!J673,1)*N673/1000/'Ingredient stats'!$C$4)),0),0)</f>
        <v>0</v>
      </c>
      <c r="V673">
        <f>IFERROR(__xludf.DUMMYFUNCTION("ROUNDUP(IF(ISBLANK(VLOOKUP(B669,AmmoTypeFactors,16,False)),1,VLOOKUP(B669,AmmoTypeFactors,16,False)) * (IFS(REGEXMATCH(B669, ""EMP""), 'Ammo Input'!M669 * N669 / 'Ingredient stats'!$C$5, REGEXMATCH(B669, ""Charge""), (U669^0.75), true, 0) + (IF(VLOOKUP(B6"&amp;"69, AmmoTypeFactors, 10, false), 2,0) + IF('Ammo Input'!P669, 2,0) + IF('Ammo Input'!Q669,MIN(ROUNDUP(0.2*('Ammo Input'!H669/1000)*'Ammo Input'!O669,0),20),0))))"),0)</f>
        <v>0</v>
      </c>
      <c r="W673">
        <v>0</v>
      </c>
      <c r="X673">
        <v>0</v>
      </c>
      <c r="Y673">
        <v>0</v>
      </c>
      <c r="Z673">
        <v>0</v>
      </c>
      <c r="AA673">
        <v>0</v>
      </c>
      <c r="AB673" s="30">
        <f>IF(B673="Sling Bullet (Stone)",ROUNDUP(D673*0.02*E673/'Ingredient stats'!$C$8,0),0)</f>
        <v>0</v>
      </c>
      <c r="AC673" t="str">
        <f t="shared" si="32"/>
        <v>None</v>
      </c>
      <c r="AD673" t="str">
        <f>IF(OR(B673="Buck",B673="Bird",B673="Charge (Scatter)"),'Ammo Input'!J673,"None")</f>
        <v>None</v>
      </c>
      <c r="AE673" t="str">
        <f>_xlfn.IFS(ISTEXT(Calcs!N673),Calcs!N673,Calcs!N673&lt;=40,Calcs!N673,Calcs!N673&gt;41,"40")</f>
        <v>None</v>
      </c>
      <c r="AF673" t="str">
        <f>_xlfn.IFS(ISTEXT(Calcs!O673),Calcs!O673,Calcs!O673&lt;=80,Calcs!O673,Calcs!O673&gt;=81,"80")</f>
        <v>None</v>
      </c>
      <c r="AG673" s="25">
        <f t="shared" si="33"/>
        <v>1</v>
      </c>
      <c r="AH673" s="25">
        <f t="shared" si="34"/>
        <v>0.43</v>
      </c>
      <c r="AI673" s="25">
        <f t="shared" si="35"/>
        <v>1</v>
      </c>
    </row>
    <row r="674" ht="14.4" spans="1:35">
      <c r="A674" s="24" t="str">
        <f>'Ammo Input'!A674</f>
        <v>Arrow</v>
      </c>
      <c r="B674" t="str">
        <f>'Ammo Input'!B674</f>
        <v>Arrow (Steel)</v>
      </c>
      <c r="C674">
        <f>ROUNDUP(('Ammo Input'!C674*(MAX('Ammo Input'!D674,'Ammo Input'!F674)*0.5)^2*PI())*3/1000000,2)</f>
        <v>0.08</v>
      </c>
      <c r="D674">
        <f>ROUNDUP(('Ammo Input'!E674+'Ammo Input'!H674*IF('Ammo Input'!J674&lt;&gt;"",MAX('Ammo Input'!J674,1),1))/1000,3)</f>
        <v>0.034</v>
      </c>
      <c r="E674">
        <f>MIN(5000,MAX(25,CEILING(Calcs!L674,_xlfn.IFS(Calcs!L674&lt;100,25,Calcs!L674&lt;250,50,Calcs!L674&lt;1000,250,Calcs!L674&gt;=1000,1000))))</f>
        <v>5000</v>
      </c>
      <c r="F674">
        <f>ROUNDUP('Ammo Input'!G674^(3/4),0)</f>
        <v>36</v>
      </c>
      <c r="G674">
        <f>ROUND((0.5*((IF(OR(B674="HEAT",B674="HEDP"),'Ammo Input'!N674,'Ammo Input'!H674)/1000)*(IF(B674="HEAT",9000,IF(B674="HEDP",1500,'Ammo Input'!G674))^2))),0)</f>
        <v>151</v>
      </c>
      <c r="H674" s="25" t="str">
        <f>CONCATENATE(IF((B674="Foam")+(B674="Smoke"),"-",ROUND(Calcs!D674,0))," ",VLOOKUP(B674,AmmoTypeFactors,5,FALSE))</f>
        <v>7 Arrow</v>
      </c>
      <c r="I674" s="25" t="str">
        <f>IF(Calcs!E674=0,"None",CONCATENATE(ROUND(Calcs!E674,0)," ",VLOOKUP(B674,AmmoTypeFactors,6,FALSE)))</f>
        <v>None</v>
      </c>
      <c r="J674">
        <f>MROUND(2.42*'Ammo Input'!M674^(1/3)*VLOOKUP(B674,AmmoTypeFactors,3,FALSE),0.5)</f>
        <v>0</v>
      </c>
      <c r="K674" s="25" t="str">
        <f>IF(VLOOKUP(B674,AmmoTypeFactors,12,FALSE),MROUND(J674/3,0.5),"None")</f>
        <v>None</v>
      </c>
      <c r="L674" s="25">
        <f>IF(VLOOKUP(B674,AmmoTypeFactors,8,FALSE),"None",ROUNDUP(IF(Calcs!I674&gt;0,Calcs!I674,Calcs!H674),3))</f>
        <v>3.02</v>
      </c>
      <c r="M674" s="25">
        <f>IF(VLOOKUP(B674,AmmoTypeFactors,8,FALSE),"None",'Ammo Input'!L674)</f>
        <v>0.5</v>
      </c>
      <c r="N674">
        <f>'Ammo Input'!O674</f>
        <v>10</v>
      </c>
      <c r="O674" t="e">
        <f>ROUND((P674*0.0036+SUMPRODUCT(Q674:AB674,VLOOKUP($Q$1:$AB$1,IngredientStats,2,FALSE)))/N674*IF('Ammo Input'!R674,0.5,1),2)</f>
        <v>#VALUE!</v>
      </c>
      <c r="P674" t="e">
        <f>(SUMPRODUCT(Q674:AB674,VLOOKUP($Q$1:$AB$1,IngredientStats,4,FALSE))*VLOOKUP(B674,AmmoTypeFactors,14,FALSE)*IF('Ammo Input'!R674,1.1,1))</f>
        <v>#VALUE!</v>
      </c>
      <c r="Q674">
        <f>IFERROR(__xludf.DUMMYFUNCTION("((IF(NOT(OR(REGEXMATCH(B670, ""Arrow""), B670 = ""Javelin"", B670 = ""Stick bomb"")), ROUNDUP(('Ammo Input'!E670 / 1000) * N670)) + IF(VLOOKUP(B670, AmmoTypeFactors, 9, FALSE) = ""Steel"", ROUNDUP(('Ammo Input'!H670 -'Ammo Input'!M670) * MAX(IF('Ammo Inpu"&amp;"t'!J670 &gt; 0, 'Ammo Input'!J670, 1), 1) * N670 / 1000))) / 'Ingredient stats'!$C$2) * IF(ISBLANK(VLOOKUP(B670,AmmoTypeFactors,15,False)),1,VLOOKUP(B670,AmmoTypeFactors,15,False))"),2)</f>
        <v>2</v>
      </c>
      <c r="R674">
        <f>IFERROR(__xludf.DUMMYFUNCTION("ROUNDUP((IF(REGEXMATCH(B670, ""Arrow"") + (B670 = ""Javelin""), 'Ammo Input'!E670) + IF(VLOOKUP(B670, AmmoTypeFactors, 9, FALSE) = ""Wood"", 'Ammo Input'!H670) + IF(B670 = ""Stick bomb"", 'Ammo Input'!E670)) * N670 / 'Ingredient stats'!$C$12 / 1000)"),1)</f>
        <v>1</v>
      </c>
      <c r="S674">
        <v>0</v>
      </c>
      <c r="T674">
        <v>0</v>
      </c>
      <c r="U674">
        <f>IF(VLOOKUP(B674,AmmoTypeFactors,9,FALSE)="Plasteel",ROUNDUP(('Ammo Input'!H674*MAX(IF('Ammo Input'!J674&gt;0,'Ammo Input'!J674,1)*N674/1000/'Ingredient stats'!$C$4)),0),0)</f>
        <v>0</v>
      </c>
      <c r="V674">
        <f>IFERROR(__xludf.DUMMYFUNCTION("ROUNDUP(IF(ISBLANK(VLOOKUP(B670,AmmoTypeFactors,16,False)),1,VLOOKUP(B670,AmmoTypeFactors,16,False)) * (IFS(REGEXMATCH(B670, ""EMP""), 'Ammo Input'!M670 * N670 / 'Ingredient stats'!$C$5, REGEXMATCH(B670, ""Charge""), (U670^0.75), true, 0) + (IF(VLOOKUP(B6"&amp;"70, AmmoTypeFactors, 10, false), 2,0) + IF('Ammo Input'!P670, 2,0) + IF('Ammo Input'!Q670,MIN(ROUNDUP(0.2*('Ammo Input'!H670/1000)*'Ammo Input'!O670,0),20),0))))"),0)</f>
        <v>0</v>
      </c>
      <c r="W674">
        <v>0</v>
      </c>
      <c r="X674">
        <v>0</v>
      </c>
      <c r="Y674">
        <v>0</v>
      </c>
      <c r="Z674">
        <v>0</v>
      </c>
      <c r="AA674">
        <v>0</v>
      </c>
      <c r="AB674" s="30">
        <f>IF(B674="Sling Bullet (Stone)",ROUNDUP(D674*0.02*E674/'Ingredient stats'!$C$8,0),0)</f>
        <v>0</v>
      </c>
      <c r="AC674" t="str">
        <f t="shared" si="32"/>
        <v>None</v>
      </c>
      <c r="AD674" t="str">
        <f>IF(OR(B674="Buck",B674="Bird",B674="Charge (Scatter)"),'Ammo Input'!J674,"None")</f>
        <v>None</v>
      </c>
      <c r="AE674" t="str">
        <f>_xlfn.IFS(ISTEXT(Calcs!N674),Calcs!N674,Calcs!N674&lt;=40,Calcs!N674,Calcs!N674&gt;41,"40")</f>
        <v>None</v>
      </c>
      <c r="AF674" t="str">
        <f>_xlfn.IFS(ISTEXT(Calcs!O674),Calcs!O674,Calcs!O674&lt;=80,Calcs!O674,Calcs!O674&gt;=81,"80")</f>
        <v>None</v>
      </c>
      <c r="AG674" s="25">
        <f t="shared" si="33"/>
        <v>1</v>
      </c>
      <c r="AH674" s="25">
        <f t="shared" si="34"/>
        <v>0.6</v>
      </c>
      <c r="AI674" s="25">
        <f t="shared" si="35"/>
        <v>1</v>
      </c>
    </row>
    <row r="675" ht="14.4" spans="1:35">
      <c r="A675" s="24" t="str">
        <f>'Ammo Input'!A675</f>
        <v>Arrow</v>
      </c>
      <c r="B675" t="str">
        <f>'Ammo Input'!B675</f>
        <v>Arrow (Plasteel)</v>
      </c>
      <c r="C675">
        <f>ROUNDUP(('Ammo Input'!C675*(MAX('Ammo Input'!D675,'Ammo Input'!F675)*0.5)^2*PI())*3/1000000,2)</f>
        <v>0.08</v>
      </c>
      <c r="D675">
        <f>ROUNDUP(('Ammo Input'!E675+'Ammo Input'!H675*IF('Ammo Input'!J675&lt;&gt;"",MAX('Ammo Input'!J675,1),1))/1000,3)</f>
        <v>0.022</v>
      </c>
      <c r="E675">
        <f>MIN(5000,MAX(25,CEILING(Calcs!L675,_xlfn.IFS(Calcs!L675&lt;100,25,Calcs!L675&lt;250,50,Calcs!L675&lt;1000,250,Calcs!L675&gt;=1000,1000))))</f>
        <v>5000</v>
      </c>
      <c r="F675">
        <f>ROUNDUP('Ammo Input'!G675^(3/4),0)</f>
        <v>39</v>
      </c>
      <c r="G675">
        <f>ROUND((0.5*((IF(OR(B675="HEAT",B675="HEDP"),'Ammo Input'!N675,'Ammo Input'!H675)/1000)*(IF(B675="HEAT",9000,IF(B675="HEDP",1500,'Ammo Input'!G675))^2))),0)</f>
        <v>83</v>
      </c>
      <c r="H675" s="25" t="str">
        <f>CONCATENATE(IF((B675="Foam")+(B675="Smoke"),"-",ROUND(Calcs!D675,0))," ",VLOOKUP(B675,AmmoTypeFactors,5,FALSE))</f>
        <v>4 Arrow</v>
      </c>
      <c r="I675" s="25" t="str">
        <f>IF(Calcs!E675=0,"None",CONCATENATE(ROUND(Calcs!E675,0)," ",VLOOKUP(B675,AmmoTypeFactors,6,FALSE)))</f>
        <v>None</v>
      </c>
      <c r="J675">
        <f>MROUND(2.42*'Ammo Input'!M675^(1/3)*VLOOKUP(B675,AmmoTypeFactors,3,FALSE),0.5)</f>
        <v>0</v>
      </c>
      <c r="K675" s="25" t="str">
        <f>IF(VLOOKUP(B675,AmmoTypeFactors,12,FALSE),MROUND(J675/3,0.5),"None")</f>
        <v>None</v>
      </c>
      <c r="L675" s="25">
        <f>IF(VLOOKUP(B675,AmmoTypeFactors,8,FALSE),"None",ROUNDUP(IF(Calcs!I675&gt;0,Calcs!I675,Calcs!H675),3))</f>
        <v>1.66</v>
      </c>
      <c r="M675" s="25">
        <f>IF(VLOOKUP(B675,AmmoTypeFactors,8,FALSE),"None",'Ammo Input'!L675)</f>
        <v>1</v>
      </c>
      <c r="N675">
        <f>'Ammo Input'!O675</f>
        <v>10</v>
      </c>
      <c r="O675" t="e">
        <f>ROUND((P675*0.0036+SUMPRODUCT(Q675:AB675,VLOOKUP($Q$1:$AB$1,IngredientStats,2,FALSE)))/N675*IF('Ammo Input'!R675,0.5,1),2)</f>
        <v>#VALUE!</v>
      </c>
      <c r="P675" t="e">
        <f>(SUMPRODUCT(Q675:AB675,VLOOKUP($Q$1:$AB$1,IngredientStats,4,FALSE))*VLOOKUP(B675,AmmoTypeFactors,14,FALSE)*IF('Ammo Input'!R675,1.1,1))</f>
        <v>#VALUE!</v>
      </c>
      <c r="Q675">
        <f>IFERROR(__xludf.DUMMYFUNCTION("((IF(NOT(OR(REGEXMATCH(B671, ""Arrow""), B671 = ""Javelin"", B671 = ""Stick bomb"")), ROUNDUP(('Ammo Input'!E671 / 1000) * N671)) + IF(VLOOKUP(B671, AmmoTypeFactors, 9, FALSE) = ""Steel"", ROUNDUP(('Ammo Input'!H671 -'Ammo Input'!M671) * MAX(IF('Ammo Inpu"&amp;"t'!J671 &gt; 0, 'Ammo Input'!J671, 1), 1) * N671 / 1000))) / 'Ingredient stats'!$C$2) * IF(ISBLANK(VLOOKUP(B671,AmmoTypeFactors,15,False)),1,VLOOKUP(B671,AmmoTypeFactors,15,False))"),0)</f>
        <v>0</v>
      </c>
      <c r="R675">
        <f>IFERROR(__xludf.DUMMYFUNCTION("ROUNDUP((IF(REGEXMATCH(B671, ""Arrow"") + (B671 = ""Javelin""), 'Ammo Input'!E671) + IF(VLOOKUP(B671, AmmoTypeFactors, 9, FALSE) = ""Wood"", 'Ammo Input'!H671) + IF(B671 = ""Stick bomb"", 'Ammo Input'!E671)) * N671 / 'Ingredient stats'!$C$12 / 1000)"),1)</f>
        <v>1</v>
      </c>
      <c r="S675">
        <v>0</v>
      </c>
      <c r="T675">
        <v>0</v>
      </c>
      <c r="U675">
        <f>IF(VLOOKUP(B675,AmmoTypeFactors,9,FALSE)="Plasteel",ROUNDUP(('Ammo Input'!H675*MAX(IF('Ammo Input'!J675&gt;0,'Ammo Input'!J675,1)*N675/1000/'Ingredient stats'!$C$4)),0),0)</f>
        <v>1</v>
      </c>
      <c r="V675">
        <f>IFERROR(__xludf.DUMMYFUNCTION("ROUNDUP(IF(ISBLANK(VLOOKUP(B671,AmmoTypeFactors,16,False)),1,VLOOKUP(B671,AmmoTypeFactors,16,False)) * (IFS(REGEXMATCH(B671, ""EMP""), 'Ammo Input'!M671 * N671 / 'Ingredient stats'!$C$5, REGEXMATCH(B671, ""Charge""), (U671^0.75), true, 0) + (IF(VLOOKUP(B6"&amp;"71, AmmoTypeFactors, 10, false), 2,0) + IF('Ammo Input'!P671, 2,0) + IF('Ammo Input'!Q671,MIN(ROUNDUP(0.2*('Ammo Input'!H671/1000)*'Ammo Input'!O671,0),20),0))))"),0)</f>
        <v>0</v>
      </c>
      <c r="W675">
        <v>0</v>
      </c>
      <c r="X675">
        <v>0</v>
      </c>
      <c r="Y675">
        <v>0</v>
      </c>
      <c r="Z675">
        <v>0</v>
      </c>
      <c r="AA675">
        <v>0</v>
      </c>
      <c r="AB675" s="30">
        <f>IF(B675="Sling Bullet (Stone)",ROUNDUP(D675*0.02*E675/'Ingredient stats'!$C$8,0),0)</f>
        <v>0</v>
      </c>
      <c r="AC675" t="str">
        <f t="shared" si="32"/>
        <v>None</v>
      </c>
      <c r="AD675" t="str">
        <f>IF(OR(B675="Buck",B675="Bird",B675="Charge (Scatter)"),'Ammo Input'!J675,"None")</f>
        <v>None</v>
      </c>
      <c r="AE675" t="str">
        <f>_xlfn.IFS(ISTEXT(Calcs!N675),Calcs!N675,Calcs!N675&lt;=40,Calcs!N675,Calcs!N675&gt;41,"40")</f>
        <v>None</v>
      </c>
      <c r="AF675" t="str">
        <f>_xlfn.IFS(ISTEXT(Calcs!O675),Calcs!O675,Calcs!O675&lt;=80,Calcs!O675,Calcs!O675&gt;=81,"80")</f>
        <v>None</v>
      </c>
      <c r="AG675" s="25">
        <f t="shared" si="33"/>
        <v>1</v>
      </c>
      <c r="AH675" s="25">
        <f t="shared" si="34"/>
        <v>0.65</v>
      </c>
      <c r="AI675" s="25">
        <f t="shared" si="35"/>
        <v>1</v>
      </c>
    </row>
    <row r="676" ht="14.4" spans="1:35">
      <c r="A676" s="24" t="str">
        <f>'Ammo Input'!A676</f>
        <v>Arrow</v>
      </c>
      <c r="B676" t="str">
        <f>'Ammo Input'!B676</f>
        <v>Arrow (Venom)</v>
      </c>
      <c r="C676">
        <f>ROUNDUP(('Ammo Input'!C676*(MAX('Ammo Input'!D676,'Ammo Input'!F676)*0.5)^2*PI())*3/1000000,2)</f>
        <v>0.08</v>
      </c>
      <c r="D676">
        <f>ROUNDUP(('Ammo Input'!E676+'Ammo Input'!H676*IF('Ammo Input'!J676&lt;&gt;"",MAX('Ammo Input'!J676,1),1))/1000,3)</f>
        <v>0.034</v>
      </c>
      <c r="E676">
        <f>MIN(5000,MAX(25,CEILING(Calcs!L676,_xlfn.IFS(Calcs!L676&lt;100,25,Calcs!L676&lt;250,50,Calcs!L676&lt;1000,250,Calcs!L676&gt;=1000,1000))))</f>
        <v>5000</v>
      </c>
      <c r="F676">
        <f>ROUNDUP('Ammo Input'!G676^(3/4),0)</f>
        <v>36</v>
      </c>
      <c r="G676">
        <f>ROUND((0.5*((IF(OR(B676="HEAT",B676="HEDP"),'Ammo Input'!N676,'Ammo Input'!H676)/1000)*(IF(B676="HEAT",9000,IF(B676="HEDP",1500,'Ammo Input'!G676))^2))),0)</f>
        <v>151</v>
      </c>
      <c r="H676" s="25" t="str">
        <f>CONCATENATE(IF((B676="Foam")+(B676="Smoke"),"-",ROUND(Calcs!D676,0))," ",VLOOKUP(B676,AmmoTypeFactors,5,FALSE))</f>
        <v>7 ArrowVenom</v>
      </c>
      <c r="I676" s="25" t="str">
        <f>IF(Calcs!E676=0,"None",CONCATENATE(ROUND(Calcs!E676,0)," ",VLOOKUP(B676,AmmoTypeFactors,6,FALSE)))</f>
        <v>None</v>
      </c>
      <c r="J676">
        <f>MROUND(2.42*'Ammo Input'!M676^(1/3)*VLOOKUP(B676,AmmoTypeFactors,3,FALSE),0.5)</f>
        <v>0</v>
      </c>
      <c r="K676" s="25" t="str">
        <f>IF(VLOOKUP(B676,AmmoTypeFactors,12,FALSE),MROUND(J676/3,0.5),"None")</f>
        <v>None</v>
      </c>
      <c r="L676" s="25">
        <f>IF(VLOOKUP(B676,AmmoTypeFactors,8,FALSE),"None",ROUNDUP(IF(Calcs!I676&gt;0,Calcs!I676,Calcs!H676),3))</f>
        <v>3.02</v>
      </c>
      <c r="M676" s="25">
        <f>IF(VLOOKUP(B676,AmmoTypeFactors,8,FALSE),"None",'Ammo Input'!L676)</f>
        <v>0.5</v>
      </c>
      <c r="N676">
        <f>'Ammo Input'!O676</f>
        <v>10</v>
      </c>
      <c r="O676" t="e">
        <f>ROUND((P676*0.0036+SUMPRODUCT(Q676:AB676,VLOOKUP($Q$1:$AB$1,IngredientStats,2,FALSE)))/N676*IF('Ammo Input'!R676,0.5,1),2)</f>
        <v>#VALUE!</v>
      </c>
      <c r="P676" t="e">
        <f>(SUMPRODUCT(Q676:AB676,VLOOKUP($Q$1:$AB$1,IngredientStats,4,FALSE))*VLOOKUP(B676,AmmoTypeFactors,14,FALSE)*IF('Ammo Input'!R676,1.1,1))</f>
        <v>#VALUE!</v>
      </c>
      <c r="Q676">
        <f>IFERROR(__xludf.DUMMYFUNCTION("((IF(NOT(OR(REGEXMATCH(B672, ""Arrow""), B672 = ""Javelin"", B672 = ""Stick bomb"")), ROUNDUP(('Ammo Input'!E672 / 1000) * N672)) + IF(VLOOKUP(B672, AmmoTypeFactors, 9, FALSE) = ""Steel"", ROUNDUP(('Ammo Input'!H672 -'Ammo Input'!M672) * MAX(IF('Ammo Inpu"&amp;"t'!J672 &gt; 0, 'Ammo Input'!J672, 1), 1) * N672 / 1000))) / 'Ingredient stats'!$C$2) * IF(ISBLANK(VLOOKUP(B672,AmmoTypeFactors,15,False)),1,VLOOKUP(B672,AmmoTypeFactors,15,False))"),2)</f>
        <v>2</v>
      </c>
      <c r="R676">
        <f>IFERROR(__xludf.DUMMYFUNCTION("ROUNDUP((IF(REGEXMATCH(B672, ""Arrow"") + (B672 = ""Javelin""), 'Ammo Input'!E672) + IF(VLOOKUP(B672, AmmoTypeFactors, 9, FALSE) = ""Wood"", 'Ammo Input'!H672) + IF(B672 = ""Stick bomb"", 'Ammo Input'!E672)) * N672 / 'Ingredient stats'!$C$12 / 1000)"),1)</f>
        <v>1</v>
      </c>
      <c r="S676">
        <v>0</v>
      </c>
      <c r="T676">
        <v>0</v>
      </c>
      <c r="U676">
        <f>IF(VLOOKUP(B676,AmmoTypeFactors,9,FALSE)="Plasteel",ROUNDUP(('Ammo Input'!H676*MAX(IF('Ammo Input'!J676&gt;0,'Ammo Input'!J676,1)*N676/1000/'Ingredient stats'!$C$4)),0),0)</f>
        <v>0</v>
      </c>
      <c r="V676">
        <f>IFERROR(__xludf.DUMMYFUNCTION("ROUNDUP(IF(ISBLANK(VLOOKUP(B672,AmmoTypeFactors,16,False)),1,VLOOKUP(B672,AmmoTypeFactors,16,False)) * (IFS(REGEXMATCH(B672, ""EMP""), 'Ammo Input'!M672 * N672 / 'Ingredient stats'!$C$5, REGEXMATCH(B672, ""Charge""), (U672^0.75), true, 0) + (IF(VLOOKUP(B6"&amp;"72, AmmoTypeFactors, 10, false), 2,0) + IF('Ammo Input'!P672, 2,0) + IF('Ammo Input'!Q672,MIN(ROUNDUP(0.2*('Ammo Input'!H672/1000)*'Ammo Input'!O672,0),20),0))))"),0)</f>
        <v>0</v>
      </c>
      <c r="W676">
        <v>0</v>
      </c>
      <c r="X676">
        <v>0</v>
      </c>
      <c r="Y676">
        <v>0</v>
      </c>
      <c r="Z676">
        <v>0</v>
      </c>
      <c r="AA676">
        <v>1</v>
      </c>
      <c r="AB676" s="30">
        <f>IF(B676="Sling Bullet (Stone)",ROUNDUP(D676*0.02*E676/'Ingredient stats'!$C$8,0),0)</f>
        <v>0</v>
      </c>
      <c r="AC676" t="str">
        <f t="shared" si="32"/>
        <v>None</v>
      </c>
      <c r="AD676" t="str">
        <f>IF(OR(B676="Buck",B676="Bird",B676="Charge (Scatter)"),'Ammo Input'!J676,"None")</f>
        <v>None</v>
      </c>
      <c r="AE676" t="str">
        <f>_xlfn.IFS(ISTEXT(Calcs!N676),Calcs!N676,Calcs!N676&lt;=40,Calcs!N676,Calcs!N676&gt;41,"40")</f>
        <v>None</v>
      </c>
      <c r="AF676" t="str">
        <f>_xlfn.IFS(ISTEXT(Calcs!O676),Calcs!O676,Calcs!O676&lt;=80,Calcs!O676,Calcs!O676&gt;=81,"80")</f>
        <v>None</v>
      </c>
      <c r="AG676" s="25">
        <f t="shared" si="33"/>
        <v>1</v>
      </c>
      <c r="AH676" s="25">
        <f t="shared" si="34"/>
        <v>0.6</v>
      </c>
      <c r="AI676" s="25">
        <f t="shared" si="35"/>
        <v>1</v>
      </c>
    </row>
    <row r="677" ht="14.4" spans="1:35">
      <c r="A677" s="24" t="str">
        <f>'Ammo Input'!A677</f>
        <v>Arrow</v>
      </c>
      <c r="B677" t="str">
        <f>'Ammo Input'!B677</f>
        <v>Arrow (Flaming)</v>
      </c>
      <c r="C677">
        <f>ROUNDUP(('Ammo Input'!C677*(MAX('Ammo Input'!D677,'Ammo Input'!F677)*0.5)^2*PI())*3/1000000,2)</f>
        <v>0.08</v>
      </c>
      <c r="D677">
        <f>ROUNDUP(('Ammo Input'!E677+'Ammo Input'!H677*IF('Ammo Input'!J677&lt;&gt;"",MAX('Ammo Input'!J677,1),1))/1000,3)</f>
        <v>0.023</v>
      </c>
      <c r="E677">
        <f>MIN(5000,MAX(25,CEILING(Calcs!L677,_xlfn.IFS(Calcs!L677&lt;100,25,Calcs!L677&lt;250,50,Calcs!L677&lt;1000,250,Calcs!L677&gt;=1000,1000))))</f>
        <v>5000</v>
      </c>
      <c r="F677">
        <f>ROUNDUP('Ammo Input'!G677^(3/4),0)</f>
        <v>36</v>
      </c>
      <c r="G677">
        <f>ROUND((0.5*((IF(OR(B677="HEAT",B677="HEDP"),'Ammo Input'!N677,'Ammo Input'!H677)/1000)*(IF(B677="HEAT",9000,IF(B677="HEDP",1500,'Ammo Input'!G677))^2))),0)</f>
        <v>75</v>
      </c>
      <c r="H677" s="25" t="str">
        <f>CONCATENATE(IF((B677="Foam")+(B677="Smoke"),"-",ROUND(Calcs!D677,0))," ",VLOOKUP(B677,AmmoTypeFactors,5,FALSE))</f>
        <v>3 Flame</v>
      </c>
      <c r="I677" s="25" t="str">
        <f>IF(Calcs!E677=0,"None",CONCATENATE(ROUND(Calcs!E677,0)," ",VLOOKUP(B677,AmmoTypeFactors,6,FALSE)))</f>
        <v>None</v>
      </c>
      <c r="J677">
        <f>MROUND(2.42*'Ammo Input'!M677^(1/3)*VLOOKUP(B677,AmmoTypeFactors,3,FALSE),0.5)</f>
        <v>0</v>
      </c>
      <c r="K677" s="25" t="str">
        <f>IF(VLOOKUP(B677,AmmoTypeFactors,12,FALSE),MROUND(J677/3,0.5),"None")</f>
        <v>None</v>
      </c>
      <c r="L677" s="25">
        <f>IF(VLOOKUP(B677,AmmoTypeFactors,8,FALSE),"None",ROUNDUP(IF(Calcs!I677&gt;0,Calcs!I677,Calcs!H677),3))</f>
        <v>1.5</v>
      </c>
      <c r="M677" s="25">
        <f>IF(VLOOKUP(B677,AmmoTypeFactors,8,FALSE),"None",'Ammo Input'!L677)</f>
        <v>0.2</v>
      </c>
      <c r="N677">
        <f>'Ammo Input'!O677</f>
        <v>10</v>
      </c>
      <c r="O677" t="e">
        <f>ROUND((P677*0.0036+SUMPRODUCT(Q677:AB677,VLOOKUP($Q$1:$AB$1,IngredientStats,2,FALSE)))/N677*IF('Ammo Input'!R677,0.5,1),2)</f>
        <v>#VALUE!</v>
      </c>
      <c r="P677" t="e">
        <f>(SUMPRODUCT(Q677:AB677,VLOOKUP($Q$1:$AB$1,IngredientStats,4,FALSE))*VLOOKUP(B677,AmmoTypeFactors,14,FALSE)*IF('Ammo Input'!R677,1.1,1))</f>
        <v>#VALUE!</v>
      </c>
      <c r="Q677">
        <f>IFERROR(__xludf.DUMMYFUNCTION("((IF(NOT(OR(REGEXMATCH(B673, ""Arrow""), B673 = ""Javelin"", B673 = ""Stick bomb"")), ROUNDUP(('Ammo Input'!E673 / 1000) * N673)) + IF(VLOOKUP(B673, AmmoTypeFactors, 9, FALSE) = ""Steel"", ROUNDUP(('Ammo Input'!H673 -'Ammo Input'!M673) * MAX(IF('Ammo Inpu"&amp;"t'!J673 &gt; 0, 'Ammo Input'!J673, 1), 1) * N673 / 1000))) / 'Ingredient stats'!$C$2) * IF(ISBLANK(VLOOKUP(B673,AmmoTypeFactors,15,False)),1,VLOOKUP(B673,AmmoTypeFactors,15,False))"),2)</f>
        <v>2</v>
      </c>
      <c r="R677">
        <f>IFERROR(__xludf.DUMMYFUNCTION("ROUNDUP((IF(REGEXMATCH(B673, ""Arrow"") + (B673 = ""Javelin""), 'Ammo Input'!E673) + IF(VLOOKUP(B673, AmmoTypeFactors, 9, FALSE) = ""Wood"", 'Ammo Input'!H673) + IF(B673 = ""Stick bomb"", 'Ammo Input'!E673)) * N673 / 'Ingredient stats'!$C$12 / 1000)"),1)</f>
        <v>1</v>
      </c>
      <c r="S677">
        <v>0</v>
      </c>
      <c r="T677">
        <v>0</v>
      </c>
      <c r="U677">
        <f>IF(VLOOKUP(B677,AmmoTypeFactors,9,FALSE)="Plasteel",ROUNDUP(('Ammo Input'!H677*MAX(IF('Ammo Input'!J677&gt;0,'Ammo Input'!J677,1)*N677/1000/'Ingredient stats'!$C$4)),0),0)</f>
        <v>0</v>
      </c>
      <c r="V677">
        <f>IFERROR(__xludf.DUMMYFUNCTION("ROUNDUP(IF(ISBLANK(VLOOKUP(B673,AmmoTypeFactors,16,False)),1,VLOOKUP(B673,AmmoTypeFactors,16,False)) * (IFS(REGEXMATCH(B673, ""EMP""), 'Ammo Input'!M673 * N673 / 'Ingredient stats'!$C$5, REGEXMATCH(B673, ""Charge""), (U673^0.75), true, 0) + (IF(VLOOKUP(B6"&amp;"73, AmmoTypeFactors, 10, false), 2,0) + IF('Ammo Input'!P673, 2,0) + IF('Ammo Input'!Q673,MIN(ROUNDUP(0.2*('Ammo Input'!H673/1000)*'Ammo Input'!O673,0),20),0))))"),0)</f>
        <v>0</v>
      </c>
      <c r="W677">
        <v>1</v>
      </c>
      <c r="X677">
        <v>0</v>
      </c>
      <c r="Y677">
        <v>0</v>
      </c>
      <c r="Z677">
        <v>0</v>
      </c>
      <c r="AA677">
        <v>0</v>
      </c>
      <c r="AB677" s="30">
        <f>IF(B677="Sling Bullet (Stone)",ROUNDUP(D677*0.02*E677/'Ingredient stats'!$C$8,0),0)</f>
        <v>0</v>
      </c>
      <c r="AC677" t="str">
        <f t="shared" si="32"/>
        <v>None</v>
      </c>
      <c r="AD677" t="str">
        <f>IF(OR(B677="Buck",B677="Bird",B677="Charge (Scatter)"),'Ammo Input'!J677,"None")</f>
        <v>None</v>
      </c>
      <c r="AE677" t="str">
        <f>_xlfn.IFS(ISTEXT(Calcs!N677),Calcs!N677,Calcs!N677&lt;=40,Calcs!N677,Calcs!N677&gt;41,"40")</f>
        <v>None</v>
      </c>
      <c r="AF677" t="str">
        <f>_xlfn.IFS(ISTEXT(Calcs!O677),Calcs!O677,Calcs!O677&lt;=80,Calcs!O677,Calcs!O677&gt;=81,"80")</f>
        <v>None</v>
      </c>
      <c r="AG677" s="25">
        <f t="shared" si="33"/>
        <v>1</v>
      </c>
      <c r="AH677" s="25">
        <f t="shared" si="34"/>
        <v>0.6</v>
      </c>
      <c r="AI677" s="25">
        <f t="shared" si="35"/>
        <v>1</v>
      </c>
    </row>
    <row r="678" ht="14.4" spans="1:35">
      <c r="A678" s="24" t="str">
        <f>'Ammo Input'!A678</f>
        <v>Streamlined Arrow</v>
      </c>
      <c r="B678" t="str">
        <f>'Ammo Input'!B678</f>
        <v>Arrow (Stone)</v>
      </c>
      <c r="C678">
        <f>ROUNDUP(('Ammo Input'!C678*(MAX('Ammo Input'!D678,'Ammo Input'!F678)*0.5)^2*PI())*3/1000000,2)</f>
        <v>0.08</v>
      </c>
      <c r="D678">
        <f>ROUNDUP(('Ammo Input'!E678+'Ammo Input'!H678*IF('Ammo Input'!J678&lt;&gt;"",MAX('Ammo Input'!J678,1),1))/1000,3)</f>
        <v>0.028</v>
      </c>
      <c r="E678">
        <f>MIN(5000,MAX(25,CEILING(Calcs!L678,_xlfn.IFS(Calcs!L678&lt;100,25,Calcs!L678&lt;250,50,Calcs!L678&lt;1000,250,Calcs!L678&gt;=1000,1000))))</f>
        <v>5000</v>
      </c>
      <c r="F678">
        <f>ROUNDUP('Ammo Input'!G678^(3/4),0)</f>
        <v>34</v>
      </c>
      <c r="G678">
        <f>ROUND((0.5*((IF(OR(B678="HEAT",B678="HEDP"),'Ammo Input'!N678,'Ammo Input'!H678)/1000)*(IF(B678="HEAT",9000,IF(B678="HEDP",1500,'Ammo Input'!G678))^2))),0)</f>
        <v>87</v>
      </c>
      <c r="H678" s="25" t="str">
        <f>CONCATENATE(IF((B678="Foam")+(B678="Smoke"),"-",ROUND(Calcs!D678,0))," ",VLOOKUP(B678,AmmoTypeFactors,5,FALSE))</f>
        <v>7 Arrow</v>
      </c>
      <c r="I678" s="25" t="str">
        <f>IF(Calcs!E678=0,"None",CONCATENATE(ROUND(Calcs!E678,0)," ",VLOOKUP(B678,AmmoTypeFactors,6,FALSE)))</f>
        <v>None</v>
      </c>
      <c r="J678">
        <f>MROUND(2.42*'Ammo Input'!M678^(1/3)*VLOOKUP(B678,AmmoTypeFactors,3,FALSE),0.5)</f>
        <v>0</v>
      </c>
      <c r="K678" s="25" t="str">
        <f>IF(VLOOKUP(B678,AmmoTypeFactors,12,FALSE),MROUND(J678/3,0.5),"None")</f>
        <v>None</v>
      </c>
      <c r="L678" s="25">
        <f>IF(VLOOKUP(B678,AmmoTypeFactors,8,FALSE),"None",ROUNDUP(IF(Calcs!I678&gt;0,Calcs!I678,Calcs!H678),3))</f>
        <v>1.74</v>
      </c>
      <c r="M678" s="25">
        <f>IF(VLOOKUP(B678,AmmoTypeFactors,8,FALSE),"None",'Ammo Input'!L678)</f>
        <v>0.5</v>
      </c>
      <c r="N678">
        <f>'Ammo Input'!O678</f>
        <v>10</v>
      </c>
      <c r="O678" t="e">
        <f>ROUND((P678*0.0036+SUMPRODUCT(Q678:AB678,VLOOKUP($Q$1:$AB$1,IngredientStats,2,FALSE)))/N678*IF('Ammo Input'!R678,0.5,1),2)</f>
        <v>#VALUE!</v>
      </c>
      <c r="P678" t="e">
        <f>(SUMPRODUCT(Q678:AB678,VLOOKUP($Q$1:$AB$1,IngredientStats,4,FALSE))*VLOOKUP(B678,AmmoTypeFactors,14,FALSE)*IF('Ammo Input'!R678,1.1,1))</f>
        <v>#VALUE!</v>
      </c>
      <c r="Q678">
        <f>IFERROR(__xludf.DUMMYFUNCTION("((IF(NOT(OR(REGEXMATCH(B674, ""Arrow""), B674 = ""Javelin"", B674 = ""Stick bomb"")), ROUNDUP(('Ammo Input'!E674 / 1000) * N674)) + IF(VLOOKUP(B674, AmmoTypeFactors, 9, FALSE) = ""Steel"", ROUNDUP(('Ammo Input'!H674 -'Ammo Input'!M674) * MAX(IF('Ammo Inpu"&amp;"t'!J674 &gt; 0, 'Ammo Input'!J674, 1), 1) * N674 / 1000))) / 'Ingredient stats'!$C$2) * IF(ISBLANK(VLOOKUP(B674,AmmoTypeFactors,15,False)),1,VLOOKUP(B674,AmmoTypeFactors,15,False))"),0)</f>
        <v>0</v>
      </c>
      <c r="R678">
        <f>IFERROR(__xludf.DUMMYFUNCTION("ROUNDUP((IF(REGEXMATCH(B674, ""Arrow"") + (B674 = ""Javelin""), 'Ammo Input'!E674) + IF(VLOOKUP(B674, AmmoTypeFactors, 9, FALSE) = ""Wood"", 'Ammo Input'!H674) + IF(B674 = ""Stick bomb"", 'Ammo Input'!E674)) * N674 / 'Ingredient stats'!$C$12 / 1000)"),1)</f>
        <v>1</v>
      </c>
      <c r="S678">
        <v>0</v>
      </c>
      <c r="T678">
        <v>0</v>
      </c>
      <c r="U678">
        <f>IF(VLOOKUP(B678,AmmoTypeFactors,9,FALSE)="Plasteel",ROUNDUP(('Ammo Input'!H678*MAX(IF('Ammo Input'!J678&gt;0,'Ammo Input'!J678,1)*N678/1000/'Ingredient stats'!$C$4)),0),0)</f>
        <v>0</v>
      </c>
      <c r="V678">
        <f>IFERROR(__xludf.DUMMYFUNCTION("ROUNDUP(IF(ISBLANK(VLOOKUP(B674,AmmoTypeFactors,16,False)),1,VLOOKUP(B674,AmmoTypeFactors,16,False)) * (IFS(REGEXMATCH(B674, ""EMP""), 'Ammo Input'!M674 * N674 / 'Ingredient stats'!$C$5, REGEXMATCH(B674, ""Charge""), (U674^0.75), true, 0) + (IF(VLOOKUP(B6"&amp;"74, AmmoTypeFactors, 10, false), 2,0) + IF('Ammo Input'!P674, 2,0) + IF('Ammo Input'!Q674,MIN(ROUNDUP(0.2*('Ammo Input'!H674/1000)*'Ammo Input'!O674,0),20),0))))"),0)</f>
        <v>0</v>
      </c>
      <c r="W678">
        <v>0</v>
      </c>
      <c r="X678">
        <v>0</v>
      </c>
      <c r="Y678">
        <v>0</v>
      </c>
      <c r="Z678">
        <v>0</v>
      </c>
      <c r="AA678">
        <v>0</v>
      </c>
      <c r="AB678" s="30">
        <f>IF(B678="Sling Bullet (Stone)",ROUNDUP(D678*0.02*E678/'Ingredient stats'!$C$8,0),0)</f>
        <v>0</v>
      </c>
      <c r="AC678" t="str">
        <f t="shared" si="32"/>
        <v>None</v>
      </c>
      <c r="AD678" t="str">
        <f>IF(OR(B678="Buck",B678="Bird",B678="Charge (Scatter)"),'Ammo Input'!J678,"None")</f>
        <v>None</v>
      </c>
      <c r="AE678" t="str">
        <f>_xlfn.IFS(ISTEXT(Calcs!N678),Calcs!N678,Calcs!N678&lt;=40,Calcs!N678,Calcs!N678&gt;41,"40")</f>
        <v>None</v>
      </c>
      <c r="AF678" t="str">
        <f>_xlfn.IFS(ISTEXT(Calcs!O678),Calcs!O678,Calcs!O678&lt;=80,Calcs!O678,Calcs!O678&gt;=81,"80")</f>
        <v>None</v>
      </c>
      <c r="AG678" s="25">
        <f t="shared" si="33"/>
        <v>1</v>
      </c>
      <c r="AH678" s="25">
        <f t="shared" si="34"/>
        <v>0.56</v>
      </c>
      <c r="AI678" s="25">
        <f t="shared" si="35"/>
        <v>1</v>
      </c>
    </row>
    <row r="679" ht="14.4" spans="1:35">
      <c r="A679" s="24" t="str">
        <f>'Ammo Input'!A679</f>
        <v>Streamlined Arrow</v>
      </c>
      <c r="B679" t="str">
        <f>'Ammo Input'!B679</f>
        <v>Arrow (Steel)</v>
      </c>
      <c r="C679">
        <f>ROUNDUP(('Ammo Input'!C679*(MAX('Ammo Input'!D679,'Ammo Input'!F679)*0.5)^2*PI())*3/1000000,2)</f>
        <v>0.08</v>
      </c>
      <c r="D679">
        <f>ROUNDUP(('Ammo Input'!E679+'Ammo Input'!H679*IF('Ammo Input'!J679&lt;&gt;"",MAX('Ammo Input'!J679,1),1))/1000,3)</f>
        <v>0.034</v>
      </c>
      <c r="E679">
        <f>MIN(5000,MAX(25,CEILING(Calcs!L679,_xlfn.IFS(Calcs!L679&lt;100,25,Calcs!L679&lt;250,50,Calcs!L679&lt;1000,250,Calcs!L679&gt;=1000,1000))))</f>
        <v>5000</v>
      </c>
      <c r="F679">
        <f>ROUNDUP('Ammo Input'!G679^(3/4),0)</f>
        <v>46</v>
      </c>
      <c r="G679">
        <f>ROUND((0.5*((IF(OR(B679="HEAT",B679="HEDP"),'Ammo Input'!N679,'Ammo Input'!H679)/1000)*(IF(B679="HEAT",9000,IF(B679="HEDP",1500,'Ammo Input'!G679))^2))),0)</f>
        <v>295</v>
      </c>
      <c r="H679" s="25" t="str">
        <f>CONCATENATE(IF((B679="Foam")+(B679="Smoke"),"-",ROUND(Calcs!D679,0))," ",VLOOKUP(B679,AmmoTypeFactors,5,FALSE))</f>
        <v>9 Arrow</v>
      </c>
      <c r="I679" s="25" t="str">
        <f>IF(Calcs!E679=0,"None",CONCATENATE(ROUND(Calcs!E679,0)," ",VLOOKUP(B679,AmmoTypeFactors,6,FALSE)))</f>
        <v>None</v>
      </c>
      <c r="J679">
        <f>MROUND(2.42*'Ammo Input'!M679^(1/3)*VLOOKUP(B679,AmmoTypeFactors,3,FALSE),0.5)</f>
        <v>0</v>
      </c>
      <c r="K679" s="25" t="str">
        <f>IF(VLOOKUP(B679,AmmoTypeFactors,12,FALSE),MROUND(J679/3,0.5),"None")</f>
        <v>None</v>
      </c>
      <c r="L679" s="25">
        <f>IF(VLOOKUP(B679,AmmoTypeFactors,8,FALSE),"None",ROUNDUP(IF(Calcs!I679&gt;0,Calcs!I679,Calcs!H679),3))</f>
        <v>5.9</v>
      </c>
      <c r="M679" s="25">
        <f>IF(VLOOKUP(B679,AmmoTypeFactors,8,FALSE),"None",'Ammo Input'!L679)</f>
        <v>1</v>
      </c>
      <c r="N679">
        <f>'Ammo Input'!O679</f>
        <v>10</v>
      </c>
      <c r="O679" t="e">
        <f>ROUND((P679*0.0036+SUMPRODUCT(Q679:AB679,VLOOKUP($Q$1:$AB$1,IngredientStats,2,FALSE)))/N679*IF('Ammo Input'!R679,0.5,1),2)</f>
        <v>#VALUE!</v>
      </c>
      <c r="P679" t="e">
        <f>(SUMPRODUCT(Q679:AB679,VLOOKUP($Q$1:$AB$1,IngredientStats,4,FALSE))*VLOOKUP(B679,AmmoTypeFactors,14,FALSE)*IF('Ammo Input'!R679,1.1,1))</f>
        <v>#VALUE!</v>
      </c>
      <c r="Q679">
        <f>IFERROR(__xludf.DUMMYFUNCTION("((IF(NOT(OR(REGEXMATCH(B675, ""Arrow""), B675 = ""Javelin"", B675 = ""Stick bomb"")), ROUNDUP(('Ammo Input'!E675 / 1000) * N675)) + IF(VLOOKUP(B675, AmmoTypeFactors, 9, FALSE) = ""Steel"", ROUNDUP(('Ammo Input'!H675 -'Ammo Input'!M675) * MAX(IF('Ammo Inpu"&amp;"t'!J675 &gt; 0, 'Ammo Input'!J675, 1), 1) * N675 / 1000))) / 'Ingredient stats'!$C$2) * IF(ISBLANK(VLOOKUP(B675,AmmoTypeFactors,15,False)),1,VLOOKUP(B675,AmmoTypeFactors,15,False))"),2)</f>
        <v>2</v>
      </c>
      <c r="R679">
        <f>IFERROR(__xludf.DUMMYFUNCTION("ROUNDUP((IF(REGEXMATCH(B675, ""Arrow"") + (B675 = ""Javelin""), 'Ammo Input'!E675) + IF(VLOOKUP(B675, AmmoTypeFactors, 9, FALSE) = ""Wood"", 'Ammo Input'!H675) + IF(B675 = ""Stick bomb"", 'Ammo Input'!E675)) * N675 / 'Ingredient stats'!$C$12 / 1000)"),1)</f>
        <v>1</v>
      </c>
      <c r="S679">
        <v>0</v>
      </c>
      <c r="T679">
        <v>0</v>
      </c>
      <c r="U679">
        <f>IF(VLOOKUP(B679,AmmoTypeFactors,9,FALSE)="Plasteel",ROUNDUP(('Ammo Input'!H679*MAX(IF('Ammo Input'!J679&gt;0,'Ammo Input'!J679,1)*N679/1000/'Ingredient stats'!$C$4)),0),0)</f>
        <v>0</v>
      </c>
      <c r="V679">
        <f>IFERROR(__xludf.DUMMYFUNCTION("ROUNDUP(IF(ISBLANK(VLOOKUP(B675,AmmoTypeFactors,16,False)),1,VLOOKUP(B675,AmmoTypeFactors,16,False)) * (IFS(REGEXMATCH(B675, ""EMP""), 'Ammo Input'!M675 * N675 / 'Ingredient stats'!$C$5, REGEXMATCH(B675, ""Charge""), (U675^0.75), true, 0) + (IF(VLOOKUP(B6"&amp;"75, AmmoTypeFactors, 10, false), 2,0) + IF('Ammo Input'!P675, 2,0) + IF('Ammo Input'!Q675,MIN(ROUNDUP(0.2*('Ammo Input'!H675/1000)*'Ammo Input'!O675,0),20),0))))"),0)</f>
        <v>0</v>
      </c>
      <c r="W679">
        <v>0</v>
      </c>
      <c r="X679">
        <v>0</v>
      </c>
      <c r="Y679">
        <v>0</v>
      </c>
      <c r="Z679">
        <v>0</v>
      </c>
      <c r="AA679">
        <v>0</v>
      </c>
      <c r="AB679" s="30">
        <f>IF(B679="Sling Bullet (Stone)",ROUNDUP(D679*0.02*E679/'Ingredient stats'!$C$8,0),0)</f>
        <v>0</v>
      </c>
      <c r="AC679" t="str">
        <f t="shared" si="32"/>
        <v>None</v>
      </c>
      <c r="AD679" t="str">
        <f>IF(OR(B679="Buck",B679="Bird",B679="Charge (Scatter)"),'Ammo Input'!J679,"None")</f>
        <v>None</v>
      </c>
      <c r="AE679" t="str">
        <f>_xlfn.IFS(ISTEXT(Calcs!N679),Calcs!N679,Calcs!N679&lt;=40,Calcs!N679,Calcs!N679&gt;41,"40")</f>
        <v>None</v>
      </c>
      <c r="AF679" t="str">
        <f>_xlfn.IFS(ISTEXT(Calcs!O679),Calcs!O679,Calcs!O679&lt;=80,Calcs!O679,Calcs!O679&gt;=81,"80")</f>
        <v>None</v>
      </c>
      <c r="AG679" s="25">
        <f t="shared" si="33"/>
        <v>1</v>
      </c>
      <c r="AH679" s="25">
        <f t="shared" si="34"/>
        <v>0.76</v>
      </c>
      <c r="AI679" s="25">
        <f t="shared" si="35"/>
        <v>1</v>
      </c>
    </row>
    <row r="680" ht="14.4" spans="1:35">
      <c r="A680" s="24" t="str">
        <f>'Ammo Input'!A680</f>
        <v>Streamlined Arrow</v>
      </c>
      <c r="B680" t="str">
        <f>'Ammo Input'!B680</f>
        <v>Arrow (Plasteel)</v>
      </c>
      <c r="C680">
        <f>ROUNDUP(('Ammo Input'!C680*(MAX('Ammo Input'!D680,'Ammo Input'!F680)*0.5)^2*PI())*3/1000000,2)</f>
        <v>0.08</v>
      </c>
      <c r="D680">
        <f>ROUNDUP(('Ammo Input'!E680+'Ammo Input'!H680*IF('Ammo Input'!J680&lt;&gt;"",MAX('Ammo Input'!J680,1),1))/1000,3)</f>
        <v>0.022</v>
      </c>
      <c r="E680">
        <f>MIN(5000,MAX(25,CEILING(Calcs!L680,_xlfn.IFS(Calcs!L680&lt;100,25,Calcs!L680&lt;250,50,Calcs!L680&lt;1000,250,Calcs!L680&gt;=1000,1000))))</f>
        <v>5000</v>
      </c>
      <c r="F680">
        <f>ROUNDUP('Ammo Input'!G680^(3/4),0)</f>
        <v>50</v>
      </c>
      <c r="G680">
        <f>ROUND((0.5*((IF(OR(B680="HEAT",B680="HEDP"),'Ammo Input'!N680,'Ammo Input'!H680)/1000)*(IF(B680="HEAT",9000,IF(B680="HEDP",1500,'Ammo Input'!G680))^2))),0)</f>
        <v>163</v>
      </c>
      <c r="H680" s="25" t="str">
        <f>CONCATENATE(IF((B680="Foam")+(B680="Smoke"),"-",ROUND(Calcs!D680,0))," ",VLOOKUP(B680,AmmoTypeFactors,5,FALSE))</f>
        <v>5 Arrow</v>
      </c>
      <c r="I680" s="25" t="str">
        <f>IF(Calcs!E680=0,"None",CONCATENATE(ROUND(Calcs!E680,0)," ",VLOOKUP(B680,AmmoTypeFactors,6,FALSE)))</f>
        <v>None</v>
      </c>
      <c r="J680">
        <f>MROUND(2.42*'Ammo Input'!M680^(1/3)*VLOOKUP(B680,AmmoTypeFactors,3,FALSE),0.5)</f>
        <v>0</v>
      </c>
      <c r="K680" s="25" t="str">
        <f>IF(VLOOKUP(B680,AmmoTypeFactors,12,FALSE),MROUND(J680/3,0.5),"None")</f>
        <v>None</v>
      </c>
      <c r="L680" s="25">
        <f>IF(VLOOKUP(B680,AmmoTypeFactors,8,FALSE),"None",ROUNDUP(IF(Calcs!I680&gt;0,Calcs!I680,Calcs!H680),3))</f>
        <v>3.26</v>
      </c>
      <c r="M680" s="25">
        <f>IF(VLOOKUP(B680,AmmoTypeFactors,8,FALSE),"None",'Ammo Input'!L680)</f>
        <v>1.5</v>
      </c>
      <c r="N680">
        <f>'Ammo Input'!O680</f>
        <v>10</v>
      </c>
      <c r="O680" t="e">
        <f>ROUND((P680*0.0036+SUMPRODUCT(Q680:AB680,VLOOKUP($Q$1:$AB$1,IngredientStats,2,FALSE)))/N680*IF('Ammo Input'!R680,0.5,1),2)</f>
        <v>#VALUE!</v>
      </c>
      <c r="P680" t="e">
        <f>(SUMPRODUCT(Q680:AB680,VLOOKUP($Q$1:$AB$1,IngredientStats,4,FALSE))*VLOOKUP(B680,AmmoTypeFactors,14,FALSE)*IF('Ammo Input'!R680,1.1,1))</f>
        <v>#VALUE!</v>
      </c>
      <c r="Q680">
        <f>IFERROR(__xludf.DUMMYFUNCTION("((IF(NOT(OR(REGEXMATCH(B676, ""Arrow""), B676 = ""Javelin"", B676 = ""Stick bomb"")), ROUNDUP(('Ammo Input'!E676 / 1000) * N676)) + IF(VLOOKUP(B676, AmmoTypeFactors, 9, FALSE) = ""Steel"", ROUNDUP(('Ammo Input'!H676 -'Ammo Input'!M676) * MAX(IF('Ammo Inpu"&amp;"t'!J676 &gt; 0, 'Ammo Input'!J676, 1), 1) * N676 / 1000))) / 'Ingredient stats'!$C$2) * IF(ISBLANK(VLOOKUP(B676,AmmoTypeFactors,15,False)),1,VLOOKUP(B676,AmmoTypeFactors,15,False))"),0)</f>
        <v>0</v>
      </c>
      <c r="R680">
        <f>IFERROR(__xludf.DUMMYFUNCTION("ROUNDUP((IF(REGEXMATCH(B676, ""Arrow"") + (B676 = ""Javelin""), 'Ammo Input'!E676) + IF(VLOOKUP(B676, AmmoTypeFactors, 9, FALSE) = ""Wood"", 'Ammo Input'!H676) + IF(B676 = ""Stick bomb"", 'Ammo Input'!E676)) * N676 / 'Ingredient stats'!$C$12 / 1000)"),1)</f>
        <v>1</v>
      </c>
      <c r="S680">
        <v>0</v>
      </c>
      <c r="T680">
        <v>0</v>
      </c>
      <c r="U680">
        <f>IF(VLOOKUP(B680,AmmoTypeFactors,9,FALSE)="Plasteel",ROUNDUP(('Ammo Input'!H680*MAX(IF('Ammo Input'!J680&gt;0,'Ammo Input'!J680,1)*N680/1000/'Ingredient stats'!$C$4)),0),0)</f>
        <v>1</v>
      </c>
      <c r="V680">
        <f>IFERROR(__xludf.DUMMYFUNCTION("ROUNDUP(IF(ISBLANK(VLOOKUP(B676,AmmoTypeFactors,16,False)),1,VLOOKUP(B676,AmmoTypeFactors,16,False)) * (IFS(REGEXMATCH(B676, ""EMP""), 'Ammo Input'!M676 * N676 / 'Ingredient stats'!$C$5, REGEXMATCH(B676, ""Charge""), (U676^0.75), true, 0) + (IF(VLOOKUP(B6"&amp;"76, AmmoTypeFactors, 10, false), 2,0) + IF('Ammo Input'!P676, 2,0) + IF('Ammo Input'!Q676,MIN(ROUNDUP(0.2*('Ammo Input'!H676/1000)*'Ammo Input'!O676,0),20),0))))"),0)</f>
        <v>0</v>
      </c>
      <c r="W680">
        <v>0</v>
      </c>
      <c r="X680">
        <v>0</v>
      </c>
      <c r="Y680">
        <v>0</v>
      </c>
      <c r="Z680">
        <v>0</v>
      </c>
      <c r="AA680">
        <v>0</v>
      </c>
      <c r="AB680" s="30">
        <f>IF(B680="Sling Bullet (Stone)",ROUNDUP(D680*0.02*E680/'Ingredient stats'!$C$8,0),0)</f>
        <v>0</v>
      </c>
      <c r="AC680" t="str">
        <f t="shared" si="32"/>
        <v>None</v>
      </c>
      <c r="AD680" t="str">
        <f>IF(OR(B680="Buck",B680="Bird",B680="Charge (Scatter)"),'Ammo Input'!J680,"None")</f>
        <v>None</v>
      </c>
      <c r="AE680" t="str">
        <f>_xlfn.IFS(ISTEXT(Calcs!N680),Calcs!N680,Calcs!N680&lt;=40,Calcs!N680,Calcs!N680&gt;41,"40")</f>
        <v>None</v>
      </c>
      <c r="AF680" t="str">
        <f>_xlfn.IFS(ISTEXT(Calcs!O680),Calcs!O680,Calcs!O680&lt;=80,Calcs!O680,Calcs!O680&gt;=81,"80")</f>
        <v>None</v>
      </c>
      <c r="AG680" s="25">
        <f t="shared" si="33"/>
        <v>1</v>
      </c>
      <c r="AH680" s="25">
        <f t="shared" si="34"/>
        <v>0.83</v>
      </c>
      <c r="AI680" s="25">
        <f t="shared" si="35"/>
        <v>1</v>
      </c>
    </row>
    <row r="681" ht="14.4" spans="1:35">
      <c r="A681" s="24" t="str">
        <f>'Ammo Input'!A681</f>
        <v>Streamlined Arrow</v>
      </c>
      <c r="B681" t="str">
        <f>'Ammo Input'!B681</f>
        <v>Arrow (Venom)</v>
      </c>
      <c r="C681">
        <f>ROUNDUP(('Ammo Input'!C681*(MAX('Ammo Input'!D681,'Ammo Input'!F681)*0.5)^2*PI())*3/1000000,2)</f>
        <v>0.08</v>
      </c>
      <c r="D681">
        <f>ROUNDUP(('Ammo Input'!E681+'Ammo Input'!H681*IF('Ammo Input'!J681&lt;&gt;"",MAX('Ammo Input'!J681,1),1))/1000,3)</f>
        <v>0.034</v>
      </c>
      <c r="E681">
        <f>MIN(5000,MAX(25,CEILING(Calcs!L681,_xlfn.IFS(Calcs!L681&lt;100,25,Calcs!L681&lt;250,50,Calcs!L681&lt;1000,250,Calcs!L681&gt;=1000,1000))))</f>
        <v>5000</v>
      </c>
      <c r="F681">
        <f>ROUNDUP('Ammo Input'!G681^(3/4),0)</f>
        <v>46</v>
      </c>
      <c r="G681">
        <f>ROUND((0.5*((IF(OR(B681="HEAT",B681="HEDP"),'Ammo Input'!N681,'Ammo Input'!H681)/1000)*(IF(B681="HEAT",9000,IF(B681="HEDP",1500,'Ammo Input'!G681))^2))),0)</f>
        <v>295</v>
      </c>
      <c r="H681" s="25" t="str">
        <f>CONCATENATE(IF((B681="Foam")+(B681="Smoke"),"-",ROUND(Calcs!D681,0))," ",VLOOKUP(B681,AmmoTypeFactors,5,FALSE))</f>
        <v>9 ArrowVenom</v>
      </c>
      <c r="I681" s="25" t="str">
        <f>IF(Calcs!E681=0,"None",CONCATENATE(ROUND(Calcs!E681,0)," ",VLOOKUP(B681,AmmoTypeFactors,6,FALSE)))</f>
        <v>None</v>
      </c>
      <c r="J681">
        <f>MROUND(2.42*'Ammo Input'!M681^(1/3)*VLOOKUP(B681,AmmoTypeFactors,3,FALSE),0.5)</f>
        <v>0</v>
      </c>
      <c r="K681" s="25" t="str">
        <f>IF(VLOOKUP(B681,AmmoTypeFactors,12,FALSE),MROUND(J681/3,0.5),"None")</f>
        <v>None</v>
      </c>
      <c r="L681" s="25">
        <f>IF(VLOOKUP(B681,AmmoTypeFactors,8,FALSE),"None",ROUNDUP(IF(Calcs!I681&gt;0,Calcs!I681,Calcs!H681),3))</f>
        <v>5.9</v>
      </c>
      <c r="M681" s="25">
        <f>IF(VLOOKUP(B681,AmmoTypeFactors,8,FALSE),"None",'Ammo Input'!L681)</f>
        <v>1</v>
      </c>
      <c r="N681">
        <f>'Ammo Input'!O681</f>
        <v>10</v>
      </c>
      <c r="O681" t="e">
        <f>ROUND((P681*0.0036+SUMPRODUCT(Q681:AB681,VLOOKUP($Q$1:$AB$1,IngredientStats,2,FALSE)))/N681*IF('Ammo Input'!R681,0.5,1),2)</f>
        <v>#VALUE!</v>
      </c>
      <c r="P681" t="e">
        <f>(SUMPRODUCT(Q681:AB681,VLOOKUP($Q$1:$AB$1,IngredientStats,4,FALSE))*VLOOKUP(B681,AmmoTypeFactors,14,FALSE)*IF('Ammo Input'!R681,1.1,1))</f>
        <v>#VALUE!</v>
      </c>
      <c r="Q681">
        <f>IFERROR(__xludf.DUMMYFUNCTION("((IF(NOT(OR(REGEXMATCH(B677, ""Arrow""), B677 = ""Javelin"", B677 = ""Stick bomb"")), ROUNDUP(('Ammo Input'!E677 / 1000) * N677)) + IF(VLOOKUP(B677, AmmoTypeFactors, 9, FALSE) = ""Steel"", ROUNDUP(('Ammo Input'!H677 -'Ammo Input'!M677) * MAX(IF('Ammo Inpu"&amp;"t'!J677 &gt; 0, 'Ammo Input'!J677, 1), 1) * N677 / 1000))) / 'Ingredient stats'!$C$2) * IF(ISBLANK(VLOOKUP(B677,AmmoTypeFactors,15,False)),1,VLOOKUP(B677,AmmoTypeFactors,15,False))"),2)</f>
        <v>2</v>
      </c>
      <c r="R681">
        <f>IFERROR(__xludf.DUMMYFUNCTION("ROUNDUP((IF(REGEXMATCH(B677, ""Arrow"") + (B677 = ""Javelin""), 'Ammo Input'!E677) + IF(VLOOKUP(B677, AmmoTypeFactors, 9, FALSE) = ""Wood"", 'Ammo Input'!H677) + IF(B677 = ""Stick bomb"", 'Ammo Input'!E677)) * N677 / 'Ingredient stats'!$C$12 / 1000)"),1)</f>
        <v>1</v>
      </c>
      <c r="S681">
        <v>0</v>
      </c>
      <c r="T681">
        <v>0</v>
      </c>
      <c r="U681">
        <f>IF(VLOOKUP(B681,AmmoTypeFactors,9,FALSE)="Plasteel",ROUNDUP(('Ammo Input'!H681*MAX(IF('Ammo Input'!J681&gt;0,'Ammo Input'!J681,1)*N681/1000/'Ingredient stats'!$C$4)),0),0)</f>
        <v>0</v>
      </c>
      <c r="V681">
        <f>IFERROR(__xludf.DUMMYFUNCTION("ROUNDUP(IF(ISBLANK(VLOOKUP(B677,AmmoTypeFactors,16,False)),1,VLOOKUP(B677,AmmoTypeFactors,16,False)) * (IFS(REGEXMATCH(B677, ""EMP""), 'Ammo Input'!M677 * N677 / 'Ingredient stats'!$C$5, REGEXMATCH(B677, ""Charge""), (U677^0.75), true, 0) + (IF(VLOOKUP(B6"&amp;"77, AmmoTypeFactors, 10, false), 2,0) + IF('Ammo Input'!P677, 2,0) + IF('Ammo Input'!Q677,MIN(ROUNDUP(0.2*('Ammo Input'!H677/1000)*'Ammo Input'!O677,0),20),0))))"),0)</f>
        <v>0</v>
      </c>
      <c r="W681">
        <v>0</v>
      </c>
      <c r="X681">
        <v>0</v>
      </c>
      <c r="Y681">
        <v>0</v>
      </c>
      <c r="Z681">
        <v>0</v>
      </c>
      <c r="AA681">
        <v>1</v>
      </c>
      <c r="AB681" s="30">
        <f>IF(B681="Sling Bullet (Stone)",ROUNDUP(D681*0.02*E681/'Ingredient stats'!$C$8,0),0)</f>
        <v>0</v>
      </c>
      <c r="AC681" t="str">
        <f t="shared" si="32"/>
        <v>None</v>
      </c>
      <c r="AD681" t="str">
        <f>IF(OR(B681="Buck",B681="Bird",B681="Charge (Scatter)"),'Ammo Input'!J681,"None")</f>
        <v>None</v>
      </c>
      <c r="AE681" t="str">
        <f>_xlfn.IFS(ISTEXT(Calcs!N681),Calcs!N681,Calcs!N681&lt;=40,Calcs!N681,Calcs!N681&gt;41,"40")</f>
        <v>None</v>
      </c>
      <c r="AF681" t="str">
        <f>_xlfn.IFS(ISTEXT(Calcs!O681),Calcs!O681,Calcs!O681&lt;=80,Calcs!O681,Calcs!O681&gt;=81,"80")</f>
        <v>None</v>
      </c>
      <c r="AG681" s="25">
        <f t="shared" si="33"/>
        <v>1</v>
      </c>
      <c r="AH681" s="25">
        <f t="shared" si="34"/>
        <v>0.76</v>
      </c>
      <c r="AI681" s="25">
        <f t="shared" si="35"/>
        <v>1</v>
      </c>
    </row>
    <row r="682" ht="14.4" spans="1:35">
      <c r="A682" s="24" t="str">
        <f>'Ammo Input'!A682</f>
        <v>Streamlined Arrow</v>
      </c>
      <c r="B682" t="str">
        <f>'Ammo Input'!B682</f>
        <v>Arrow (Flaming)</v>
      </c>
      <c r="C682">
        <f>ROUNDUP(('Ammo Input'!C682*(MAX('Ammo Input'!D682,'Ammo Input'!F682)*0.5)^2*PI())*3/1000000,2)</f>
        <v>0.08</v>
      </c>
      <c r="D682">
        <f>ROUNDUP(('Ammo Input'!E682+'Ammo Input'!H682*IF('Ammo Input'!J682&lt;&gt;"",MAX('Ammo Input'!J682,1),1))/1000,3)</f>
        <v>0.023</v>
      </c>
      <c r="E682">
        <f>MIN(5000,MAX(25,CEILING(Calcs!L682,_xlfn.IFS(Calcs!L682&lt;100,25,Calcs!L682&lt;250,50,Calcs!L682&lt;1000,250,Calcs!L682&gt;=1000,1000))))</f>
        <v>5000</v>
      </c>
      <c r="F682">
        <f>ROUNDUP('Ammo Input'!G682^(3/4),0)</f>
        <v>46</v>
      </c>
      <c r="G682">
        <f>ROUND((0.5*((IF(OR(B682="HEAT",B682="HEDP"),'Ammo Input'!N682,'Ammo Input'!H682)/1000)*(IF(B682="HEAT",9000,IF(B682="HEDP",1500,'Ammo Input'!G682))^2))),0)</f>
        <v>148</v>
      </c>
      <c r="H682" s="25" t="str">
        <f>CONCATENATE(IF((B682="Foam")+(B682="Smoke"),"-",ROUND(Calcs!D682,0))," ",VLOOKUP(B682,AmmoTypeFactors,5,FALSE))</f>
        <v>3 Flame</v>
      </c>
      <c r="I682" s="25" t="str">
        <f>IF(Calcs!E682=0,"None",CONCATENATE(ROUND(Calcs!E682,0)," ",VLOOKUP(B682,AmmoTypeFactors,6,FALSE)))</f>
        <v>None</v>
      </c>
      <c r="J682">
        <f>MROUND(2.42*'Ammo Input'!M682^(1/3)*VLOOKUP(B682,AmmoTypeFactors,3,FALSE),0.5)</f>
        <v>0</v>
      </c>
      <c r="K682" s="25" t="str">
        <f>IF(VLOOKUP(B682,AmmoTypeFactors,12,FALSE),MROUND(J682/3,0.5),"None")</f>
        <v>None</v>
      </c>
      <c r="L682" s="25">
        <f>IF(VLOOKUP(B682,AmmoTypeFactors,8,FALSE),"None",ROUNDUP(IF(Calcs!I682&gt;0,Calcs!I682,Calcs!H682),3))</f>
        <v>2.96</v>
      </c>
      <c r="M682" s="25">
        <f>IF(VLOOKUP(B682,AmmoTypeFactors,8,FALSE),"None",'Ammo Input'!L682)</f>
        <v>0.5</v>
      </c>
      <c r="N682">
        <f>'Ammo Input'!O682</f>
        <v>10</v>
      </c>
      <c r="O682" t="e">
        <f>ROUND((P682*0.0036+SUMPRODUCT(Q682:AB682,VLOOKUP($Q$1:$AB$1,IngredientStats,2,FALSE)))/N682*IF('Ammo Input'!R682,0.5,1),2)</f>
        <v>#VALUE!</v>
      </c>
      <c r="P682" t="e">
        <f>(SUMPRODUCT(Q682:AB682,VLOOKUP($Q$1:$AB$1,IngredientStats,4,FALSE))*VLOOKUP(B682,AmmoTypeFactors,14,FALSE)*IF('Ammo Input'!R682,1.1,1))</f>
        <v>#VALUE!</v>
      </c>
      <c r="Q682">
        <f>IFERROR(__xludf.DUMMYFUNCTION("((IF(NOT(OR(REGEXMATCH(B678, ""Arrow""), B678 = ""Javelin"", B678 = ""Stick bomb"")), ROUNDUP(('Ammo Input'!E678 / 1000) * N678)) + IF(VLOOKUP(B678, AmmoTypeFactors, 9, FALSE) = ""Steel"", ROUNDUP(('Ammo Input'!H678 -'Ammo Input'!M678) * MAX(IF('Ammo Inpu"&amp;"t'!J678 &gt; 0, 'Ammo Input'!J678, 1), 1) * N678 / 1000))) / 'Ingredient stats'!$C$2) * IF(ISBLANK(VLOOKUP(B678,AmmoTypeFactors,15,False)),1,VLOOKUP(B678,AmmoTypeFactors,15,False))"),2)</f>
        <v>2</v>
      </c>
      <c r="R682">
        <f>IFERROR(__xludf.DUMMYFUNCTION("ROUNDUP((IF(REGEXMATCH(B678, ""Arrow"") + (B678 = ""Javelin""), 'Ammo Input'!E678) + IF(VLOOKUP(B678, AmmoTypeFactors, 9, FALSE) = ""Wood"", 'Ammo Input'!H678) + IF(B678 = ""Stick bomb"", 'Ammo Input'!E678)) * N678 / 'Ingredient stats'!$C$12 / 1000)"),1)</f>
        <v>1</v>
      </c>
      <c r="S682">
        <v>0</v>
      </c>
      <c r="T682">
        <v>0</v>
      </c>
      <c r="U682">
        <f>IF(VLOOKUP(B682,AmmoTypeFactors,9,FALSE)="Plasteel",ROUNDUP(('Ammo Input'!H682*MAX(IF('Ammo Input'!J682&gt;0,'Ammo Input'!J682,1)*N682/1000/'Ingredient stats'!$C$4)),0),0)</f>
        <v>0</v>
      </c>
      <c r="V682">
        <f>IFERROR(__xludf.DUMMYFUNCTION("ROUNDUP(IF(ISBLANK(VLOOKUP(B678,AmmoTypeFactors,16,False)),1,VLOOKUP(B678,AmmoTypeFactors,16,False)) * (IFS(REGEXMATCH(B678, ""EMP""), 'Ammo Input'!M678 * N678 / 'Ingredient stats'!$C$5, REGEXMATCH(B678, ""Charge""), (U678^0.75), true, 0) + (IF(VLOOKUP(B6"&amp;"78, AmmoTypeFactors, 10, false), 2,0) + IF('Ammo Input'!P678, 2,0) + IF('Ammo Input'!Q678,MIN(ROUNDUP(0.2*('Ammo Input'!H678/1000)*'Ammo Input'!O678,0),20),0))))"),0)</f>
        <v>0</v>
      </c>
      <c r="W682">
        <v>1</v>
      </c>
      <c r="X682">
        <v>0</v>
      </c>
      <c r="Y682">
        <v>0</v>
      </c>
      <c r="Z682">
        <v>0</v>
      </c>
      <c r="AA682">
        <v>0</v>
      </c>
      <c r="AB682" s="30">
        <f>IF(B682="Sling Bullet (Stone)",ROUNDUP(D682*0.02*E682/'Ingredient stats'!$C$8,0),0)</f>
        <v>0</v>
      </c>
      <c r="AC682" t="str">
        <f t="shared" si="32"/>
        <v>None</v>
      </c>
      <c r="AD682" t="str">
        <f>IF(OR(B682="Buck",B682="Bird",B682="Charge (Scatter)"),'Ammo Input'!J682,"None")</f>
        <v>None</v>
      </c>
      <c r="AE682" t="str">
        <f>_xlfn.IFS(ISTEXT(Calcs!N682),Calcs!N682,Calcs!N682&lt;=40,Calcs!N682,Calcs!N682&gt;41,"40")</f>
        <v>None</v>
      </c>
      <c r="AF682" t="str">
        <f>_xlfn.IFS(ISTEXT(Calcs!O682),Calcs!O682,Calcs!O682&lt;=80,Calcs!O682,Calcs!O682&gt;=81,"80")</f>
        <v>None</v>
      </c>
      <c r="AG682" s="25">
        <f t="shared" si="33"/>
        <v>1</v>
      </c>
      <c r="AH682" s="25">
        <f t="shared" si="34"/>
        <v>0.76</v>
      </c>
      <c r="AI682" s="25">
        <f t="shared" si="35"/>
        <v>1</v>
      </c>
    </row>
    <row r="683" ht="14.4" spans="1:35">
      <c r="A683" s="24" t="str">
        <f>'Ammo Input'!A683</f>
        <v>Great Arrow</v>
      </c>
      <c r="B683" t="str">
        <f>'Ammo Input'!B683</f>
        <v>Arrow (Stone)</v>
      </c>
      <c r="C683">
        <f>ROUNDUP(('Ammo Input'!C683*(MAX('Ammo Input'!D683,'Ammo Input'!F683)*0.5)^2*PI())*3/1000000,2)</f>
        <v>0.32</v>
      </c>
      <c r="D683">
        <f>ROUNDUP(('Ammo Input'!E683+'Ammo Input'!H683*IF('Ammo Input'!J683&lt;&gt;"",MAX('Ammo Input'!J683,1),1))/1000,3)</f>
        <v>0.105</v>
      </c>
      <c r="E683">
        <f>MIN(5000,MAX(25,CEILING(Calcs!L683,_xlfn.IFS(Calcs!L683&lt;100,25,Calcs!L683&lt;250,50,Calcs!L683&lt;1000,250,Calcs!L683&gt;=1000,1000))))</f>
        <v>5000</v>
      </c>
      <c r="F683">
        <f>ROUNDUP('Ammo Input'!G683^(3/4),0)</f>
        <v>21</v>
      </c>
      <c r="G683">
        <f>ROUND((0.5*((IF(OR(B683="HEAT",B683="HEDP"),'Ammo Input'!N683,'Ammo Input'!H683)/1000)*(IF(B683="HEAT",9000,IF(B683="HEDP",1500,'Ammo Input'!G683))^2))),0)</f>
        <v>83</v>
      </c>
      <c r="H683" s="25" t="str">
        <f>CONCATENATE(IF((B683="Foam")+(B683="Smoke"),"-",ROUND(Calcs!D683,0))," ",VLOOKUP(B683,AmmoTypeFactors,5,FALSE))</f>
        <v>8 Arrow</v>
      </c>
      <c r="I683" s="25" t="str">
        <f>IF(Calcs!E683=0,"None",CONCATENATE(ROUND(Calcs!E683,0)," ",VLOOKUP(B683,AmmoTypeFactors,6,FALSE)))</f>
        <v>None</v>
      </c>
      <c r="J683">
        <f>MROUND(2.42*'Ammo Input'!M683^(1/3)*VLOOKUP(B683,AmmoTypeFactors,3,FALSE),0.5)</f>
        <v>0</v>
      </c>
      <c r="K683" s="25" t="str">
        <f>IF(VLOOKUP(B683,AmmoTypeFactors,12,FALSE),MROUND(J683/3,0.5),"None")</f>
        <v>None</v>
      </c>
      <c r="L683" s="25">
        <f>IF(VLOOKUP(B683,AmmoTypeFactors,8,FALSE),"None",ROUNDUP(IF(Calcs!I683&gt;0,Calcs!I683,Calcs!H683),3))</f>
        <v>1.66</v>
      </c>
      <c r="M683" s="25">
        <f>IF(VLOOKUP(B683,AmmoTypeFactors,8,FALSE),"None",'Ammo Input'!L683)</f>
        <v>1</v>
      </c>
      <c r="N683">
        <f>'Ammo Input'!O683</f>
        <v>10</v>
      </c>
      <c r="O683" t="e">
        <f>ROUND((P683*0.0036+SUMPRODUCT(Q683:AB683,VLOOKUP($Q$1:$AB$1,IngredientStats,2,FALSE)))/N683*IF('Ammo Input'!R683,0.5,1),2)</f>
        <v>#VALUE!</v>
      </c>
      <c r="P683" t="e">
        <f>(SUMPRODUCT(Q683:AB683,VLOOKUP($Q$1:$AB$1,IngredientStats,4,FALSE))*VLOOKUP(B683,AmmoTypeFactors,14,FALSE)*IF('Ammo Input'!R683,1.1,1))</f>
        <v>#VALUE!</v>
      </c>
      <c r="Q683">
        <f>IFERROR(__xludf.DUMMYFUNCTION("((IF(NOT(OR(REGEXMATCH(B679, ""Arrow""), B679 = ""Javelin"", B679 = ""Stick bomb"")), ROUNDUP(('Ammo Input'!E679 / 1000) * N679)) + IF(VLOOKUP(B679, AmmoTypeFactors, 9, FALSE) = ""Steel"", ROUNDUP(('Ammo Input'!H679 -'Ammo Input'!M679) * MAX(IF('Ammo Inpu"&amp;"t'!J679 &gt; 0, 'Ammo Input'!J679, 1), 1) * N679 / 1000))) / 'Ingredient stats'!$C$2) * IF(ISBLANK(VLOOKUP(B679,AmmoTypeFactors,15,False)),1,VLOOKUP(B679,AmmoTypeFactors,15,False))"),0)</f>
        <v>0</v>
      </c>
      <c r="R683">
        <f>IFERROR(__xludf.DUMMYFUNCTION("ROUNDUP((IF(REGEXMATCH(B679, ""Arrow"") + (B679 = ""Javelin""), 'Ammo Input'!E679) + IF(VLOOKUP(B679, AmmoTypeFactors, 9, FALSE) = ""Wood"", 'Ammo Input'!H679) + IF(B679 = ""Stick bomb"", 'Ammo Input'!E679)) * N679 / 'Ingredient stats'!$C$12 / 1000)"),3)</f>
        <v>3</v>
      </c>
      <c r="S683">
        <v>0</v>
      </c>
      <c r="T683">
        <v>0</v>
      </c>
      <c r="U683">
        <f>IF(VLOOKUP(B683,AmmoTypeFactors,9,FALSE)="Plasteel",ROUNDUP(('Ammo Input'!H683*MAX(IF('Ammo Input'!J683&gt;0,'Ammo Input'!J683,1)*N683/1000/'Ingredient stats'!$C$4)),0),0)</f>
        <v>0</v>
      </c>
      <c r="V683">
        <f>IFERROR(__xludf.DUMMYFUNCTION("ROUNDUP(IF(ISBLANK(VLOOKUP(B679,AmmoTypeFactors,16,False)),1,VLOOKUP(B679,AmmoTypeFactors,16,False)) * (IFS(REGEXMATCH(B679, ""EMP""), 'Ammo Input'!M679 * N679 / 'Ingredient stats'!$C$5, REGEXMATCH(B679, ""Charge""), (U679^0.75), true, 0) + (IF(VLOOKUP(B6"&amp;"79, AmmoTypeFactors, 10, false), 2,0) + IF('Ammo Input'!P679, 2,0) + IF('Ammo Input'!Q679,MIN(ROUNDUP(0.2*('Ammo Input'!H679/1000)*'Ammo Input'!O679,0),20),0))))"),0)</f>
        <v>0</v>
      </c>
      <c r="W683">
        <v>0</v>
      </c>
      <c r="X683">
        <v>0</v>
      </c>
      <c r="Y683">
        <v>0</v>
      </c>
      <c r="Z683">
        <v>0</v>
      </c>
      <c r="AA683">
        <v>0</v>
      </c>
      <c r="AB683" s="30">
        <f>IF(B683="Sling Bullet (Stone)",ROUNDUP(D683*0.02*E683/'Ingredient stats'!$C$8,0),0)</f>
        <v>0</v>
      </c>
      <c r="AC683" t="str">
        <f t="shared" si="32"/>
        <v>None</v>
      </c>
      <c r="AD683" t="str">
        <f>IF(OR(B683="Buck",B683="Bird",B683="Charge (Scatter)"),'Ammo Input'!J683,"None")</f>
        <v>None</v>
      </c>
      <c r="AE683" t="str">
        <f>_xlfn.IFS(ISTEXT(Calcs!N683),Calcs!N683,Calcs!N683&lt;=40,Calcs!N683,Calcs!N683&gt;41,"40")</f>
        <v>None</v>
      </c>
      <c r="AF683" t="str">
        <f>_xlfn.IFS(ISTEXT(Calcs!O683),Calcs!O683,Calcs!O683&lt;=80,Calcs!O683,Calcs!O683&gt;=81,"80")</f>
        <v>None</v>
      </c>
      <c r="AG683" s="25">
        <f t="shared" si="33"/>
        <v>1</v>
      </c>
      <c r="AH683" s="25">
        <f t="shared" si="34"/>
        <v>0.35</v>
      </c>
      <c r="AI683" s="25">
        <f t="shared" si="35"/>
        <v>1</v>
      </c>
    </row>
    <row r="684" ht="14.4" spans="1:35">
      <c r="A684" s="24" t="str">
        <f>'Ammo Input'!A684</f>
        <v>Great Arrow</v>
      </c>
      <c r="B684" t="str">
        <f>'Ammo Input'!B684</f>
        <v>Arrow (Steel)</v>
      </c>
      <c r="C684">
        <f>ROUNDUP(('Ammo Input'!C684*(MAX('Ammo Input'!D684,'Ammo Input'!F684)*0.5)^2*PI())*3/1000000,2)</f>
        <v>0.32</v>
      </c>
      <c r="D684">
        <f>ROUNDUP(('Ammo Input'!E684+'Ammo Input'!H684*IF('Ammo Input'!J684&lt;&gt;"",MAX('Ammo Input'!J684,1),1))/1000,3)</f>
        <v>0.115</v>
      </c>
      <c r="E684">
        <f>MIN(5000,MAX(25,CEILING(Calcs!L684,_xlfn.IFS(Calcs!L684&lt;100,25,Calcs!L684&lt;250,50,Calcs!L684&lt;1000,250,Calcs!L684&gt;=1000,1000))))</f>
        <v>5000</v>
      </c>
      <c r="F684">
        <f>ROUNDUP('Ammo Input'!G684^(3/4),0)</f>
        <v>22</v>
      </c>
      <c r="G684">
        <f>ROUND((0.5*((IF(OR(B684="HEAT",B684="HEDP"),'Ammo Input'!N684,'Ammo Input'!H684)/1000)*(IF(B684="HEAT",9000,IF(B684="HEDP",1500,'Ammo Input'!G684))^2))),0)</f>
        <v>117</v>
      </c>
      <c r="H684" s="25" t="str">
        <f>CONCATENATE(IF((B684="Foam")+(B684="Smoke"),"-",ROUND(Calcs!D684,0))," ",VLOOKUP(B684,AmmoTypeFactors,5,FALSE))</f>
        <v>7 Arrow</v>
      </c>
      <c r="I684" s="25" t="str">
        <f>IF(Calcs!E684=0,"None",CONCATENATE(ROUND(Calcs!E684,0)," ",VLOOKUP(B684,AmmoTypeFactors,6,FALSE)))</f>
        <v>None</v>
      </c>
      <c r="J684">
        <f>MROUND(2.42*'Ammo Input'!M684^(1/3)*VLOOKUP(B684,AmmoTypeFactors,3,FALSE),0.5)</f>
        <v>0</v>
      </c>
      <c r="K684" s="25" t="str">
        <f>IF(VLOOKUP(B684,AmmoTypeFactors,12,FALSE),MROUND(J684/3,0.5),"None")</f>
        <v>None</v>
      </c>
      <c r="L684" s="25">
        <f>IF(VLOOKUP(B684,AmmoTypeFactors,8,FALSE),"None",ROUNDUP(IF(Calcs!I684&gt;0,Calcs!I684,Calcs!H684),3))</f>
        <v>2.34</v>
      </c>
      <c r="M684" s="25">
        <f>IF(VLOOKUP(B684,AmmoTypeFactors,8,FALSE),"None",'Ammo Input'!L684)</f>
        <v>2</v>
      </c>
      <c r="N684">
        <f>'Ammo Input'!O684</f>
        <v>10</v>
      </c>
      <c r="O684" t="e">
        <f>ROUND((P684*0.0036+SUMPRODUCT(Q684:AB684,VLOOKUP($Q$1:$AB$1,IngredientStats,2,FALSE)))/N684*IF('Ammo Input'!R684,0.5,1),2)</f>
        <v>#VALUE!</v>
      </c>
      <c r="P684" t="e">
        <f>(SUMPRODUCT(Q684:AB684,VLOOKUP($Q$1:$AB$1,IngredientStats,4,FALSE))*VLOOKUP(B684,AmmoTypeFactors,14,FALSE)*IF('Ammo Input'!R684,1.1,1))</f>
        <v>#VALUE!</v>
      </c>
      <c r="Q684">
        <f>IFERROR(__xludf.DUMMYFUNCTION("((IF(NOT(OR(REGEXMATCH(B680, ""Arrow""), B680 = ""Javelin"", B680 = ""Stick bomb"")), ROUNDUP(('Ammo Input'!E680 / 1000) * N680)) + IF(VLOOKUP(B680, AmmoTypeFactors, 9, FALSE) = ""Steel"", ROUNDUP(('Ammo Input'!H680 -'Ammo Input'!M680) * MAX(IF('Ammo Inpu"&amp;"t'!J680 &gt; 0, 'Ammo Input'!J680, 1), 1) * N680 / 1000))) / 'Ingredient stats'!$C$2) * IF(ISBLANK(VLOOKUP(B680,AmmoTypeFactors,15,False)),1,VLOOKUP(B680,AmmoTypeFactors,15,False))"),2)</f>
        <v>2</v>
      </c>
      <c r="R684">
        <f>IFERROR(__xludf.DUMMYFUNCTION("ROUNDUP((IF(REGEXMATCH(B680, ""Arrow"") + (B680 = ""Javelin""), 'Ammo Input'!E680) + IF(VLOOKUP(B680, AmmoTypeFactors, 9, FALSE) = ""Wood"", 'Ammo Input'!H680) + IF(B680 = ""Stick bomb"", 'Ammo Input'!E680)) * N680 / 'Ingredient stats'!$C$12 / 1000)"),2)</f>
        <v>2</v>
      </c>
      <c r="S684">
        <v>0</v>
      </c>
      <c r="T684">
        <v>0</v>
      </c>
      <c r="U684">
        <f>IF(VLOOKUP(B684,AmmoTypeFactors,9,FALSE)="Plasteel",ROUNDUP(('Ammo Input'!H684*MAX(IF('Ammo Input'!J684&gt;0,'Ammo Input'!J684,1)*N684/1000/'Ingredient stats'!$C$4)),0),0)</f>
        <v>0</v>
      </c>
      <c r="V684">
        <f>IFERROR(__xludf.DUMMYFUNCTION("ROUNDUP(IF(ISBLANK(VLOOKUP(B680,AmmoTypeFactors,16,False)),1,VLOOKUP(B680,AmmoTypeFactors,16,False)) * (IFS(REGEXMATCH(B680, ""EMP""), 'Ammo Input'!M680 * N680 / 'Ingredient stats'!$C$5, REGEXMATCH(B680, ""Charge""), (U680^0.75), true, 0) + (IF(VLOOKUP(B6"&amp;"80, AmmoTypeFactors, 10, false), 2,0) + IF('Ammo Input'!P680, 2,0) + IF('Ammo Input'!Q680,MIN(ROUNDUP(0.2*('Ammo Input'!H680/1000)*'Ammo Input'!O680,0),20),0))))"),0)</f>
        <v>0</v>
      </c>
      <c r="W684">
        <v>0</v>
      </c>
      <c r="X684">
        <v>0</v>
      </c>
      <c r="Y684">
        <v>0</v>
      </c>
      <c r="Z684">
        <v>0</v>
      </c>
      <c r="AA684">
        <v>0</v>
      </c>
      <c r="AB684" s="30">
        <f>IF(B684="Sling Bullet (Stone)",ROUNDUP(D684*0.02*E684/'Ingredient stats'!$C$8,0),0)</f>
        <v>0</v>
      </c>
      <c r="AC684" t="str">
        <f t="shared" si="32"/>
        <v>None</v>
      </c>
      <c r="AD684" t="str">
        <f>IF(OR(B684="Buck",B684="Bird",B684="Charge (Scatter)"),'Ammo Input'!J684,"None")</f>
        <v>None</v>
      </c>
      <c r="AE684" t="str">
        <f>_xlfn.IFS(ISTEXT(Calcs!N684),Calcs!N684,Calcs!N684&lt;=40,Calcs!N684,Calcs!N684&gt;41,"40")</f>
        <v>None</v>
      </c>
      <c r="AF684" t="str">
        <f>_xlfn.IFS(ISTEXT(Calcs!O684),Calcs!O684,Calcs!O684&lt;=80,Calcs!O684,Calcs!O684&gt;=81,"80")</f>
        <v>None</v>
      </c>
      <c r="AG684" s="25">
        <f t="shared" si="33"/>
        <v>1</v>
      </c>
      <c r="AH684" s="25">
        <f t="shared" si="34"/>
        <v>0.37</v>
      </c>
      <c r="AI684" s="25">
        <f t="shared" si="35"/>
        <v>1</v>
      </c>
    </row>
    <row r="685" ht="14.4" spans="1:35">
      <c r="A685" s="24" t="str">
        <f>'Ammo Input'!A685</f>
        <v>Great Arrow</v>
      </c>
      <c r="B685" t="str">
        <f>'Ammo Input'!B685</f>
        <v>Arrow (Plasteel)</v>
      </c>
      <c r="C685">
        <f>ROUNDUP(('Ammo Input'!C685*(MAX('Ammo Input'!D685,'Ammo Input'!F685)*0.5)^2*PI())*3/1000000,2)</f>
        <v>0.32</v>
      </c>
      <c r="D685">
        <f>ROUNDUP(('Ammo Input'!E685+'Ammo Input'!H685*IF('Ammo Input'!J685&lt;&gt;"",MAX('Ammo Input'!J685,1),1))/1000,3)</f>
        <v>0.108</v>
      </c>
      <c r="E685">
        <f>MIN(5000,MAX(25,CEILING(Calcs!L685,_xlfn.IFS(Calcs!L685&lt;100,25,Calcs!L685&lt;250,50,Calcs!L685&lt;1000,250,Calcs!L685&gt;=1000,1000))))</f>
        <v>5000</v>
      </c>
      <c r="F685">
        <f>ROUNDUP('Ammo Input'!G685^(3/4),0)</f>
        <v>22</v>
      </c>
      <c r="G685">
        <f>ROUND((0.5*((IF(OR(B685="HEAT",B685="HEDP"),'Ammo Input'!N685,'Ammo Input'!H685)/1000)*(IF(B685="HEAT",9000,IF(B685="HEDP",1500,'Ammo Input'!G685))^2))),0)</f>
        <v>107</v>
      </c>
      <c r="H685" s="25" t="str">
        <f>CONCATENATE(IF((B685="Foam")+(B685="Smoke"),"-",ROUND(Calcs!D685,0))," ",VLOOKUP(B685,AmmoTypeFactors,5,FALSE))</f>
        <v>6 Arrow</v>
      </c>
      <c r="I685" s="25" t="str">
        <f>IF(Calcs!E685=0,"None",CONCATENATE(ROUND(Calcs!E685,0)," ",VLOOKUP(B685,AmmoTypeFactors,6,FALSE)))</f>
        <v>None</v>
      </c>
      <c r="J685">
        <f>MROUND(2.42*'Ammo Input'!M685^(1/3)*VLOOKUP(B685,AmmoTypeFactors,3,FALSE),0.5)</f>
        <v>0</v>
      </c>
      <c r="K685" s="25" t="str">
        <f>IF(VLOOKUP(B685,AmmoTypeFactors,12,FALSE),MROUND(J685/3,0.5),"None")</f>
        <v>None</v>
      </c>
      <c r="L685" s="25">
        <f>IF(VLOOKUP(B685,AmmoTypeFactors,8,FALSE),"None",ROUNDUP(IF(Calcs!I685&gt;0,Calcs!I685,Calcs!H685),3))</f>
        <v>2.14</v>
      </c>
      <c r="M685" s="25">
        <f>IF(VLOOKUP(B685,AmmoTypeFactors,8,FALSE),"None",'Ammo Input'!L685)</f>
        <v>3</v>
      </c>
      <c r="N685">
        <f>'Ammo Input'!O685</f>
        <v>10</v>
      </c>
      <c r="O685" t="e">
        <f>ROUND((P685*0.0036+SUMPRODUCT(Q685:AB685,VLOOKUP($Q$1:$AB$1,IngredientStats,2,FALSE)))/N685*IF('Ammo Input'!R685,0.5,1),2)</f>
        <v>#VALUE!</v>
      </c>
      <c r="P685" t="e">
        <f>(SUMPRODUCT(Q685:AB685,VLOOKUP($Q$1:$AB$1,IngredientStats,4,FALSE))*VLOOKUP(B685,AmmoTypeFactors,14,FALSE)*IF('Ammo Input'!R685,1.1,1))</f>
        <v>#VALUE!</v>
      </c>
      <c r="Q685">
        <f>IFERROR(__xludf.DUMMYFUNCTION("((IF(NOT(OR(REGEXMATCH(B681, ""Arrow""), B681 = ""Javelin"", B681 = ""Stick bomb"")), ROUNDUP(('Ammo Input'!E681 / 1000) * N681)) + IF(VLOOKUP(B681, AmmoTypeFactors, 9, FALSE) = ""Steel"", ROUNDUP(('Ammo Input'!H681 -'Ammo Input'!M681) * MAX(IF('Ammo Inpu"&amp;"t'!J681 &gt; 0, 'Ammo Input'!J681, 1), 1) * N681 / 1000))) / 'Ingredient stats'!$C$2) * IF(ISBLANK(VLOOKUP(B681,AmmoTypeFactors,15,False)),1,VLOOKUP(B681,AmmoTypeFactors,15,False))"),0)</f>
        <v>0</v>
      </c>
      <c r="R685">
        <f>IFERROR(__xludf.DUMMYFUNCTION("ROUNDUP((IF(REGEXMATCH(B681, ""Arrow"") + (B681 = ""Javelin""), 'Ammo Input'!E681) + IF(VLOOKUP(B681, AmmoTypeFactors, 9, FALSE) = ""Wood"", 'Ammo Input'!H681) + IF(B681 = ""Stick bomb"", 'Ammo Input'!E681)) * N681 / 'Ingredient stats'!$C$12 / 1000)"),2)</f>
        <v>2</v>
      </c>
      <c r="S685">
        <v>0</v>
      </c>
      <c r="T685">
        <v>0</v>
      </c>
      <c r="U685">
        <f>IF(VLOOKUP(B685,AmmoTypeFactors,9,FALSE)="Plasteel",ROUNDUP(('Ammo Input'!H685*MAX(IF('Ammo Input'!J685&gt;0,'Ammo Input'!J685,1)*N685/1000/'Ingredient stats'!$C$4)),0),0)</f>
        <v>3</v>
      </c>
      <c r="V685">
        <f>IFERROR(__xludf.DUMMYFUNCTION("ROUNDUP(IF(ISBLANK(VLOOKUP(B681,AmmoTypeFactors,16,False)),1,VLOOKUP(B681,AmmoTypeFactors,16,False)) * (IFS(REGEXMATCH(B681, ""EMP""), 'Ammo Input'!M681 * N681 / 'Ingredient stats'!$C$5, REGEXMATCH(B681, ""Charge""), (U681^0.75), true, 0) + (IF(VLOOKUP(B6"&amp;"81, AmmoTypeFactors, 10, false), 2,0) + IF('Ammo Input'!P681, 2,0) + IF('Ammo Input'!Q681,MIN(ROUNDUP(0.2*('Ammo Input'!H681/1000)*'Ammo Input'!O681,0),20),0))))"),0)</f>
        <v>0</v>
      </c>
      <c r="W685">
        <v>0</v>
      </c>
      <c r="X685">
        <v>0</v>
      </c>
      <c r="Y685">
        <v>0</v>
      </c>
      <c r="Z685">
        <v>0</v>
      </c>
      <c r="AA685">
        <v>0</v>
      </c>
      <c r="AB685" s="30">
        <f>IF(B685="Sling Bullet (Stone)",ROUNDUP(D685*0.02*E685/'Ingredient stats'!$C$8,0),0)</f>
        <v>0</v>
      </c>
      <c r="AC685" t="str">
        <f t="shared" si="32"/>
        <v>None</v>
      </c>
      <c r="AD685" t="str">
        <f>IF(OR(B685="Buck",B685="Bird",B685="Charge (Scatter)"),'Ammo Input'!J685,"None")</f>
        <v>None</v>
      </c>
      <c r="AE685" t="str">
        <f>_xlfn.IFS(ISTEXT(Calcs!N685),Calcs!N685,Calcs!N685&lt;=40,Calcs!N685,Calcs!N685&gt;41,"40")</f>
        <v>None</v>
      </c>
      <c r="AF685" t="str">
        <f>_xlfn.IFS(ISTEXT(Calcs!O685),Calcs!O685,Calcs!O685&lt;=80,Calcs!O685,Calcs!O685&gt;=81,"80")</f>
        <v>None</v>
      </c>
      <c r="AG685" s="25">
        <f t="shared" si="33"/>
        <v>1</v>
      </c>
      <c r="AH685" s="25">
        <f t="shared" si="34"/>
        <v>0.37</v>
      </c>
      <c r="AI685" s="25">
        <f t="shared" si="35"/>
        <v>1</v>
      </c>
    </row>
    <row r="686" ht="14.4" spans="1:35">
      <c r="A686" s="24" t="str">
        <f>'Ammo Input'!A686</f>
        <v>Great Arrow</v>
      </c>
      <c r="B686" t="str">
        <f>'Ammo Input'!B686</f>
        <v>Arrow (Venom)</v>
      </c>
      <c r="C686">
        <f>ROUNDUP(('Ammo Input'!C686*(MAX('Ammo Input'!D686,'Ammo Input'!F686)*0.5)^2*PI())*3/1000000,2)</f>
        <v>0.32</v>
      </c>
      <c r="D686">
        <f>ROUNDUP(('Ammo Input'!E686+'Ammo Input'!H686*IF('Ammo Input'!J686&lt;&gt;"",MAX('Ammo Input'!J686,1),1))/1000,3)</f>
        <v>0.115</v>
      </c>
      <c r="E686">
        <f>MIN(5000,MAX(25,CEILING(Calcs!L686,_xlfn.IFS(Calcs!L686&lt;100,25,Calcs!L686&lt;250,50,Calcs!L686&lt;1000,250,Calcs!L686&gt;=1000,1000))))</f>
        <v>5000</v>
      </c>
      <c r="F686">
        <f>ROUNDUP('Ammo Input'!G686^(3/4),0)</f>
        <v>22</v>
      </c>
      <c r="G686">
        <f>ROUND((0.5*((IF(OR(B686="HEAT",B686="HEDP"),'Ammo Input'!N686,'Ammo Input'!H686)/1000)*(IF(B686="HEAT",9000,IF(B686="HEDP",1500,'Ammo Input'!G686))^2))),0)</f>
        <v>117</v>
      </c>
      <c r="H686" s="25" t="str">
        <f>CONCATENATE(IF((B686="Foam")+(B686="Smoke"),"-",ROUND(Calcs!D686,0))," ",VLOOKUP(B686,AmmoTypeFactors,5,FALSE))</f>
        <v>7 ArrowVenom</v>
      </c>
      <c r="I686" s="25" t="str">
        <f>IF(Calcs!E686=0,"None",CONCATENATE(ROUND(Calcs!E686,0)," ",VLOOKUP(B686,AmmoTypeFactors,6,FALSE)))</f>
        <v>None</v>
      </c>
      <c r="J686">
        <f>MROUND(2.42*'Ammo Input'!M686^(1/3)*VLOOKUP(B686,AmmoTypeFactors,3,FALSE),0.5)</f>
        <v>0</v>
      </c>
      <c r="K686" s="25" t="str">
        <f>IF(VLOOKUP(B686,AmmoTypeFactors,12,FALSE),MROUND(J686/3,0.5),"None")</f>
        <v>None</v>
      </c>
      <c r="L686" s="25">
        <f>IF(VLOOKUP(B686,AmmoTypeFactors,8,FALSE),"None",ROUNDUP(IF(Calcs!I686&gt;0,Calcs!I686,Calcs!H686),3))</f>
        <v>2.34</v>
      </c>
      <c r="M686" s="25">
        <f>IF(VLOOKUP(B686,AmmoTypeFactors,8,FALSE),"None",'Ammo Input'!L686)</f>
        <v>2</v>
      </c>
      <c r="N686">
        <f>'Ammo Input'!O686</f>
        <v>10</v>
      </c>
      <c r="O686" t="e">
        <f>ROUND((P686*0.0036+SUMPRODUCT(Q686:AB686,VLOOKUP($Q$1:$AB$1,IngredientStats,2,FALSE)))/N686*IF('Ammo Input'!R686,0.5,1),2)</f>
        <v>#VALUE!</v>
      </c>
      <c r="P686" t="e">
        <f>(SUMPRODUCT(Q686:AB686,VLOOKUP($Q$1:$AB$1,IngredientStats,4,FALSE))*VLOOKUP(B686,AmmoTypeFactors,14,FALSE)*IF('Ammo Input'!R686,1.1,1))</f>
        <v>#VALUE!</v>
      </c>
      <c r="Q686">
        <f>IFERROR(__xludf.DUMMYFUNCTION("((IF(NOT(OR(REGEXMATCH(B682, ""Arrow""), B682 = ""Javelin"", B682 = ""Stick bomb"")), ROUNDUP(('Ammo Input'!E682 / 1000) * N682)) + IF(VLOOKUP(B682, AmmoTypeFactors, 9, FALSE) = ""Steel"", ROUNDUP(('Ammo Input'!H682 -'Ammo Input'!M682) * MAX(IF('Ammo Inpu"&amp;"t'!J682 &gt; 0, 'Ammo Input'!J682, 1), 1) * N682 / 1000))) / 'Ingredient stats'!$C$2) * IF(ISBLANK(VLOOKUP(B682,AmmoTypeFactors,15,False)),1,VLOOKUP(B682,AmmoTypeFactors,15,False))"),2)</f>
        <v>2</v>
      </c>
      <c r="R686">
        <f>IFERROR(__xludf.DUMMYFUNCTION("ROUNDUP((IF(REGEXMATCH(B682, ""Arrow"") + (B682 = ""Javelin""), 'Ammo Input'!E682) + IF(VLOOKUP(B682, AmmoTypeFactors, 9, FALSE) = ""Wood"", 'Ammo Input'!H682) + IF(B682 = ""Stick bomb"", 'Ammo Input'!E682)) * N682 / 'Ingredient stats'!$C$12 / 1000)"),2)</f>
        <v>2</v>
      </c>
      <c r="S686">
        <v>0</v>
      </c>
      <c r="T686">
        <v>0</v>
      </c>
      <c r="U686">
        <f>IF(VLOOKUP(B686,AmmoTypeFactors,9,FALSE)="Plasteel",ROUNDUP(('Ammo Input'!H686*MAX(IF('Ammo Input'!J686&gt;0,'Ammo Input'!J686,1)*N686/1000/'Ingredient stats'!$C$4)),0),0)</f>
        <v>0</v>
      </c>
      <c r="V686">
        <f>IFERROR(__xludf.DUMMYFUNCTION("ROUNDUP(IF(ISBLANK(VLOOKUP(B682,AmmoTypeFactors,16,False)),1,VLOOKUP(B682,AmmoTypeFactors,16,False)) * (IFS(REGEXMATCH(B682, ""EMP""), 'Ammo Input'!M682 * N682 / 'Ingredient stats'!$C$5, REGEXMATCH(B682, ""Charge""), (U682^0.75), true, 0) + (IF(VLOOKUP(B6"&amp;"82, AmmoTypeFactors, 10, false), 2,0) + IF('Ammo Input'!P682, 2,0) + IF('Ammo Input'!Q682,MIN(ROUNDUP(0.2*('Ammo Input'!H682/1000)*'Ammo Input'!O682,0),20),0))))"),0)</f>
        <v>0</v>
      </c>
      <c r="W686">
        <v>0</v>
      </c>
      <c r="X686">
        <v>0</v>
      </c>
      <c r="Y686">
        <v>0</v>
      </c>
      <c r="Z686">
        <v>0</v>
      </c>
      <c r="AA686">
        <v>3</v>
      </c>
      <c r="AB686" s="30">
        <f>IF(B686="Sling Bullet (Stone)",ROUNDUP(D686*0.02*E686/'Ingredient stats'!$C$8,0),0)</f>
        <v>0</v>
      </c>
      <c r="AC686" t="str">
        <f t="shared" si="32"/>
        <v>None</v>
      </c>
      <c r="AD686" t="str">
        <f>IF(OR(B686="Buck",B686="Bird",B686="Charge (Scatter)"),'Ammo Input'!J686,"None")</f>
        <v>None</v>
      </c>
      <c r="AE686" t="str">
        <f>_xlfn.IFS(ISTEXT(Calcs!N686),Calcs!N686,Calcs!N686&lt;=40,Calcs!N686,Calcs!N686&gt;41,"40")</f>
        <v>None</v>
      </c>
      <c r="AF686" t="str">
        <f>_xlfn.IFS(ISTEXT(Calcs!O686),Calcs!O686,Calcs!O686&lt;=80,Calcs!O686,Calcs!O686&gt;=81,"80")</f>
        <v>None</v>
      </c>
      <c r="AG686" s="25">
        <f t="shared" si="33"/>
        <v>1</v>
      </c>
      <c r="AH686" s="25">
        <f t="shared" si="34"/>
        <v>0.37</v>
      </c>
      <c r="AI686" s="25">
        <f t="shared" si="35"/>
        <v>1</v>
      </c>
    </row>
    <row r="687" ht="14.4" spans="1:35">
      <c r="A687" s="24" t="str">
        <f>'Ammo Input'!A687</f>
        <v>Great Arrow</v>
      </c>
      <c r="B687" t="str">
        <f>'Ammo Input'!B687</f>
        <v>Arrow (Flaming)</v>
      </c>
      <c r="C687">
        <f>ROUNDUP(('Ammo Input'!C687*(MAX('Ammo Input'!D687,'Ammo Input'!F687)*0.5)^2*PI())*3/1000000,2)</f>
        <v>0.32</v>
      </c>
      <c r="D687">
        <f>ROUNDUP(('Ammo Input'!E687+'Ammo Input'!H687*IF('Ammo Input'!J687&lt;&gt;"",MAX('Ammo Input'!J687,1),1))/1000,3)</f>
        <v>0.083</v>
      </c>
      <c r="E687">
        <f>MIN(5000,MAX(25,CEILING(Calcs!L687,_xlfn.IFS(Calcs!L687&lt;100,25,Calcs!L687&lt;250,50,Calcs!L687&lt;1000,250,Calcs!L687&gt;=1000,1000))))</f>
        <v>5000</v>
      </c>
      <c r="F687">
        <f>ROUNDUP('Ammo Input'!G687^(3/4),0)</f>
        <v>22</v>
      </c>
      <c r="G687">
        <f>ROUND((0.5*((IF(OR(B687="HEAT",B687="HEDP"),'Ammo Input'!N687,'Ammo Input'!H687)/1000)*(IF(B687="HEAT",9000,IF(B687="HEDP",1500,'Ammo Input'!G687))^2))),0)</f>
        <v>59</v>
      </c>
      <c r="H687" s="25" t="str">
        <f>CONCATENATE(IF((B687="Foam")+(B687="Smoke"),"-",ROUND(Calcs!D687,0))," ",VLOOKUP(B687,AmmoTypeFactors,5,FALSE))</f>
        <v>3 Flame</v>
      </c>
      <c r="I687" s="25" t="str">
        <f>IF(Calcs!E687=0,"None",CONCATENATE(ROUND(Calcs!E687,0)," ",VLOOKUP(B687,AmmoTypeFactors,6,FALSE)))</f>
        <v>None</v>
      </c>
      <c r="J687">
        <f>MROUND(2.42*'Ammo Input'!M687^(1/3)*VLOOKUP(B687,AmmoTypeFactors,3,FALSE),0.5)</f>
        <v>0</v>
      </c>
      <c r="K687" s="25" t="str">
        <f>IF(VLOOKUP(B687,AmmoTypeFactors,12,FALSE),MROUND(J687/3,0.5),"None")</f>
        <v>None</v>
      </c>
      <c r="L687" s="25">
        <f>IF(VLOOKUP(B687,AmmoTypeFactors,8,FALSE),"None",ROUNDUP(IF(Calcs!I687&gt;0,Calcs!I687,Calcs!H687),3))</f>
        <v>1.18</v>
      </c>
      <c r="M687" s="25">
        <f>IF(VLOOKUP(B687,AmmoTypeFactors,8,FALSE),"None",'Ammo Input'!L687)</f>
        <v>1</v>
      </c>
      <c r="N687">
        <f>'Ammo Input'!O687</f>
        <v>10</v>
      </c>
      <c r="O687" t="e">
        <f>ROUND((P687*0.0036+SUMPRODUCT(Q687:AB687,VLOOKUP($Q$1:$AB$1,IngredientStats,2,FALSE)))/N687*IF('Ammo Input'!R687,0.5,1),2)</f>
        <v>#VALUE!</v>
      </c>
      <c r="P687" t="e">
        <f>(SUMPRODUCT(Q687:AB687,VLOOKUP($Q$1:$AB$1,IngredientStats,4,FALSE))*VLOOKUP(B687,AmmoTypeFactors,14,FALSE)*IF('Ammo Input'!R687,1.1,1))</f>
        <v>#VALUE!</v>
      </c>
      <c r="Q687">
        <f>IFERROR(__xludf.DUMMYFUNCTION("((IF(NOT(OR(REGEXMATCH(B683, ""Arrow""), B683 = ""Javelin"", B683 = ""Stick bomb"")), ROUNDUP(('Ammo Input'!E683 / 1000) * N683)) + IF(VLOOKUP(B683, AmmoTypeFactors, 9, FALSE) = ""Steel"", ROUNDUP(('Ammo Input'!H683 -'Ammo Input'!M683) * MAX(IF('Ammo Inpu"&amp;"t'!J683 &gt; 0, 'Ammo Input'!J683, 1), 1) * N683 / 1000))) / 'Ingredient stats'!$C$2) * IF(ISBLANK(VLOOKUP(B683,AmmoTypeFactors,15,False)),1,VLOOKUP(B683,AmmoTypeFactors,15,False))"),2)</f>
        <v>2</v>
      </c>
      <c r="R687">
        <f>IFERROR(__xludf.DUMMYFUNCTION("ROUNDUP((IF(REGEXMATCH(B683, ""Arrow"") + (B683 = ""Javelin""), 'Ammo Input'!E683) + IF(VLOOKUP(B683, AmmoTypeFactors, 9, FALSE) = ""Wood"", 'Ammo Input'!H683) + IF(B683 = ""Stick bomb"", 'Ammo Input'!E683)) * N683 / 'Ingredient stats'!$C$12 / 1000)"),2)</f>
        <v>2</v>
      </c>
      <c r="S687">
        <v>0</v>
      </c>
      <c r="T687">
        <v>0</v>
      </c>
      <c r="U687">
        <f>IF(VLOOKUP(B687,AmmoTypeFactors,9,FALSE)="Plasteel",ROUNDUP(('Ammo Input'!H687*MAX(IF('Ammo Input'!J687&gt;0,'Ammo Input'!J687,1)*N687/1000/'Ingredient stats'!$C$4)),0),0)</f>
        <v>0</v>
      </c>
      <c r="V687">
        <f>IFERROR(__xludf.DUMMYFUNCTION("ROUNDUP(IF(ISBLANK(VLOOKUP(B683,AmmoTypeFactors,16,False)),1,VLOOKUP(B683,AmmoTypeFactors,16,False)) * (IFS(REGEXMATCH(B683, ""EMP""), 'Ammo Input'!M683 * N683 / 'Ingredient stats'!$C$5, REGEXMATCH(B683, ""Charge""), (U683^0.75), true, 0) + (IF(VLOOKUP(B6"&amp;"83, AmmoTypeFactors, 10, false), 2,0) + IF('Ammo Input'!P683, 2,0) + IF('Ammo Input'!Q683,MIN(ROUNDUP(0.2*('Ammo Input'!H683/1000)*'Ammo Input'!O683,0),20),0))))"),0)</f>
        <v>0</v>
      </c>
      <c r="W687">
        <v>1</v>
      </c>
      <c r="X687">
        <v>0</v>
      </c>
      <c r="Y687">
        <v>0</v>
      </c>
      <c r="Z687">
        <v>0</v>
      </c>
      <c r="AA687">
        <v>0</v>
      </c>
      <c r="AB687" s="30">
        <f>IF(B687="Sling Bullet (Stone)",ROUNDUP(D687*0.02*E687/'Ingredient stats'!$C$8,0),0)</f>
        <v>0</v>
      </c>
      <c r="AC687" t="str">
        <f t="shared" si="32"/>
        <v>None</v>
      </c>
      <c r="AD687" t="str">
        <f>IF(OR(B687="Buck",B687="Bird",B687="Charge (Scatter)"),'Ammo Input'!J687,"None")</f>
        <v>None</v>
      </c>
      <c r="AE687" t="str">
        <f>_xlfn.IFS(ISTEXT(Calcs!N687),Calcs!N687,Calcs!N687&lt;=40,Calcs!N687,Calcs!N687&gt;41,"40")</f>
        <v>None</v>
      </c>
      <c r="AF687" t="str">
        <f>_xlfn.IFS(ISTEXT(Calcs!O687),Calcs!O687,Calcs!O687&lt;=80,Calcs!O687,Calcs!O687&gt;=81,"80")</f>
        <v>None</v>
      </c>
      <c r="AG687" s="25">
        <f t="shared" si="33"/>
        <v>1</v>
      </c>
      <c r="AH687" s="25">
        <f t="shared" si="34"/>
        <v>0.37</v>
      </c>
      <c r="AI687" s="25">
        <f t="shared" si="35"/>
        <v>1</v>
      </c>
    </row>
    <row r="688" ht="14.4" spans="1:35">
      <c r="A688" s="24" t="str">
        <f>'Ammo Input'!A688</f>
        <v>Javelin</v>
      </c>
      <c r="B688" t="str">
        <f>'Ammo Input'!B688</f>
        <v>Javelin</v>
      </c>
      <c r="C688">
        <f>ROUNDUP(('Ammo Input'!C688*(MAX('Ammo Input'!D688,'Ammo Input'!F688)*0.5)^2*PI())*3/1000000,2)</f>
        <v>7.54</v>
      </c>
      <c r="D688">
        <f>ROUNDUP(('Ammo Input'!E688+'Ammo Input'!H688*IF('Ammo Input'!J688&lt;&gt;"",MAX('Ammo Input'!J688,1),1))/1000,3)</f>
        <v>2</v>
      </c>
      <c r="E688">
        <f>MIN(5000,MAX(25,CEILING(Calcs!L688,_xlfn.IFS(Calcs!L688&lt;100,25,Calcs!L688&lt;250,50,Calcs!L688&lt;1000,250,Calcs!L688&gt;=1000,1000))))</f>
        <v>25</v>
      </c>
      <c r="F688">
        <f>ROUNDUP('Ammo Input'!G688^(3/4),0)</f>
        <v>14</v>
      </c>
      <c r="G688">
        <f>ROUND((0.5*((IF(OR(B688="HEAT",B688="HEDP"),'Ammo Input'!N688,'Ammo Input'!H688)/1000)*(IF(B688="HEAT",9000,IF(B688="HEDP",1500,'Ammo Input'!G688))^2))),0)</f>
        <v>272</v>
      </c>
      <c r="H688" s="25" t="str">
        <f>CONCATENATE(IF((B688="Foam")+(B688="Smoke"),"-",ROUND(Calcs!D688,0))," ",VLOOKUP(B688,AmmoTypeFactors,5,FALSE))</f>
        <v>14 Stab</v>
      </c>
      <c r="I688" s="25" t="str">
        <f>IF(Calcs!E688=0,"None",CONCATENATE(ROUND(Calcs!E688,0)," ",VLOOKUP(B688,AmmoTypeFactors,6,FALSE)))</f>
        <v>None</v>
      </c>
      <c r="J688">
        <f>MROUND(2.42*'Ammo Input'!M688^(1/3)*VLOOKUP(B688,AmmoTypeFactors,3,FALSE),0.5)</f>
        <v>0</v>
      </c>
      <c r="K688" s="25" t="str">
        <f>IF(VLOOKUP(B688,AmmoTypeFactors,12,FALSE),MROUND(J688/3,0.5),"None")</f>
        <v>None</v>
      </c>
      <c r="L688" s="25">
        <f>IF(VLOOKUP(B688,AmmoTypeFactors,8,FALSE),"None",ROUNDUP(IF(Calcs!I688&gt;0,Calcs!I688,Calcs!H688),3))</f>
        <v>5.44</v>
      </c>
      <c r="M688" s="25">
        <f>IF(VLOOKUP(B688,AmmoTypeFactors,8,FALSE),"None",'Ammo Input'!L688)</f>
        <v>2</v>
      </c>
      <c r="N688">
        <f>'Ammo Input'!O688</f>
        <v>5</v>
      </c>
      <c r="O688" t="e">
        <f>ROUND((P688*0.0036+SUMPRODUCT(Q688:AB688,VLOOKUP($Q$1:$AB$1,IngredientStats,2,FALSE)))/N688*IF('Ammo Input'!R688,0.5,1),2)</f>
        <v>#VALUE!</v>
      </c>
      <c r="P688" t="e">
        <f>(SUMPRODUCT(Q688:AB688,VLOOKUP($Q$1:$AB$1,IngredientStats,4,FALSE))*VLOOKUP(B688,AmmoTypeFactors,14,FALSE)*IF('Ammo Input'!R688,1.1,1))</f>
        <v>#VALUE!</v>
      </c>
      <c r="Q688">
        <f>IFERROR(__xludf.DUMMYFUNCTION("((IF(NOT(OR(REGEXMATCH(B684, ""Arrow""), B684 = ""Javelin"", B684 = ""Stick bomb"")), ROUNDUP(('Ammo Input'!E684 / 1000) * N684)) + IF(VLOOKUP(B684, AmmoTypeFactors, 9, FALSE) = ""Steel"", ROUNDUP(('Ammo Input'!H684 -'Ammo Input'!M684) * MAX(IF('Ammo Inpu"&amp;"t'!J684 &gt; 0, 'Ammo Input'!J684, 1), 1) * N684 / 1000))) / 'Ingredient stats'!$C$2) * IF(ISBLANK(VLOOKUP(B684,AmmoTypeFactors,15,False)),1,VLOOKUP(B684,AmmoTypeFactors,15,False))"),6)</f>
        <v>6</v>
      </c>
      <c r="R688">
        <f>IFERROR(__xludf.DUMMYFUNCTION("ROUNDUP((IF(REGEXMATCH(B684, ""Arrow"") + (B684 = ""Javelin""), 'Ammo Input'!E684) + IF(VLOOKUP(B684, AmmoTypeFactors, 9, FALSE) = ""Wood"", 'Ammo Input'!H684) + IF(B684 = ""Stick bomb"", 'Ammo Input'!E684)) * N684 / 'Ingredient stats'!$C$12 / 1000)"),19)</f>
        <v>19</v>
      </c>
      <c r="S688">
        <v>0</v>
      </c>
      <c r="T688">
        <v>0</v>
      </c>
      <c r="U688">
        <f>IF(VLOOKUP(B688,AmmoTypeFactors,9,FALSE)="Plasteel",ROUNDUP(('Ammo Input'!H688*MAX(IF('Ammo Input'!J688&gt;0,'Ammo Input'!J688,1)*N688/1000/'Ingredient stats'!$C$4)),0),0)</f>
        <v>0</v>
      </c>
      <c r="V688">
        <f>IFERROR(__xludf.DUMMYFUNCTION("ROUNDUP(IF(ISBLANK(VLOOKUP(B684,AmmoTypeFactors,16,False)),1,VLOOKUP(B684,AmmoTypeFactors,16,False)) * (IFS(REGEXMATCH(B684, ""EMP""), 'Ammo Input'!M684 * N684 / 'Ingredient stats'!$C$5, REGEXMATCH(B684, ""Charge""), (U684^0.75), true, 0) + (IF(VLOOKUP(B6"&amp;"84, AmmoTypeFactors, 10, false), 2,0) + IF('Ammo Input'!P684, 2,0) + IF('Ammo Input'!Q684,MIN(ROUNDUP(0.2*('Ammo Input'!H684/1000)*'Ammo Input'!O684,0),20),0))))"),0)</f>
        <v>0</v>
      </c>
      <c r="W688">
        <v>0</v>
      </c>
      <c r="X688">
        <v>0</v>
      </c>
      <c r="Y688">
        <v>0</v>
      </c>
      <c r="Z688">
        <v>0</v>
      </c>
      <c r="AA688">
        <v>0</v>
      </c>
      <c r="AB688" s="30">
        <f>IF(B688="Sling Bullet (Stone)",ROUNDUP(D688*0.02*E688/'Ingredient stats'!$C$8,0),0)</f>
        <v>0</v>
      </c>
      <c r="AC688" t="str">
        <f t="shared" si="32"/>
        <v>None</v>
      </c>
      <c r="AD688" t="str">
        <f>IF(OR(B688="Buck",B688="Bird",B688="Charge (Scatter)"),'Ammo Input'!J688,"None")</f>
        <v>None</v>
      </c>
      <c r="AE688" t="str">
        <f>_xlfn.IFS(ISTEXT(Calcs!N688),Calcs!N688,Calcs!N688&lt;=40,Calcs!N688,Calcs!N688&gt;41,"40")</f>
        <v>None</v>
      </c>
      <c r="AF688" t="str">
        <f>_xlfn.IFS(ISTEXT(Calcs!O688),Calcs!O688,Calcs!O688&lt;=80,Calcs!O688,Calcs!O688&gt;=81,"80")</f>
        <v>None</v>
      </c>
      <c r="AG688" s="25">
        <f t="shared" si="33"/>
        <v>1</v>
      </c>
      <c r="AH688" s="25">
        <f t="shared" si="34"/>
        <v>0.23</v>
      </c>
      <c r="AI688" s="25">
        <f t="shared" si="35"/>
        <v>1</v>
      </c>
    </row>
    <row r="689" ht="14.4" spans="1:35">
      <c r="A689" s="24" t="str">
        <f>'Ammo Input'!A689</f>
        <v>Javelin (Fired)</v>
      </c>
      <c r="B689" t="str">
        <f>'Ammo Input'!B689</f>
        <v>Javelin</v>
      </c>
      <c r="C689">
        <f>ROUNDUP(('Ammo Input'!C689*(MAX('Ammo Input'!D689,'Ammo Input'!F689)*0.5)^2*PI())*3/1000000,2)</f>
        <v>7.54</v>
      </c>
      <c r="D689">
        <f>ROUNDUP(('Ammo Input'!E689+'Ammo Input'!H689*IF('Ammo Input'!J689&lt;&gt;"",MAX('Ammo Input'!J689,1),1))/1000,3)</f>
        <v>2</v>
      </c>
      <c r="E689">
        <f>MIN(5000,MAX(25,CEILING(Calcs!L689,_xlfn.IFS(Calcs!L689&lt;100,25,Calcs!L689&lt;250,50,Calcs!L689&lt;1000,250,Calcs!L689&gt;=1000,1000))))</f>
        <v>25</v>
      </c>
      <c r="F689">
        <f>ROUNDUP('Ammo Input'!G689^(3/4),0)</f>
        <v>47</v>
      </c>
      <c r="G689">
        <f>ROUND((0.5*((IF(OR(B689="HEAT",B689="HEDP"),'Ammo Input'!N689,'Ammo Input'!H689)/1000)*(IF(B689="HEAT",9000,IF(B689="HEDP",1500,'Ammo Input'!G689))^2))),0)</f>
        <v>7056</v>
      </c>
      <c r="H689" s="25" t="str">
        <f>CONCATENATE(IF((B689="Foam")+(B689="Smoke"),"-",ROUND(Calcs!D689,0))," ",VLOOKUP(B689,AmmoTypeFactors,5,FALSE))</f>
        <v>45 Stab</v>
      </c>
      <c r="I689" s="25" t="str">
        <f>IF(Calcs!E689=0,"None",CONCATENATE(ROUND(Calcs!E689,0)," ",VLOOKUP(B689,AmmoTypeFactors,6,FALSE)))</f>
        <v>None</v>
      </c>
      <c r="J689">
        <f>MROUND(2.42*'Ammo Input'!M689^(1/3)*VLOOKUP(B689,AmmoTypeFactors,3,FALSE),0.5)</f>
        <v>0</v>
      </c>
      <c r="K689" s="25" t="str">
        <f>IF(VLOOKUP(B689,AmmoTypeFactors,12,FALSE),MROUND(J689/3,0.5),"None")</f>
        <v>None</v>
      </c>
      <c r="L689" s="25">
        <f>IF(VLOOKUP(B689,AmmoTypeFactors,8,FALSE),"None",ROUNDUP(IF(Calcs!I689&gt;0,Calcs!I689,Calcs!H689),3))</f>
        <v>141.12</v>
      </c>
      <c r="M689" s="25">
        <f>IF(VLOOKUP(B689,AmmoTypeFactors,8,FALSE),"None",'Ammo Input'!L689)</f>
        <v>6</v>
      </c>
      <c r="N689">
        <f>'Ammo Input'!O689</f>
        <v>5</v>
      </c>
      <c r="O689" t="e">
        <f>ROUND((P689*0.0036+SUMPRODUCT(Q689:AB689,VLOOKUP($Q$1:$AB$1,IngredientStats,2,FALSE)))/N689*IF('Ammo Input'!R689,0.5,1),2)</f>
        <v>#VALUE!</v>
      </c>
      <c r="P689" t="e">
        <f>(SUMPRODUCT(Q689:AB689,VLOOKUP($Q$1:$AB$1,IngredientStats,4,FALSE))*VLOOKUP(B689,AmmoTypeFactors,14,FALSE)*IF('Ammo Input'!R689,1.1,1))</f>
        <v>#VALUE!</v>
      </c>
      <c r="Q689">
        <f>IFERROR(__xludf.DUMMYFUNCTION("((IF(NOT(OR(REGEXMATCH(B685, ""Arrow""), B685 = ""Javelin"", B685 = ""Stick bomb"")), ROUNDUP(('Ammo Input'!E685 / 1000) * N685)) + IF(VLOOKUP(B685, AmmoTypeFactors, 9, FALSE) = ""Steel"", ROUNDUP(('Ammo Input'!H685 -'Ammo Input'!M685) * MAX(IF('Ammo Inpu"&amp;"t'!J685 &gt; 0, 'Ammo Input'!J685, 1), 1) * N685 / 1000))) / 'Ingredient stats'!$C$2) * IF(ISBLANK(VLOOKUP(B685,AmmoTypeFactors,15,False)),1,VLOOKUP(B685,AmmoTypeFactors,15,False))"),6)</f>
        <v>6</v>
      </c>
      <c r="R689">
        <f>IFERROR(__xludf.DUMMYFUNCTION("ROUNDUP((IF(REGEXMATCH(B685, ""Arrow"") + (B685 = ""Javelin""), 'Ammo Input'!E685) + IF(VLOOKUP(B685, AmmoTypeFactors, 9, FALSE) = ""Wood"", 'Ammo Input'!H685) + IF(B685 = ""Stick bomb"", 'Ammo Input'!E685)) * N685 / 'Ingredient stats'!$C$12 / 1000)"),19)</f>
        <v>19</v>
      </c>
      <c r="S689">
        <v>0</v>
      </c>
      <c r="T689">
        <v>0</v>
      </c>
      <c r="U689">
        <f>IF(VLOOKUP(B689,AmmoTypeFactors,9,FALSE)="Plasteel",ROUNDUP(('Ammo Input'!H689*MAX(IF('Ammo Input'!J689&gt;0,'Ammo Input'!J689,1)*N689/1000/'Ingredient stats'!$C$4)),0),0)</f>
        <v>0</v>
      </c>
      <c r="V689">
        <f>IFERROR(__xludf.DUMMYFUNCTION("ROUNDUP(IF(ISBLANK(VLOOKUP(B685,AmmoTypeFactors,16,False)),1,VLOOKUP(B685,AmmoTypeFactors,16,False)) * (IFS(REGEXMATCH(B685, ""EMP""), 'Ammo Input'!M685 * N685 / 'Ingredient stats'!$C$5, REGEXMATCH(B685, ""Charge""), (U685^0.75), true, 0) + (IF(VLOOKUP(B6"&amp;"85, AmmoTypeFactors, 10, false), 2,0) + IF('Ammo Input'!P685, 2,0) + IF('Ammo Input'!Q685,MIN(ROUNDUP(0.2*('Ammo Input'!H685/1000)*'Ammo Input'!O685,0),20),0))))"),0)</f>
        <v>0</v>
      </c>
      <c r="W689">
        <v>0</v>
      </c>
      <c r="X689">
        <v>0</v>
      </c>
      <c r="Y689">
        <v>0</v>
      </c>
      <c r="Z689">
        <v>0</v>
      </c>
      <c r="AA689">
        <v>0</v>
      </c>
      <c r="AB689" s="30">
        <f>IF(B689="Sling Bullet (Stone)",ROUNDUP(D689*0.02*E689/'Ingredient stats'!$C$8,0),0)</f>
        <v>0</v>
      </c>
      <c r="AC689" t="str">
        <f t="shared" si="32"/>
        <v>None</v>
      </c>
      <c r="AD689" t="str">
        <f>IF(OR(B689="Buck",B689="Bird",B689="Charge (Scatter)"),'Ammo Input'!J689,"None")</f>
        <v>None</v>
      </c>
      <c r="AE689" t="str">
        <f>_xlfn.IFS(ISTEXT(Calcs!N689),Calcs!N689,Calcs!N689&lt;=40,Calcs!N689,Calcs!N689&gt;41,"40")</f>
        <v>None</v>
      </c>
      <c r="AF689" t="str">
        <f>_xlfn.IFS(ISTEXT(Calcs!O689),Calcs!O689,Calcs!O689&lt;=80,Calcs!O689,Calcs!O689&gt;=81,"80")</f>
        <v>None</v>
      </c>
      <c r="AG689" s="25">
        <f t="shared" si="33"/>
        <v>1</v>
      </c>
      <c r="AH689" s="25">
        <f t="shared" si="34"/>
        <v>0.78</v>
      </c>
      <c r="AI689" s="25">
        <f t="shared" si="35"/>
        <v>1</v>
      </c>
    </row>
    <row r="690" ht="14.4" spans="1:35">
      <c r="A690" s="24" t="str">
        <f>'Ammo Input'!A690</f>
        <v>Sling Stone (Stone)</v>
      </c>
      <c r="B690" t="str">
        <f>'Ammo Input'!B690</f>
        <v>Sling Bullet (Stone)</v>
      </c>
      <c r="C690">
        <f>ROUNDUP(('Ammo Input'!C690*(MAX('Ammo Input'!D690,'Ammo Input'!F690)*0.5)^2*PI())*3/1000000,2)</f>
        <v>0.04</v>
      </c>
      <c r="D690">
        <f>ROUNDUP(('Ammo Input'!E690+'Ammo Input'!H690*IF('Ammo Input'!J690&lt;&gt;"",MAX('Ammo Input'!J690,1),1))/1000,3)</f>
        <v>0.03</v>
      </c>
      <c r="E690">
        <f>MIN(5000,MAX(25,CEILING(Calcs!L690,_xlfn.IFS(Calcs!L690&lt;100,25,Calcs!L690&lt;250,50,Calcs!L690&lt;1000,250,Calcs!L690&gt;=1000,1000))))</f>
        <v>5000</v>
      </c>
      <c r="F690">
        <f>ROUNDUP('Ammo Input'!G690^(3/4),0)</f>
        <v>18</v>
      </c>
      <c r="G690">
        <f>ROUND((0.5*((IF(OR(B690="HEAT",B690="HEDP"),'Ammo Input'!N690,'Ammo Input'!H690)/1000)*(IF(B690="HEAT",9000,IF(B690="HEDP",1500,'Ammo Input'!G690))^2))),0)</f>
        <v>30</v>
      </c>
      <c r="H690" s="25" t="str">
        <f>CONCATENATE(IF((B690="Foam")+(B690="Smoke"),"-",ROUND(Calcs!D690,0))," ",VLOOKUP(B690,AmmoTypeFactors,5,FALSE))</f>
        <v>5 Blunt</v>
      </c>
      <c r="I690" s="25" t="str">
        <f>IF(Calcs!E690=0,"None",CONCATENATE(ROUND(Calcs!E690,0)," ",VLOOKUP(B690,AmmoTypeFactors,6,FALSE)))</f>
        <v>None</v>
      </c>
      <c r="J690">
        <f>MROUND(2.42*'Ammo Input'!M690^(1/3)*VLOOKUP(B690,AmmoTypeFactors,3,FALSE),0.5)</f>
        <v>0</v>
      </c>
      <c r="K690" s="25" t="str">
        <f>IF(VLOOKUP(B690,AmmoTypeFactors,12,FALSE),MROUND(J690/3,0.5),"None")</f>
        <v>None</v>
      </c>
      <c r="L690" s="25">
        <f>IF(VLOOKUP(B690,AmmoTypeFactors,8,FALSE),"None",ROUNDUP(IF(Calcs!I690&gt;0,Calcs!I690,Calcs!H690),3))</f>
        <v>0.6</v>
      </c>
      <c r="M690" s="25">
        <f>IF(VLOOKUP(B690,AmmoTypeFactors,8,FALSE),"None",'Ammo Input'!L690)</f>
        <v>0</v>
      </c>
      <c r="N690">
        <f>'Ammo Input'!O690</f>
        <v>500</v>
      </c>
      <c r="O690" t="e">
        <f>ROUND((P690*0.0036+SUMPRODUCT(Q690:AB690,VLOOKUP($Q$1:$AB$1,IngredientStats,2,FALSE)))/N690*IF('Ammo Input'!R690,0.5,1),2)</f>
        <v>#VALUE!</v>
      </c>
      <c r="P690" t="e">
        <f>(SUMPRODUCT(Q690:AB690,VLOOKUP($Q$1:$AB$1,IngredientStats,4,FALSE))*VLOOKUP(B690,AmmoTypeFactors,14,FALSE)*IF('Ammo Input'!R690,1.1,1))</f>
        <v>#VALUE!</v>
      </c>
      <c r="Q690">
        <f>IFERROR(__xludf.DUMMYFUNCTION("((IF(NOT(OR(REGEXMATCH(B686, ""Arrow""), B686 = ""Javelin"", B686 = ""Stick bomb"")), ROUNDUP(('Ammo Input'!E686 / 1000) * N686)) + IF(VLOOKUP(B686, AmmoTypeFactors, 9, FALSE) = ""Steel"", ROUNDUP(('Ammo Input'!H686 -'Ammo Input'!M686) * MAX(IF('Ammo Inpu"&amp;"t'!J686 &gt; 0, 'Ammo Input'!J686, 1), 1) * N686 / 1000))) / 'Ingredient stats'!$C$2) * IF(ISBLANK(VLOOKUP(B686,AmmoTypeFactors,15,False)),1,VLOOKUP(B686,AmmoTypeFactors,15,False))"),0)</f>
        <v>0</v>
      </c>
      <c r="R690">
        <f>IFERROR(__xludf.DUMMYFUNCTION("ROUNDUP((IF(REGEXMATCH(B686, ""Arrow"") + (B686 = ""Javelin""), 'Ammo Input'!E686) + IF(VLOOKUP(B686, AmmoTypeFactors, 9, FALSE) = ""Wood"", 'Ammo Input'!H686) + IF(B686 = ""Stick bomb"", 'Ammo Input'!E686)) * N686 / 'Ingredient stats'!$C$12 / 1000)"),0)</f>
        <v>0</v>
      </c>
      <c r="S690">
        <v>0</v>
      </c>
      <c r="T690">
        <v>0</v>
      </c>
      <c r="U690">
        <f>IF(VLOOKUP(B690,AmmoTypeFactors,9,FALSE)="Plasteel",ROUNDUP(('Ammo Input'!H690*MAX(IF('Ammo Input'!J690&gt;0,'Ammo Input'!J690,1)*N690/1000/'Ingredient stats'!$C$4)),0),0)</f>
        <v>0</v>
      </c>
      <c r="V690">
        <f>IFERROR(__xludf.DUMMYFUNCTION("ROUNDUP(IF(ISBLANK(VLOOKUP(B686,AmmoTypeFactors,16,False)),1,VLOOKUP(B686,AmmoTypeFactors,16,False)) * (IFS(REGEXMATCH(B686, ""EMP""), 'Ammo Input'!M686 * N686 / 'Ingredient stats'!$C$5, REGEXMATCH(B686, ""Charge""), (U686^0.75), true, 0) + (IF(VLOOKUP(B6"&amp;"86, AmmoTypeFactors, 10, false), 2,0) + IF('Ammo Input'!P686, 2,0) + IF('Ammo Input'!Q686,MIN(ROUNDUP(0.2*('Ammo Input'!H686/1000)*'Ammo Input'!O686,0),20),0))))"),0)</f>
        <v>0</v>
      </c>
      <c r="W690">
        <v>0</v>
      </c>
      <c r="X690">
        <v>0</v>
      </c>
      <c r="Y690">
        <v>0</v>
      </c>
      <c r="Z690">
        <v>0</v>
      </c>
      <c r="AA690">
        <v>0</v>
      </c>
      <c r="AB690" s="30">
        <f>IF(B690="Sling Bullet (Stone)",ROUNDUP(D690*0.02*E690/'Ingredient stats'!$C$8,0),0)</f>
        <v>1</v>
      </c>
      <c r="AC690" t="str">
        <f t="shared" si="32"/>
        <v>None</v>
      </c>
      <c r="AD690" t="str">
        <f>IF(OR(B690="Buck",B690="Bird",B690="Charge (Scatter)"),'Ammo Input'!J690,"None")</f>
        <v>None</v>
      </c>
      <c r="AE690" t="str">
        <f>_xlfn.IFS(ISTEXT(Calcs!N690),Calcs!N690,Calcs!N690&lt;=40,Calcs!N690,Calcs!N690&gt;41,"40")</f>
        <v>None</v>
      </c>
      <c r="AF690" t="str">
        <f>_xlfn.IFS(ISTEXT(Calcs!O690),Calcs!O690,Calcs!O690&lt;=80,Calcs!O690,Calcs!O690&gt;=81,"80")</f>
        <v>None</v>
      </c>
      <c r="AG690" s="25">
        <f t="shared" si="33"/>
        <v>1</v>
      </c>
      <c r="AH690" s="25">
        <f t="shared" si="34"/>
        <v>0.3</v>
      </c>
      <c r="AI690" s="25">
        <f t="shared" si="35"/>
        <v>1</v>
      </c>
    </row>
    <row r="691" ht="14.4" spans="1:35">
      <c r="A691" s="24" t="str">
        <f>'Ammo Input'!A691</f>
        <v>Sling Stone (Steel)</v>
      </c>
      <c r="B691" t="str">
        <f>'Ammo Input'!B691</f>
        <v>Sling Bullet (Steel)</v>
      </c>
      <c r="C691">
        <f>ROUNDUP(('Ammo Input'!C691*(MAX('Ammo Input'!D691,'Ammo Input'!F691)*0.5)^2*PI())*3/1000000,2)</f>
        <v>0.04</v>
      </c>
      <c r="D691">
        <f>ROUNDUP(('Ammo Input'!E691+'Ammo Input'!H691*IF('Ammo Input'!J691&lt;&gt;"",MAX('Ammo Input'!J691,1),1))/1000,3)</f>
        <v>0.085</v>
      </c>
      <c r="E691">
        <f>MIN(5000,MAX(25,CEILING(Calcs!L691,_xlfn.IFS(Calcs!L691&lt;100,25,Calcs!L691&lt;250,50,Calcs!L691&lt;1000,250,Calcs!L691&gt;=1000,1000))))</f>
        <v>5000</v>
      </c>
      <c r="F691">
        <f>ROUNDUP('Ammo Input'!G691^(3/4),0)</f>
        <v>18</v>
      </c>
      <c r="G691">
        <f>ROUND((0.5*((IF(OR(B691="HEAT",B691="HEDP"),'Ammo Input'!N691,'Ammo Input'!H691)/1000)*(IF(B691="HEAT",9000,IF(B691="HEDP",1500,'Ammo Input'!G691))^2))),0)</f>
        <v>86</v>
      </c>
      <c r="H691" s="25" t="str">
        <f>CONCATENATE(IF((B691="Foam")+(B691="Smoke"),"-",ROUND(Calcs!D691,0))," ",VLOOKUP(B691,AmmoTypeFactors,5,FALSE))</f>
        <v>8 Blunt</v>
      </c>
      <c r="I691" s="25" t="str">
        <f>IF(Calcs!E691=0,"None",CONCATENATE(ROUND(Calcs!E691,0)," ",VLOOKUP(B691,AmmoTypeFactors,6,FALSE)))</f>
        <v>None</v>
      </c>
      <c r="J691">
        <f>MROUND(2.42*'Ammo Input'!M691^(1/3)*VLOOKUP(B691,AmmoTypeFactors,3,FALSE),0.5)</f>
        <v>0</v>
      </c>
      <c r="K691" s="25" t="str">
        <f>IF(VLOOKUP(B691,AmmoTypeFactors,12,FALSE),MROUND(J691/3,0.5),"None")</f>
        <v>None</v>
      </c>
      <c r="L691" s="25">
        <f>IF(VLOOKUP(B691,AmmoTypeFactors,8,FALSE),"None",ROUNDUP(IF(Calcs!I691&gt;0,Calcs!I691,Calcs!H691),3))</f>
        <v>1.72</v>
      </c>
      <c r="M691" s="25">
        <f>IF(VLOOKUP(B691,AmmoTypeFactors,8,FALSE),"None",'Ammo Input'!L691)</f>
        <v>0</v>
      </c>
      <c r="N691">
        <f>'Ammo Input'!O691</f>
        <v>100</v>
      </c>
      <c r="O691" t="e">
        <f>ROUND((P691*0.0036+SUMPRODUCT(Q691:AB691,VLOOKUP($Q$1:$AB$1,IngredientStats,2,FALSE)))/N691*IF('Ammo Input'!R691,0.5,1),2)</f>
        <v>#VALUE!</v>
      </c>
      <c r="P691" t="e">
        <f>(SUMPRODUCT(Q691:AB691,VLOOKUP($Q$1:$AB$1,IngredientStats,4,FALSE))*VLOOKUP(B691,AmmoTypeFactors,14,FALSE)*IF('Ammo Input'!R691,1.1,1))</f>
        <v>#VALUE!</v>
      </c>
      <c r="Q691">
        <f>IFERROR(__xludf.DUMMYFUNCTION("((IF(NOT(OR(REGEXMATCH(B687, ""Arrow""), B687 = ""Javelin"", B687 = ""Stick bomb"")), ROUNDUP(('Ammo Input'!E687 / 1000) * N687)) + IF(VLOOKUP(B687, AmmoTypeFactors, 9, FALSE) = ""Steel"", ROUNDUP(('Ammo Input'!H687 -'Ammo Input'!M687) * MAX(IF('Ammo Inpu"&amp;"t'!J687 &gt; 0, 'Ammo Input'!J687, 1), 1) * N687 / 1000))) / 'Ingredient stats'!$C$2) * IF(ISBLANK(VLOOKUP(B687,AmmoTypeFactors,15,False)),1,VLOOKUP(B687,AmmoTypeFactors,15,False))"),18)</f>
        <v>18</v>
      </c>
      <c r="R691">
        <f>IFERROR(__xludf.DUMMYFUNCTION("ROUNDUP((IF(REGEXMATCH(B687, ""Arrow"") + (B687 = ""Javelin""), 'Ammo Input'!E687) + IF(VLOOKUP(B687, AmmoTypeFactors, 9, FALSE) = ""Wood"", 'Ammo Input'!H687) + IF(B687 = ""Stick bomb"", 'Ammo Input'!E687)) * N687 / 'Ingredient stats'!$C$12 / 1000)"),0)</f>
        <v>0</v>
      </c>
      <c r="S691">
        <v>0</v>
      </c>
      <c r="T691">
        <v>0</v>
      </c>
      <c r="U691">
        <f>IF(VLOOKUP(B691,AmmoTypeFactors,9,FALSE)="Plasteel",ROUNDUP(('Ammo Input'!H691*MAX(IF('Ammo Input'!J691&gt;0,'Ammo Input'!J691,1)*N691/1000/'Ingredient stats'!$C$4)),0),0)</f>
        <v>0</v>
      </c>
      <c r="V691">
        <f>IFERROR(__xludf.DUMMYFUNCTION("ROUNDUP(IF(ISBLANK(VLOOKUP(B687,AmmoTypeFactors,16,False)),1,VLOOKUP(B687,AmmoTypeFactors,16,False)) * (IFS(REGEXMATCH(B687, ""EMP""), 'Ammo Input'!M687 * N687 / 'Ingredient stats'!$C$5, REGEXMATCH(B687, ""Charge""), (U687^0.75), true, 0) + (IF(VLOOKUP(B6"&amp;"87, AmmoTypeFactors, 10, false), 2,0) + IF('Ammo Input'!P687, 2,0) + IF('Ammo Input'!Q687,MIN(ROUNDUP(0.2*('Ammo Input'!H687/1000)*'Ammo Input'!O687,0),20),0))))"),0)</f>
        <v>0</v>
      </c>
      <c r="W691">
        <v>0</v>
      </c>
      <c r="X691">
        <v>0</v>
      </c>
      <c r="Y691">
        <v>0</v>
      </c>
      <c r="Z691">
        <v>0</v>
      </c>
      <c r="AA691">
        <v>0</v>
      </c>
      <c r="AB691" s="30">
        <f>IF(B691="Sling Bullet (Stone)",ROUNDUP(D691*0.02*E691/'Ingredient stats'!$C$8,0),0)</f>
        <v>0</v>
      </c>
      <c r="AC691" t="str">
        <f t="shared" si="32"/>
        <v>None</v>
      </c>
      <c r="AD691" t="str">
        <f>IF(OR(B691="Buck",B691="Bird",B691="Charge (Scatter)"),'Ammo Input'!J691,"None")</f>
        <v>None</v>
      </c>
      <c r="AE691" t="str">
        <f>_xlfn.IFS(ISTEXT(Calcs!N691),Calcs!N691,Calcs!N691&lt;=40,Calcs!N691,Calcs!N691&gt;41,"40")</f>
        <v>None</v>
      </c>
      <c r="AF691" t="str">
        <f>_xlfn.IFS(ISTEXT(Calcs!O691),Calcs!O691,Calcs!O691&lt;=80,Calcs!O691,Calcs!O691&gt;=81,"80")</f>
        <v>None</v>
      </c>
      <c r="AG691" s="25">
        <f t="shared" si="33"/>
        <v>1</v>
      </c>
      <c r="AH691" s="25">
        <f t="shared" si="34"/>
        <v>0.3</v>
      </c>
      <c r="AI691" s="25">
        <f t="shared" si="35"/>
        <v>1</v>
      </c>
    </row>
    <row r="692" ht="14.4" spans="1:35">
      <c r="A692" s="24" t="str">
        <f>'Ammo Input'!A692</f>
        <v>Musket Ball (Fast)</v>
      </c>
      <c r="B692" t="str">
        <f>'Ammo Input'!B692</f>
        <v>FMJ</v>
      </c>
      <c r="C692">
        <f>ROUNDUP(('Ammo Input'!C692*(MAX('Ammo Input'!D692,'Ammo Input'!F692)*0.5)^2*PI())*3/1000000,2)</f>
        <v>0.12</v>
      </c>
      <c r="D692">
        <f>ROUNDUP(('Ammo Input'!E692+'Ammo Input'!H692*IF('Ammo Input'!J692&lt;&gt;"",MAX('Ammo Input'!J692,1),1))/1000,3)</f>
        <v>0.087</v>
      </c>
      <c r="E692">
        <f>MIN(5000,MAX(25,CEILING(Calcs!L692,_xlfn.IFS(Calcs!L692&lt;100,25,Calcs!L692&lt;250,50,Calcs!L692&lt;1000,250,Calcs!L692&gt;=1000,1000))))</f>
        <v>5000</v>
      </c>
      <c r="F692">
        <f>ROUNDUP('Ammo Input'!G692^(3/4),0)</f>
        <v>98</v>
      </c>
      <c r="G692">
        <f>ROUND((0.5*((IF(OR(B692="HEAT",B692="HEDP"),'Ammo Input'!N692,'Ammo Input'!H692)/1000)*(IF(B692="HEAT",9000,IF(B692="HEDP",1500,'Ammo Input'!G692))^2))),0)</f>
        <v>3240</v>
      </c>
      <c r="H692" s="25" t="str">
        <f>CONCATENATE(IF((B692="Foam")+(B692="Smoke"),"-",ROUND(Calcs!D692,0))," ",VLOOKUP(B692,AmmoTypeFactors,5,FALSE))</f>
        <v>26 Bullet</v>
      </c>
      <c r="I692" s="25" t="str">
        <f>IF(Calcs!E692=0,"None",CONCATENATE(ROUND(Calcs!E692,0)," ",VLOOKUP(B692,AmmoTypeFactors,6,FALSE)))</f>
        <v>None</v>
      </c>
      <c r="J692">
        <f>MROUND(2.42*'Ammo Input'!M692^(1/3)*VLOOKUP(B692,AmmoTypeFactors,3,FALSE),0.5)</f>
        <v>0</v>
      </c>
      <c r="K692" s="25" t="str">
        <f>IF(VLOOKUP(B692,AmmoTypeFactors,12,FALSE),MROUND(J692/3,0.5),"None")</f>
        <v>None</v>
      </c>
      <c r="L692" s="25">
        <f>IF(VLOOKUP(B692,AmmoTypeFactors,8,FALSE),"None",ROUNDUP(IF(Calcs!I692&gt;0,Calcs!I692,Calcs!H692),3))</f>
        <v>64.8</v>
      </c>
      <c r="M692" s="25">
        <f>IF(VLOOKUP(B692,AmmoTypeFactors,8,FALSE),"None",'Ammo Input'!L692)</f>
        <v>5</v>
      </c>
      <c r="N692">
        <f>'Ammo Input'!O692</f>
        <v>100</v>
      </c>
      <c r="O692" t="e">
        <f>ROUND((P692*0.0036+SUMPRODUCT(Q692:AB692,VLOOKUP($Q$1:$AB$1,IngredientStats,2,FALSE)))/N692*IF('Ammo Input'!R692,0.5,1),2)</f>
        <v>#VALUE!</v>
      </c>
      <c r="P692" t="e">
        <f>(SUMPRODUCT(Q692:AB692,VLOOKUP($Q$1:$AB$1,IngredientStats,4,FALSE))*VLOOKUP(B692,AmmoTypeFactors,14,FALSE)*IF('Ammo Input'!R692,1.1,1))</f>
        <v>#VALUE!</v>
      </c>
      <c r="Q692">
        <f>IFERROR(__xludf.DUMMYFUNCTION("((IF(NOT(OR(REGEXMATCH(B688, ""Arrow""), B688 = ""Javelin"", B688 = ""Stick bomb"")), ROUNDUP(('Ammo Input'!E688 / 1000) * N688)) + IF(VLOOKUP(B688, AmmoTypeFactors, 9, FALSE) = ""Steel"", ROUNDUP(('Ammo Input'!H688 -'Ammo Input'!M688) * MAX(IF('Ammo Inpu"&amp;"t'!J688 &gt; 0, 'Ammo Input'!J688, 1), 1) * N688 / 1000))) / 'Ingredient stats'!$C$2) * IF(ISBLANK(VLOOKUP(B688,AmmoTypeFactors,15,False)),1,VLOOKUP(B688,AmmoTypeFactors,15,False))"),20)</f>
        <v>20</v>
      </c>
      <c r="R692">
        <f>IFERROR(__xludf.DUMMYFUNCTION("ROUNDUP((IF(REGEXMATCH(B688, ""Arrow"") + (B688 = ""Javelin""), 'Ammo Input'!E688) + IF(VLOOKUP(B688, AmmoTypeFactors, 9, FALSE) = ""Wood"", 'Ammo Input'!H688) + IF(B688 = ""Stick bomb"", 'Ammo Input'!E688)) * N688 / 'Ingredient stats'!$C$12 / 1000)"),0)</f>
        <v>0</v>
      </c>
      <c r="S692">
        <v>0</v>
      </c>
      <c r="T692">
        <v>0</v>
      </c>
      <c r="U692">
        <f>IF(VLOOKUP(B692,AmmoTypeFactors,9,FALSE)="Plasteel",ROUNDUP(('Ammo Input'!H692*MAX(IF('Ammo Input'!J692&gt;0,'Ammo Input'!J692,1)*N692/1000/'Ingredient stats'!$C$4)),0),0)</f>
        <v>0</v>
      </c>
      <c r="V692">
        <f>IFERROR(__xludf.DUMMYFUNCTION("ROUNDUP(IF(ISBLANK(VLOOKUP(B688,AmmoTypeFactors,16,False)),1,VLOOKUP(B688,AmmoTypeFactors,16,False)) * (IFS(REGEXMATCH(B688, ""EMP""), 'Ammo Input'!M688 * N688 / 'Ingredient stats'!$C$5, REGEXMATCH(B688, ""Charge""), (U688^0.75), true, 0) + (IF(VLOOKUP(B6"&amp;"88, AmmoTypeFactors, 10, false), 2,0) + IF('Ammo Input'!P688, 2,0) + IF('Ammo Input'!Q688,MIN(ROUNDUP(0.2*('Ammo Input'!H688/1000)*'Ammo Input'!O688,0),20),0))))"),0)</f>
        <v>0</v>
      </c>
      <c r="W692">
        <v>0</v>
      </c>
      <c r="X692">
        <v>0</v>
      </c>
      <c r="Y692">
        <v>0</v>
      </c>
      <c r="Z692">
        <v>0</v>
      </c>
      <c r="AA692">
        <v>0</v>
      </c>
      <c r="AB692" s="30">
        <f>IF(B692="Sling Bullet (Stone)",ROUNDUP(D692*0.02*E692/'Ingredient stats'!$C$8,0),0)</f>
        <v>0</v>
      </c>
      <c r="AC692" t="str">
        <f t="shared" si="32"/>
        <v>None</v>
      </c>
      <c r="AD692" t="str">
        <f>IF(OR(B692="Buck",B692="Bird",B692="Charge (Scatter)"),'Ammo Input'!J692,"None")</f>
        <v>None</v>
      </c>
      <c r="AE692" t="str">
        <f>_xlfn.IFS(ISTEXT(Calcs!N692),Calcs!N692,Calcs!N692&lt;=40,Calcs!N692,Calcs!N692&gt;41,"40")</f>
        <v>None</v>
      </c>
      <c r="AF692" t="str">
        <f>_xlfn.IFS(ISTEXT(Calcs!O692),Calcs!O692,Calcs!O692&lt;=80,Calcs!O692,Calcs!O692&gt;=81,"80")</f>
        <v>None</v>
      </c>
      <c r="AG692" s="25">
        <f t="shared" si="33"/>
        <v>1</v>
      </c>
      <c r="AH692" s="25">
        <f t="shared" si="34"/>
        <v>1.61</v>
      </c>
      <c r="AI692" s="25">
        <f t="shared" si="35"/>
        <v>1</v>
      </c>
    </row>
    <row r="693" ht="14.4" spans="1:35">
      <c r="A693" s="24" t="str">
        <f>'Ammo Input'!A693</f>
        <v>Musket Ball (Slow)</v>
      </c>
      <c r="B693" t="str">
        <f>'Ammo Input'!B693</f>
        <v>FMJ</v>
      </c>
      <c r="C693">
        <f>ROUNDUP(('Ammo Input'!C693*(MAX('Ammo Input'!D693,'Ammo Input'!F693)*0.5)^2*PI())*3/1000000,2)</f>
        <v>0.12</v>
      </c>
      <c r="D693">
        <f>ROUNDUP(('Ammo Input'!E693+'Ammo Input'!H693*IF('Ammo Input'!J693&lt;&gt;"",MAX('Ammo Input'!J693,1),1))/1000,3)</f>
        <v>0.087</v>
      </c>
      <c r="E693">
        <f>MIN(5000,MAX(25,CEILING(Calcs!L693,_xlfn.IFS(Calcs!L693&lt;100,25,Calcs!L693&lt;250,50,Calcs!L693&lt;1000,250,Calcs!L693&gt;=1000,1000))))</f>
        <v>5000</v>
      </c>
      <c r="F693">
        <f>ROUNDUP('Ammo Input'!G693^(3/4),0)</f>
        <v>63</v>
      </c>
      <c r="G693">
        <f>ROUND((0.5*((IF(OR(B693="HEAT",B693="HEDP"),'Ammo Input'!N693,'Ammo Input'!H693)/1000)*(IF(B693="HEAT",9000,IF(B693="HEDP",1500,'Ammo Input'!G693))^2))),0)</f>
        <v>1000</v>
      </c>
      <c r="H693" s="25" t="str">
        <f>CONCATENATE(IF((B693="Foam")+(B693="Smoke"),"-",ROUND(Calcs!D693,0))," ",VLOOKUP(B693,AmmoTypeFactors,5,FALSE))</f>
        <v>17 Bullet</v>
      </c>
      <c r="I693" s="25" t="str">
        <f>IF(Calcs!E693=0,"None",CONCATENATE(ROUND(Calcs!E693,0)," ",VLOOKUP(B693,AmmoTypeFactors,6,FALSE)))</f>
        <v>None</v>
      </c>
      <c r="J693">
        <f>MROUND(2.42*'Ammo Input'!M693^(1/3)*VLOOKUP(B693,AmmoTypeFactors,3,FALSE),0.5)</f>
        <v>0</v>
      </c>
      <c r="K693" s="25" t="str">
        <f>IF(VLOOKUP(B693,AmmoTypeFactors,12,FALSE),MROUND(J693/3,0.5),"None")</f>
        <v>None</v>
      </c>
      <c r="L693" s="25">
        <f>IF(VLOOKUP(B693,AmmoTypeFactors,8,FALSE),"None",ROUNDUP(IF(Calcs!I693&gt;0,Calcs!I693,Calcs!H693),3))</f>
        <v>20</v>
      </c>
      <c r="M693" s="25">
        <f>IF(VLOOKUP(B693,AmmoTypeFactors,8,FALSE),"None",'Ammo Input'!L693)</f>
        <v>3.5</v>
      </c>
      <c r="N693">
        <f>'Ammo Input'!O693</f>
        <v>100</v>
      </c>
      <c r="O693" t="e">
        <f>ROUND((P693*0.0036+SUMPRODUCT(Q693:AB693,VLOOKUP($Q$1:$AB$1,IngredientStats,2,FALSE)))/N693*IF('Ammo Input'!R693,0.5,1),2)</f>
        <v>#VALUE!</v>
      </c>
      <c r="P693" t="e">
        <f>(SUMPRODUCT(Q693:AB693,VLOOKUP($Q$1:$AB$1,IngredientStats,4,FALSE))*VLOOKUP(B693,AmmoTypeFactors,14,FALSE)*IF('Ammo Input'!R693,1.1,1))</f>
        <v>#VALUE!</v>
      </c>
      <c r="Q693">
        <f>IFERROR(__xludf.DUMMYFUNCTION("((IF(NOT(OR(REGEXMATCH(B689, ""Arrow""), B689 = ""Javelin"", B689 = ""Stick bomb"")), ROUNDUP(('Ammo Input'!E689 / 1000) * N689)) + IF(VLOOKUP(B689, AmmoTypeFactors, 9, FALSE) = ""Steel"", ROUNDUP(('Ammo Input'!H689 -'Ammo Input'!M689) * MAX(IF('Ammo Inpu"&amp;"t'!J689 &gt; 0, 'Ammo Input'!J689, 1), 1) * N689 / 1000))) / 'Ingredient stats'!$C$2) * IF(ISBLANK(VLOOKUP(B689,AmmoTypeFactors,15,False)),1,VLOOKUP(B689,AmmoTypeFactors,15,False))"),20)</f>
        <v>20</v>
      </c>
      <c r="R693">
        <f>IFERROR(__xludf.DUMMYFUNCTION("ROUNDUP((IF(REGEXMATCH(B689, ""Arrow"") + (B689 = ""Javelin""), 'Ammo Input'!E689) + IF(VLOOKUP(B689, AmmoTypeFactors, 9, FALSE) = ""Wood"", 'Ammo Input'!H689) + IF(B689 = ""Stick bomb"", 'Ammo Input'!E689)) * N689 / 'Ingredient stats'!$C$12 / 1000)"),0)</f>
        <v>0</v>
      </c>
      <c r="S693">
        <v>0</v>
      </c>
      <c r="T693">
        <v>0</v>
      </c>
      <c r="U693">
        <f>IF(VLOOKUP(B693,AmmoTypeFactors,9,FALSE)="Plasteel",ROUNDUP(('Ammo Input'!H693*MAX(IF('Ammo Input'!J693&gt;0,'Ammo Input'!J693,1)*N693/1000/'Ingredient stats'!$C$4)),0),0)</f>
        <v>0</v>
      </c>
      <c r="V693">
        <f>IFERROR(__xludf.DUMMYFUNCTION("ROUNDUP(IF(ISBLANK(VLOOKUP(B689,AmmoTypeFactors,16,False)),1,VLOOKUP(B689,AmmoTypeFactors,16,False)) * (IFS(REGEXMATCH(B689, ""EMP""), 'Ammo Input'!M689 * N689 / 'Ingredient stats'!$C$5, REGEXMATCH(B689, ""Charge""), (U689^0.75), true, 0) + (IF(VLOOKUP(B6"&amp;"89, AmmoTypeFactors, 10, false), 2,0) + IF('Ammo Input'!P689, 2,0) + IF('Ammo Input'!Q689,MIN(ROUNDUP(0.2*('Ammo Input'!H689/1000)*'Ammo Input'!O689,0),20),0))))"),0)</f>
        <v>0</v>
      </c>
      <c r="W693">
        <v>0</v>
      </c>
      <c r="X693">
        <v>0</v>
      </c>
      <c r="Y693">
        <v>0</v>
      </c>
      <c r="Z693">
        <v>0</v>
      </c>
      <c r="AA693">
        <v>0</v>
      </c>
      <c r="AB693" s="30">
        <f>IF(B693="Sling Bullet (Stone)",ROUNDUP(D693*0.02*E693/'Ingredient stats'!$C$8,0),0)</f>
        <v>0</v>
      </c>
      <c r="AC693" t="str">
        <f t="shared" si="32"/>
        <v>None</v>
      </c>
      <c r="AD693" t="str">
        <f>IF(OR(B693="Buck",B693="Bird",B693="Charge (Scatter)"),'Ammo Input'!J693,"None")</f>
        <v>None</v>
      </c>
      <c r="AE693" t="str">
        <f>_xlfn.IFS(ISTEXT(Calcs!N693),Calcs!N693,Calcs!N693&lt;=40,Calcs!N693,Calcs!N693&gt;41,"40")</f>
        <v>None</v>
      </c>
      <c r="AF693" t="str">
        <f>_xlfn.IFS(ISTEXT(Calcs!O693),Calcs!O693,Calcs!O693&lt;=80,Calcs!O693,Calcs!O693&gt;=81,"80")</f>
        <v>None</v>
      </c>
      <c r="AG693" s="25">
        <f t="shared" si="33"/>
        <v>1</v>
      </c>
      <c r="AH693" s="25">
        <f t="shared" si="34"/>
        <v>1.04</v>
      </c>
      <c r="AI693" s="25">
        <f t="shared" si="35"/>
        <v>1</v>
      </c>
    </row>
    <row r="694" ht="14.4" spans="1:35">
      <c r="A694" s="24" t="str">
        <f>'Ammo Input'!A694</f>
        <v>Blunderbuss Shot</v>
      </c>
      <c r="B694" t="str">
        <f>'Ammo Input'!B694</f>
        <v>Buck</v>
      </c>
      <c r="C694">
        <f>ROUNDUP(('Ammo Input'!C694*(MAX('Ammo Input'!D694,'Ammo Input'!F694)*0.5)^2*PI())*3/1000000,2)</f>
        <v>0.21</v>
      </c>
      <c r="D694">
        <f>ROUNDUP(('Ammo Input'!E694+'Ammo Input'!H694*IF('Ammo Input'!J694&lt;&gt;"",MAX('Ammo Input'!J694,1),1))/1000,3)</f>
        <v>0.12</v>
      </c>
      <c r="E694">
        <f>MIN(5000,MAX(25,CEILING(Calcs!L694,_xlfn.IFS(Calcs!L694&lt;100,25,Calcs!L694&lt;250,50,Calcs!L694&lt;1000,250,Calcs!L694&gt;=1000,1000))))</f>
        <v>1000</v>
      </c>
      <c r="F694">
        <f>ROUNDUP('Ammo Input'!G694^(3/4),0)</f>
        <v>73</v>
      </c>
      <c r="G694">
        <f>ROUND((0.5*((IF(OR(B694="HEAT",B694="HEDP"),'Ammo Input'!N694,'Ammo Input'!H694)/1000)*(IF(B694="HEAT",9000,IF(B694="HEDP",1500,'Ammo Input'!G694))^2))),0)</f>
        <v>157</v>
      </c>
      <c r="H694" s="25" t="str">
        <f>CONCATENATE(IF((B694="Foam")+(B694="Smoke"),"-",ROUND(Calcs!D694,0))," ",VLOOKUP(B694,AmmoTypeFactors,5,FALSE))</f>
        <v>7 Bullet</v>
      </c>
      <c r="I694" s="25" t="str">
        <f>IF(Calcs!E694=0,"None",CONCATENATE(ROUND(Calcs!E694,0)," ",VLOOKUP(B694,AmmoTypeFactors,6,FALSE)))</f>
        <v>None</v>
      </c>
      <c r="J694">
        <f>MROUND(2.42*'Ammo Input'!M694^(1/3)*VLOOKUP(B694,AmmoTypeFactors,3,FALSE),0.5)</f>
        <v>0</v>
      </c>
      <c r="K694" s="25" t="str">
        <f>IF(VLOOKUP(B694,AmmoTypeFactors,12,FALSE),MROUND(J694/3,0.5),"None")</f>
        <v>None</v>
      </c>
      <c r="L694" s="25">
        <f>IF(VLOOKUP(B694,AmmoTypeFactors,8,FALSE),"None",ROUNDUP(IF(Calcs!I694&gt;0,Calcs!I694,Calcs!H694),3))</f>
        <v>3.14</v>
      </c>
      <c r="M694" s="25">
        <f>IF(VLOOKUP(B694,AmmoTypeFactors,8,FALSE),"None",'Ammo Input'!L694)</f>
        <v>3</v>
      </c>
      <c r="N694">
        <f>'Ammo Input'!O694</f>
        <v>100</v>
      </c>
      <c r="O694" t="e">
        <f>ROUND((P694*0.0036+SUMPRODUCT(Q694:AB694,VLOOKUP($Q$1:$AB$1,IngredientStats,2,FALSE)))/N694*IF('Ammo Input'!R694,0.5,1),2)</f>
        <v>#VALUE!</v>
      </c>
      <c r="P694" t="e">
        <f>(SUMPRODUCT(Q694:AB694,VLOOKUP($Q$1:$AB$1,IngredientStats,4,FALSE))*VLOOKUP(B694,AmmoTypeFactors,14,FALSE)*IF('Ammo Input'!R694,1.1,1))</f>
        <v>#VALUE!</v>
      </c>
      <c r="Q694">
        <f>IFERROR(__xludf.DUMMYFUNCTION("((IF(NOT(OR(REGEXMATCH(B690, ""Arrow""), B690 = ""Javelin"", B690 = ""Stick bomb"")), ROUNDUP(('Ammo Input'!E690 / 1000) * N690)) + IF(VLOOKUP(B690, AmmoTypeFactors, 9, FALSE) = ""Steel"", ROUNDUP(('Ammo Input'!H690 -'Ammo Input'!M690) * MAX(IF('Ammo Inpu"&amp;"t'!J690 &gt; 0, 'Ammo Input'!J690, 1), 1) * N690 / 1000))) / 'Ingredient stats'!$C$2) * IF(ISBLANK(VLOOKUP(B690,AmmoTypeFactors,15,False)),1,VLOOKUP(B690,AmmoTypeFactors,15,False))"),24)</f>
        <v>24</v>
      </c>
      <c r="R694">
        <f>IFERROR(__xludf.DUMMYFUNCTION("ROUNDUP((IF(REGEXMATCH(B690, ""Arrow"") + (B690 = ""Javelin""), 'Ammo Input'!E690) + IF(VLOOKUP(B690, AmmoTypeFactors, 9, FALSE) = ""Wood"", 'Ammo Input'!H690) + IF(B690 = ""Stick bomb"", 'Ammo Input'!E690)) * N690 / 'Ingredient stats'!$C$12 / 1000)"),0)</f>
        <v>0</v>
      </c>
      <c r="S694">
        <v>0</v>
      </c>
      <c r="T694">
        <v>0</v>
      </c>
      <c r="U694">
        <f>IF(VLOOKUP(B694,AmmoTypeFactors,9,FALSE)="Plasteel",ROUNDUP(('Ammo Input'!H694*MAX(IF('Ammo Input'!J694&gt;0,'Ammo Input'!J694,1)*N694/1000/'Ingredient stats'!$C$4)),0),0)</f>
        <v>0</v>
      </c>
      <c r="V694">
        <f>IFERROR(__xludf.DUMMYFUNCTION("ROUNDUP(IF(ISBLANK(VLOOKUP(B690,AmmoTypeFactors,16,False)),1,VLOOKUP(B690,AmmoTypeFactors,16,False)) * (IFS(REGEXMATCH(B690, ""EMP""), 'Ammo Input'!M690 * N690 / 'Ingredient stats'!$C$5, REGEXMATCH(B690, ""Charge""), (U690^0.75), true, 0) + (IF(VLOOKUP(B6"&amp;"90, AmmoTypeFactors, 10, false), 2,0) + IF('Ammo Input'!P690, 2,0) + IF('Ammo Input'!Q690,MIN(ROUNDUP(0.2*('Ammo Input'!H690/1000)*'Ammo Input'!O690,0),20),0))))"),3)</f>
        <v>3</v>
      </c>
      <c r="W694">
        <v>0</v>
      </c>
      <c r="X694">
        <v>0</v>
      </c>
      <c r="Y694">
        <v>0</v>
      </c>
      <c r="Z694">
        <v>0</v>
      </c>
      <c r="AA694">
        <v>0</v>
      </c>
      <c r="AB694" s="30">
        <f>IF(B694="Sling Bullet (Stone)",ROUNDUP(D694*0.02*E694/'Ingredient stats'!$C$8,0),0)</f>
        <v>0</v>
      </c>
      <c r="AC694">
        <f t="shared" si="32"/>
        <v>8.9</v>
      </c>
      <c r="AD694">
        <f>IF(OR(B694="Buck",B694="Bird",B694="Charge (Scatter)"),'Ammo Input'!J694,"None")</f>
        <v>20</v>
      </c>
      <c r="AE694" t="str">
        <f>_xlfn.IFS(ISTEXT(Calcs!N694),Calcs!N694,Calcs!N694&lt;=40,Calcs!N694,Calcs!N694&gt;41,"40")</f>
        <v>None</v>
      </c>
      <c r="AF694" t="str">
        <f>_xlfn.IFS(ISTEXT(Calcs!O694),Calcs!O694,Calcs!O694&lt;=80,Calcs!O694,Calcs!O694&gt;=81,"80")</f>
        <v>None</v>
      </c>
      <c r="AG694" s="25">
        <f t="shared" si="33"/>
        <v>1</v>
      </c>
      <c r="AH694" s="25">
        <f t="shared" si="34"/>
        <v>1.2</v>
      </c>
      <c r="AI694" s="25">
        <f t="shared" si="35"/>
        <v>1</v>
      </c>
    </row>
    <row r="695" ht="14.4" spans="1:35">
      <c r="A695" s="24" t="str">
        <f>'Ammo Input'!A695</f>
        <v>Mini Cannon Ball</v>
      </c>
      <c r="B695" t="str">
        <f>'Ammo Input'!B695</f>
        <v>FMJ</v>
      </c>
      <c r="C695">
        <f>ROUNDUP(('Ammo Input'!C695*(MAX('Ammo Input'!D695,'Ammo Input'!F695)*0.5)^2*PI())*3/1000000,2)</f>
        <v>0.38</v>
      </c>
      <c r="D695">
        <f>ROUNDUP(('Ammo Input'!E695+'Ammo Input'!H695*IF('Ammo Input'!J695&lt;&gt;"",MAX('Ammo Input'!J695,1),1))/1000,3)</f>
        <v>0.27</v>
      </c>
      <c r="E695">
        <f>MIN(5000,MAX(25,CEILING(Calcs!L695,_xlfn.IFS(Calcs!L695&lt;100,25,Calcs!L695&lt;250,50,Calcs!L695&lt;1000,250,Calcs!L695&gt;=1000,1000))))</f>
        <v>500</v>
      </c>
      <c r="F695">
        <f>ROUNDUP('Ammo Input'!G695^(3/4),0)</f>
        <v>73</v>
      </c>
      <c r="G695">
        <f>ROUND((0.5*((IF(OR(B695="HEAT",B695="HEDP"),'Ammo Input'!N695,'Ammo Input'!H695)/1000)*(IF(B695="HEAT",9000,IF(B695="HEDP",1500,'Ammo Input'!G695))^2))),0)</f>
        <v>10350</v>
      </c>
      <c r="H695" s="25" t="str">
        <f>CONCATENATE(IF((B695="Foam")+(B695="Smoke"),"-",ROUND(Calcs!D695,0))," ",VLOOKUP(B695,AmmoTypeFactors,5,FALSE))</f>
        <v>50 Bullet</v>
      </c>
      <c r="I695" s="25" t="str">
        <f>IF(Calcs!E695=0,"None",CONCATENATE(ROUND(Calcs!E695,0)," ",VLOOKUP(B695,AmmoTypeFactors,6,FALSE)))</f>
        <v>None</v>
      </c>
      <c r="J695">
        <f>MROUND(2.42*'Ammo Input'!M695^(1/3)*VLOOKUP(B695,AmmoTypeFactors,3,FALSE),0.5)</f>
        <v>0</v>
      </c>
      <c r="K695" s="25" t="str">
        <f>IF(VLOOKUP(B695,AmmoTypeFactors,12,FALSE),MROUND(J695/3,0.5),"None")</f>
        <v>None</v>
      </c>
      <c r="L695" s="25">
        <f>IF(VLOOKUP(B695,AmmoTypeFactors,8,FALSE),"None",ROUNDUP(IF(Calcs!I695&gt;0,Calcs!I695,Calcs!H695),3))</f>
        <v>207</v>
      </c>
      <c r="M695" s="25">
        <f>IF(VLOOKUP(B695,AmmoTypeFactors,8,FALSE),"None",'Ammo Input'!L695)</f>
        <v>6</v>
      </c>
      <c r="N695">
        <f>'Ammo Input'!O695</f>
        <v>50</v>
      </c>
      <c r="O695" t="e">
        <f>ROUND((P695*0.0036+SUMPRODUCT(Q695:AB695,VLOOKUP($Q$1:$AB$1,IngredientStats,2,FALSE)))/N695*IF('Ammo Input'!R695,0.5,1),2)</f>
        <v>#VALUE!</v>
      </c>
      <c r="P695" t="e">
        <f>(SUMPRODUCT(Q695:AB695,VLOOKUP($Q$1:$AB$1,IngredientStats,4,FALSE))*VLOOKUP(B695,AmmoTypeFactors,14,FALSE)*IF('Ammo Input'!R695,1.1,1))</f>
        <v>#VALUE!</v>
      </c>
      <c r="Q695">
        <f>IFERROR(__xludf.DUMMYFUNCTION("((IF(NOT(OR(REGEXMATCH(B691, ""Arrow""), B691 = ""Javelin"", B691 = ""Stick bomb"")), ROUNDUP(('Ammo Input'!E691 / 1000) * N691)) + IF(VLOOKUP(B691, AmmoTypeFactors, 9, FALSE) = ""Steel"", ROUNDUP(('Ammo Input'!H691 -'Ammo Input'!M691) * MAX(IF('Ammo Inpu"&amp;"t'!J691 &gt; 0, 'Ammo Input'!J691, 1), 1) * N691 / 1000))) / 'Ingredient stats'!$C$2) * IF(ISBLANK(VLOOKUP(B691,AmmoTypeFactors,15,False)),1,VLOOKUP(B691,AmmoTypeFactors,15,False))"),28)</f>
        <v>28</v>
      </c>
      <c r="R695">
        <f>IFERROR(__xludf.DUMMYFUNCTION("ROUNDUP((IF(REGEXMATCH(B691, ""Arrow"") + (B691 = ""Javelin""), 'Ammo Input'!E691) + IF(VLOOKUP(B691, AmmoTypeFactors, 9, FALSE) = ""Wood"", 'Ammo Input'!H691) + IF(B691 = ""Stick bomb"", 'Ammo Input'!E691)) * N691 / 'Ingredient stats'!$C$12 / 1000)"),0)</f>
        <v>0</v>
      </c>
      <c r="S695">
        <v>0</v>
      </c>
      <c r="T695">
        <v>0</v>
      </c>
      <c r="U695">
        <f>IF(VLOOKUP(B695,AmmoTypeFactors,9,FALSE)="Plasteel",ROUNDUP(('Ammo Input'!H695*MAX(IF('Ammo Input'!J695&gt;0,'Ammo Input'!J695,1)*N695/1000/'Ingredient stats'!$C$4)),0),0)</f>
        <v>0</v>
      </c>
      <c r="V695">
        <f>IFERROR(__xludf.DUMMYFUNCTION("ROUNDUP(IF(ISBLANK(VLOOKUP(B691,AmmoTypeFactors,16,False)),1,VLOOKUP(B691,AmmoTypeFactors,16,False)) * (IFS(REGEXMATCH(B691, ""EMP""), 'Ammo Input'!M691 * N691 / 'Ingredient stats'!$C$5, REGEXMATCH(B691, ""Charge""), (U691^0.75), true, 0) + (IF(VLOOKUP(B6"&amp;"91, AmmoTypeFactors, 10, false), 2,0) + IF('Ammo Input'!P691, 2,0) + IF('Ammo Input'!Q691,MIN(ROUNDUP(0.2*('Ammo Input'!H691/1000)*'Ammo Input'!O691,0),20),0))))"),0)</f>
        <v>0</v>
      </c>
      <c r="W695">
        <v>0</v>
      </c>
      <c r="X695">
        <v>0</v>
      </c>
      <c r="Y695">
        <v>0</v>
      </c>
      <c r="Z695">
        <v>0</v>
      </c>
      <c r="AA695">
        <v>0</v>
      </c>
      <c r="AB695" s="30">
        <f>IF(B695="Sling Bullet (Stone)",ROUNDUP(D695*0.02*E695/'Ingredient stats'!$C$8,0),0)</f>
        <v>0</v>
      </c>
      <c r="AC695" t="str">
        <f t="shared" si="32"/>
        <v>None</v>
      </c>
      <c r="AD695" t="str">
        <f>IF(OR(B695="Buck",B695="Bird",B695="Charge (Scatter)"),'Ammo Input'!J695,"None")</f>
        <v>None</v>
      </c>
      <c r="AE695" t="str">
        <f>_xlfn.IFS(ISTEXT(Calcs!N695),Calcs!N695,Calcs!N695&lt;=40,Calcs!N695,Calcs!N695&gt;41,"40")</f>
        <v>None</v>
      </c>
      <c r="AF695" t="str">
        <f>_xlfn.IFS(ISTEXT(Calcs!O695),Calcs!O695,Calcs!O695&lt;=80,Calcs!O695,Calcs!O695&gt;=81,"80")</f>
        <v>None</v>
      </c>
      <c r="AG695" s="25">
        <f t="shared" si="33"/>
        <v>1</v>
      </c>
      <c r="AH695" s="25">
        <f t="shared" si="34"/>
        <v>1.2</v>
      </c>
      <c r="AI695" s="25">
        <f t="shared" si="35"/>
        <v>1</v>
      </c>
    </row>
    <row r="696" ht="14.4" spans="1:35">
      <c r="A696" s="24" t="str">
        <f>'Ammo Input'!A696</f>
        <v>Mini Cannon Ball</v>
      </c>
      <c r="B696" t="str">
        <f>'Ammo Input'!B696</f>
        <v>Buck</v>
      </c>
      <c r="C696">
        <f>ROUNDUP(('Ammo Input'!C696*(MAX('Ammo Input'!D696,'Ammo Input'!F696)*0.5)^2*PI())*3/1000000,2)</f>
        <v>0.38</v>
      </c>
      <c r="D696">
        <f>ROUNDUP(('Ammo Input'!E696+'Ammo Input'!H696*IF('Ammo Input'!J696&lt;&gt;"",MAX('Ammo Input'!J696,1),1))/1000,3)</f>
        <v>0.27</v>
      </c>
      <c r="E696">
        <f>MIN(5000,MAX(25,CEILING(Calcs!L696,_xlfn.IFS(Calcs!L696&lt;100,25,Calcs!L696&lt;250,50,Calcs!L696&lt;1000,250,Calcs!L696&gt;=1000,1000))))</f>
        <v>500</v>
      </c>
      <c r="F696">
        <f>ROUNDUP('Ammo Input'!G696^(3/4),0)</f>
        <v>73</v>
      </c>
      <c r="G696">
        <f>ROUND((0.5*((IF(OR(B696="HEAT",B696="HEDP"),'Ammo Input'!N696,'Ammo Input'!H696)/1000)*(IF(B696="HEAT",9000,IF(B696="HEDP",1500,'Ammo Input'!G696))^2))),0)</f>
        <v>1035</v>
      </c>
      <c r="H696" s="25" t="str">
        <f>CONCATENATE(IF((B696="Foam")+(B696="Smoke"),"-",ROUND(Calcs!D696,0))," ",VLOOKUP(B696,AmmoTypeFactors,5,FALSE))</f>
        <v>15 Bullet</v>
      </c>
      <c r="I696" s="25" t="str">
        <f>IF(Calcs!E696=0,"None",CONCATENATE(ROUND(Calcs!E696,0)," ",VLOOKUP(B696,AmmoTypeFactors,6,FALSE)))</f>
        <v>None</v>
      </c>
      <c r="J696">
        <f>MROUND(2.42*'Ammo Input'!M696^(1/3)*VLOOKUP(B696,AmmoTypeFactors,3,FALSE),0.5)</f>
        <v>0</v>
      </c>
      <c r="K696" s="25" t="str">
        <f>IF(VLOOKUP(B696,AmmoTypeFactors,12,FALSE),MROUND(J696/3,0.5),"None")</f>
        <v>None</v>
      </c>
      <c r="L696" s="25">
        <f>IF(VLOOKUP(B696,AmmoTypeFactors,8,FALSE),"None",ROUNDUP(IF(Calcs!I696&gt;0,Calcs!I696,Calcs!H696),3))</f>
        <v>20.7</v>
      </c>
      <c r="M696" s="25">
        <f>IF(VLOOKUP(B696,AmmoTypeFactors,8,FALSE),"None",'Ammo Input'!L696)</f>
        <v>3.5</v>
      </c>
      <c r="N696">
        <f>'Ammo Input'!O696</f>
        <v>50</v>
      </c>
      <c r="O696" t="e">
        <f>ROUND((P696*0.0036+SUMPRODUCT(Q696:AB696,VLOOKUP($Q$1:$AB$1,IngredientStats,2,FALSE)))/N696*IF('Ammo Input'!R696,0.5,1),2)</f>
        <v>#VALUE!</v>
      </c>
      <c r="P696" t="e">
        <f>(SUMPRODUCT(Q696:AB696,VLOOKUP($Q$1:$AB$1,IngredientStats,4,FALSE))*VLOOKUP(B696,AmmoTypeFactors,14,FALSE)*IF('Ammo Input'!R696,1.1,1))</f>
        <v>#VALUE!</v>
      </c>
      <c r="Q696">
        <f>IFERROR(__xludf.DUMMYFUNCTION("((IF(NOT(OR(REGEXMATCH(B692, ""Arrow""), B692 = ""Javelin"", B692 = ""Stick bomb"")), ROUNDUP(('Ammo Input'!E692 / 1000) * N692)) + IF(VLOOKUP(B692, AmmoTypeFactors, 9, FALSE) = ""Steel"", ROUNDUP(('Ammo Input'!H692 -'Ammo Input'!M692) * MAX(IF('Ammo Inpu"&amp;"t'!J692 &gt; 0, 'Ammo Input'!J692, 1), 1) * N692 / 1000))) / 'Ingredient stats'!$C$2) * IF(ISBLANK(VLOOKUP(B692,AmmoTypeFactors,15,False)),1,VLOOKUP(B692,AmmoTypeFactors,15,False))"),28)</f>
        <v>28</v>
      </c>
      <c r="R696">
        <f>IFERROR(__xludf.DUMMYFUNCTION("ROUNDUP((IF(REGEXMATCH(B692, ""Arrow"") + (B692 = ""Javelin""), 'Ammo Input'!E692) + IF(VLOOKUP(B692, AmmoTypeFactors, 9, FALSE) = ""Wood"", 'Ammo Input'!H692) + IF(B692 = ""Stick bomb"", 'Ammo Input'!E692)) * N692 / 'Ingredient stats'!$C$12 / 1000)"),0)</f>
        <v>0</v>
      </c>
      <c r="S696">
        <v>0</v>
      </c>
      <c r="T696">
        <v>0</v>
      </c>
      <c r="U696">
        <f>IF(VLOOKUP(B696,AmmoTypeFactors,9,FALSE)="Plasteel",ROUNDUP(('Ammo Input'!H696*MAX(IF('Ammo Input'!J696&gt;0,'Ammo Input'!J696,1)*N696/1000/'Ingredient stats'!$C$4)),0),0)</f>
        <v>0</v>
      </c>
      <c r="V696">
        <f>IFERROR(__xludf.DUMMYFUNCTION("ROUNDUP(IF(ISBLANK(VLOOKUP(B692,AmmoTypeFactors,16,False)),1,VLOOKUP(B692,AmmoTypeFactors,16,False)) * (IFS(REGEXMATCH(B692, ""EMP""), 'Ammo Input'!M692 * N692 / 'Ingredient stats'!$C$5, REGEXMATCH(B692, ""Charge""), (U692^0.75), true, 0) + (IF(VLOOKUP(B6"&amp;"92, AmmoTypeFactors, 10, false), 2,0) + IF('Ammo Input'!P692, 2,0) + IF('Ammo Input'!Q692,MIN(ROUNDUP(0.2*('Ammo Input'!H692/1000)*'Ammo Input'!O692,0),20),0))))"),0)</f>
        <v>0</v>
      </c>
      <c r="W696">
        <v>0</v>
      </c>
      <c r="X696">
        <v>0</v>
      </c>
      <c r="Y696">
        <v>0</v>
      </c>
      <c r="Z696">
        <v>0</v>
      </c>
      <c r="AA696">
        <v>0</v>
      </c>
      <c r="AB696" s="30">
        <f>IF(B696="Sling Bullet (Stone)",ROUNDUP(D696*0.02*E696/'Ingredient stats'!$C$8,0),0)</f>
        <v>0</v>
      </c>
      <c r="AC696">
        <f t="shared" si="32"/>
        <v>8.9</v>
      </c>
      <c r="AD696">
        <f>IF(OR(B696="Buck",B696="Bird",B696="Charge (Scatter)"),'Ammo Input'!J696,"None")</f>
        <v>10</v>
      </c>
      <c r="AE696" t="str">
        <f>_xlfn.IFS(ISTEXT(Calcs!N696),Calcs!N696,Calcs!N696&lt;=40,Calcs!N696,Calcs!N696&gt;41,"40")</f>
        <v>None</v>
      </c>
      <c r="AF696" t="str">
        <f>_xlfn.IFS(ISTEXT(Calcs!O696),Calcs!O696,Calcs!O696&lt;=80,Calcs!O696,Calcs!O696&gt;=81,"80")</f>
        <v>None</v>
      </c>
      <c r="AG696" s="25">
        <f t="shared" si="33"/>
        <v>1</v>
      </c>
      <c r="AH696" s="25">
        <f t="shared" si="34"/>
        <v>1.2</v>
      </c>
      <c r="AI696" s="25">
        <f t="shared" si="35"/>
        <v>1</v>
      </c>
    </row>
    <row r="697" ht="14.4" spans="1:35">
      <c r="A697" s="24" t="str">
        <f>'Ammo Input'!A697</f>
        <v>Cannon Ball</v>
      </c>
      <c r="B697" t="str">
        <f>'Ammo Input'!B697</f>
        <v>FMJ</v>
      </c>
      <c r="C697">
        <f>ROUNDUP(('Ammo Input'!C697*(MAX('Ammo Input'!D697,'Ammo Input'!F697)*0.5)^2*PI())*3/1000000,2)</f>
        <v>3.99</v>
      </c>
      <c r="D697">
        <f>ROUNDUP(('Ammo Input'!E697+'Ammo Input'!H697*IF('Ammo Input'!J697&lt;&gt;"",MAX('Ammo Input'!J697,1),1))/1000,3)</f>
        <v>6.6</v>
      </c>
      <c r="E697">
        <f>MIN(5000,MAX(25,CEILING(Calcs!L697,_xlfn.IFS(Calcs!L697&lt;100,25,Calcs!L697&lt;250,50,Calcs!L697&lt;1000,250,Calcs!L697&gt;=1000,1000))))</f>
        <v>25</v>
      </c>
      <c r="F697">
        <f>ROUNDUP('Ammo Input'!G697^(3/4),0)</f>
        <v>99</v>
      </c>
      <c r="G697">
        <f>ROUND((0.5*((IF(OR(B697="HEAT",B697="HEDP"),'Ammo Input'!N697,'Ammo Input'!H697)/1000)*(IF(B697="HEAT",9000,IF(B697="HEDP",1500,'Ammo Input'!G697))^2))),0)</f>
        <v>574585</v>
      </c>
      <c r="H697" s="25" t="str">
        <f>CONCATENATE(IF((B697="Foam")+(B697="Smoke"),"-",ROUND(Calcs!D697,0))," ",VLOOKUP(B697,AmmoTypeFactors,5,FALSE))</f>
        <v>293 Bullet</v>
      </c>
      <c r="I697" s="25" t="str">
        <f>IF(Calcs!E697=0,"None",CONCATENATE(ROUND(Calcs!E697,0)," ",VLOOKUP(B697,AmmoTypeFactors,6,FALSE)))</f>
        <v>None</v>
      </c>
      <c r="J697">
        <f>MROUND(2.42*'Ammo Input'!M697^(1/3)*VLOOKUP(B697,AmmoTypeFactors,3,FALSE),0.5)</f>
        <v>0</v>
      </c>
      <c r="K697" s="25" t="str">
        <f>IF(VLOOKUP(B697,AmmoTypeFactors,12,FALSE),MROUND(J697/3,0.5),"None")</f>
        <v>None</v>
      </c>
      <c r="L697" s="25">
        <f>IF(VLOOKUP(B697,AmmoTypeFactors,8,FALSE),"None",ROUNDUP(IF(Calcs!I697&gt;0,Calcs!I697,Calcs!H697),3))</f>
        <v>11491.7</v>
      </c>
      <c r="M697" s="25">
        <f>IF(VLOOKUP(B697,AmmoTypeFactors,8,FALSE),"None",'Ammo Input'!L697)</f>
        <v>20</v>
      </c>
      <c r="N697">
        <f>'Ammo Input'!O697</f>
        <v>5</v>
      </c>
      <c r="O697" t="e">
        <f>ROUND((P697*0.0036+SUMPRODUCT(Q697:AB697,VLOOKUP($Q$1:$AB$1,IngredientStats,2,FALSE)))/N697*IF('Ammo Input'!R697,0.5,1),2)</f>
        <v>#VALUE!</v>
      </c>
      <c r="P697" t="e">
        <f>(SUMPRODUCT(Q697:AB697,VLOOKUP($Q$1:$AB$1,IngredientStats,4,FALSE))*VLOOKUP(B697,AmmoTypeFactors,14,FALSE)*IF('Ammo Input'!R697,1.1,1))</f>
        <v>#VALUE!</v>
      </c>
      <c r="Q697">
        <f>IFERROR(__xludf.DUMMYFUNCTION("((IF(NOT(OR(REGEXMATCH(B693, ""Arrow""), B693 = ""Javelin"", B693 = ""Stick bomb"")), ROUNDUP(('Ammo Input'!E693 / 1000) * N693)) + IF(VLOOKUP(B693, AmmoTypeFactors, 9, FALSE) = ""Steel"", ROUNDUP(('Ammo Input'!H693 -'Ammo Input'!M693) * MAX(IF('Ammo Inpu"&amp;"t'!J693 &gt; 0, 'Ammo Input'!J693, 1), 1) * N693 / 1000))) / 'Ingredient stats'!$C$2) * IF(ISBLANK(VLOOKUP(B693,AmmoTypeFactors,15,False)),1,VLOOKUP(B693,AmmoTypeFactors,15,False))"),66)</f>
        <v>66</v>
      </c>
      <c r="R697">
        <f>IFERROR(__xludf.DUMMYFUNCTION("ROUNDUP((IF(REGEXMATCH(B693, ""Arrow"") + (B693 = ""Javelin""), 'Ammo Input'!E693) + IF(VLOOKUP(B693, AmmoTypeFactors, 9, FALSE) = ""Wood"", 'Ammo Input'!H693) + IF(B693 = ""Stick bomb"", 'Ammo Input'!E693)) * N693 / 'Ingredient stats'!$C$12 / 1000)"),0)</f>
        <v>0</v>
      </c>
      <c r="S697">
        <v>0</v>
      </c>
      <c r="T697">
        <v>0</v>
      </c>
      <c r="U697">
        <f>IF(VLOOKUP(B697,AmmoTypeFactors,9,FALSE)="Plasteel",ROUNDUP(('Ammo Input'!H697*MAX(IF('Ammo Input'!J697&gt;0,'Ammo Input'!J697,1)*N697/1000/'Ingredient stats'!$C$4)),0),0)</f>
        <v>0</v>
      </c>
      <c r="V697">
        <f>IFERROR(__xludf.DUMMYFUNCTION("ROUNDUP(IF(ISBLANK(VLOOKUP(B693,AmmoTypeFactors,16,False)),1,VLOOKUP(B693,AmmoTypeFactors,16,False)) * (IFS(REGEXMATCH(B693, ""EMP""), 'Ammo Input'!M693 * N693 / 'Ingredient stats'!$C$5, REGEXMATCH(B693, ""Charge""), (U693^0.75), true, 0) + (IF(VLOOKUP(B6"&amp;"93, AmmoTypeFactors, 10, false), 2,0) + IF('Ammo Input'!P693, 2,0) + IF('Ammo Input'!Q693,MIN(ROUNDUP(0.2*('Ammo Input'!H693/1000)*'Ammo Input'!O693,0),20),0))))"),0)</f>
        <v>0</v>
      </c>
      <c r="W697">
        <v>0</v>
      </c>
      <c r="X697">
        <v>0</v>
      </c>
      <c r="Y697">
        <v>0</v>
      </c>
      <c r="Z697">
        <v>0</v>
      </c>
      <c r="AA697">
        <v>0</v>
      </c>
      <c r="AB697" s="30">
        <f>IF(B697="Sling Bullet (Stone)",ROUNDUP(D697*0.02*E697/'Ingredient stats'!$C$8,0),0)</f>
        <v>0</v>
      </c>
      <c r="AC697" t="str">
        <f t="shared" si="32"/>
        <v>None</v>
      </c>
      <c r="AD697" t="str">
        <f>IF(OR(B697="Buck",B697="Bird",B697="Charge (Scatter)"),'Ammo Input'!J697,"None")</f>
        <v>None</v>
      </c>
      <c r="AE697" t="str">
        <f>_xlfn.IFS(ISTEXT(Calcs!N697),Calcs!N697,Calcs!N697&lt;=40,Calcs!N697,Calcs!N697&gt;41,"40")</f>
        <v>None</v>
      </c>
      <c r="AF697" t="str">
        <f>_xlfn.IFS(ISTEXT(Calcs!O697),Calcs!O697,Calcs!O697&lt;=80,Calcs!O697,Calcs!O697&gt;=81,"80")</f>
        <v>None</v>
      </c>
      <c r="AG697" s="25">
        <f t="shared" si="33"/>
        <v>1</v>
      </c>
      <c r="AH697" s="25">
        <f t="shared" si="34"/>
        <v>1.63</v>
      </c>
      <c r="AI697" s="25">
        <f t="shared" si="35"/>
        <v>1</v>
      </c>
    </row>
    <row r="698" ht="14.4" spans="1:35">
      <c r="A698" s="24" t="str">
        <f>'Ammo Input'!A698</f>
        <v>Cannon Ball</v>
      </c>
      <c r="B698" t="str">
        <f>'Ammo Input'!B698</f>
        <v>HE</v>
      </c>
      <c r="C698">
        <f>ROUNDUP(('Ammo Input'!C698*(MAX('Ammo Input'!D698,'Ammo Input'!F698)*0.5)^2*PI())*3/1000000,2)</f>
        <v>3.99</v>
      </c>
      <c r="D698">
        <f>ROUNDUP(('Ammo Input'!E698+'Ammo Input'!H698*IF('Ammo Input'!J698&lt;&gt;"",MAX('Ammo Input'!J698,1),1))/1000,3)</f>
        <v>6.6</v>
      </c>
      <c r="E698">
        <f>MIN(5000,MAX(25,CEILING(Calcs!L698,_xlfn.IFS(Calcs!L698&lt;100,25,Calcs!L698&lt;250,50,Calcs!L698&lt;1000,250,Calcs!L698&gt;=1000,1000))))</f>
        <v>25</v>
      </c>
      <c r="F698">
        <f>ROUNDUP('Ammo Input'!G698^(3/4),0)</f>
        <v>99</v>
      </c>
      <c r="G698">
        <f>ROUND((0.5*((IF(OR(B698="HEAT",B698="HEDP"),'Ammo Input'!N698,'Ammo Input'!H698)/1000)*(IF(B698="HEAT",9000,IF(B698="HEDP",1500,'Ammo Input'!G698))^2))),0)</f>
        <v>574585</v>
      </c>
      <c r="H698" s="25" t="str">
        <f>CONCATENATE(IF((B698="Foam")+(B698="Smoke"),"-",ROUND(Calcs!D698,0))," ",VLOOKUP(B698,AmmoTypeFactors,5,FALSE))</f>
        <v>142 Bomb</v>
      </c>
      <c r="I698" s="25" t="str">
        <f>IF(Calcs!E698=0,"None",CONCATENATE(ROUND(Calcs!E698,0)," ",VLOOKUP(B698,AmmoTypeFactors,6,FALSE)))</f>
        <v>None</v>
      </c>
      <c r="J698">
        <f>MROUND(2.42*'Ammo Input'!M698^(1/3)*VLOOKUP(B698,AmmoTypeFactors,3,FALSE),0.5)</f>
        <v>2.5</v>
      </c>
      <c r="K698" s="25" t="str">
        <f>IF(VLOOKUP(B698,AmmoTypeFactors,12,FALSE),MROUND(J698/3,0.5),"None")</f>
        <v>None</v>
      </c>
      <c r="L698" s="25" t="str">
        <f>IF(VLOOKUP(B698,AmmoTypeFactors,8,FALSE),"None",ROUNDUP(IF(Calcs!I698&gt;0,Calcs!I698,Calcs!H698),3))</f>
        <v>None</v>
      </c>
      <c r="M698" s="25" t="str">
        <f>IF(VLOOKUP(B698,AmmoTypeFactors,8,FALSE),"None",'Ammo Input'!L698)</f>
        <v>None</v>
      </c>
      <c r="N698">
        <f>'Ammo Input'!O698</f>
        <v>5</v>
      </c>
      <c r="O698" t="e">
        <f>ROUND((P698*0.0036+SUMPRODUCT(Q698:AB698,VLOOKUP($Q$1:$AB$1,IngredientStats,2,FALSE)))/N698*IF('Ammo Input'!R698,0.5,1),2)</f>
        <v>#VALUE!</v>
      </c>
      <c r="P698" t="e">
        <f>(SUMPRODUCT(Q698:AB698,VLOOKUP($Q$1:$AB$1,IngredientStats,4,FALSE))*VLOOKUP(B698,AmmoTypeFactors,14,FALSE)*IF('Ammo Input'!R698,1.1,1))</f>
        <v>#VALUE!</v>
      </c>
      <c r="Q698">
        <f>IFERROR(__xludf.DUMMYFUNCTION("((IF(NOT(OR(REGEXMATCH(B694, ""Arrow""), B694 = ""Javelin"", B694 = ""Stick bomb"")), ROUNDUP(('Ammo Input'!E694 / 1000) * N694)) + IF(VLOOKUP(B694, AmmoTypeFactors, 9, FALSE) = ""Steel"", ROUNDUP(('Ammo Input'!H694 -'Ammo Input'!M694) * MAX(IF('Ammo Inpu"&amp;"t'!J694 &gt; 0, 'Ammo Input'!J694, 1), 1) * N694 / 1000))) / 'Ingredient stats'!$C$2) * IF(ISBLANK(VLOOKUP(B694,AmmoTypeFactors,15,False)),1,VLOOKUP(B694,AmmoTypeFactors,15,False))"),66)</f>
        <v>66</v>
      </c>
      <c r="R698">
        <f>IFERROR(__xludf.DUMMYFUNCTION("ROUNDUP((IF(REGEXMATCH(B694, ""Arrow"") + (B694 = ""Javelin""), 'Ammo Input'!E694) + IF(VLOOKUP(B694, AmmoTypeFactors, 9, FALSE) = ""Wood"", 'Ammo Input'!H694) + IF(B694 = ""Stick bomb"", 'Ammo Input'!E694)) * N694 / 'Ingredient stats'!$C$12 / 1000)"),0)</f>
        <v>0</v>
      </c>
      <c r="S698">
        <v>0</v>
      </c>
      <c r="T698">
        <v>0</v>
      </c>
      <c r="U698">
        <f>IF(VLOOKUP(B698,AmmoTypeFactors,9,FALSE)="Plasteel",ROUNDUP(('Ammo Input'!H698*MAX(IF('Ammo Input'!J698&gt;0,'Ammo Input'!J698,1)*N698/1000/'Ingredient stats'!$C$4)),0),0)</f>
        <v>0</v>
      </c>
      <c r="V698">
        <f>IFERROR(__xludf.DUMMYFUNCTION("ROUNDUP(IF(ISBLANK(VLOOKUP(B694,AmmoTypeFactors,16,False)),1,VLOOKUP(B694,AmmoTypeFactors,16,False)) * (IFS(REGEXMATCH(B694, ""EMP""), 'Ammo Input'!M694 * N694 / 'Ingredient stats'!$C$5, REGEXMATCH(B694, ""Charge""), (U694^0.75), true, 0) + (IF(VLOOKUP(B6"&amp;"94, AmmoTypeFactors, 10, false), 2,0) + IF('Ammo Input'!P694, 2,0) + IF('Ammo Input'!Q694,MIN(ROUNDUP(0.2*('Ammo Input'!H694/1000)*'Ammo Input'!O694,0),20),0))))"),2)</f>
        <v>2</v>
      </c>
      <c r="W698">
        <v>0</v>
      </c>
      <c r="X698">
        <v>9</v>
      </c>
      <c r="Y698">
        <v>0</v>
      </c>
      <c r="Z698">
        <v>0</v>
      </c>
      <c r="AA698">
        <v>0</v>
      </c>
      <c r="AB698" s="30">
        <f>IF(B698="Sling Bullet (Stone)",ROUNDUP(D698*0.02*E698/'Ingredient stats'!$C$8,0),0)</f>
        <v>0</v>
      </c>
      <c r="AC698" t="str">
        <f t="shared" si="32"/>
        <v>None</v>
      </c>
      <c r="AD698" t="str">
        <f>IF(OR(B698="Buck",B698="Bird",B698="Charge (Scatter)"),'Ammo Input'!J698,"None")</f>
        <v>None</v>
      </c>
      <c r="AE698">
        <f>_xlfn.IFS(ISTEXT(Calcs!N698),Calcs!N698,Calcs!N698&lt;=40,Calcs!N698,Calcs!N698&gt;41,"40")</f>
        <v>17</v>
      </c>
      <c r="AF698">
        <f>_xlfn.IFS(ISTEXT(Calcs!O698),Calcs!O698,Calcs!O698&lt;=80,Calcs!O698,Calcs!O698&gt;=81,"80")</f>
        <v>22</v>
      </c>
      <c r="AG698" s="25">
        <f t="shared" si="33"/>
        <v>3</v>
      </c>
      <c r="AH698" s="25">
        <f t="shared" si="34"/>
        <v>1.63</v>
      </c>
      <c r="AI698" s="25">
        <f t="shared" si="35"/>
        <v>2</v>
      </c>
    </row>
    <row r="699" ht="14.4" spans="1:35">
      <c r="A699" s="24" t="str">
        <f>'Ammo Input'!A699</f>
        <v>Cannon Ball</v>
      </c>
      <c r="B699" t="str">
        <f>'Ammo Input'!B699</f>
        <v>Incendiary</v>
      </c>
      <c r="C699">
        <f>ROUNDUP(('Ammo Input'!C699*(MAX('Ammo Input'!D699,'Ammo Input'!F699)*0.5)^2*PI())*3/1000000,2)</f>
        <v>3.99</v>
      </c>
      <c r="D699">
        <f>ROUNDUP(('Ammo Input'!E699+'Ammo Input'!H699*IF('Ammo Input'!J699&lt;&gt;"",MAX('Ammo Input'!J699,1),1))/1000,3)</f>
        <v>6.6</v>
      </c>
      <c r="E699">
        <f>MIN(5000,MAX(25,CEILING(Calcs!L699,_xlfn.IFS(Calcs!L699&lt;100,25,Calcs!L699&lt;250,50,Calcs!L699&lt;1000,250,Calcs!L699&gt;=1000,1000))))</f>
        <v>25</v>
      </c>
      <c r="F699">
        <f>ROUNDUP('Ammo Input'!G699^(3/4),0)</f>
        <v>99</v>
      </c>
      <c r="G699">
        <f>ROUND((0.5*((IF(OR(B699="HEAT",B699="HEDP"),'Ammo Input'!N699,'Ammo Input'!H699)/1000)*(IF(B699="HEAT",9000,IF(B699="HEDP",1500,'Ammo Input'!G699))^2))),0)</f>
        <v>574585</v>
      </c>
      <c r="H699" s="25" t="str">
        <f>CONCATENATE(IF((B699="Foam")+(B699="Smoke"),"-",ROUND(Calcs!D699,0))," ",VLOOKUP(B699,AmmoTypeFactors,5,FALSE))</f>
        <v>6 Flame</v>
      </c>
      <c r="I699" s="25" t="str">
        <f>IF(Calcs!E699=0,"None",CONCATENATE(ROUND(Calcs!E699,0)," ",VLOOKUP(B699,AmmoTypeFactors,6,FALSE)))</f>
        <v>None</v>
      </c>
      <c r="J699">
        <f>MROUND(2.42*'Ammo Input'!M699^(1/3)*VLOOKUP(B699,AmmoTypeFactors,3,FALSE),0.5)</f>
        <v>4.5</v>
      </c>
      <c r="K699" s="25" t="str">
        <f>IF(VLOOKUP(B699,AmmoTypeFactors,12,FALSE),MROUND(J699/3,0.5),"None")</f>
        <v>None</v>
      </c>
      <c r="L699" s="25" t="str">
        <f>IF(VLOOKUP(B699,AmmoTypeFactors,8,FALSE),"None",ROUNDUP(IF(Calcs!I699&gt;0,Calcs!I699,Calcs!H699),3))</f>
        <v>None</v>
      </c>
      <c r="M699" s="25" t="str">
        <f>IF(VLOOKUP(B699,AmmoTypeFactors,8,FALSE),"None",'Ammo Input'!L699)</f>
        <v>None</v>
      </c>
      <c r="N699">
        <f>'Ammo Input'!O699</f>
        <v>5</v>
      </c>
      <c r="O699" t="e">
        <f>ROUND((P699*0.0036+SUMPRODUCT(Q699:AB699,VLOOKUP($Q$1:$AB$1,IngredientStats,2,FALSE)))/N699*IF('Ammo Input'!R699,0.5,1),2)</f>
        <v>#VALUE!</v>
      </c>
      <c r="P699" t="e">
        <f>(SUMPRODUCT(Q699:AB699,VLOOKUP($Q$1:$AB$1,IngredientStats,4,FALSE))*VLOOKUP(B699,AmmoTypeFactors,14,FALSE)*IF('Ammo Input'!R699,1.1,1))</f>
        <v>#VALUE!</v>
      </c>
      <c r="Q699">
        <f>IFERROR(__xludf.DUMMYFUNCTION("((IF(NOT(OR(REGEXMATCH(B695, ""Arrow""), B695 = ""Javelin"", B695 = ""Stick bomb"")), ROUNDUP(('Ammo Input'!E695 / 1000) * N695)) + IF(VLOOKUP(B695, AmmoTypeFactors, 9, FALSE) = ""Steel"", ROUNDUP(('Ammo Input'!H695 -'Ammo Input'!M695) * MAX(IF('Ammo Inpu"&amp;"t'!J695 &gt; 0, 'Ammo Input'!J695, 1), 1) * N695 / 1000))) / 'Ingredient stats'!$C$2) * IF(ISBLANK(VLOOKUP(B695,AmmoTypeFactors,15,False)),1,VLOOKUP(B695,AmmoTypeFactors,15,False))"),66)</f>
        <v>66</v>
      </c>
      <c r="R699">
        <f>IFERROR(__xludf.DUMMYFUNCTION("ROUNDUP((IF(REGEXMATCH(B695, ""Arrow"") + (B695 = ""Javelin""), 'Ammo Input'!E695) + IF(VLOOKUP(B695, AmmoTypeFactors, 9, FALSE) = ""Wood"", 'Ammo Input'!H695) + IF(B695 = ""Stick bomb"", 'Ammo Input'!E695)) * N695 / 'Ingredient stats'!$C$12 / 1000)"),0)</f>
        <v>0</v>
      </c>
      <c r="S699">
        <v>0</v>
      </c>
      <c r="T699">
        <v>0</v>
      </c>
      <c r="U699">
        <f>IF(VLOOKUP(B699,AmmoTypeFactors,9,FALSE)="Plasteel",ROUNDUP(('Ammo Input'!H699*MAX(IF('Ammo Input'!J699&gt;0,'Ammo Input'!J699,1)*N699/1000/'Ingredient stats'!$C$4)),0),0)</f>
        <v>0</v>
      </c>
      <c r="V699">
        <f>IFERROR(__xludf.DUMMYFUNCTION("ROUNDUP(IF(ISBLANK(VLOOKUP(B695,AmmoTypeFactors,16,False)),1,VLOOKUP(B695,AmmoTypeFactors,16,False)) * (IFS(REGEXMATCH(B695, ""EMP""), 'Ammo Input'!M695 * N695 / 'Ingredient stats'!$C$5, REGEXMATCH(B695, ""Charge""), (U695^0.75), true, 0) + (IF(VLOOKUP(B6"&amp;"95, AmmoTypeFactors, 10, false), 2,0) + IF('Ammo Input'!P695, 2,0) + IF('Ammo Input'!Q695,MIN(ROUNDUP(0.2*('Ammo Input'!H695/1000)*'Ammo Input'!O695,0),20),0))))"),2)</f>
        <v>2</v>
      </c>
      <c r="W699">
        <v>2</v>
      </c>
      <c r="X699">
        <v>0</v>
      </c>
      <c r="Y699">
        <v>0</v>
      </c>
      <c r="Z699">
        <v>0</v>
      </c>
      <c r="AA699">
        <v>0</v>
      </c>
      <c r="AB699" s="30">
        <f>IF(B699="Sling Bullet (Stone)",ROUNDUP(D699*0.02*E699/'Ingredient stats'!$C$8,0),0)</f>
        <v>0</v>
      </c>
      <c r="AC699" t="str">
        <f t="shared" si="32"/>
        <v>None</v>
      </c>
      <c r="AD699" t="str">
        <f>IF(OR(B699="Buck",B699="Bird",B699="Charge (Scatter)"),'Ammo Input'!J699,"None")</f>
        <v>None</v>
      </c>
      <c r="AE699" t="str">
        <f>_xlfn.IFS(ISTEXT(Calcs!N699),Calcs!N699,Calcs!N699&lt;=40,Calcs!N699,Calcs!N699&gt;41,"40")</f>
        <v>None</v>
      </c>
      <c r="AF699" t="str">
        <f>_xlfn.IFS(ISTEXT(Calcs!O699),Calcs!O699,Calcs!O699&lt;=80,Calcs!O699,Calcs!O699&gt;=81,"80")</f>
        <v>None</v>
      </c>
      <c r="AG699" s="25">
        <f t="shared" si="33"/>
        <v>3</v>
      </c>
      <c r="AH699" s="25">
        <f t="shared" si="34"/>
        <v>1.63</v>
      </c>
      <c r="AI699" s="25">
        <f t="shared" si="35"/>
        <v>2</v>
      </c>
    </row>
    <row r="700" ht="14.4" spans="1:35">
      <c r="A700" s="24" t="str">
        <f>'Ammo Input'!A700</f>
        <v>Cannon Ball</v>
      </c>
      <c r="B700" t="str">
        <f>'Ammo Input'!B700</f>
        <v>Buck</v>
      </c>
      <c r="C700">
        <f>ROUNDUP(('Ammo Input'!C700*(MAX('Ammo Input'!D700,'Ammo Input'!F700)*0.5)^2*PI())*3/1000000,2)</f>
        <v>3.99</v>
      </c>
      <c r="D700">
        <f>ROUNDUP(('Ammo Input'!E700+'Ammo Input'!H700*IF('Ammo Input'!J700&lt;&gt;"",MAX('Ammo Input'!J700,1),1))/1000,3)</f>
        <v>6.535</v>
      </c>
      <c r="E700">
        <f>MIN(5000,MAX(25,CEILING(Calcs!L700,_xlfn.IFS(Calcs!L700&lt;100,25,Calcs!L700&lt;250,50,Calcs!L700&lt;1000,250,Calcs!L700&gt;=1000,1000))))</f>
        <v>25</v>
      </c>
      <c r="F700">
        <f>ROUNDUP('Ammo Input'!G700^(3/4),0)</f>
        <v>99</v>
      </c>
      <c r="G700">
        <f>ROUND((0.5*((IF(OR(B700="HEAT",B700="HEDP"),'Ammo Input'!N700,'Ammo Input'!H700)/1000)*(IF(B700="HEAT",9000,IF(B700="HEDP",1500,'Ammo Input'!G700))^2))),0)</f>
        <v>21034</v>
      </c>
      <c r="H700" s="25" t="str">
        <f>CONCATENATE(IF((B700="Foam")+(B700="Smoke"),"-",ROUND(Calcs!D700,0))," ",VLOOKUP(B700,AmmoTypeFactors,5,FALSE))</f>
        <v>63 Bullet</v>
      </c>
      <c r="I700" s="25" t="str">
        <f>IF(Calcs!E700=0,"None",CONCATENATE(ROUND(Calcs!E700,0)," ",VLOOKUP(B700,AmmoTypeFactors,6,FALSE)))</f>
        <v>None</v>
      </c>
      <c r="J700">
        <f>MROUND(2.42*'Ammo Input'!M700^(1/3)*VLOOKUP(B700,AmmoTypeFactors,3,FALSE),0.5)</f>
        <v>0</v>
      </c>
      <c r="K700" s="25" t="str">
        <f>IF(VLOOKUP(B700,AmmoTypeFactors,12,FALSE),MROUND(J700/3,0.5),"None")</f>
        <v>None</v>
      </c>
      <c r="L700" s="25">
        <f>IF(VLOOKUP(B700,AmmoTypeFactors,8,FALSE),"None",ROUNDUP(IF(Calcs!I700&gt;0,Calcs!I700,Calcs!H700),3))</f>
        <v>420.68</v>
      </c>
      <c r="M700" s="25">
        <f>IF(VLOOKUP(B700,AmmoTypeFactors,8,FALSE),"None",'Ammo Input'!L700)</f>
        <v>8.5</v>
      </c>
      <c r="N700">
        <f>'Ammo Input'!O700</f>
        <v>5</v>
      </c>
      <c r="O700" t="e">
        <f>ROUND((P700*0.0036+SUMPRODUCT(Q700:AB700,VLOOKUP($Q$1:$AB$1,IngredientStats,2,FALSE)))/N700*IF('Ammo Input'!R700,0.5,1),2)</f>
        <v>#VALUE!</v>
      </c>
      <c r="P700" t="e">
        <f>(SUMPRODUCT(Q700:AB700,VLOOKUP($Q$1:$AB$1,IngredientStats,4,FALSE))*VLOOKUP(B700,AmmoTypeFactors,14,FALSE)*IF('Ammo Input'!R700,1.1,1))</f>
        <v>#VALUE!</v>
      </c>
      <c r="Q700">
        <f>IFERROR(__xludf.DUMMYFUNCTION("((IF(NOT(OR(REGEXMATCH(B696, ""Arrow""), B696 = ""Javelin"", B696 = ""Stick bomb"")), ROUNDUP(('Ammo Input'!E696 / 1000) * N696)) + IF(VLOOKUP(B696, AmmoTypeFactors, 9, FALSE) = ""Steel"", ROUNDUP(('Ammo Input'!H696 -'Ammo Input'!M696) * MAX(IF('Ammo Inpu"&amp;"t'!J696 &gt; 0, 'Ammo Input'!J696, 1), 1) * N696 / 1000))) / 'Ingredient stats'!$C$2) * IF(ISBLANK(VLOOKUP(B696,AmmoTypeFactors,15,False)),1,VLOOKUP(B696,AmmoTypeFactors,15,False))"),66)</f>
        <v>66</v>
      </c>
      <c r="R700">
        <f>IFERROR(__xludf.DUMMYFUNCTION("ROUNDUP((IF(REGEXMATCH(B696, ""Arrow"") + (B696 = ""Javelin""), 'Ammo Input'!E696) + IF(VLOOKUP(B696, AmmoTypeFactors, 9, FALSE) = ""Wood"", 'Ammo Input'!H696) + IF(B696 = ""Stick bomb"", 'Ammo Input'!E696)) * N696 / 'Ingredient stats'!$C$12 / 1000)"),0)</f>
        <v>0</v>
      </c>
      <c r="S700">
        <v>0</v>
      </c>
      <c r="T700">
        <v>0</v>
      </c>
      <c r="U700">
        <f>IF(VLOOKUP(B700,AmmoTypeFactors,9,FALSE)="Plasteel",ROUNDUP(('Ammo Input'!H700*MAX(IF('Ammo Input'!J700&gt;0,'Ammo Input'!J700,1)*N700/1000/'Ingredient stats'!$C$4)),0),0)</f>
        <v>0</v>
      </c>
      <c r="V700">
        <f>IFERROR(__xludf.DUMMYFUNCTION("ROUNDUP(IF(ISBLANK(VLOOKUP(B696,AmmoTypeFactors,16,False)),1,VLOOKUP(B696,AmmoTypeFactors,16,False)) * (IFS(REGEXMATCH(B696, ""EMP""), 'Ammo Input'!M696 * N696 / 'Ingredient stats'!$C$5, REGEXMATCH(B696, ""Charge""), (U696^0.75), true, 0) + (IF(VLOOKUP(B6"&amp;"96, AmmoTypeFactors, 10, false), 2,0) + IF('Ammo Input'!P696, 2,0) + IF('Ammo Input'!Q696,MIN(ROUNDUP(0.2*('Ammo Input'!H696/1000)*'Ammo Input'!O696,0),20),0))))"),0)</f>
        <v>0</v>
      </c>
      <c r="W700">
        <v>0</v>
      </c>
      <c r="X700">
        <v>0</v>
      </c>
      <c r="Y700">
        <v>0</v>
      </c>
      <c r="Z700">
        <v>0</v>
      </c>
      <c r="AA700">
        <v>0</v>
      </c>
      <c r="AB700" s="30">
        <f>IF(B700="Sling Bullet (Stone)",ROUNDUP(D700*0.02*E700/'Ingredient stats'!$C$8,0),0)</f>
        <v>0</v>
      </c>
      <c r="AC700">
        <f t="shared" si="32"/>
        <v>8.9</v>
      </c>
      <c r="AD700">
        <f>IF(OR(B700="Buck",B700="Bird",B700="Charge (Scatter)"),'Ammo Input'!J700,"None")</f>
        <v>27</v>
      </c>
      <c r="AE700" t="str">
        <f>_xlfn.IFS(ISTEXT(Calcs!N700),Calcs!N700,Calcs!N700&lt;=40,Calcs!N700,Calcs!N700&gt;41,"40")</f>
        <v>None</v>
      </c>
      <c r="AF700" t="str">
        <f>_xlfn.IFS(ISTEXT(Calcs!O700),Calcs!O700,Calcs!O700&lt;=80,Calcs!O700,Calcs!O700&gt;=81,"80")</f>
        <v>None</v>
      </c>
      <c r="AG700" s="25">
        <f t="shared" si="33"/>
        <v>1</v>
      </c>
      <c r="AH700" s="25">
        <f t="shared" si="34"/>
        <v>1.63</v>
      </c>
      <c r="AI700" s="25">
        <f t="shared" si="35"/>
        <v>1</v>
      </c>
    </row>
    <row r="701" ht="14.4" spans="1:35">
      <c r="A701" s="24" t="str">
        <f>'Ammo Input'!A701</f>
        <v>Mortar Grenade</v>
      </c>
      <c r="B701" t="str">
        <f>'Ammo Input'!B701</f>
        <v>HE</v>
      </c>
      <c r="C701">
        <f>ROUNDUP(('Ammo Input'!C701*(MAX('Ammo Input'!D701,'Ammo Input'!F701)*0.5)^2*PI())*3/1000000,2)</f>
        <v>0.51</v>
      </c>
      <c r="D701">
        <f>ROUNDUP(('Ammo Input'!E701+'Ammo Input'!H701*IF('Ammo Input'!J701&lt;&gt;"",MAX('Ammo Input'!J701,1),1))/1000,3)</f>
        <v>0.95</v>
      </c>
      <c r="E701">
        <f>MIN(5000,MAX(25,CEILING(Calcs!L701,_xlfn.IFS(Calcs!L701&lt;100,25,Calcs!L701&lt;250,50,Calcs!L701&lt;1000,250,Calcs!L701&gt;=1000,1000))))</f>
        <v>150</v>
      </c>
      <c r="F701">
        <f>ROUNDUP('Ammo Input'!G701^(3/4),0)</f>
        <v>25</v>
      </c>
      <c r="G701">
        <f>ROUND((0.5*((IF(OR(B701="HEAT",B701="HEDP"),'Ammo Input'!N701,'Ammo Input'!H701)/1000)*(IF(B701="HEAT",9000,IF(B701="HEDP",1500,'Ammo Input'!G701))^2))),0)</f>
        <v>1838</v>
      </c>
      <c r="H701" s="25" t="str">
        <f>CONCATENATE(IF((B701="Foam")+(B701="Smoke"),"-",ROUND(Calcs!D701,0))," ",VLOOKUP(B701,AmmoTypeFactors,5,FALSE))</f>
        <v>30 Bomb</v>
      </c>
      <c r="I701" s="25" t="str">
        <f>IF(Calcs!E701=0,"None",CONCATENATE(ROUND(Calcs!E701,0)," ",VLOOKUP(B701,AmmoTypeFactors,6,FALSE)))</f>
        <v>None</v>
      </c>
      <c r="J701">
        <f>MROUND(2.42*'Ammo Input'!M701^(1/3)*VLOOKUP(B701,AmmoTypeFactors,3,FALSE),0.5)</f>
        <v>1</v>
      </c>
      <c r="K701" s="25" t="str">
        <f>IF(VLOOKUP(B701,AmmoTypeFactors,12,FALSE),MROUND(J701/3,0.5),"None")</f>
        <v>None</v>
      </c>
      <c r="L701" s="25" t="str">
        <f>IF(VLOOKUP(B701,AmmoTypeFactors,8,FALSE),"None",ROUNDUP(IF(Calcs!I701&gt;0,Calcs!I701,Calcs!H701),3))</f>
        <v>None</v>
      </c>
      <c r="M701" s="25" t="str">
        <f>IF(VLOOKUP(B701,AmmoTypeFactors,8,FALSE),"None",'Ammo Input'!L701)</f>
        <v>None</v>
      </c>
      <c r="N701">
        <f>'Ammo Input'!O701</f>
        <v>25</v>
      </c>
      <c r="O701" t="e">
        <f>ROUND((P701*0.0036+SUMPRODUCT(Q701:AB701,VLOOKUP($Q$1:$AB$1,IngredientStats,2,FALSE)))/N701*IF('Ammo Input'!R701,0.5,1),2)</f>
        <v>#VALUE!</v>
      </c>
      <c r="P701" t="e">
        <f>(SUMPRODUCT(Q701:AB701,VLOOKUP($Q$1:$AB$1,IngredientStats,4,FALSE))*VLOOKUP(B701,AmmoTypeFactors,14,FALSE)*IF('Ammo Input'!R701,1.1,1))</f>
        <v>#VALUE!</v>
      </c>
      <c r="Q701">
        <f>IFERROR(__xludf.DUMMYFUNCTION("((IF(NOT(OR(REGEXMATCH(B697, ""Arrow""), B697 = ""Javelin"", B697 = ""Stick bomb"")), ROUNDUP(('Ammo Input'!E697 / 1000) * N697)) + IF(VLOOKUP(B697, AmmoTypeFactors, 9, FALSE) = ""Steel"", ROUNDUP(('Ammo Input'!H697 -'Ammo Input'!M697) * MAX(IF('Ammo Inpu"&amp;"t'!J697 &gt; 0, 'Ammo Input'!J697, 1), 1) * N697 / 1000))) / 'Ingredient stats'!$C$2) * IF(ISBLANK(VLOOKUP(B697,AmmoTypeFactors,15,False)),1,VLOOKUP(B697,AmmoTypeFactors,15,False))"),48)</f>
        <v>48</v>
      </c>
      <c r="R701">
        <f>IFERROR(__xludf.DUMMYFUNCTION("ROUNDUP((IF(REGEXMATCH(B697, ""Arrow"") + (B697 = ""Javelin""), 'Ammo Input'!E697) + IF(VLOOKUP(B697, AmmoTypeFactors, 9, FALSE) = ""Wood"", 'Ammo Input'!H697) + IF(B697 = ""Stick bomb"", 'Ammo Input'!E697)) * N697 / 'Ingredient stats'!$C$12 / 1000)"),0)</f>
        <v>0</v>
      </c>
      <c r="S701">
        <v>0</v>
      </c>
      <c r="T701">
        <v>0</v>
      </c>
      <c r="U701">
        <f>IF(VLOOKUP(B701,AmmoTypeFactors,9,FALSE)="Plasteel",ROUNDUP(('Ammo Input'!H701*MAX(IF('Ammo Input'!J701&gt;0,'Ammo Input'!J701,1)*N701/1000/'Ingredient stats'!$C$4)),0),0)</f>
        <v>0</v>
      </c>
      <c r="V701">
        <f>IFERROR(__xludf.DUMMYFUNCTION("ROUNDUP(IF(ISBLANK(VLOOKUP(B697,AmmoTypeFactors,16,False)),1,VLOOKUP(B697,AmmoTypeFactors,16,False)) * (IFS(REGEXMATCH(B697, ""EMP""), 'Ammo Input'!M697 * N697 / 'Ingredient stats'!$C$5, REGEXMATCH(B697, ""Charge""), (U697^0.75), true, 0) + (IF(VLOOKUP(B6"&amp;"97, AmmoTypeFactors, 10, false), 2,0) + IF('Ammo Input'!P697, 2,0) + IF('Ammo Input'!Q697,MIN(ROUNDUP(0.2*('Ammo Input'!H697/1000)*'Ammo Input'!O697,0),20),0))))"),2)</f>
        <v>2</v>
      </c>
      <c r="W701">
        <v>0</v>
      </c>
      <c r="X701">
        <v>4</v>
      </c>
      <c r="Y701">
        <v>0</v>
      </c>
      <c r="Z701">
        <v>0</v>
      </c>
      <c r="AA701">
        <v>0</v>
      </c>
      <c r="AB701" s="30">
        <f>IF(B701="Sling Bullet (Stone)",ROUNDUP(D701*0.02*E701/'Ingredient stats'!$C$8,0),0)</f>
        <v>0</v>
      </c>
      <c r="AC701" t="str">
        <f t="shared" si="32"/>
        <v>None</v>
      </c>
      <c r="AD701" t="str">
        <f>IF(OR(B701="Buck",B701="Bird",B701="Charge (Scatter)"),'Ammo Input'!J701,"None")</f>
        <v>None</v>
      </c>
      <c r="AE701">
        <f>_xlfn.IFS(ISTEXT(Calcs!N701),Calcs!N701,Calcs!N701&lt;=40,Calcs!N701,Calcs!N701&gt;41,"40")</f>
        <v>3</v>
      </c>
      <c r="AF701">
        <f>_xlfn.IFS(ISTEXT(Calcs!O701),Calcs!O701,Calcs!O701&lt;=80,Calcs!O701,Calcs!O701&gt;=81,"80")</f>
        <v>2</v>
      </c>
      <c r="AG701" s="25">
        <f t="shared" si="33"/>
        <v>3</v>
      </c>
      <c r="AH701" s="25">
        <f t="shared" si="34"/>
        <v>0.42</v>
      </c>
      <c r="AI701" s="25">
        <f t="shared" si="35"/>
        <v>2</v>
      </c>
    </row>
    <row r="702" ht="14.4" spans="1:35">
      <c r="A702" s="24" t="str">
        <f>'Ammo Input'!A702</f>
        <v>Nerve Spiker Bolt</v>
      </c>
      <c r="B702" t="str">
        <f>'Ammo Input'!B702</f>
        <v>Arrow (Steel)</v>
      </c>
      <c r="C702">
        <f>ROUNDUP(('Ammo Input'!C702*(MAX('Ammo Input'!D702,'Ammo Input'!F702)*0.5)^2*PI())*3/1000000,2)</f>
        <v>0.34</v>
      </c>
      <c r="D702">
        <f>ROUNDUP(('Ammo Input'!E702+'Ammo Input'!H702*IF('Ammo Input'!J702&lt;&gt;"",MAX('Ammo Input'!J702,1),1))/1000,3)</f>
        <v>0.098</v>
      </c>
      <c r="E702">
        <f>MIN(5000,MAX(25,CEILING(Calcs!L702,_xlfn.IFS(Calcs!L702&lt;100,25,Calcs!L702&lt;250,50,Calcs!L702&lt;1000,250,Calcs!L702&gt;=1000,1000))))</f>
        <v>2000</v>
      </c>
      <c r="F702">
        <f>ROUNDUP('Ammo Input'!G702^(3/4),0)</f>
        <v>28</v>
      </c>
      <c r="G702">
        <f>ROUND((0.5*((IF(OR(B702="HEAT",B702="HEDP"),'Ammo Input'!N702,'Ammo Input'!H702)/1000)*(IF(B702="HEAT",9000,IF(B702="HEDP",1500,'Ammo Input'!G702))^2))),0)</f>
        <v>354</v>
      </c>
      <c r="H702" s="25" t="str">
        <f>CONCATENATE(IF((B702="Foam")+(B702="Smoke"),"-",ROUND(Calcs!D702,0))," ",VLOOKUP(B702,AmmoTypeFactors,5,FALSE))</f>
        <v>12 Arrow</v>
      </c>
      <c r="I702" s="25" t="str">
        <f>IF(Calcs!E702=0,"None",CONCATENATE(ROUND(Calcs!E702,0)," ",VLOOKUP(B702,AmmoTypeFactors,6,FALSE)))</f>
        <v>None</v>
      </c>
      <c r="J702">
        <f>MROUND(2.42*'Ammo Input'!M702^(1/3)*VLOOKUP(B702,AmmoTypeFactors,3,FALSE),0.5)</f>
        <v>0</v>
      </c>
      <c r="K702" s="25" t="str">
        <f>IF(VLOOKUP(B702,AmmoTypeFactors,12,FALSE),MROUND(J702/3,0.5),"None")</f>
        <v>None</v>
      </c>
      <c r="L702" s="25">
        <f>IF(VLOOKUP(B702,AmmoTypeFactors,8,FALSE),"None",ROUNDUP(IF(Calcs!I702&gt;0,Calcs!I702,Calcs!H702),3))</f>
        <v>7.08</v>
      </c>
      <c r="M702" s="25">
        <f>IF(VLOOKUP(B702,AmmoTypeFactors,8,FALSE),"None",'Ammo Input'!L702)</f>
        <v>2.5</v>
      </c>
      <c r="N702">
        <f>'Ammo Input'!O702</f>
        <v>10</v>
      </c>
      <c r="O702" t="e">
        <f>ROUND((P702*0.0036+SUMPRODUCT(Q702:AB702,VLOOKUP($Q$1:$AB$1,IngredientStats,2,FALSE)))/N702*IF('Ammo Input'!R702,0.5,1),2)</f>
        <v>#VALUE!</v>
      </c>
      <c r="P702" t="e">
        <f>(SUMPRODUCT(Q702:AB702,VLOOKUP($Q$1:$AB$1,IngredientStats,4,FALSE))*VLOOKUP(B702,AmmoTypeFactors,14,FALSE)*IF('Ammo Input'!R702,1.1,1))</f>
        <v>#VALUE!</v>
      </c>
      <c r="Q702">
        <f>IFERROR(__xludf.DUMMYFUNCTION("((IF(NOT(OR(REGEXMATCH(B698, ""Arrow""), B698 = ""Javelin"", B698 = ""Stick bomb"")), ROUNDUP(('Ammo Input'!E698 / 1000) * N698)) + IF(VLOOKUP(B698, AmmoTypeFactors, 9, FALSE) = ""Steel"", ROUNDUP(('Ammo Input'!H698 -'Ammo Input'!M698) * MAX(IF('Ammo Inpu"&amp;"t'!J698 &gt; 0, 'Ammo Input'!J698, 1), 1) * N698 / 1000))) / 'Ingredient stats'!$C$2) * IF(ISBLANK(VLOOKUP(B698,AmmoTypeFactors,15,False)),1,VLOOKUP(B698,AmmoTypeFactors,15,False))"),2)</f>
        <v>2</v>
      </c>
      <c r="R702">
        <f>IFERROR(__xludf.DUMMYFUNCTION("ROUNDUP((IF(REGEXMATCH(B698, ""Arrow"") + (B698 = ""Javelin""), 'Ammo Input'!E698) + IF(VLOOKUP(B698, AmmoTypeFactors, 9, FALSE) = ""Wood"", 'Ammo Input'!H698) + IF(B698 = ""Stick bomb"", 'Ammo Input'!E698)) * N698 / 'Ingredient stats'!$C$12 / 1000)"),0)</f>
        <v>0</v>
      </c>
      <c r="S702">
        <v>0</v>
      </c>
      <c r="T702">
        <v>0</v>
      </c>
      <c r="U702">
        <f>IF(VLOOKUP(B702,AmmoTypeFactors,9,FALSE)="Plasteel",ROUNDUP(('Ammo Input'!H702*MAX(IF('Ammo Input'!J702&gt;0,'Ammo Input'!J702,1)*N702/1000/'Ingredient stats'!$C$4)),0),0)</f>
        <v>0</v>
      </c>
      <c r="V702">
        <f>IFERROR(__xludf.DUMMYFUNCTION("ROUNDUP(IF(ISBLANK(VLOOKUP(B698,AmmoTypeFactors,16,False)),1,VLOOKUP(B698,AmmoTypeFactors,16,False)) * (IFS(REGEXMATCH(B698, ""EMP""), 'Ammo Input'!M698 * N698 / 'Ingredient stats'!$C$5, REGEXMATCH(B698, ""Charge""), (U698^0.75), true, 0) + (IF(VLOOKUP(B6"&amp;"98, AmmoTypeFactors, 10, false), 2,0) + IF('Ammo Input'!P698, 2,0) + IF('Ammo Input'!Q698,MIN(ROUNDUP(0.2*('Ammo Input'!H698/1000)*'Ammo Input'!O698,0),20),0))))"),0)</f>
        <v>0</v>
      </c>
      <c r="W702">
        <v>0</v>
      </c>
      <c r="X702">
        <v>0</v>
      </c>
      <c r="Y702">
        <v>0</v>
      </c>
      <c r="Z702">
        <v>0</v>
      </c>
      <c r="AA702">
        <v>0</v>
      </c>
      <c r="AB702" s="30">
        <f>IF(B702="Sling Bullet (Stone)",ROUNDUP(D702*0.02*E702/'Ingredient stats'!$C$8,0),0)</f>
        <v>0</v>
      </c>
      <c r="AC702" t="str">
        <f t="shared" si="32"/>
        <v>None</v>
      </c>
      <c r="AD702" t="str">
        <f>IF(OR(B702="Buck",B702="Bird",B702="Charge (Scatter)"),'Ammo Input'!J702,"None")</f>
        <v>None</v>
      </c>
      <c r="AE702" t="str">
        <f>_xlfn.IFS(ISTEXT(Calcs!N702),Calcs!N702,Calcs!N702&lt;=40,Calcs!N702,Calcs!N702&gt;41,"40")</f>
        <v>None</v>
      </c>
      <c r="AF702" t="str">
        <f>_xlfn.IFS(ISTEXT(Calcs!O702),Calcs!O702,Calcs!O702&lt;=80,Calcs!O702,Calcs!O702&gt;=81,"80")</f>
        <v>None</v>
      </c>
      <c r="AG702" s="25">
        <f t="shared" si="33"/>
        <v>1</v>
      </c>
      <c r="AH702" s="25">
        <f t="shared" si="34"/>
        <v>0.47</v>
      </c>
      <c r="AI702" s="25">
        <f t="shared" si="35"/>
        <v>1</v>
      </c>
    </row>
    <row r="703" ht="14.4" spans="1:35">
      <c r="A703" s="14" t="s">
        <v>254</v>
      </c>
      <c r="B703" s="15"/>
      <c r="C703" s="15"/>
      <c r="D703" s="15"/>
      <c r="E703" s="15"/>
      <c r="F703" s="15"/>
      <c r="G703" s="15"/>
      <c r="H703" s="15"/>
      <c r="I703" s="15"/>
      <c r="J703" s="15"/>
      <c r="K703" s="15"/>
      <c r="L703" s="15"/>
      <c r="M703" s="15"/>
      <c r="N703" s="15"/>
      <c r="O703" s="15"/>
      <c r="P703" s="15"/>
      <c r="Q703" s="15"/>
      <c r="R703" s="15"/>
      <c r="S703" s="15"/>
      <c r="T703" s="15"/>
      <c r="U703" s="15"/>
      <c r="V703" s="15"/>
      <c r="W703" t="s">
        <v>338</v>
      </c>
      <c r="X703" s="15"/>
      <c r="Y703" s="15"/>
      <c r="Z703" s="15"/>
      <c r="AA703" s="15"/>
      <c r="AB703" s="15"/>
      <c r="AC703" s="15"/>
      <c r="AD703" s="15"/>
      <c r="AE703" s="15"/>
      <c r="AF703" s="15"/>
      <c r="AG703" s="15"/>
      <c r="AH703" s="15"/>
      <c r="AI703" s="15"/>
    </row>
    <row r="704" ht="14.4" spans="1:35">
      <c r="A704" s="24" t="str">
        <f>'Ammo Input'!A704</f>
        <v>Concussion grenade</v>
      </c>
      <c r="B704" t="str">
        <f>'Ammo Input'!B704</f>
        <v>Concussion bomb</v>
      </c>
      <c r="C704">
        <f>ROUNDUP(('Ammo Input'!C704*(MAX('Ammo Input'!D704,'Ammo Input'!F704)*0.5)^2*PI())*3/1000000,2)</f>
        <v>1.55</v>
      </c>
      <c r="D704">
        <f>ROUNDUP(('Ammo Input'!E704+'Ammo Input'!H704*IF('Ammo Input'!J704&lt;&gt;"",MAX('Ammo Input'!J704,1),1))/1000,3)</f>
        <v>0.436</v>
      </c>
      <c r="E704">
        <f>MIN(5000,MAX(25,CEILING(Calcs!L704,_xlfn.IFS(Calcs!L704&lt;100,25,Calcs!L704&lt;250,50,Calcs!L704&lt;1000,250,Calcs!L704&gt;=1000,1000))))</f>
        <v>50</v>
      </c>
      <c r="F704">
        <f>ROUNDUP('Ammo Input'!G704^(3/4),0)</f>
        <v>10</v>
      </c>
      <c r="G704">
        <f>ROUND((0.5*((IF(OR(B704="HEAT",B704="HEDP"),'Ammo Input'!N704,'Ammo Input'!H704)/1000)*(IF(B704="HEAT",9000,IF(B704="HEDP",1500,'Ammo Input'!G704))^2))),0)</f>
        <v>96</v>
      </c>
      <c r="H704" s="25" t="str">
        <f>CONCATENATE(IF((B704="Foam")+(B704="Smoke"),"-",ROUND(Calcs!D704,0))," ",VLOOKUP(B704,AmmoTypeFactors,5,FALSE))</f>
        <v>80 Bomb</v>
      </c>
      <c r="I704" s="25" t="str">
        <f>IF(Calcs!E704=0,"None",CONCATENATE(ROUND(Calcs!E704,0)," ",VLOOKUP(B704,AmmoTypeFactors,6,FALSE)))</f>
        <v>None</v>
      </c>
      <c r="J704">
        <f>MROUND(2.42*'Ammo Input'!M704^(1/3)*VLOOKUP(B704,AmmoTypeFactors,3,FALSE),0.5)</f>
        <v>2</v>
      </c>
      <c r="K704" s="25" t="str">
        <f>IF(VLOOKUP(B704,AmmoTypeFactors,12,FALSE),MROUND(J704/3,0.5),"None")</f>
        <v>None</v>
      </c>
      <c r="L704" s="25" t="str">
        <f>IF(VLOOKUP(B704,AmmoTypeFactors,8,FALSE),"None",ROUNDUP(IF(Calcs!I704&gt;0,Calcs!I704,Calcs!H704),3))</f>
        <v>None</v>
      </c>
      <c r="M704" s="25" t="str">
        <f>IF(VLOOKUP(B704,AmmoTypeFactors,8,FALSE),"None",'Ammo Input'!L704)</f>
        <v>None</v>
      </c>
      <c r="N704">
        <f>'Ammo Input'!O704</f>
        <v>10</v>
      </c>
      <c r="O704" t="e">
        <f>ROUND((P704*0.0036+SUMPRODUCT(Q704:AB704,VLOOKUP($Q$1:$AB$1,IngredientStats,2,FALSE)))/N704*IF('Ammo Input'!R704,0.5,1),2)</f>
        <v>#VALUE!</v>
      </c>
      <c r="P704" t="e">
        <f>(SUMPRODUCT(Q704:AB704,VLOOKUP($Q$1:$AB$1,IngredientStats,4,FALSE))*VLOOKUP(B704,AmmoTypeFactors,14,FALSE)*IF('Ammo Input'!R704,1.1,1))</f>
        <v>#VALUE!</v>
      </c>
      <c r="Q704">
        <f>IFERROR(__xludf.DUMMYFUNCTION("((IF(NOT(OR(REGEXMATCH(B700, ""Arrow""), B700 = ""Javelin"", B700 = ""Stick bomb"")), ROUNDUP(('Ammo Input'!E700 / 1000) * N700)) + IF(VLOOKUP(B700, AmmoTypeFactors, 9, FALSE) = ""Steel"", ROUNDUP(('Ammo Input'!H700 -'Ammo Input'!M700) * MAX(IF('Ammo Inpu"&amp;"t'!J700 &gt; 0, 'Ammo Input'!J700, 1), 1) * N700 / 1000))) / 'Ingredient stats'!$C$2) * IF(ISBLANK(VLOOKUP(B700,AmmoTypeFactors,15,False)),1,VLOOKUP(B700,AmmoTypeFactors,15,False))"),10)</f>
        <v>10</v>
      </c>
      <c r="R704">
        <f>IFERROR(__xludf.DUMMYFUNCTION("ROUNDUP((IF(REGEXMATCH(B700, ""Arrow"") + (B700 = ""Javelin""), 'Ammo Input'!E700) + IF(VLOOKUP(B700, AmmoTypeFactors, 9, FALSE) = ""Wood"", 'Ammo Input'!H700) + IF(B700 = ""Stick bomb"", 'Ammo Input'!E700)) * N700 / 'Ingredient stats'!$C$12 / 1000)"),0)</f>
        <v>0</v>
      </c>
      <c r="S704">
        <v>0</v>
      </c>
      <c r="T704">
        <v>0</v>
      </c>
      <c r="U704">
        <f>IF(VLOOKUP(B704,AmmoTypeFactors,9,FALSE)="Plasteel",ROUNDUP(('Ammo Input'!H704*MAX(IF('Ammo Input'!J704&gt;0,'Ammo Input'!J704,1)*N704/1000/'Ingredient stats'!$C$4)),0),0)</f>
        <v>0</v>
      </c>
      <c r="V704">
        <f>IFERROR(__xludf.DUMMYFUNCTION("ROUNDUP(IF(ISBLANK(VLOOKUP(B700,AmmoTypeFactors,16,False)),1,VLOOKUP(B700,AmmoTypeFactors,16,False)) * (IFS(REGEXMATCH(B700, ""EMP""), 'Ammo Input'!M700 * N700 / 'Ingredient stats'!$C$5, REGEXMATCH(B700, ""Charge""), (U700^0.75), true, 0) + (IF(VLOOKUP(B7"&amp;"00, AmmoTypeFactors, 10, false), 2,0) + IF('Ammo Input'!P700, 2,0) + IF('Ammo Input'!Q700,MIN(ROUNDUP(0.2*('Ammo Input'!H700/1000)*'Ammo Input'!O700,0),20),0))))"),2)</f>
        <v>2</v>
      </c>
      <c r="W704">
        <v>0</v>
      </c>
      <c r="X704">
        <v>5</v>
      </c>
      <c r="Y704">
        <v>0</v>
      </c>
      <c r="Z704">
        <v>0</v>
      </c>
      <c r="AA704" s="30">
        <v>0</v>
      </c>
      <c r="AB704" s="30">
        <f>IF(B704="Sling Bullet (Stone)",ROUNDUP(D704*0.02*E704/'Ingredient stats'!$C$8,0),0)</f>
        <v>0</v>
      </c>
      <c r="AC704" t="str">
        <f t="shared" ref="AC704:AC711" si="36">IF(B704="Buck",8.9,IF(B704="Bird",71.4,IF(B704="Beanbag",2,IF(OR(B704="Charge (Scatter)",B704="Charge (IonScatter)"),8.9,"None"))))</f>
        <v>None</v>
      </c>
      <c r="AD704" t="str">
        <f>IF(OR(B704="Buck",B704="Bird",B704="Charge (Scatter)"),'Ammo Input'!J704,"None")</f>
        <v>None</v>
      </c>
      <c r="AE704">
        <f>_xlfn.IFS(ISTEXT(Calcs!N704),Calcs!N704,Calcs!N704&lt;=40,Calcs!N704,Calcs!N704&gt;41,"40")</f>
        <v>1</v>
      </c>
      <c r="AF704">
        <f>_xlfn.IFS(ISTEXT(Calcs!O704),Calcs!O704,Calcs!O704&lt;=80,Calcs!O704,Calcs!O704&gt;=81,"80")</f>
        <v>2</v>
      </c>
      <c r="AG704" s="25">
        <f t="shared" ref="AG704:AG711" si="37">IF(IFERROR(FIND("-",$H704),0),0,IF($J704,3,1))</f>
        <v>3</v>
      </c>
      <c r="AH704" s="25">
        <f t="shared" ref="AH704:AH711" si="38">IFERROR(ROUND(200/(CEILING(200/$F704*60,1)+1),2),"-")</f>
        <v>0.17</v>
      </c>
      <c r="AI704" s="25">
        <f t="shared" ref="AI704:AI711" si="39">IF(IFERROR(FIND("-",$H704),0),0,IF($J704,2,1))</f>
        <v>2</v>
      </c>
    </row>
    <row r="705" ht="14.4" spans="1:35">
      <c r="A705" s="24" t="str">
        <f>'Ammo Input'!A705</f>
        <v>Frag grenade</v>
      </c>
      <c r="B705" t="str">
        <f>'Ammo Input'!B705</f>
        <v>Frag</v>
      </c>
      <c r="C705">
        <f>ROUNDUP(('Ammo Input'!C705*(MAX('Ammo Input'!D705,'Ammo Input'!F705)*0.5)^2*PI())*3/1000000,2)</f>
        <v>0.87</v>
      </c>
      <c r="D705">
        <f>ROUNDUP(('Ammo Input'!E705+'Ammo Input'!H705*IF('Ammo Input'!J705&lt;&gt;"",MAX('Ammo Input'!J705,1),1))/1000,3)</f>
        <v>0.4</v>
      </c>
      <c r="E705">
        <f>MIN(5000,MAX(25,CEILING(Calcs!L705,_xlfn.IFS(Calcs!L705&lt;100,25,Calcs!L705&lt;250,50,Calcs!L705&lt;1000,250,Calcs!L705&gt;=1000,1000))))</f>
        <v>75</v>
      </c>
      <c r="F705">
        <f>ROUNDUP('Ammo Input'!G705^(3/4),0)</f>
        <v>10</v>
      </c>
      <c r="G705">
        <f>ROUND((0.5*((IF(OR(B705="HEAT",B705="HEDP"),'Ammo Input'!N705,'Ammo Input'!H705)/1000)*(IF(B705="HEAT",9000,IF(B705="HEDP",1500,'Ammo Input'!G705))^2))),0)</f>
        <v>88</v>
      </c>
      <c r="H705" s="25" t="str">
        <f>CONCATENATE(IF((B705="Foam")+(B705="Smoke"),"-",ROUND(Calcs!D705,0))," ",VLOOKUP(B705,AmmoTypeFactors,5,FALSE))</f>
        <v>56 Bomb</v>
      </c>
      <c r="I705" s="25" t="str">
        <f>IF(Calcs!E705=0,"None",CONCATENATE(ROUND(Calcs!E705,0)," ",VLOOKUP(B705,AmmoTypeFactors,6,FALSE)))</f>
        <v>None</v>
      </c>
      <c r="J705">
        <f>MROUND(2.42*'Ammo Input'!M705^(1/3)*VLOOKUP(B705,AmmoTypeFactors,3,FALSE),0.5)</f>
        <v>1.5</v>
      </c>
      <c r="K705" s="25" t="str">
        <f>IF(VLOOKUP(B705,AmmoTypeFactors,12,FALSE),MROUND(J705/3,0.5),"None")</f>
        <v>None</v>
      </c>
      <c r="L705" s="25" t="str">
        <f>IF(VLOOKUP(B705,AmmoTypeFactors,8,FALSE),"None",ROUNDUP(IF(Calcs!I705&gt;0,Calcs!I705,Calcs!H705),3))</f>
        <v>None</v>
      </c>
      <c r="M705" s="25" t="str">
        <f>IF(VLOOKUP(B705,AmmoTypeFactors,8,FALSE),"None",'Ammo Input'!L705)</f>
        <v>None</v>
      </c>
      <c r="N705">
        <f>'Ammo Input'!O705</f>
        <v>10</v>
      </c>
      <c r="O705" t="e">
        <f>ROUND((P705*0.0036+SUMPRODUCT(Q705:AB705,VLOOKUP($Q$1:$AB$1,IngredientStats,2,FALSE)))/N705*IF('Ammo Input'!R705,0.5,1),2)</f>
        <v>#VALUE!</v>
      </c>
      <c r="P705" t="e">
        <f>(SUMPRODUCT(Q705:AB705,VLOOKUP($Q$1:$AB$1,IngredientStats,4,FALSE))*VLOOKUP(B705,AmmoTypeFactors,14,FALSE)*IF('Ammo Input'!R705,1.1,1))</f>
        <v>#VALUE!</v>
      </c>
      <c r="Q705">
        <f>IFERROR(__xludf.DUMMYFUNCTION("((IF(NOT(OR(REGEXMATCH(B701, ""Arrow""), B701 = ""Javelin"", B701 = ""Stick bomb"")), ROUNDUP(('Ammo Input'!E701 / 1000) * N701)) + IF(VLOOKUP(B701, AmmoTypeFactors, 9, FALSE) = ""Steel"", ROUNDUP(('Ammo Input'!H701 -'Ammo Input'!M701) * MAX(IF('Ammo Inpu"&amp;"t'!J701 &gt; 0, 'Ammo Input'!J701, 1), 1) * N701 / 1000))) / 'Ingredient stats'!$C$2) * IF(ISBLANK(VLOOKUP(B701,AmmoTypeFactors,15,False)),1,VLOOKUP(B701,AmmoTypeFactors,15,False))"),8)</f>
        <v>8</v>
      </c>
      <c r="R705">
        <f>IFERROR(__xludf.DUMMYFUNCTION("ROUNDUP((IF(REGEXMATCH(B701, ""Arrow"") + (B701 = ""Javelin""), 'Ammo Input'!E701) + IF(VLOOKUP(B701, AmmoTypeFactors, 9, FALSE) = ""Wood"", 'Ammo Input'!H701) + IF(B701 = ""Stick bomb"", 'Ammo Input'!E701)) * N701 / 'Ingredient stats'!$C$12 / 1000)"),0)</f>
        <v>0</v>
      </c>
      <c r="S705">
        <v>0</v>
      </c>
      <c r="T705">
        <v>0</v>
      </c>
      <c r="U705">
        <f>IF(VLOOKUP(B705,AmmoTypeFactors,9,FALSE)="Plasteel",ROUNDUP(('Ammo Input'!H705*MAX(IF('Ammo Input'!J705&gt;0,'Ammo Input'!J705,1)*N705/1000/'Ingredient stats'!$C$4)),0),0)</f>
        <v>0</v>
      </c>
      <c r="V705">
        <f>IFERROR(__xludf.DUMMYFUNCTION("ROUNDUP(IF(ISBLANK(VLOOKUP(B701,AmmoTypeFactors,16,False)),1,VLOOKUP(B701,AmmoTypeFactors,16,False)) * (IFS(REGEXMATCH(B701, ""EMP""), 'Ammo Input'!M701 * N701 / 'Ingredient stats'!$C$5, REGEXMATCH(B701, ""Charge""), (U701^0.75), true, 0) + (IF(VLOOKUP(B7"&amp;"01, AmmoTypeFactors, 10, false), 2,0) + IF('Ammo Input'!P701, 2,0) + IF('Ammo Input'!Q701,MIN(ROUNDUP(0.2*('Ammo Input'!H701/1000)*'Ammo Input'!O701,0),20),0))))"),2)</f>
        <v>2</v>
      </c>
      <c r="W705">
        <v>0</v>
      </c>
      <c r="X705">
        <v>4</v>
      </c>
      <c r="Y705">
        <v>0</v>
      </c>
      <c r="Z705">
        <v>0</v>
      </c>
      <c r="AA705">
        <v>0</v>
      </c>
      <c r="AB705" s="30">
        <f>IF(B705="Sling Bullet (Stone)",ROUNDUP(D705*0.02*E705/'Ingredient stats'!$C$8,0),0)</f>
        <v>0</v>
      </c>
      <c r="AC705" t="str">
        <f t="shared" si="36"/>
        <v>None</v>
      </c>
      <c r="AD705" t="str">
        <f>IF(OR(B705="Buck",B705="Bird",B705="Charge (Scatter)"),'Ammo Input'!J705,"None")</f>
        <v>None</v>
      </c>
      <c r="AE705">
        <f>_xlfn.IFS(ISTEXT(Calcs!N705),Calcs!N705,Calcs!N705&lt;=40,Calcs!N705,Calcs!N705&gt;41,"40")</f>
        <v>0</v>
      </c>
      <c r="AF705">
        <f>_xlfn.IFS(ISTEXT(Calcs!O705),Calcs!O705,Calcs!O705&lt;=80,Calcs!O705,Calcs!O705&gt;=81,"80")</f>
        <v>40</v>
      </c>
      <c r="AG705" s="25">
        <f t="shared" si="37"/>
        <v>3</v>
      </c>
      <c r="AH705" s="25">
        <f t="shared" si="38"/>
        <v>0.17</v>
      </c>
      <c r="AI705" s="25">
        <f t="shared" si="39"/>
        <v>2</v>
      </c>
    </row>
    <row r="706" ht="14.4" spans="1:35">
      <c r="A706" s="24" t="str">
        <f>'Ammo Input'!A706</f>
        <v>EMP grenade</v>
      </c>
      <c r="B706" t="str">
        <f>'Ammo Input'!B706</f>
        <v>EMP</v>
      </c>
      <c r="C706">
        <f>ROUNDUP(('Ammo Input'!C706*(MAX('Ammo Input'!D706,'Ammo Input'!F706)*0.5)^2*PI())*3/1000000,2)</f>
        <v>0.87</v>
      </c>
      <c r="D706">
        <f>ROUNDUP(('Ammo Input'!E706+'Ammo Input'!H706*IF('Ammo Input'!J706&lt;&gt;"",MAX('Ammo Input'!J706,1),1))/1000,3)</f>
        <v>0.4</v>
      </c>
      <c r="E706">
        <f>MIN(5000,MAX(25,CEILING(Calcs!L706,_xlfn.IFS(Calcs!L706&lt;100,25,Calcs!L706&lt;250,50,Calcs!L706&lt;1000,250,Calcs!L706&gt;=1000,1000))))</f>
        <v>75</v>
      </c>
      <c r="F706">
        <f>ROUNDUP('Ammo Input'!G706^(3/4),0)</f>
        <v>10</v>
      </c>
      <c r="G706">
        <f>ROUND((0.5*((IF(OR(B706="HEAT",B706="HEDP"),'Ammo Input'!N706,'Ammo Input'!H706)/1000)*(IF(B706="HEAT",9000,IF(B706="HEDP",1500,'Ammo Input'!G706))^2))),0)</f>
        <v>88</v>
      </c>
      <c r="H706" s="25" t="str">
        <f>CONCATENATE(IF((B706="Foam")+(B706="Smoke"),"-",ROUND(Calcs!D706,0))," ",VLOOKUP(B706,AmmoTypeFactors,5,FALSE))</f>
        <v>56 EMP</v>
      </c>
      <c r="I706" s="25" t="str">
        <f>IF(Calcs!E706=0,"None",CONCATENATE(ROUND(Calcs!E706,0)," ",VLOOKUP(B706,AmmoTypeFactors,6,FALSE)))</f>
        <v>None</v>
      </c>
      <c r="J706">
        <f>MROUND(2.42*'Ammo Input'!M706^(1/3)*VLOOKUP(B706,AmmoTypeFactors,3,FALSE),0.5)</f>
        <v>3</v>
      </c>
      <c r="K706" s="25" t="str">
        <f>IF(VLOOKUP(B706,AmmoTypeFactors,12,FALSE),MROUND(J706/3,0.5),"None")</f>
        <v>None</v>
      </c>
      <c r="L706" s="25" t="str">
        <f>IF(VLOOKUP(B706,AmmoTypeFactors,8,FALSE),"None",ROUNDUP(IF(Calcs!I706&gt;0,Calcs!I706,Calcs!H706),3))</f>
        <v>None</v>
      </c>
      <c r="M706" s="25" t="str">
        <f>IF(VLOOKUP(B706,AmmoTypeFactors,8,FALSE),"None",'Ammo Input'!L706)</f>
        <v>None</v>
      </c>
      <c r="N706">
        <f>'Ammo Input'!O706</f>
        <v>10</v>
      </c>
      <c r="O706" t="e">
        <f>ROUND((P706*0.0036+SUMPRODUCT(Q706:AB706,VLOOKUP($Q$1:$AB$1,IngredientStats,2,FALSE)))/N706*IF('Ammo Input'!R706,0.5,1),2)</f>
        <v>#VALUE!</v>
      </c>
      <c r="P706" t="e">
        <f>(SUMPRODUCT(Q706:AB706,VLOOKUP($Q$1:$AB$1,IngredientStats,4,FALSE))*VLOOKUP(B706,AmmoTypeFactors,14,FALSE)*IF('Ammo Input'!R706,1.1,1))</f>
        <v>#VALUE!</v>
      </c>
      <c r="Q706">
        <f>IFERROR(__xludf.DUMMYFUNCTION("((IF(NOT(OR(REGEXMATCH(B702, ""Arrow""), B702 = ""Javelin"", B702 = ""Stick bomb"")), ROUNDUP(('Ammo Input'!E702 / 1000) * N702)) + IF(VLOOKUP(B702, AmmoTypeFactors, 9, FALSE) = ""Steel"", ROUNDUP(('Ammo Input'!H702 -'Ammo Input'!M702) * MAX(IF('Ammo Inpu"&amp;"t'!J702 &gt; 0, 'Ammo Input'!J702, 1), 1) * N702 / 1000))) / 'Ingredient stats'!$C$2) * IF(ISBLANK(VLOOKUP(B702,AmmoTypeFactors,15,False)),1,VLOOKUP(B702,AmmoTypeFactors,15,False))"),8)</f>
        <v>8</v>
      </c>
      <c r="R706">
        <f>IFERROR(__xludf.DUMMYFUNCTION("ROUNDUP((IF(REGEXMATCH(B702, ""Arrow"") + (B702 = ""Javelin""), 'Ammo Input'!E702) + IF(VLOOKUP(B702, AmmoTypeFactors, 9, FALSE) = ""Wood"", 'Ammo Input'!H702) + IF(B702 = ""Stick bomb"", 'Ammo Input'!E702)) * N702 / 'Ingredient stats'!$C$12 / 1000)"),0)</f>
        <v>0</v>
      </c>
      <c r="S706">
        <v>0</v>
      </c>
      <c r="T706">
        <v>0</v>
      </c>
      <c r="U706">
        <f>IF(VLOOKUP(B706,AmmoTypeFactors,9,FALSE)="Plasteel",ROUNDUP(('Ammo Input'!H706*MAX(IF('Ammo Input'!J706&gt;0,'Ammo Input'!J706,1)*N706/1000/'Ingredient stats'!$C$4)),0),0)</f>
        <v>0</v>
      </c>
      <c r="V706">
        <f>IFERROR(__xludf.DUMMYFUNCTION("ROUNDUP(IF(ISBLANK(VLOOKUP(B702,AmmoTypeFactors,16,False)),1,VLOOKUP(B702,AmmoTypeFactors,16,False)) * (IFS(REGEXMATCH(B702, ""EMP""), 'Ammo Input'!M702 * N702 / 'Ingredient stats'!$C$5, REGEXMATCH(B702, ""Charge""), (U702^0.75), true, 0) + (IF(VLOOKUP(B7"&amp;"02, AmmoTypeFactors, 10, false), 2,0) + IF('Ammo Input'!P702, 2,0) + IF('Ammo Input'!Q702,MIN(ROUNDUP(0.2*('Ammo Input'!H702/1000)*'Ammo Input'!O702,0),20),0))))"),6)</f>
        <v>6</v>
      </c>
      <c r="W706">
        <v>0</v>
      </c>
      <c r="X706">
        <v>0</v>
      </c>
      <c r="Y706">
        <v>0</v>
      </c>
      <c r="Z706">
        <v>0</v>
      </c>
      <c r="AA706">
        <v>0</v>
      </c>
      <c r="AB706" s="30">
        <f>IF(B706="Sling Bullet (Stone)",ROUNDUP(D706*0.02*E706/'Ingredient stats'!$C$8,0),0)</f>
        <v>0</v>
      </c>
      <c r="AC706" t="str">
        <f t="shared" si="36"/>
        <v>None</v>
      </c>
      <c r="AD706" t="str">
        <f>IF(OR(B706="Buck",B706="Bird",B706="Charge (Scatter)"),'Ammo Input'!J706,"None")</f>
        <v>None</v>
      </c>
      <c r="AE706" t="str">
        <f>_xlfn.IFS(ISTEXT(Calcs!N706),Calcs!N706,Calcs!N706&lt;=40,Calcs!N706,Calcs!N706&gt;41,"40")</f>
        <v>None</v>
      </c>
      <c r="AF706" t="str">
        <f>_xlfn.IFS(ISTEXT(Calcs!O706),Calcs!O706,Calcs!O706&lt;=80,Calcs!O706,Calcs!O706&gt;=81,"80")</f>
        <v>None</v>
      </c>
      <c r="AG706" s="25">
        <f t="shared" si="37"/>
        <v>3</v>
      </c>
      <c r="AH706" s="25">
        <f t="shared" si="38"/>
        <v>0.17</v>
      </c>
      <c r="AI706" s="25">
        <f t="shared" si="39"/>
        <v>2</v>
      </c>
    </row>
    <row r="707" ht="14.4" spans="1:35">
      <c r="A707" s="24" t="str">
        <f>'Ammo Input'!A707</f>
        <v>Smoke grenade</v>
      </c>
      <c r="B707" t="str">
        <f>'Ammo Input'!B707</f>
        <v>Smoke</v>
      </c>
      <c r="C707">
        <f>ROUNDUP(('Ammo Input'!C707*(MAX('Ammo Input'!D707,'Ammo Input'!F707)*0.5)^2*PI())*3/1000000,2)</f>
        <v>1.05</v>
      </c>
      <c r="D707">
        <f>ROUNDUP(('Ammo Input'!E707+'Ammo Input'!H707*IF('Ammo Input'!J707&lt;&gt;"",MAX('Ammo Input'!J707,1),1))/1000,3)</f>
        <v>0.539</v>
      </c>
      <c r="E707">
        <f>MIN(5000,MAX(25,CEILING(Calcs!L707,_xlfn.IFS(Calcs!L707&lt;100,25,Calcs!L707&lt;250,50,Calcs!L707&lt;1000,250,Calcs!L707&gt;=1000,1000))))</f>
        <v>100</v>
      </c>
      <c r="F707">
        <f>ROUNDUP('Ammo Input'!G707^(3/4),0)</f>
        <v>10</v>
      </c>
      <c r="G707">
        <f>ROUND((0.5*((IF(OR(B707="HEAT",B707="HEDP"),'Ammo Input'!N707,'Ammo Input'!H707)/1000)*(IF(B707="HEAT",9000,IF(B707="HEDP",1500,'Ammo Input'!G707))^2))),0)</f>
        <v>119</v>
      </c>
      <c r="H707" s="25" t="str">
        <f>CONCATENATE(IF((B707="Foam")+(B707="Smoke"),"-",ROUND(Calcs!D707,0))," ",VLOOKUP(B707,AmmoTypeFactors,5,FALSE))</f>
        <v>- Smoke</v>
      </c>
      <c r="I707" s="25" t="str">
        <f>IF(Calcs!E707=0,"None",CONCATENATE(ROUND(Calcs!E707,0)," ",VLOOKUP(B707,AmmoTypeFactors,6,FALSE)))</f>
        <v>None</v>
      </c>
      <c r="J707">
        <f>MROUND(2.42*'Ammo Input'!M707^(1/3)*VLOOKUP(B707,AmmoTypeFactors,3,FALSE),0.5)</f>
        <v>4</v>
      </c>
      <c r="K707" s="25" t="str">
        <f>IF(VLOOKUP(B707,AmmoTypeFactors,12,FALSE),MROUND(J707/3,0.5),"None")</f>
        <v>None</v>
      </c>
      <c r="L707" s="25" t="str">
        <f>IF(VLOOKUP(B707,AmmoTypeFactors,8,FALSE),"None",ROUNDUP(IF(Calcs!I707&gt;0,Calcs!I707,Calcs!H707),3))</f>
        <v>None</v>
      </c>
      <c r="M707" s="25" t="str">
        <f>IF(VLOOKUP(B707,AmmoTypeFactors,8,FALSE),"None",'Ammo Input'!L707)</f>
        <v>None</v>
      </c>
      <c r="N707">
        <f>'Ammo Input'!O707</f>
        <v>10</v>
      </c>
      <c r="O707" t="e">
        <f>ROUND((P707*0.0036+SUMPRODUCT(Q707:AB707,VLOOKUP($Q$1:$AB$1,IngredientStats,2,FALSE)))/N707*IF('Ammo Input'!R707,0.5,1),2)</f>
        <v>#VALUE!</v>
      </c>
      <c r="P707" t="e">
        <f>(SUMPRODUCT(Q707:AB707,VLOOKUP($Q$1:$AB$1,IngredientStats,4,FALSE))*VLOOKUP(B707,AmmoTypeFactors,14,FALSE)*IF('Ammo Input'!R707,1.1,1))</f>
        <v>#VALUE!</v>
      </c>
      <c r="Q707">
        <f>IFERROR(__xludf.DUMMYFUNCTION("((IF(NOT(OR(REGEXMATCH(B703, ""Arrow""), B703 = ""Javelin"", B703 = ""Stick bomb"")), ROUNDUP(('Ammo Input'!E703 / 1000) * N703)) + IF(VLOOKUP(B703, AmmoTypeFactors, 9, FALSE) = ""Steel"", ROUNDUP(('Ammo Input'!H703 -'Ammo Input'!M703) * MAX(IF('Ammo Inpu"&amp;"t'!J703 &gt; 0, 'Ammo Input'!J703, 1), 1) * N703 / 1000))) / 'Ingredient stats'!$C$2) * IF(ISBLANK(VLOOKUP(B703,AmmoTypeFactors,15,False)),1,VLOOKUP(B703,AmmoTypeFactors,15,False))"),12)</f>
        <v>12</v>
      </c>
      <c r="R707">
        <f>IFERROR(__xludf.DUMMYFUNCTION("ROUNDUP((IF(REGEXMATCH(B703, ""Arrow"") + (B703 = ""Javelin""), 'Ammo Input'!E703) + IF(VLOOKUP(B703, AmmoTypeFactors, 9, FALSE) = ""Wood"", 'Ammo Input'!H703) + IF(B703 = ""Stick bomb"", 'Ammo Input'!E703)) * N703 / 'Ingredient stats'!$C$12 / 1000)"),0)</f>
        <v>0</v>
      </c>
      <c r="S707">
        <v>0</v>
      </c>
      <c r="T707">
        <v>0</v>
      </c>
      <c r="U707">
        <f>IF(VLOOKUP(B707,AmmoTypeFactors,9,FALSE)="Plasteel",ROUNDUP(('Ammo Input'!H707*MAX(IF('Ammo Input'!J707&gt;0,'Ammo Input'!J707,1)*N707/1000/'Ingredient stats'!$C$4)),0),0)</f>
        <v>0</v>
      </c>
      <c r="V707">
        <f>IFERROR(__xludf.DUMMYFUNCTION("ROUNDUP(IF(ISBLANK(VLOOKUP(B703,AmmoTypeFactors,16,False)),1,VLOOKUP(B703,AmmoTypeFactors,16,False)) * (IFS(REGEXMATCH(B703, ""EMP""), 'Ammo Input'!M703 * N703 / 'Ingredient stats'!$C$5, REGEXMATCH(B703, ""Charge""), (U703^0.75), true, 0) + (IF(VLOOKUP(B7"&amp;"03, AmmoTypeFactors, 10, false), 2,0) + IF('Ammo Input'!P703, 2,0) + IF('Ammo Input'!Q703,MIN(ROUNDUP(0.2*('Ammo Input'!H703/1000)*'Ammo Input'!O703,0),20),0))))"),2)</f>
        <v>2</v>
      </c>
      <c r="W707">
        <v>2</v>
      </c>
      <c r="X707">
        <v>0</v>
      </c>
      <c r="Y707">
        <v>0</v>
      </c>
      <c r="Z707">
        <v>0</v>
      </c>
      <c r="AA707">
        <v>0</v>
      </c>
      <c r="AB707" s="30">
        <f>IF(B707="Sling Bullet (Stone)",ROUNDUP(D707*0.02*E707/'Ingredient stats'!$C$8,0),0)</f>
        <v>0</v>
      </c>
      <c r="AC707" t="str">
        <f t="shared" si="36"/>
        <v>None</v>
      </c>
      <c r="AD707" t="str">
        <f>IF(OR(B707="Buck",B707="Bird",B707="Charge (Scatter)"),'Ammo Input'!J707,"None")</f>
        <v>None</v>
      </c>
      <c r="AE707" t="str">
        <f>_xlfn.IFS(ISTEXT(Calcs!N707),Calcs!N707,Calcs!N707&lt;=40,Calcs!N707,Calcs!N707&gt;41,"40")</f>
        <v>None</v>
      </c>
      <c r="AF707" t="str">
        <f>_xlfn.IFS(ISTEXT(Calcs!O707),Calcs!O707,Calcs!O707&lt;=80,Calcs!O707,Calcs!O707&gt;=81,"80")</f>
        <v>None</v>
      </c>
      <c r="AG707" s="25">
        <f t="shared" si="37"/>
        <v>0</v>
      </c>
      <c r="AH707" s="25">
        <f t="shared" si="38"/>
        <v>0.17</v>
      </c>
      <c r="AI707" s="25">
        <f t="shared" si="39"/>
        <v>0</v>
      </c>
    </row>
    <row r="708" ht="14.4" spans="1:35">
      <c r="A708" s="24" t="str">
        <f>'Ammo Input'!A708</f>
        <v>Flashbang</v>
      </c>
      <c r="B708" t="str">
        <f>'Ammo Input'!B708</f>
        <v>Flashbang</v>
      </c>
      <c r="C708">
        <f>ROUNDUP(('Ammo Input'!C708*(MAX('Ammo Input'!D708,'Ammo Input'!F708)*0.5)^2*PI())*3/1000000,2)</f>
        <v>0.61</v>
      </c>
      <c r="D708">
        <f>ROUNDUP(('Ammo Input'!E708+'Ammo Input'!H708*IF('Ammo Input'!J708&lt;&gt;"",MAX('Ammo Input'!J708,1),1))/1000,3)</f>
        <v>0.236</v>
      </c>
      <c r="E708">
        <f>MIN(5000,MAX(25,CEILING(Calcs!L708,_xlfn.IFS(Calcs!L708&lt;100,25,Calcs!L708&lt;250,50,Calcs!L708&lt;1000,250,Calcs!L708&gt;=1000,1000))))</f>
        <v>250</v>
      </c>
      <c r="F708">
        <f>ROUNDUP('Ammo Input'!G708^(3/4),0)</f>
        <v>10</v>
      </c>
      <c r="G708">
        <f>ROUND((0.5*((IF(OR(B708="HEAT",B708="HEDP"),'Ammo Input'!N708,'Ammo Input'!H708)/1000)*(IF(B708="HEAT",9000,IF(B708="HEDP",1500,'Ammo Input'!G708))^2))),0)</f>
        <v>52</v>
      </c>
      <c r="H708" s="25" t="str">
        <f>CONCATENATE(IF((B708="Foam")+(B708="Smoke"),"-",ROUND(Calcs!D708,0))," ",VLOOKUP(B708,AmmoTypeFactors,5,FALSE))</f>
        <v>55 Stun</v>
      </c>
      <c r="I708" s="25" t="str">
        <f>IF(Calcs!E708=0,"None",CONCATENATE(ROUND(Calcs!E708,0)," ",VLOOKUP(B708,AmmoTypeFactors,6,FALSE)))</f>
        <v>None</v>
      </c>
      <c r="J708">
        <f>MROUND(2.42*'Ammo Input'!M708^(1/3)*VLOOKUP(B708,AmmoTypeFactors,3,FALSE),0.5)</f>
        <v>4</v>
      </c>
      <c r="K708" s="25" t="str">
        <f>IF(VLOOKUP(B708,AmmoTypeFactors,12,FALSE),MROUND(J708/3,0.5),"None")</f>
        <v>None</v>
      </c>
      <c r="L708" s="25" t="str">
        <f>IF(VLOOKUP(B708,AmmoTypeFactors,8,FALSE),"None",ROUNDUP(IF(Calcs!I708&gt;0,Calcs!I708,Calcs!H708),3))</f>
        <v>None</v>
      </c>
      <c r="M708" s="25" t="str">
        <f>IF(VLOOKUP(B708,AmmoTypeFactors,8,FALSE),"None",'Ammo Input'!L708)</f>
        <v>None</v>
      </c>
      <c r="N708">
        <f>'Ammo Input'!O708</f>
        <v>10</v>
      </c>
      <c r="O708" t="e">
        <f>ROUND((P708*0.0036+SUMPRODUCT(Q708:AB708,VLOOKUP($Q$1:$AB$1,IngredientStats,2,FALSE)))/N708*IF('Ammo Input'!R708,0.5,1),2)</f>
        <v>#VALUE!</v>
      </c>
      <c r="P708" t="e">
        <f>(SUMPRODUCT(Q708:AB708,VLOOKUP($Q$1:$AB$1,IngredientStats,4,FALSE))*VLOOKUP(B708,AmmoTypeFactors,14,FALSE)*IF('Ammo Input'!R708,1.1,1))</f>
        <v>#VALUE!</v>
      </c>
      <c r="Q708">
        <f>IFERROR(__xludf.DUMMYFUNCTION("((IF(NOT(OR(REGEXMATCH(B704, ""Arrow""), B704 = ""Javelin"", B704 = ""Stick bomb"")), ROUNDUP(('Ammo Input'!E704 / 1000) * N704)) + IF(VLOOKUP(B704, AmmoTypeFactors, 9, FALSE) = ""Steel"", ROUNDUP(('Ammo Input'!H704 -'Ammo Input'!M704) * MAX(IF('Ammo Inpu"&amp;"t'!J704 &gt; 0, 'Ammo Input'!J704, 1), 1) * N704 / 1000))) / 'Ingredient stats'!$C$2) * IF(ISBLANK(VLOOKUP(B704,AmmoTypeFactors,15,False)),1,VLOOKUP(B704,AmmoTypeFactors,15,False))"),6)</f>
        <v>6</v>
      </c>
      <c r="R708">
        <f>IFERROR(__xludf.DUMMYFUNCTION("ROUNDUP((IF(REGEXMATCH(B704, ""Arrow"") + (B704 = ""Javelin""), 'Ammo Input'!E704) + IF(VLOOKUP(B704, AmmoTypeFactors, 9, FALSE) = ""Wood"", 'Ammo Input'!H704) + IF(B704 = ""Stick bomb"", 'Ammo Input'!E704)) * N704 / 'Ingredient stats'!$C$12 / 1000)"),0)</f>
        <v>0</v>
      </c>
      <c r="S708">
        <v>0</v>
      </c>
      <c r="T708">
        <v>0</v>
      </c>
      <c r="U708">
        <f>IF(VLOOKUP(B708,AmmoTypeFactors,9,FALSE)="Plasteel",ROUNDUP(('Ammo Input'!H708*MAX(IF('Ammo Input'!J708&gt;0,'Ammo Input'!J708,1)*N708/1000/'Ingredient stats'!$C$4)),0),0)</f>
        <v>0</v>
      </c>
      <c r="V708">
        <f>IFERROR(__xludf.DUMMYFUNCTION("ROUNDUP(IF(ISBLANK(VLOOKUP(B704,AmmoTypeFactors,16,False)),1,VLOOKUP(B704,AmmoTypeFactors,16,False)) * (IFS(REGEXMATCH(B704, ""EMP""), 'Ammo Input'!M704 * N704 / 'Ingredient stats'!$C$5, REGEXMATCH(B704, ""Charge""), (U704^0.75), true, 0) + (IF(VLOOKUP(B7"&amp;"04, AmmoTypeFactors, 10, false), 2,0) + IF('Ammo Input'!P704, 2,0) + IF('Ammo Input'!Q704,MIN(ROUNDUP(0.2*('Ammo Input'!H704/1000)*'Ammo Input'!O704,0),20),0))))"),2)</f>
        <v>2</v>
      </c>
      <c r="W708">
        <v>1</v>
      </c>
      <c r="X708">
        <v>0</v>
      </c>
      <c r="Y708">
        <v>0</v>
      </c>
      <c r="Z708">
        <v>0</v>
      </c>
      <c r="AA708">
        <v>0</v>
      </c>
      <c r="AB708" s="30">
        <f>IF(B708="Sling Bullet (Stone)",ROUNDUP(D708*0.02*E708/'Ingredient stats'!$C$8,0),0)</f>
        <v>0</v>
      </c>
      <c r="AC708" t="str">
        <f t="shared" si="36"/>
        <v>None</v>
      </c>
      <c r="AD708" t="str">
        <f>IF(OR(B708="Buck",B708="Bird",B708="Charge (Scatter)"),'Ammo Input'!J708,"None")</f>
        <v>None</v>
      </c>
      <c r="AE708" t="str">
        <f>_xlfn.IFS(ISTEXT(Calcs!N708),Calcs!N708,Calcs!N708&lt;=40,Calcs!N708,Calcs!N708&gt;41,"40")</f>
        <v>None</v>
      </c>
      <c r="AF708" t="str">
        <f>_xlfn.IFS(ISTEXT(Calcs!O708),Calcs!O708,Calcs!O708&lt;=80,Calcs!O708,Calcs!O708&gt;=81,"80")</f>
        <v>None</v>
      </c>
      <c r="AG708" s="25">
        <f t="shared" si="37"/>
        <v>3</v>
      </c>
      <c r="AH708" s="25">
        <f t="shared" si="38"/>
        <v>0.17</v>
      </c>
      <c r="AI708" s="25">
        <f t="shared" si="39"/>
        <v>2</v>
      </c>
    </row>
    <row r="709" ht="14.4" spans="1:35">
      <c r="A709" s="24" t="str">
        <f>'Ammo Input'!A709</f>
        <v>Stick bomb</v>
      </c>
      <c r="B709" t="str">
        <f>'Ammo Input'!B709</f>
        <v>Stick bomb</v>
      </c>
      <c r="C709">
        <f>ROUNDUP(('Ammo Input'!C709*(MAX('Ammo Input'!D709,'Ammo Input'!F709)*0.5)^2*PI())*3/1000000,2)</f>
        <v>4.72</v>
      </c>
      <c r="D709">
        <f>ROUNDUP(('Ammo Input'!E709+'Ammo Input'!H709*IF('Ammo Input'!J709&lt;&gt;"",MAX('Ammo Input'!J709,1),1))/1000,3)</f>
        <v>1.5</v>
      </c>
      <c r="E709">
        <f>MIN(5000,MAX(25,CEILING(Calcs!L709,_xlfn.IFS(Calcs!L709&lt;100,25,Calcs!L709&lt;250,50,Calcs!L709&lt;1000,250,Calcs!L709&gt;=1000,1000))))</f>
        <v>25</v>
      </c>
      <c r="F709">
        <f>ROUNDUP('Ammo Input'!G709^(3/4),0)</f>
        <v>7</v>
      </c>
      <c r="G709">
        <f>ROUND((0.5*((IF(OR(B709="HEAT",B709="HEDP"),'Ammo Input'!N709,'Ammo Input'!H709)/1000)*(IF(B709="HEAT",9000,IF(B709="HEDP",1500,'Ammo Input'!G709))^2))),0)</f>
        <v>85</v>
      </c>
      <c r="H709" s="25" t="str">
        <f>CONCATENATE(IF((B709="Foam")+(B709="Smoke"),"-",ROUND(Calcs!D709,0))," ",VLOOKUP(B709,AmmoTypeFactors,5,FALSE))</f>
        <v>234 Bomb</v>
      </c>
      <c r="I709" s="25" t="str">
        <f>IF(Calcs!E709=0,"None",CONCATENATE(ROUND(Calcs!E709,0)," ",VLOOKUP(B709,AmmoTypeFactors,6,FALSE)))</f>
        <v>None</v>
      </c>
      <c r="J709">
        <f>MROUND(2.42*'Ammo Input'!M709^(1/3)*VLOOKUP(B709,AmmoTypeFactors,3,FALSE),0.5)</f>
        <v>2.5</v>
      </c>
      <c r="K709" s="25" t="str">
        <f>IF(VLOOKUP(B709,AmmoTypeFactors,12,FALSE),MROUND(J709/3,0.5),"None")</f>
        <v>None</v>
      </c>
      <c r="L709" s="25" t="str">
        <f>IF(VLOOKUP(B709,AmmoTypeFactors,8,FALSE),"None",ROUNDUP(IF(Calcs!I709&gt;0,Calcs!I709,Calcs!H709),3))</f>
        <v>None</v>
      </c>
      <c r="M709" s="25" t="str">
        <f>IF(VLOOKUP(B709,AmmoTypeFactors,8,FALSE),"None",'Ammo Input'!L709)</f>
        <v>None</v>
      </c>
      <c r="N709">
        <f>'Ammo Input'!O709</f>
        <v>10</v>
      </c>
      <c r="O709" t="e">
        <f>ROUND((P709*0.0036+SUMPRODUCT(Q709:AB709,VLOOKUP($Q$1:$AB$1,IngredientStats,2,FALSE)))/N709*IF('Ammo Input'!R709,0.5,1),2)</f>
        <v>#VALUE!</v>
      </c>
      <c r="P709" t="e">
        <f>(SUMPRODUCT(Q709:AB709,VLOOKUP($Q$1:$AB$1,IngredientStats,4,FALSE))*VLOOKUP(B709,AmmoTypeFactors,14,FALSE)*IF('Ammo Input'!R709,1.1,1))</f>
        <v>#VALUE!</v>
      </c>
      <c r="Q709">
        <f>IFERROR(__xludf.DUMMYFUNCTION("((IF(NOT(OR(REGEXMATCH(B705, ""Arrow""), B705 = ""Javelin"", B705 = ""Stick bomb"")), ROUNDUP(('Ammo Input'!E705 / 1000) * N705)) + IF(VLOOKUP(B705, AmmoTypeFactors, 9, FALSE) = ""Steel"", ROUNDUP(('Ammo Input'!H705 -'Ammo Input'!M705) * MAX(IF('Ammo Inpu"&amp;"t'!J705 &gt; 0, 'Ammo Input'!J705, 1), 1) * N705 / 1000))) / 'Ingredient stats'!$C$2) * IF(ISBLANK(VLOOKUP(B705,AmmoTypeFactors,15,False)),1,VLOOKUP(B705,AmmoTypeFactors,15,False))"),0)</f>
        <v>0</v>
      </c>
      <c r="R709">
        <f>IFERROR(__xludf.DUMMYFUNCTION("ROUNDUP((IF(REGEXMATCH(B705, ""Arrow"") + (B705 = ""Javelin""), 'Ammo Input'!E705) + IF(VLOOKUP(B705, AmmoTypeFactors, 9, FALSE) = ""Wood"", 'Ammo Input'!H705) + IF(B705 = ""Stick bomb"", 'Ammo Input'!E705)) * N705 / 'Ingredient stats'!$C$12 / 1000)"),13)</f>
        <v>13</v>
      </c>
      <c r="S709">
        <v>0</v>
      </c>
      <c r="T709">
        <v>0</v>
      </c>
      <c r="U709">
        <f>IF(VLOOKUP(B709,AmmoTypeFactors,9,FALSE)="Plasteel",ROUNDUP(('Ammo Input'!H709*MAX(IF('Ammo Input'!J709&gt;0,'Ammo Input'!J709,1)*N709/1000/'Ingredient stats'!$C$4)),0),0)</f>
        <v>0</v>
      </c>
      <c r="V709">
        <f>IFERROR(__xludf.DUMMYFUNCTION("ROUNDUP(IF(ISBLANK(VLOOKUP(B705,AmmoTypeFactors,16,False)),1,VLOOKUP(B705,AmmoTypeFactors,16,False)) * (IFS(REGEXMATCH(B705, ""EMP""), 'Ammo Input'!M705 * N705 / 'Ingredient stats'!$C$5, REGEXMATCH(B705, ""Charge""), (U705^0.75), true, 0) + (IF(VLOOKUP(B7"&amp;"05, AmmoTypeFactors, 10, false), 2,0) + IF('Ammo Input'!P705, 2,0) + IF('Ammo Input'!Q705,MIN(ROUNDUP(0.2*('Ammo Input'!H705/1000)*'Ammo Input'!O705,0),20),0))))"),0)</f>
        <v>0</v>
      </c>
      <c r="W709">
        <v>0</v>
      </c>
      <c r="X709">
        <v>20</v>
      </c>
      <c r="Y709">
        <v>0</v>
      </c>
      <c r="Z709">
        <v>20</v>
      </c>
      <c r="AA709">
        <v>0</v>
      </c>
      <c r="AB709" s="30">
        <f>IF(B709="Sling Bullet (Stone)",ROUNDUP(D709*0.02*E709/'Ingredient stats'!$C$8,0),0)</f>
        <v>0</v>
      </c>
      <c r="AC709" t="str">
        <f t="shared" si="36"/>
        <v>None</v>
      </c>
      <c r="AD709" t="str">
        <f>IF(OR(B709="Buck",B709="Bird",B709="Charge (Scatter)"),'Ammo Input'!J709,"None")</f>
        <v>None</v>
      </c>
      <c r="AE709" t="str">
        <f>_xlfn.IFS(ISTEXT(Calcs!N709),Calcs!N709,Calcs!N709&lt;=40,Calcs!N709,Calcs!N709&gt;41,"40")</f>
        <v>None</v>
      </c>
      <c r="AF709" t="str">
        <f>_xlfn.IFS(ISTEXT(Calcs!O709),Calcs!O709,Calcs!O709&lt;=80,Calcs!O709,Calcs!O709&gt;=81,"80")</f>
        <v>None</v>
      </c>
      <c r="AG709" s="25">
        <f t="shared" si="37"/>
        <v>3</v>
      </c>
      <c r="AH709" s="25">
        <f t="shared" si="38"/>
        <v>0.12</v>
      </c>
      <c r="AI709" s="25">
        <f t="shared" si="39"/>
        <v>2</v>
      </c>
    </row>
    <row r="710" ht="14.4" spans="1:35">
      <c r="A710" s="24" t="str">
        <f>'Ammo Input'!A710</f>
        <v>Foam grenade</v>
      </c>
      <c r="B710" t="str">
        <f>'Ammo Input'!B710</f>
        <v>Foam</v>
      </c>
      <c r="C710">
        <f>ROUNDUP(('Ammo Input'!C710*(MAX('Ammo Input'!D710,'Ammo Input'!F710)*0.5)^2*PI())*3/1000000,2)</f>
        <v>1.05</v>
      </c>
      <c r="D710">
        <f>ROUNDUP(('Ammo Input'!E710+'Ammo Input'!H710*IF('Ammo Input'!J710&lt;&gt;"",MAX('Ammo Input'!J710,1),1))/1000,3)</f>
        <v>0.5</v>
      </c>
      <c r="E710">
        <f>MIN(5000,MAX(25,CEILING(Calcs!L710,_xlfn.IFS(Calcs!L710&lt;100,25,Calcs!L710&lt;250,50,Calcs!L710&lt;1000,250,Calcs!L710&gt;=1000,1000))))</f>
        <v>100</v>
      </c>
      <c r="F710">
        <f>ROUNDUP('Ammo Input'!G710^(3/4),0)</f>
        <v>10</v>
      </c>
      <c r="G710">
        <f>ROUND((0.5*((IF(OR(B710="HEAT",B710="HEDP"),'Ammo Input'!N710,'Ammo Input'!H710)/1000)*(IF(B710="HEAT",9000,IF(B710="HEDP",1500,'Ammo Input'!G710))^2))),0)</f>
        <v>110</v>
      </c>
      <c r="H710" s="25" t="str">
        <f>CONCATENATE(IF((B710="Foam")+(B710="Smoke"),"-",ROUND(Calcs!D710,0))," ",VLOOKUP(B710,AmmoTypeFactors,5,FALSE))</f>
        <v>- Extinguish</v>
      </c>
      <c r="I710" s="25" t="str">
        <f>IF(Calcs!E710=0,"None",CONCATENATE(ROUND(Calcs!E710,0)," ",VLOOKUP(B710,AmmoTypeFactors,6,FALSE)))</f>
        <v>None</v>
      </c>
      <c r="J710">
        <f>MROUND(2.42*'Ammo Input'!M710^(1/3)*VLOOKUP(B710,AmmoTypeFactors,3,FALSE),0.5)</f>
        <v>3.5</v>
      </c>
      <c r="K710" s="25" t="str">
        <f>IF(VLOOKUP(B710,AmmoTypeFactors,12,FALSE),MROUND(J710/3,0.5),"None")</f>
        <v>None</v>
      </c>
      <c r="L710" s="25" t="str">
        <f>IF(VLOOKUP(B710,AmmoTypeFactors,8,FALSE),"None",ROUNDUP(IF(Calcs!I710&gt;0,Calcs!I710,Calcs!H710),3))</f>
        <v>None</v>
      </c>
      <c r="M710" s="25" t="str">
        <f>IF(VLOOKUP(B710,AmmoTypeFactors,8,FALSE),"None",'Ammo Input'!L710)</f>
        <v>None</v>
      </c>
      <c r="N710">
        <f>'Ammo Input'!O710</f>
        <v>10</v>
      </c>
      <c r="O710" t="e">
        <f>ROUND((P710*0.0036+SUMPRODUCT(Q710:AB710,VLOOKUP($Q$1:$AB$1,IngredientStats,2,FALSE)))/N710*IF('Ammo Input'!R710,0.5,1),2)</f>
        <v>#VALUE!</v>
      </c>
      <c r="P710" t="e">
        <f>(SUMPRODUCT(Q710:AB710,VLOOKUP($Q$1:$AB$1,IngredientStats,4,FALSE))*VLOOKUP(B710,AmmoTypeFactors,14,FALSE)*IF('Ammo Input'!R710,1.1,1))</f>
        <v>#VALUE!</v>
      </c>
      <c r="Q710">
        <f>IFERROR(__xludf.DUMMYFUNCTION("((IF(NOT(OR(REGEXMATCH(B706, ""Arrow""), B706 = ""Javelin"", B706 = ""Stick bomb"")), ROUNDUP(('Ammo Input'!E706 / 1000) * N706)) + IF(VLOOKUP(B706, AmmoTypeFactors, 9, FALSE) = ""Steel"", ROUNDUP(('Ammo Input'!H706 -'Ammo Input'!M706) * MAX(IF('Ammo Inpu"&amp;"t'!J706 &gt; 0, 'Ammo Input'!J706, 1), 1) * N706 / 1000))) / 'Ingredient stats'!$C$2) * IF(ISBLANK(VLOOKUP(B706,AmmoTypeFactors,15,False)),1,VLOOKUP(B706,AmmoTypeFactors,15,False))"),10)</f>
        <v>10</v>
      </c>
      <c r="R710">
        <f>IFERROR(__xludf.DUMMYFUNCTION("ROUNDUP((IF(REGEXMATCH(B706, ""Arrow"") + (B706 = ""Javelin""), 'Ammo Input'!E706) + IF(VLOOKUP(B706, AmmoTypeFactors, 9, FALSE) = ""Wood"", 'Ammo Input'!H706) + IF(B706 = ""Stick bomb"", 'Ammo Input'!E706)) * N706 / 'Ingredient stats'!$C$12 / 1000)"),0)</f>
        <v>0</v>
      </c>
      <c r="S710">
        <v>0</v>
      </c>
      <c r="T710">
        <v>0</v>
      </c>
      <c r="U710">
        <f>IF(VLOOKUP(B710,AmmoTypeFactors,9,FALSE)="Plasteel",ROUNDUP(('Ammo Input'!H710*MAX(IF('Ammo Input'!J710&gt;0,'Ammo Input'!J710,1)*N710/1000/'Ingredient stats'!$C$4)),0),0)</f>
        <v>0</v>
      </c>
      <c r="V710">
        <f>IFERROR(__xludf.DUMMYFUNCTION("ROUNDUP(IF(ISBLANK(VLOOKUP(B706,AmmoTypeFactors,16,False)),1,VLOOKUP(B706,AmmoTypeFactors,16,False)) * (IFS(REGEXMATCH(B706, ""EMP""), 'Ammo Input'!M706 * N706 / 'Ingredient stats'!$C$5, REGEXMATCH(B706, ""Charge""), (U706^0.75), true, 0) + (IF(VLOOKUP(B7"&amp;"06, AmmoTypeFactors, 10, false), 2,0) + IF('Ammo Input'!P706, 2,0) + IF('Ammo Input'!Q706,MIN(ROUNDUP(0.2*('Ammo Input'!H706/1000)*'Ammo Input'!O706,0),20),0))))"),2)</f>
        <v>2</v>
      </c>
      <c r="W710">
        <v>0</v>
      </c>
      <c r="X710">
        <v>0</v>
      </c>
      <c r="Y710">
        <v>14</v>
      </c>
      <c r="Z710">
        <v>0</v>
      </c>
      <c r="AA710">
        <v>0</v>
      </c>
      <c r="AB710" s="30">
        <f>IF(B710="Sling Bullet (Stone)",ROUNDUP(D710*0.02*E710/'Ingredient stats'!$C$8,0),0)</f>
        <v>0</v>
      </c>
      <c r="AC710" t="str">
        <f t="shared" si="36"/>
        <v>None</v>
      </c>
      <c r="AD710" t="str">
        <f>IF(OR(B710="Buck",B710="Bird",B710="Charge (Scatter)"),'Ammo Input'!J710,"None")</f>
        <v>None</v>
      </c>
      <c r="AE710" t="str">
        <f>_xlfn.IFS(ISTEXT(Calcs!N710),Calcs!N710,Calcs!N710&lt;=40,Calcs!N710,Calcs!N710&gt;41,"40")</f>
        <v>None</v>
      </c>
      <c r="AF710" t="str">
        <f>_xlfn.IFS(ISTEXT(Calcs!O710),Calcs!O710,Calcs!O710&lt;=80,Calcs!O710,Calcs!O710&gt;=81,"80")</f>
        <v>None</v>
      </c>
      <c r="AG710" s="25">
        <f t="shared" si="37"/>
        <v>0</v>
      </c>
      <c r="AH710" s="25">
        <f t="shared" si="38"/>
        <v>0.17</v>
      </c>
      <c r="AI710" s="25">
        <f t="shared" si="39"/>
        <v>0</v>
      </c>
    </row>
    <row r="711" ht="14.4" spans="1:35">
      <c r="A711" s="24" t="str">
        <f>'Ammo Input'!A711</f>
        <v>Molotov</v>
      </c>
      <c r="B711" t="str">
        <f>'Ammo Input'!B711</f>
        <v>Fire bomb</v>
      </c>
      <c r="C711">
        <f>ROUNDUP(('Ammo Input'!C711*(MAX('Ammo Input'!D711,'Ammo Input'!F711)*0.5)^2*PI())*3/1000000,2)</f>
        <v>1.96</v>
      </c>
      <c r="D711">
        <f>ROUNDUP(('Ammo Input'!E711+'Ammo Input'!H711*IF('Ammo Input'!J711&lt;&gt;"",MAX('Ammo Input'!J711,1),1))/1000,3)</f>
        <v>0.7</v>
      </c>
      <c r="E711">
        <f>MIN(5000,MAX(25,CEILING(Calcs!L711,_xlfn.IFS(Calcs!L711&lt;100,25,Calcs!L711&lt;250,50,Calcs!L711&lt;1000,250,Calcs!L711&gt;=1000,1000))))</f>
        <v>50</v>
      </c>
      <c r="F711">
        <f>ROUNDUP('Ammo Input'!G711^(3/4),0)</f>
        <v>10</v>
      </c>
      <c r="G711">
        <f>ROUND((0.5*((IF(OR(B711="HEAT",B711="HEDP"),'Ammo Input'!N711,'Ammo Input'!H711)/1000)*(IF(B711="HEAT",9000,IF(B711="HEDP",1500,'Ammo Input'!G711))^2))),0)</f>
        <v>44</v>
      </c>
      <c r="H711" s="25" t="str">
        <f>CONCATENATE(IF((B711="Foam")+(B711="Smoke"),"-",ROUND(Calcs!D711,0))," ",VLOOKUP(B711,AmmoTypeFactors,5,FALSE))</f>
        <v>11 Flame</v>
      </c>
      <c r="I711" s="25" t="str">
        <f>IF(Calcs!E711=0,"None",CONCATENATE(ROUND(Calcs!E711,0)," ",VLOOKUP(B711,AmmoTypeFactors,6,FALSE)))</f>
        <v>None</v>
      </c>
      <c r="J711">
        <f>MROUND(2.42*'Ammo Input'!M711^(1/3)*VLOOKUP(B711,AmmoTypeFactors,3,FALSE),0.5)</f>
        <v>1</v>
      </c>
      <c r="K711" s="25" t="str">
        <f>IF(VLOOKUP(B711,AmmoTypeFactors,12,FALSE),MROUND(J711/3,0.5),"None")</f>
        <v>None</v>
      </c>
      <c r="L711" s="25" t="str">
        <f>IF(VLOOKUP(B711,AmmoTypeFactors,8,FALSE),"None",ROUNDUP(IF(Calcs!I711&gt;0,Calcs!I711,Calcs!H711),3))</f>
        <v>None</v>
      </c>
      <c r="M711" s="25" t="str">
        <f>IF(VLOOKUP(B711,AmmoTypeFactors,8,FALSE),"None",'Ammo Input'!L711)</f>
        <v>None</v>
      </c>
      <c r="N711">
        <f>'Ammo Input'!O711</f>
        <v>10</v>
      </c>
      <c r="O711" t="e">
        <f>ROUND((P711*0.0036+SUMPRODUCT(Q711:AB711,VLOOKUP($Q$1:$AB$1,IngredientStats,2,FALSE)))/N711*IF('Ammo Input'!R711,0.5,1),2)</f>
        <v>#VALUE!</v>
      </c>
      <c r="P711" t="e">
        <f>(SUMPRODUCT(Q711:AB711,VLOOKUP($Q$1:$AB$1,IngredientStats,4,FALSE))*VLOOKUP(B711,AmmoTypeFactors,14,FALSE)*IF('Ammo Input'!R711,1.1,1))</f>
        <v>#VALUE!</v>
      </c>
      <c r="Q711">
        <f>IFERROR(__xludf.DUMMYFUNCTION("((IF(NOT(OR(REGEXMATCH(B707, ""Arrow""), B707 = ""Javelin"", B707 = ""Stick bomb"")), ROUNDUP(('Ammo Input'!E707 / 1000) * N707)) + IF(VLOOKUP(B707, AmmoTypeFactors, 9, FALSE) = ""Steel"", ROUNDUP(('Ammo Input'!H707 -'Ammo Input'!M707) * MAX(IF('Ammo Inpu"&amp;"t'!J707 &gt; 0, 'Ammo Input'!J707, 1), 1) * N707 / 1000))) / 'Ingredient stats'!$C$2) * IF(ISBLANK(VLOOKUP(B707,AmmoTypeFactors,15,False)),1,VLOOKUP(B707,AmmoTypeFactors,15,False))"),14)</f>
        <v>14</v>
      </c>
      <c r="R711">
        <f>IFERROR(__xludf.DUMMYFUNCTION("ROUNDUP((IF(REGEXMATCH(B707, ""Arrow"") + (B707 = ""Javelin""), 'Ammo Input'!E707) + IF(VLOOKUP(B707, AmmoTypeFactors, 9, FALSE) = ""Wood"", 'Ammo Input'!H707) + IF(B707 = ""Stick bomb"", 'Ammo Input'!E707)) * N707 / 'Ingredient stats'!$C$12 / 1000)"),0)</f>
        <v>0</v>
      </c>
      <c r="S711">
        <v>0</v>
      </c>
      <c r="T711">
        <v>0</v>
      </c>
      <c r="U711">
        <f>IF(VLOOKUP(B711,AmmoTypeFactors,9,FALSE)="Plasteel",ROUNDUP(('Ammo Input'!H711*MAX(IF('Ammo Input'!J711&gt;0,'Ammo Input'!J711,1)*N711/1000/'Ingredient stats'!$C$4)),0),0)</f>
        <v>0</v>
      </c>
      <c r="V711">
        <f>IFERROR(__xludf.DUMMYFUNCTION("ROUNDUP(IF(ISBLANK(VLOOKUP(B707,AmmoTypeFactors,16,False)),1,VLOOKUP(B707,AmmoTypeFactors,16,False)) * (IFS(REGEXMATCH(B707, ""EMP""), 'Ammo Input'!M707 * N707 / 'Ingredient stats'!$C$5, REGEXMATCH(B707, ""Charge""), (U707^0.75), true, 0) + (IF(VLOOKUP(B7"&amp;"07, AmmoTypeFactors, 10, false), 2,0) + IF('Ammo Input'!P707, 2,0) + IF('Ammo Input'!Q707,MIN(ROUNDUP(0.2*('Ammo Input'!H707/1000)*'Ammo Input'!O707,0),20),0))))"),2)</f>
        <v>2</v>
      </c>
      <c r="W711">
        <v>0</v>
      </c>
      <c r="X711">
        <v>0</v>
      </c>
      <c r="Y711">
        <v>0</v>
      </c>
      <c r="Z711">
        <v>0</v>
      </c>
      <c r="AA711">
        <v>0</v>
      </c>
      <c r="AB711" s="30">
        <f>IF(B711="Sling Bullet (Stone)",ROUNDUP(D711*0.02*E711/'Ingredient stats'!$C$8,0),0)</f>
        <v>0</v>
      </c>
      <c r="AC711" t="str">
        <f t="shared" si="36"/>
        <v>None</v>
      </c>
      <c r="AD711" t="str">
        <f>IF(OR(B711="Buck",B711="Bird",B711="Charge (Scatter)"),'Ammo Input'!J711,"None")</f>
        <v>None</v>
      </c>
      <c r="AE711" t="str">
        <f>_xlfn.IFS(ISTEXT(Calcs!N711),Calcs!N711,Calcs!N711&lt;=40,Calcs!N711,Calcs!N711&gt;41,"40")</f>
        <v>None</v>
      </c>
      <c r="AF711" t="str">
        <f>_xlfn.IFS(ISTEXT(Calcs!O711),Calcs!O711,Calcs!O711&lt;=80,Calcs!O711,Calcs!O711&gt;=81,"80")</f>
        <v>None</v>
      </c>
      <c r="AG711" s="25">
        <f t="shared" si="37"/>
        <v>3</v>
      </c>
      <c r="AH711" s="25">
        <f t="shared" si="38"/>
        <v>0.17</v>
      </c>
      <c r="AI711" s="25">
        <f t="shared" si="39"/>
        <v>2</v>
      </c>
    </row>
    <row r="712" ht="14.4" spans="1:35">
      <c r="A712" s="14" t="s">
        <v>265</v>
      </c>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row>
    <row r="713" ht="14.4" spans="1:35">
      <c r="A713" s="24" t="str">
        <f>'Ammo Input'!A713</f>
        <v>RPG 7</v>
      </c>
      <c r="B713" t="str">
        <f>'Ammo Input'!B713</f>
        <v>HEAT</v>
      </c>
      <c r="C713">
        <f>ROUNDUP(('Ammo Input'!C713*(MAX('Ammo Input'!D713,'Ammo Input'!F713)*0.5)^2*PI())*3/1000000,2)</f>
        <v>7.14</v>
      </c>
      <c r="D713">
        <f>ROUNDUP(('Ammo Input'!E713+'Ammo Input'!H713*IF('Ammo Input'!J713&lt;&gt;"",MAX('Ammo Input'!J713,1),1))/1000,3)</f>
        <v>2.8</v>
      </c>
      <c r="E713">
        <f>MIN(5000,MAX(25,CEILING(Calcs!L713,_xlfn.IFS(Calcs!L713&lt;100,25,Calcs!L713&lt;250,50,Calcs!L713&lt;1000,250,Calcs!L713&gt;=1000,1000))))</f>
        <v>25</v>
      </c>
      <c r="F713">
        <f>ROUNDUP('Ammo Input'!G713^(3/4),0)</f>
        <v>73</v>
      </c>
      <c r="G713">
        <f>ROUND((0.5*((IF(OR(B713="HEAT",B713="HEDP"),'Ammo Input'!N713,'Ammo Input'!H713)/1000)*(IF(B713="HEAT",9000,IF(B713="HEDP",1500,'Ammo Input'!G713))^2))),0)</f>
        <v>7290000</v>
      </c>
      <c r="H713" s="25" t="str">
        <f>CONCATENATE(IF((B713="Foam")+(B713="Smoke"),"-",ROUND(Calcs!D713,0))," ",VLOOKUP(B713,AmmoTypeFactors,5,FALSE))</f>
        <v>304 Bullet</v>
      </c>
      <c r="I713" s="25" t="str">
        <f>IF(Calcs!E713=0,"None",CONCATENATE(ROUND(Calcs!E713,0)," ",VLOOKUP(B713,AmmoTypeFactors,6,FALSE)))</f>
        <v>None</v>
      </c>
      <c r="J713">
        <f>MROUND(2.42*'Ammo Input'!M713^(1/3)*VLOOKUP(B713,AmmoTypeFactors,3,FALSE),0.5)</f>
        <v>1.5</v>
      </c>
      <c r="K713" s="25" t="str">
        <f>IF(VLOOKUP(B713,AmmoTypeFactors,12,FALSE),MROUND(J713/3,0.5),"None")</f>
        <v>None</v>
      </c>
      <c r="L713" s="25">
        <f>IF(VLOOKUP(B713,AmmoTypeFactors,8,FALSE),"None",ROUNDUP(IF(Calcs!I713&gt;0,Calcs!I713,Calcs!H713),3))</f>
        <v>44.957</v>
      </c>
      <c r="M713" s="25">
        <f>IF(VLOOKUP(B713,AmmoTypeFactors,8,FALSE),"None",'Ammo Input'!L713)</f>
        <v>500</v>
      </c>
      <c r="N713">
        <f>'Ammo Input'!O713</f>
        <v>5</v>
      </c>
      <c r="O713" t="e">
        <f>ROUND((P713*0.0036+SUMPRODUCT(Q713:AB713,VLOOKUP($Q$1:$AB$1,IngredientStats,2,FALSE)))/N713*IF('Ammo Input'!R713,0.5,1),2)</f>
        <v>#VALUE!</v>
      </c>
      <c r="P713" t="e">
        <f>(SUMPRODUCT(Q713:AB713,VLOOKUP($Q$1:$AB$1,IngredientStats,4,FALSE))*VLOOKUP(B713,AmmoTypeFactors,14,FALSE)*IF('Ammo Input'!R713,1.1,1))</f>
        <v>#VALUE!</v>
      </c>
      <c r="Q713">
        <f>IFERROR(__xludf.DUMMYFUNCTION("((IF(NOT(OR(REGEXMATCH(B709, ""Arrow""), B709 = ""Javelin"", B709 = ""Stick bomb"")), ROUNDUP(('Ammo Input'!E709 / 1000) * N709)) + IF(VLOOKUP(B709, AmmoTypeFactors, 9, FALSE) = ""Steel"", ROUNDUP(('Ammo Input'!H709 -'Ammo Input'!M709) * MAX(IF('Ammo Inpu"&amp;"t'!J709 &gt; 0, 'Ammo Input'!J709, 1), 1) * N709 / 1000))) / 'Ingredient stats'!$C$2) * IF(ISBLANK(VLOOKUP(B709,AmmoTypeFactors,15,False)),1,VLOOKUP(B709,AmmoTypeFactors,15,False))"),28)</f>
        <v>28</v>
      </c>
      <c r="R713">
        <f>IFERROR(__xludf.DUMMYFUNCTION("ROUNDUP((IF(REGEXMATCH(B709, ""Arrow"") + (B709 = ""Javelin""), 'Ammo Input'!E709) + IF(VLOOKUP(B709, AmmoTypeFactors, 9, FALSE) = ""Wood"", 'Ammo Input'!H709) + IF(B709 = ""Stick bomb"", 'Ammo Input'!E709)) * N709 / 'Ingredient stats'!$C$12 / 1000)"),0)</f>
        <v>0</v>
      </c>
      <c r="S713">
        <v>0</v>
      </c>
      <c r="T713">
        <v>0</v>
      </c>
      <c r="U713">
        <f>IF(VLOOKUP(B713,AmmoTypeFactors,9,FALSE)="Plasteel",ROUNDUP(('Ammo Input'!H713*MAX(IF('Ammo Input'!J713&gt;0,'Ammo Input'!J713,1)*N713/1000/'Ingredient stats'!$C$4)),0),0)</f>
        <v>0</v>
      </c>
      <c r="V713">
        <f>IFERROR(__xludf.DUMMYFUNCTION("ROUNDUP(IF(ISBLANK(VLOOKUP(B709,AmmoTypeFactors,16,False)),1,VLOOKUP(B709,AmmoTypeFactors,16,False)) * (IFS(REGEXMATCH(B709, ""EMP""), 'Ammo Input'!M709 * N709 / 'Ingredient stats'!$C$5, REGEXMATCH(B709, ""Charge""), (U709^0.75), true, 0) + (IF(VLOOKUP(B7"&amp;"09, AmmoTypeFactors, 10, false), 2,0) + IF('Ammo Input'!P709, 2,0) + IF('Ammo Input'!Q709,MIN(ROUNDUP(0.2*('Ammo Input'!H709/1000)*'Ammo Input'!O709,0),20),0))))"),4)</f>
        <v>4</v>
      </c>
      <c r="W713">
        <v>0</v>
      </c>
      <c r="X713">
        <v>10</v>
      </c>
      <c r="Y713">
        <v>0</v>
      </c>
      <c r="Z713">
        <v>0</v>
      </c>
      <c r="AA713" s="30">
        <v>0</v>
      </c>
      <c r="AB713" s="30">
        <f>IF(B713="Sling Bullet (Stone)",ROUNDUP(D713*0.02*E713/'Ingredient stats'!$C$8,0),0)</f>
        <v>0</v>
      </c>
      <c r="AC713" t="str">
        <f t="shared" ref="AC713:AC759" si="40">IF(B713="Buck",8.9,IF(B713="Bird",71.4,IF(B713="Beanbag",2,IF(OR(B713="Charge (Scatter)",B713="Charge (IonScatter)"),8.9,"None"))))</f>
        <v>None</v>
      </c>
      <c r="AD713" t="str">
        <f>IF(OR(B713="Buck",B713="Bird",B713="Charge (Scatter)"),'Ammo Input'!J713,"None")</f>
        <v>None</v>
      </c>
      <c r="AE713">
        <f>_xlfn.IFS(ISTEXT(Calcs!N713),Calcs!N713,Calcs!N713&lt;=40,Calcs!N713,Calcs!N713&gt;41,"40")</f>
        <v>3</v>
      </c>
      <c r="AF713">
        <f>_xlfn.IFS(ISTEXT(Calcs!O713),Calcs!O713,Calcs!O713&lt;=80,Calcs!O713,Calcs!O713&gt;=81,"80")</f>
        <v>12</v>
      </c>
      <c r="AG713" s="25">
        <f t="shared" ref="AG713:AG759" si="41">IF(IFERROR(FIND("-",$H713),0),0,IF($J713,3,1))</f>
        <v>3</v>
      </c>
      <c r="AH713" s="25">
        <f t="shared" ref="AH713:AH759" si="42">IFERROR(ROUND(200/(CEILING(200/$F713*60,1)+1),2),"-")</f>
        <v>1.2</v>
      </c>
      <c r="AI713" s="25">
        <f t="shared" ref="AI713:AI759" si="43">IF(IFERROR(FIND("-",$H713),0),0,IF($J713,2,1))</f>
        <v>2</v>
      </c>
    </row>
    <row r="714" ht="14.4" spans="1:35">
      <c r="A714" s="24" t="str">
        <f>'Ammo Input'!A714</f>
        <v>RPG 7</v>
      </c>
      <c r="B714" t="str">
        <f>'Ammo Input'!B714</f>
        <v>Thermobaric</v>
      </c>
      <c r="C714">
        <f>ROUNDUP(('Ammo Input'!C714*(MAX('Ammo Input'!D714,'Ammo Input'!F714)*0.5)^2*PI())*3/1000000,2)</f>
        <v>8.61</v>
      </c>
      <c r="D714">
        <f>ROUNDUP(('Ammo Input'!E714+'Ammo Input'!H714*IF('Ammo Input'!J714&lt;&gt;"",MAX('Ammo Input'!J714,1),1))/1000,3)</f>
        <v>4.7</v>
      </c>
      <c r="E714">
        <f>MIN(5000,MAX(25,CEILING(Calcs!L714,_xlfn.IFS(Calcs!L714&lt;100,25,Calcs!L714&lt;250,50,Calcs!L714&lt;1000,250,Calcs!L714&gt;=1000,1000))))</f>
        <v>25</v>
      </c>
      <c r="F714">
        <f>ROUNDUP('Ammo Input'!G714^(3/4),0)</f>
        <v>73</v>
      </c>
      <c r="G714">
        <f>ROUND((0.5*((IF(OR(B714="HEAT",B714="HEDP"),'Ammo Input'!N714,'Ammo Input'!H714)/1000)*(IF(B714="HEAT",9000,IF(B714="HEDP",1500,'Ammo Input'!G714))^2))),0)</f>
        <v>202500</v>
      </c>
      <c r="H714" s="25" t="str">
        <f>CONCATENATE(IF((B714="Foam")+(B714="Smoke"),"-",ROUND(Calcs!D714,0))," ",VLOOKUP(B714,AmmoTypeFactors,5,FALSE))</f>
        <v>275 Thermobaric</v>
      </c>
      <c r="I714" s="25" t="str">
        <f>IF(Calcs!E714=0,"None",CONCATENATE(ROUND(Calcs!E714,0)," ",VLOOKUP(B714,AmmoTypeFactors,6,FALSE)))</f>
        <v>None</v>
      </c>
      <c r="J714">
        <f>MROUND(2.42*'Ammo Input'!M714^(1/3)*VLOOKUP(B714,AmmoTypeFactors,3,FALSE),0.5)</f>
        <v>5</v>
      </c>
      <c r="K714" s="25" t="str">
        <f>IF(VLOOKUP(B714,AmmoTypeFactors,12,FALSE),MROUND(J714/3,0.5),"None")</f>
        <v>None</v>
      </c>
      <c r="L714" s="25" t="str">
        <f>IF(VLOOKUP(B714,AmmoTypeFactors,8,FALSE),"None",ROUNDUP(IF(Calcs!I714&gt;0,Calcs!I714,Calcs!H714),3))</f>
        <v>None</v>
      </c>
      <c r="M714" s="25" t="str">
        <f>IF(VLOOKUP(B714,AmmoTypeFactors,8,FALSE),"None",'Ammo Input'!L714)</f>
        <v>None</v>
      </c>
      <c r="N714">
        <f>'Ammo Input'!O714</f>
        <v>5</v>
      </c>
      <c r="O714" t="e">
        <f>ROUND((P714*0.0036+SUMPRODUCT(Q714:AB714,VLOOKUP($Q$1:$AB$1,IngredientStats,2,FALSE)))/N714*IF('Ammo Input'!R714,0.5,1),2)</f>
        <v>#VALUE!</v>
      </c>
      <c r="P714" t="e">
        <f>(SUMPRODUCT(Q714:AB714,VLOOKUP($Q$1:$AB$1,IngredientStats,4,FALSE))*VLOOKUP(B714,AmmoTypeFactors,14,FALSE)*IF('Ammo Input'!R714,1.1,1))</f>
        <v>#VALUE!</v>
      </c>
      <c r="Q714">
        <f>IFERROR(__xludf.DUMMYFUNCTION("((IF(NOT(OR(REGEXMATCH(B710, ""Arrow""), B710 = ""Javelin"", B710 = ""Stick bomb"")), ROUNDUP(('Ammo Input'!E710 / 1000) * N710)) + IF(VLOOKUP(B710, AmmoTypeFactors, 9, FALSE) = ""Steel"", ROUNDUP(('Ammo Input'!H710 -'Ammo Input'!M710) * MAX(IF('Ammo Inpu"&amp;"t'!J710 &gt; 0, 'Ammo Input'!J710, 1), 1) * N710 / 1000))) / 'Ingredient stats'!$C$2) * IF(ISBLANK(VLOOKUP(B710,AmmoTypeFactors,15,False)),1,VLOOKUP(B710,AmmoTypeFactors,15,False))"),48)</f>
        <v>48</v>
      </c>
      <c r="R714">
        <f>IFERROR(__xludf.DUMMYFUNCTION("ROUNDUP((IF(REGEXMATCH(B710, ""Arrow"") + (B710 = ""Javelin""), 'Ammo Input'!E710) + IF(VLOOKUP(B710, AmmoTypeFactors, 9, FALSE) = ""Wood"", 'Ammo Input'!H710) + IF(B710 = ""Stick bomb"", 'Ammo Input'!E710)) * N710 / 'Ingredient stats'!$C$12 / 1000)"),0)</f>
        <v>0</v>
      </c>
      <c r="S714">
        <v>0</v>
      </c>
      <c r="T714">
        <v>0</v>
      </c>
      <c r="U714">
        <f>IF(VLOOKUP(B714,AmmoTypeFactors,9,FALSE)="Plasteel",ROUNDUP(('Ammo Input'!H714*MAX(IF('Ammo Input'!J714&gt;0,'Ammo Input'!J714,1)*N714/1000/'Ingredient stats'!$C$4)),0),0)</f>
        <v>0</v>
      </c>
      <c r="V714">
        <f>IFERROR(__xludf.DUMMYFUNCTION("ROUNDUP(IF(ISBLANK(VLOOKUP(B710,AmmoTypeFactors,16,False)),1,VLOOKUP(B710,AmmoTypeFactors,16,False)) * (IFS(REGEXMATCH(B710, ""EMP""), 'Ammo Input'!M710 * N710 / 'Ingredient stats'!$C$5, REGEXMATCH(B710, ""Charge""), (U710^0.75), true, 0) + (IF(VLOOKUP(B7"&amp;"10, AmmoTypeFactors, 10, false), 2,0) + IF('Ammo Input'!P710, 2,0) + IF('Ammo Input'!Q710,MIN(ROUNDUP(0.2*('Ammo Input'!H710/1000)*'Ammo Input'!O710,0),20),0))))"),4)</f>
        <v>4</v>
      </c>
      <c r="W714">
        <v>0</v>
      </c>
      <c r="X714">
        <v>38</v>
      </c>
      <c r="Y714">
        <v>0</v>
      </c>
      <c r="Z714">
        <v>0</v>
      </c>
      <c r="AA714">
        <v>0</v>
      </c>
      <c r="AB714" s="30">
        <f>IF(B714="Sling Bullet (Stone)",ROUNDUP(D714*0.02*E714/'Ingredient stats'!$C$8,0),0)</f>
        <v>0</v>
      </c>
      <c r="AC714" t="str">
        <f t="shared" si="40"/>
        <v>None</v>
      </c>
      <c r="AD714" t="str">
        <f>IF(OR(B714="Buck",B714="Bird",B714="Charge (Scatter)"),'Ammo Input'!J714,"None")</f>
        <v>None</v>
      </c>
      <c r="AE714" t="str">
        <f>_xlfn.IFS(ISTEXT(Calcs!N714),Calcs!N714,Calcs!N714&lt;=40,Calcs!N714,Calcs!N714&gt;41,"40")</f>
        <v>None</v>
      </c>
      <c r="AF714" t="str">
        <f>_xlfn.IFS(ISTEXT(Calcs!O714),Calcs!O714,Calcs!O714&lt;=80,Calcs!O714,Calcs!O714&gt;=81,"80")</f>
        <v>None</v>
      </c>
      <c r="AG714" s="25">
        <f t="shared" si="41"/>
        <v>3</v>
      </c>
      <c r="AH714" s="25">
        <f t="shared" si="42"/>
        <v>1.2</v>
      </c>
      <c r="AI714" s="25">
        <f t="shared" si="43"/>
        <v>2</v>
      </c>
    </row>
    <row r="715" ht="14.4" spans="1:35">
      <c r="A715" s="24" t="str">
        <f>'Ammo Input'!A715</f>
        <v>RPG 7</v>
      </c>
      <c r="B715" t="str">
        <f>'Ammo Input'!B715</f>
        <v>Frag</v>
      </c>
      <c r="C715">
        <f>ROUNDUP(('Ammo Input'!C715*(MAX('Ammo Input'!D715,'Ammo Input'!F715)*0.5)^2*PI())*3/1000000,2)</f>
        <v>3.4</v>
      </c>
      <c r="D715">
        <f>ROUNDUP(('Ammo Input'!E715+'Ammo Input'!H715*IF('Ammo Input'!J715&lt;&gt;"",MAX('Ammo Input'!J715,1),1))/1000,3)</f>
        <v>2.2</v>
      </c>
      <c r="E715">
        <f>MIN(5000,MAX(25,CEILING(Calcs!L715,_xlfn.IFS(Calcs!L715&lt;100,25,Calcs!L715&lt;250,50,Calcs!L715&lt;1000,250,Calcs!L715&gt;=1000,1000))))</f>
        <v>50</v>
      </c>
      <c r="F715">
        <f>ROUNDUP('Ammo Input'!G715^(3/4),0)</f>
        <v>73</v>
      </c>
      <c r="G715">
        <f>ROUND((0.5*((IF(OR(B715="HEAT",B715="HEDP"),'Ammo Input'!N715,'Ammo Input'!H715)/1000)*(IF(B715="HEAT",9000,IF(B715="HEDP",1500,'Ammo Input'!G715))^2))),0)</f>
        <v>90000</v>
      </c>
      <c r="H715" s="25" t="str">
        <f>CONCATENATE(IF((B715="Foam")+(B715="Smoke"),"-",ROUND(Calcs!D715,0))," ",VLOOKUP(B715,AmmoTypeFactors,5,FALSE))</f>
        <v>58 Bomb</v>
      </c>
      <c r="I715" s="25" t="str">
        <f>IF(Calcs!E715=0,"None",CONCATENATE(ROUND(Calcs!E715,0)," ",VLOOKUP(B715,AmmoTypeFactors,6,FALSE)))</f>
        <v>None</v>
      </c>
      <c r="J715">
        <f>MROUND(2.42*'Ammo Input'!M715^(1/3)*VLOOKUP(B715,AmmoTypeFactors,3,FALSE),0.5)</f>
        <v>1.5</v>
      </c>
      <c r="K715" s="25" t="str">
        <f>IF(VLOOKUP(B715,AmmoTypeFactors,12,FALSE),MROUND(J715/3,0.5),"None")</f>
        <v>None</v>
      </c>
      <c r="L715" s="25" t="str">
        <f>IF(VLOOKUP(B715,AmmoTypeFactors,8,FALSE),"None",ROUNDUP(IF(Calcs!I715&gt;0,Calcs!I715,Calcs!H715),3))</f>
        <v>None</v>
      </c>
      <c r="M715" s="25" t="str">
        <f>IF(VLOOKUP(B715,AmmoTypeFactors,8,FALSE),"None",'Ammo Input'!L715)</f>
        <v>None</v>
      </c>
      <c r="N715">
        <f>'Ammo Input'!O715</f>
        <v>5</v>
      </c>
      <c r="O715" t="e">
        <f>ROUND((P715*0.0036+SUMPRODUCT(Q715:AB715,VLOOKUP($Q$1:$AB$1,IngredientStats,2,FALSE)))/N715*IF('Ammo Input'!R715,0.5,1),2)</f>
        <v>#VALUE!</v>
      </c>
      <c r="P715" t="e">
        <f>(SUMPRODUCT(Q715:AB715,VLOOKUP($Q$1:$AB$1,IngredientStats,4,FALSE))*VLOOKUP(B715,AmmoTypeFactors,14,FALSE)*IF('Ammo Input'!R715,1.1,1))</f>
        <v>#VALUE!</v>
      </c>
      <c r="Q715">
        <f>IFERROR(__xludf.DUMMYFUNCTION("((IF(NOT(OR(REGEXMATCH(B711, ""Arrow""), B711 = ""Javelin"", B711 = ""Stick bomb"")), ROUNDUP(('Ammo Input'!E711 / 1000) * N711)) + IF(VLOOKUP(B711, AmmoTypeFactors, 9, FALSE) = ""Steel"", ROUNDUP(('Ammo Input'!H711 -'Ammo Input'!M711) * MAX(IF('Ammo Inpu"&amp;"t'!J711 &gt; 0, 'Ammo Input'!J711, 1), 1) * N711 / 1000))) / 'Ingredient stats'!$C$2) * IF(ISBLANK(VLOOKUP(B711,AmmoTypeFactors,15,False)),1,VLOOKUP(B711,AmmoTypeFactors,15,False))"),22)</f>
        <v>22</v>
      </c>
      <c r="R715">
        <f>IFERROR(__xludf.DUMMYFUNCTION("ROUNDUP((IF(REGEXMATCH(B711, ""Arrow"") + (B711 = ""Javelin""), 'Ammo Input'!E711) + IF(VLOOKUP(B711, AmmoTypeFactors, 9, FALSE) = ""Wood"", 'Ammo Input'!H711) + IF(B711 = ""Stick bomb"", 'Ammo Input'!E711)) * N711 / 'Ingredient stats'!$C$12 / 1000)"),0)</f>
        <v>0</v>
      </c>
      <c r="S715">
        <v>0</v>
      </c>
      <c r="T715">
        <v>0</v>
      </c>
      <c r="U715">
        <f>IF(VLOOKUP(B715,AmmoTypeFactors,9,FALSE)="Plasteel",ROUNDUP(('Ammo Input'!H715*MAX(IF('Ammo Input'!J715&gt;0,'Ammo Input'!J715,1)*N715/1000/'Ingredient stats'!$C$4)),0),0)</f>
        <v>0</v>
      </c>
      <c r="V715">
        <f>IFERROR(__xludf.DUMMYFUNCTION("ROUNDUP(IF(ISBLANK(VLOOKUP(B711,AmmoTypeFactors,16,False)),1,VLOOKUP(B711,AmmoTypeFactors,16,False)) * (IFS(REGEXMATCH(B711, ""EMP""), 'Ammo Input'!M711 * N711 / 'Ingredient stats'!$C$5, REGEXMATCH(B711, ""Charge""), (U711^0.75), true, 0) + (IF(VLOOKUP(B7"&amp;"11, AmmoTypeFactors, 10, false), 2,0) + IF('Ammo Input'!P711, 2,0) + IF('Ammo Input'!Q711,MIN(ROUNDUP(0.2*('Ammo Input'!H711/1000)*'Ammo Input'!O711,0),20),0))))"),4)</f>
        <v>4</v>
      </c>
      <c r="W715">
        <v>0</v>
      </c>
      <c r="X715">
        <v>2</v>
      </c>
      <c r="Y715">
        <v>0</v>
      </c>
      <c r="Z715">
        <v>0</v>
      </c>
      <c r="AA715">
        <v>0</v>
      </c>
      <c r="AB715" s="30">
        <f>IF(B715="Sling Bullet (Stone)",ROUNDUP(D715*0.02*E715/'Ingredient stats'!$C$8,0),0)</f>
        <v>0</v>
      </c>
      <c r="AC715" t="str">
        <f t="shared" si="40"/>
        <v>None</v>
      </c>
      <c r="AD715" t="str">
        <f>IF(OR(B715="Buck",B715="Bird",B715="Charge (Scatter)"),'Ammo Input'!J715,"None")</f>
        <v>None</v>
      </c>
      <c r="AE715">
        <f>_xlfn.IFS(ISTEXT(Calcs!N715),Calcs!N715,Calcs!N715&lt;=40,Calcs!N715,Calcs!N715&gt;41,"40")</f>
        <v>0</v>
      </c>
      <c r="AF715" t="str">
        <f>_xlfn.IFS(ISTEXT(Calcs!O715),Calcs!O715,Calcs!O715&lt;=80,Calcs!O715,Calcs!O715&gt;=81,"80")</f>
        <v>80</v>
      </c>
      <c r="AG715" s="25">
        <f t="shared" si="41"/>
        <v>3</v>
      </c>
      <c r="AH715" s="25">
        <f t="shared" si="42"/>
        <v>1.2</v>
      </c>
      <c r="AI715" s="25">
        <f t="shared" si="43"/>
        <v>2</v>
      </c>
    </row>
    <row r="716" ht="14.4" spans="1:35">
      <c r="A716" s="24" t="str">
        <f>'Ammo Input'!A716</f>
        <v>RPO</v>
      </c>
      <c r="B716" t="str">
        <f>'Ammo Input'!B716</f>
        <v>Thermobaric</v>
      </c>
      <c r="C716">
        <f>ROUNDUP(('Ammo Input'!C716*(MAX('Ammo Input'!D716,'Ammo Input'!F716)*0.5)^2*PI())*3/1000000,2)</f>
        <v>23.9</v>
      </c>
      <c r="D716">
        <f>ROUNDUP(('Ammo Input'!E716+'Ammo Input'!H716*IF('Ammo Input'!J716&lt;&gt;"",MAX('Ammo Input'!J716,1),1))/1000,3)</f>
        <v>11</v>
      </c>
      <c r="E716">
        <f>MIN(5000,MAX(25,CEILING(Calcs!L716,_xlfn.IFS(Calcs!L716&lt;100,25,Calcs!L716&lt;250,50,Calcs!L716&lt;1000,250,Calcs!L716&gt;=1000,1000))))</f>
        <v>25</v>
      </c>
      <c r="F716">
        <f>ROUNDUP('Ammo Input'!G716^(3/4),0)</f>
        <v>38</v>
      </c>
      <c r="G716">
        <f>ROUND((0.5*((IF(OR(B716="HEAT",B716="HEDP"),'Ammo Input'!N716,'Ammo Input'!H716)/1000)*(IF(B716="HEAT",9000,IF(B716="HEDP",1500,'Ammo Input'!G716))^2))),0)</f>
        <v>16406</v>
      </c>
      <c r="H716" s="25" t="str">
        <f>CONCATENATE(IF((B716="Foam")+(B716="Smoke"),"-",ROUND(Calcs!D716,0))," ",VLOOKUP(B716,AmmoTypeFactors,5,FALSE))</f>
        <v>293 Thermobaric</v>
      </c>
      <c r="I716" s="25" t="str">
        <f>IF(Calcs!E716=0,"None",CONCATENATE(ROUND(Calcs!E716,0)," ",VLOOKUP(B716,AmmoTypeFactors,6,FALSE)))</f>
        <v>None</v>
      </c>
      <c r="J716">
        <f>MROUND(2.42*'Ammo Input'!M716^(1/3)*VLOOKUP(B716,AmmoTypeFactors,3,FALSE),0.5)</f>
        <v>5</v>
      </c>
      <c r="K716" s="25" t="str">
        <f>IF(VLOOKUP(B716,AmmoTypeFactors,12,FALSE),MROUND(J716/3,0.5),"None")</f>
        <v>None</v>
      </c>
      <c r="L716" s="25" t="str">
        <f>IF(VLOOKUP(B716,AmmoTypeFactors,8,FALSE),"None",ROUNDUP(IF(Calcs!I716&gt;0,Calcs!I716,Calcs!H716),3))</f>
        <v>None</v>
      </c>
      <c r="M716" s="25" t="str">
        <f>IF(VLOOKUP(B716,AmmoTypeFactors,8,FALSE),"None",'Ammo Input'!L716)</f>
        <v>None</v>
      </c>
      <c r="N716">
        <f>'Ammo Input'!O716</f>
        <v>5</v>
      </c>
      <c r="O716" t="e">
        <f>ROUND((P716*0.0036+SUMPRODUCT(Q716:AB716,VLOOKUP($Q$1:$AB$1,IngredientStats,2,FALSE)))/N716*IF('Ammo Input'!R716,0.5,1),2)</f>
        <v>#VALUE!</v>
      </c>
      <c r="P716" t="e">
        <f>(SUMPRODUCT(Q716:AB716,VLOOKUP($Q$1:$AB$1,IngredientStats,4,FALSE))*VLOOKUP(B716,AmmoTypeFactors,14,FALSE)*IF('Ammo Input'!R716,1.1,1))</f>
        <v>#VALUE!</v>
      </c>
      <c r="Q716">
        <f>IFERROR(__xludf.DUMMYFUNCTION("((IF(NOT(OR(REGEXMATCH(B712, ""Arrow""), B712 = ""Javelin"", B712 = ""Stick bomb"")), ROUNDUP(('Ammo Input'!E712 / 1000) * N712)) + IF(VLOOKUP(B712, AmmoTypeFactors, 9, FALSE) = ""Steel"", ROUNDUP(('Ammo Input'!H712 -'Ammo Input'!M712) * MAX(IF('Ammo Inpu"&amp;"t'!J712 &gt; 0, 'Ammo Input'!J712, 1), 1) * N712 / 1000))) / 'Ingredient stats'!$C$2) * IF(ISBLANK(VLOOKUP(B712,AmmoTypeFactors,15,False)),1,VLOOKUP(B712,AmmoTypeFactors,15,False))"),112)</f>
        <v>112</v>
      </c>
      <c r="R716">
        <f>IFERROR(__xludf.DUMMYFUNCTION("ROUNDUP((IF(REGEXMATCH(B712, ""Arrow"") + (B712 = ""Javelin""), 'Ammo Input'!E712) + IF(VLOOKUP(B712, AmmoTypeFactors, 9, FALSE) = ""Wood"", 'Ammo Input'!H712) + IF(B712 = ""Stick bomb"", 'Ammo Input'!E712)) * N712 / 'Ingredient stats'!$C$12 / 1000)"),0)</f>
        <v>0</v>
      </c>
      <c r="S716">
        <v>0</v>
      </c>
      <c r="T716">
        <v>0</v>
      </c>
      <c r="U716">
        <f>IF(VLOOKUP(B716,AmmoTypeFactors,9,FALSE)="Plasteel",ROUNDUP(('Ammo Input'!H716*MAX(IF('Ammo Input'!J716&gt;0,'Ammo Input'!J716,1)*N716/1000/'Ingredient stats'!$C$4)),0),0)</f>
        <v>0</v>
      </c>
      <c r="V716">
        <f>IFERROR(__xludf.DUMMYFUNCTION("ROUNDUP(IF(ISBLANK(VLOOKUP(B712,AmmoTypeFactors,16,False)),1,VLOOKUP(B712,AmmoTypeFactors,16,False)) * (IFS(REGEXMATCH(B712, ""EMP""), 'Ammo Input'!M712 * N712 / 'Ingredient stats'!$C$5, REGEXMATCH(B712, ""Charge""), (U712^0.75), true, 0) + (IF(VLOOKUP(B7"&amp;"12, AmmoTypeFactors, 10, false), 2,0) + IF('Ammo Input'!P712, 2,0) + IF('Ammo Input'!Q712,MIN(ROUNDUP(0.2*('Ammo Input'!H712/1000)*'Ammo Input'!O712,0),20),0))))"),4)</f>
        <v>4</v>
      </c>
      <c r="W716">
        <v>0</v>
      </c>
      <c r="X716">
        <v>42</v>
      </c>
      <c r="Y716">
        <v>0</v>
      </c>
      <c r="Z716">
        <v>0</v>
      </c>
      <c r="AA716">
        <v>0</v>
      </c>
      <c r="AB716" s="30">
        <f>IF(B716="Sling Bullet (Stone)",ROUNDUP(D716*0.02*E716/'Ingredient stats'!$C$8,0),0)</f>
        <v>0</v>
      </c>
      <c r="AC716" t="str">
        <f t="shared" si="40"/>
        <v>None</v>
      </c>
      <c r="AD716" t="str">
        <f>IF(OR(B716="Buck",B716="Bird",B716="Charge (Scatter)"),'Ammo Input'!J716,"None")</f>
        <v>None</v>
      </c>
      <c r="AE716" t="str">
        <f>_xlfn.IFS(ISTEXT(Calcs!N716),Calcs!N716,Calcs!N716&lt;=40,Calcs!N716,Calcs!N716&gt;41,"40")</f>
        <v>None</v>
      </c>
      <c r="AF716" t="str">
        <f>_xlfn.IFS(ISTEXT(Calcs!O716),Calcs!O716,Calcs!O716&lt;=80,Calcs!O716,Calcs!O716&gt;=81,"80")</f>
        <v>None</v>
      </c>
      <c r="AG716" s="25">
        <f t="shared" si="41"/>
        <v>3</v>
      </c>
      <c r="AH716" s="25">
        <f t="shared" si="42"/>
        <v>0.63</v>
      </c>
      <c r="AI716" s="25">
        <f t="shared" si="43"/>
        <v>2</v>
      </c>
    </row>
    <row r="717" ht="14.4" spans="1:35">
      <c r="A717" s="24" t="str">
        <f>'Ammo Input'!A717</f>
        <v>RPO</v>
      </c>
      <c r="B717" t="str">
        <f>'Ammo Input'!B717</f>
        <v>Incendiary</v>
      </c>
      <c r="C717">
        <f>ROUNDUP(('Ammo Input'!C717*(MAX('Ammo Input'!D717,'Ammo Input'!F717)*0.5)^2*PI())*3/1000000,2)</f>
        <v>23.9</v>
      </c>
      <c r="D717">
        <f>ROUNDUP(('Ammo Input'!E717+'Ammo Input'!H717*IF('Ammo Input'!J717&lt;&gt;"",MAX('Ammo Input'!J717,1),1))/1000,3)</f>
        <v>11</v>
      </c>
      <c r="E717">
        <f>MIN(5000,MAX(25,CEILING(Calcs!L717,_xlfn.IFS(Calcs!L717&lt;100,25,Calcs!L717&lt;250,50,Calcs!L717&lt;1000,250,Calcs!L717&gt;=1000,1000))))</f>
        <v>25</v>
      </c>
      <c r="F717">
        <f>ROUNDUP('Ammo Input'!G717^(3/4),0)</f>
        <v>38</v>
      </c>
      <c r="G717">
        <f>ROUND((0.5*((IF(OR(B717="HEAT",B717="HEDP"),'Ammo Input'!N717,'Ammo Input'!H717)/1000)*(IF(B717="HEAT",9000,IF(B717="HEDP",1500,'Ammo Input'!G717))^2))),0)</f>
        <v>16406</v>
      </c>
      <c r="H717" s="25" t="str">
        <f>CONCATENATE(IF((B717="Foam")+(B717="Smoke"),"-",ROUND(Calcs!D717,0))," ",VLOOKUP(B717,AmmoTypeFactors,5,FALSE))</f>
        <v>21 Flame</v>
      </c>
      <c r="I717" s="25" t="str">
        <f>IF(Calcs!E717=0,"None",CONCATENATE(ROUND(Calcs!E717,0)," ",VLOOKUP(B717,AmmoTypeFactors,6,FALSE)))</f>
        <v>None</v>
      </c>
      <c r="J717">
        <f>MROUND(2.42*'Ammo Input'!M717^(1/3)*VLOOKUP(B717,AmmoTypeFactors,3,FALSE),0.5)</f>
        <v>9.5</v>
      </c>
      <c r="K717" s="25" t="str">
        <f>IF(VLOOKUP(B717,AmmoTypeFactors,12,FALSE),MROUND(J717/3,0.5),"None")</f>
        <v>None</v>
      </c>
      <c r="L717" s="25" t="str">
        <f>IF(VLOOKUP(B717,AmmoTypeFactors,8,FALSE),"None",ROUNDUP(IF(Calcs!I717&gt;0,Calcs!I717,Calcs!H717),3))</f>
        <v>None</v>
      </c>
      <c r="M717" s="25" t="str">
        <f>IF(VLOOKUP(B717,AmmoTypeFactors,8,FALSE),"None",'Ammo Input'!L717)</f>
        <v>None</v>
      </c>
      <c r="N717">
        <f>'Ammo Input'!O717</f>
        <v>5</v>
      </c>
      <c r="O717" t="e">
        <f>ROUND((P717*0.0036+SUMPRODUCT(Q717:AB717,VLOOKUP($Q$1:$AB$1,IngredientStats,2,FALSE)))/N717*IF('Ammo Input'!R717,0.5,1),2)</f>
        <v>#VALUE!</v>
      </c>
      <c r="P717" t="e">
        <f>(SUMPRODUCT(Q717:AB717,VLOOKUP($Q$1:$AB$1,IngredientStats,4,FALSE))*VLOOKUP(B717,AmmoTypeFactors,14,FALSE)*IF('Ammo Input'!R717,1.1,1))</f>
        <v>#VALUE!</v>
      </c>
      <c r="Q717">
        <f>IFERROR(__xludf.DUMMYFUNCTION("((IF(NOT(OR(REGEXMATCH(B713, ""Arrow""), B713 = ""Javelin"", B713 = ""Stick bomb"")), ROUNDUP(('Ammo Input'!E713 / 1000) * N713)) + IF(VLOOKUP(B713, AmmoTypeFactors, 9, FALSE) = ""Steel"", ROUNDUP(('Ammo Input'!H713 -'Ammo Input'!M713) * MAX(IF('Ammo Inpu"&amp;"t'!J713 &gt; 0, 'Ammo Input'!J713, 1), 1) * N713 / 1000))) / 'Ingredient stats'!$C$2) * IF(ISBLANK(VLOOKUP(B713,AmmoTypeFactors,15,False)),1,VLOOKUP(B713,AmmoTypeFactors,15,False))"),112)</f>
        <v>112</v>
      </c>
      <c r="R717">
        <f>IFERROR(__xludf.DUMMYFUNCTION("ROUNDUP((IF(REGEXMATCH(B713, ""Arrow"") + (B713 = ""Javelin""), 'Ammo Input'!E713) + IF(VLOOKUP(B713, AmmoTypeFactors, 9, FALSE) = ""Wood"", 'Ammo Input'!H713) + IF(B713 = ""Stick bomb"", 'Ammo Input'!E713)) * N713 / 'Ingredient stats'!$C$12 / 1000)"),0)</f>
        <v>0</v>
      </c>
      <c r="S717">
        <v>0</v>
      </c>
      <c r="T717">
        <v>0</v>
      </c>
      <c r="U717">
        <f>IF(VLOOKUP(B717,AmmoTypeFactors,9,FALSE)="Plasteel",ROUNDUP(('Ammo Input'!H717*MAX(IF('Ammo Input'!J717&gt;0,'Ammo Input'!J717,1)*N717/1000/'Ingredient stats'!$C$4)),0),0)</f>
        <v>0</v>
      </c>
      <c r="V717">
        <f>IFERROR(__xludf.DUMMYFUNCTION("ROUNDUP(IF(ISBLANK(VLOOKUP(B713,AmmoTypeFactors,16,False)),1,VLOOKUP(B713,AmmoTypeFactors,16,False)) * (IFS(REGEXMATCH(B713, ""EMP""), 'Ammo Input'!M713 * N713 / 'Ingredient stats'!$C$5, REGEXMATCH(B713, ""Charge""), (U713^0.75), true, 0) + (IF(VLOOKUP(B7"&amp;"13, AmmoTypeFactors, 10, false), 2,0) + IF('Ammo Input'!P713, 2,0) + IF('Ammo Input'!Q713,MIN(ROUNDUP(0.2*('Ammo Input'!H713/1000)*'Ammo Input'!O713,0),20),0))))"),4)</f>
        <v>4</v>
      </c>
      <c r="W717">
        <v>11</v>
      </c>
      <c r="X717">
        <v>0</v>
      </c>
      <c r="Y717">
        <v>0</v>
      </c>
      <c r="Z717">
        <v>0</v>
      </c>
      <c r="AA717">
        <v>0</v>
      </c>
      <c r="AB717" s="30">
        <f>IF(B717="Sling Bullet (Stone)",ROUNDUP(D717*0.02*E717/'Ingredient stats'!$C$8,0),0)</f>
        <v>0</v>
      </c>
      <c r="AC717" t="str">
        <f t="shared" si="40"/>
        <v>None</v>
      </c>
      <c r="AD717" t="str">
        <f>IF(OR(B717="Buck",B717="Bird",B717="Charge (Scatter)"),'Ammo Input'!J717,"None")</f>
        <v>None</v>
      </c>
      <c r="AE717" t="str">
        <f>_xlfn.IFS(ISTEXT(Calcs!N717),Calcs!N717,Calcs!N717&lt;=40,Calcs!N717,Calcs!N717&gt;41,"40")</f>
        <v>None</v>
      </c>
      <c r="AF717" t="str">
        <f>_xlfn.IFS(ISTEXT(Calcs!O717),Calcs!O717,Calcs!O717&lt;=80,Calcs!O717,Calcs!O717&gt;=81,"80")</f>
        <v>None</v>
      </c>
      <c r="AG717" s="25">
        <f t="shared" si="41"/>
        <v>3</v>
      </c>
      <c r="AH717" s="25">
        <f t="shared" si="42"/>
        <v>0.63</v>
      </c>
      <c r="AI717" s="25">
        <f t="shared" si="43"/>
        <v>2</v>
      </c>
    </row>
    <row r="718" ht="14.4" spans="1:35">
      <c r="A718" s="24" t="str">
        <f>'Ammo Input'!A718</f>
        <v>RPO</v>
      </c>
      <c r="B718" t="str">
        <f>'Ammo Input'!B718</f>
        <v>Smoke</v>
      </c>
      <c r="C718">
        <f>ROUNDUP(('Ammo Input'!C718*(MAX('Ammo Input'!D718,'Ammo Input'!F718)*0.5)^2*PI())*3/1000000,2)</f>
        <v>23.9</v>
      </c>
      <c r="D718">
        <f>ROUNDUP(('Ammo Input'!E718+'Ammo Input'!H718*IF('Ammo Input'!J718&lt;&gt;"",MAX('Ammo Input'!J718,1),1))/1000,3)</f>
        <v>11</v>
      </c>
      <c r="E718">
        <f>MIN(5000,MAX(25,CEILING(Calcs!L718,_xlfn.IFS(Calcs!L718&lt;100,25,Calcs!L718&lt;250,50,Calcs!L718&lt;1000,250,Calcs!L718&gt;=1000,1000))))</f>
        <v>25</v>
      </c>
      <c r="F718">
        <f>ROUNDUP('Ammo Input'!G718^(3/4),0)</f>
        <v>38</v>
      </c>
      <c r="G718">
        <f>ROUND((0.5*((IF(OR(B718="HEAT",B718="HEDP"),'Ammo Input'!N718,'Ammo Input'!H718)/1000)*(IF(B718="HEAT",9000,IF(B718="HEDP",1500,'Ammo Input'!G718))^2))),0)</f>
        <v>16406</v>
      </c>
      <c r="H718" s="25" t="str">
        <f>CONCATENATE(IF((B718="Foam")+(B718="Smoke"),"-",ROUND(Calcs!D718,0))," ",VLOOKUP(B718,AmmoTypeFactors,5,FALSE))</f>
        <v>- Smoke</v>
      </c>
      <c r="I718" s="25" t="str">
        <f>IF(Calcs!E718=0,"None",CONCATENATE(ROUND(Calcs!E718,0)," ",VLOOKUP(B718,AmmoTypeFactors,6,FALSE)))</f>
        <v>None</v>
      </c>
      <c r="J718">
        <f>MROUND(2.42*'Ammo Input'!M718^(1/3)*VLOOKUP(B718,AmmoTypeFactors,3,FALSE),0.5)</f>
        <v>8</v>
      </c>
      <c r="K718" s="25" t="str">
        <f>IF(VLOOKUP(B718,AmmoTypeFactors,12,FALSE),MROUND(J718/3,0.5),"None")</f>
        <v>None</v>
      </c>
      <c r="L718" s="25" t="str">
        <f>IF(VLOOKUP(B718,AmmoTypeFactors,8,FALSE),"None",ROUNDUP(IF(Calcs!I718&gt;0,Calcs!I718,Calcs!H718),3))</f>
        <v>None</v>
      </c>
      <c r="M718" s="25" t="str">
        <f>IF(VLOOKUP(B718,AmmoTypeFactors,8,FALSE),"None",'Ammo Input'!L718)</f>
        <v>None</v>
      </c>
      <c r="N718">
        <f>'Ammo Input'!O718</f>
        <v>5</v>
      </c>
      <c r="O718" t="e">
        <f>ROUND((P718*0.0036+SUMPRODUCT(Q718:AB718,VLOOKUP($Q$1:$AB$1,IngredientStats,2,FALSE)))/N718*IF('Ammo Input'!R718,0.5,1),2)</f>
        <v>#VALUE!</v>
      </c>
      <c r="P718" t="e">
        <f>(SUMPRODUCT(Q718:AB718,VLOOKUP($Q$1:$AB$1,IngredientStats,4,FALSE))*VLOOKUP(B718,AmmoTypeFactors,14,FALSE)*IF('Ammo Input'!R718,1.1,1))</f>
        <v>#VALUE!</v>
      </c>
      <c r="Q718">
        <f>IFERROR(__xludf.DUMMYFUNCTION("((IF(NOT(OR(REGEXMATCH(B714, ""Arrow""), B714 = ""Javelin"", B714 = ""Stick bomb"")), ROUNDUP(('Ammo Input'!E714 / 1000) * N714)) + IF(VLOOKUP(B714, AmmoTypeFactors, 9, FALSE) = ""Steel"", ROUNDUP(('Ammo Input'!H714 -'Ammo Input'!M714) * MAX(IF('Ammo Inpu"&amp;"t'!J714 &gt; 0, 'Ammo Input'!J714, 1), 1) * N714 / 1000))) / 'Ingredient stats'!$C$2) * IF(ISBLANK(VLOOKUP(B714,AmmoTypeFactors,15,False)),1,VLOOKUP(B714,AmmoTypeFactors,15,False))"),112)</f>
        <v>112</v>
      </c>
      <c r="R718">
        <f>IFERROR(__xludf.DUMMYFUNCTION("ROUNDUP((IF(REGEXMATCH(B714, ""Arrow"") + (B714 = ""Javelin""), 'Ammo Input'!E714) + IF(VLOOKUP(B714, AmmoTypeFactors, 9, FALSE) = ""Wood"", 'Ammo Input'!H714) + IF(B714 = ""Stick bomb"", 'Ammo Input'!E714)) * N714 / 'Ingredient stats'!$C$12 / 1000)"),0)</f>
        <v>0</v>
      </c>
      <c r="S718">
        <v>0</v>
      </c>
      <c r="T718">
        <v>0</v>
      </c>
      <c r="U718">
        <f>IF(VLOOKUP(B718,AmmoTypeFactors,9,FALSE)="Plasteel",ROUNDUP(('Ammo Input'!H718*MAX(IF('Ammo Input'!J718&gt;0,'Ammo Input'!J718,1)*N718/1000/'Ingredient stats'!$C$4)),0),0)</f>
        <v>0</v>
      </c>
      <c r="V718">
        <f>IFERROR(__xludf.DUMMYFUNCTION("ROUNDUP(IF(ISBLANK(VLOOKUP(B714,AmmoTypeFactors,16,False)),1,VLOOKUP(B714,AmmoTypeFactors,16,False)) * (IFS(REGEXMATCH(B714, ""EMP""), 'Ammo Input'!M714 * N714 / 'Ingredient stats'!$C$5, REGEXMATCH(B714, ""Charge""), (U714^0.75), true, 0) + (IF(VLOOKUP(B7"&amp;"14, AmmoTypeFactors, 10, false), 2,0) + IF('Ammo Input'!P714, 2,0) + IF('Ammo Input'!Q714,MIN(ROUNDUP(0.2*('Ammo Input'!H714/1000)*'Ammo Input'!O714,0),20),0))))"),4)</f>
        <v>4</v>
      </c>
      <c r="W718">
        <v>6</v>
      </c>
      <c r="X718">
        <v>0</v>
      </c>
      <c r="Y718">
        <v>0</v>
      </c>
      <c r="Z718">
        <v>0</v>
      </c>
      <c r="AA718">
        <v>0</v>
      </c>
      <c r="AB718" s="30">
        <f>IF(B718="Sling Bullet (Stone)",ROUNDUP(D718*0.02*E718/'Ingredient stats'!$C$8,0),0)</f>
        <v>0</v>
      </c>
      <c r="AC718" t="str">
        <f t="shared" si="40"/>
        <v>None</v>
      </c>
      <c r="AD718" t="str">
        <f>IF(OR(B718="Buck",B718="Bird",B718="Charge (Scatter)"),'Ammo Input'!J718,"None")</f>
        <v>None</v>
      </c>
      <c r="AE718" t="str">
        <f>_xlfn.IFS(ISTEXT(Calcs!N718),Calcs!N718,Calcs!N718&lt;=40,Calcs!N718,Calcs!N718&gt;41,"40")</f>
        <v>None</v>
      </c>
      <c r="AF718" t="str">
        <f>_xlfn.IFS(ISTEXT(Calcs!O718),Calcs!O718,Calcs!O718&lt;=80,Calcs!O718,Calcs!O718&gt;=81,"80")</f>
        <v>None</v>
      </c>
      <c r="AG718" s="25">
        <f t="shared" si="41"/>
        <v>0</v>
      </c>
      <c r="AH718" s="25">
        <f t="shared" si="42"/>
        <v>0.63</v>
      </c>
      <c r="AI718" s="25">
        <f t="shared" si="43"/>
        <v>0</v>
      </c>
    </row>
    <row r="719" ht="14.4" spans="1:35">
      <c r="A719" s="24" t="str">
        <f>'Ammo Input'!A719</f>
        <v>SPG-9</v>
      </c>
      <c r="B719" t="str">
        <f>'Ammo Input'!B719</f>
        <v>HEAT</v>
      </c>
      <c r="C719">
        <f>ROUNDUP(('Ammo Input'!C719*(MAX('Ammo Input'!D719,'Ammo Input'!F719)*0.5)^2*PI())*3/1000000,2)</f>
        <v>11.56</v>
      </c>
      <c r="D719">
        <f>ROUNDUP(('Ammo Input'!E719+'Ammo Input'!H719*IF('Ammo Input'!J719&lt;&gt;"",MAX('Ammo Input'!J719,1),1))/1000,3)</f>
        <v>5.35</v>
      </c>
      <c r="E719">
        <f>MIN(5000,MAX(25,CEILING(Calcs!L719,_xlfn.IFS(Calcs!L719&lt;100,25,Calcs!L719&lt;250,50,Calcs!L719&lt;1000,250,Calcs!L719&gt;=1000,1000))))</f>
        <v>25</v>
      </c>
      <c r="F719">
        <f>ROUNDUP('Ammo Input'!G719^(3/4),0)</f>
        <v>96</v>
      </c>
      <c r="G719">
        <f>ROUND((0.5*((IF(OR(B719="HEAT",B719="HEDP"),'Ammo Input'!N719,'Ammo Input'!H719)/1000)*(IF(B719="HEAT",9000,IF(B719="HEDP",1500,'Ammo Input'!G719))^2))),0)</f>
        <v>4050000</v>
      </c>
      <c r="H719" s="25" t="str">
        <f>CONCATENATE(IF((B719="Foam")+(B719="Smoke"),"-",ROUND(Calcs!D719,0))," ",VLOOKUP(B719,AmmoTypeFactors,5,FALSE))</f>
        <v>248 Bullet</v>
      </c>
      <c r="I719" s="25" t="str">
        <f>IF(Calcs!E719=0,"None",CONCATENATE(ROUND(Calcs!E719,0)," ",VLOOKUP(B719,AmmoTypeFactors,6,FALSE)))</f>
        <v>None</v>
      </c>
      <c r="J719">
        <f>MROUND(2.42*'Ammo Input'!M719^(1/3)*VLOOKUP(B719,AmmoTypeFactors,3,FALSE),0.5)</f>
        <v>1</v>
      </c>
      <c r="K719" s="25" t="str">
        <f>IF(VLOOKUP(B719,AmmoTypeFactors,12,FALSE),MROUND(J719/3,0.5),"None")</f>
        <v>None</v>
      </c>
      <c r="L719" s="25">
        <f>IF(VLOOKUP(B719,AmmoTypeFactors,8,FALSE),"None",ROUNDUP(IF(Calcs!I719&gt;0,Calcs!I719,Calcs!H719),3))</f>
        <v>26.529</v>
      </c>
      <c r="M719" s="25">
        <f>IF(VLOOKUP(B719,AmmoTypeFactors,8,FALSE),"None",'Ammo Input'!L719)</f>
        <v>400</v>
      </c>
      <c r="N719">
        <f>'Ammo Input'!O719</f>
        <v>5</v>
      </c>
      <c r="O719" t="e">
        <f>ROUND((P719*0.0036+SUMPRODUCT(Q719:AB719,VLOOKUP($Q$1:$AB$1,IngredientStats,2,FALSE)))/N719*IF('Ammo Input'!R719,0.5,1),2)</f>
        <v>#VALUE!</v>
      </c>
      <c r="P719" t="e">
        <f>(SUMPRODUCT(Q719:AB719,VLOOKUP($Q$1:$AB$1,IngredientStats,4,FALSE))*VLOOKUP(B719,AmmoTypeFactors,14,FALSE)*IF('Ammo Input'!R719,1.1,1))</f>
        <v>#VALUE!</v>
      </c>
      <c r="Q719">
        <f>IFERROR(__xludf.DUMMYFUNCTION("((IF(NOT(OR(REGEXMATCH(B715, ""Arrow""), B715 = ""Javelin"", B715 = ""Stick bomb"")), ROUNDUP(('Ammo Input'!E715 / 1000) * N715)) + IF(VLOOKUP(B715, AmmoTypeFactors, 9, FALSE) = ""Steel"", ROUNDUP(('Ammo Input'!H715 -'Ammo Input'!M715) * MAX(IF('Ammo Inpu"&amp;"t'!J715 &gt; 0, 'Ammo Input'!J715, 1), 1) * N715 / 1000))) / 'Ingredient stats'!$C$2) * IF(ISBLANK(VLOOKUP(B715,AmmoTypeFactors,15,False)),1,VLOOKUP(B715,AmmoTypeFactors,15,False))"),54)</f>
        <v>54</v>
      </c>
      <c r="R719">
        <f>IFERROR(__xludf.DUMMYFUNCTION("ROUNDUP((IF(REGEXMATCH(B715, ""Arrow"") + (B715 = ""Javelin""), 'Ammo Input'!E715) + IF(VLOOKUP(B715, AmmoTypeFactors, 9, FALSE) = ""Wood"", 'Ammo Input'!H715) + IF(B715 = ""Stick bomb"", 'Ammo Input'!E715)) * N715 / 'Ingredient stats'!$C$12 / 1000)"),0)</f>
        <v>0</v>
      </c>
      <c r="S719">
        <v>0</v>
      </c>
      <c r="T719">
        <v>0</v>
      </c>
      <c r="U719">
        <f>IF(VLOOKUP(B719,AmmoTypeFactors,9,FALSE)="Plasteel",ROUNDUP(('Ammo Input'!H719*MAX(IF('Ammo Input'!J719&gt;0,'Ammo Input'!J719,1)*N719/1000/'Ingredient stats'!$C$4)),0),0)</f>
        <v>0</v>
      </c>
      <c r="V719">
        <f>IFERROR(__xludf.DUMMYFUNCTION("ROUNDUP(IF(ISBLANK(VLOOKUP(B715,AmmoTypeFactors,16,False)),1,VLOOKUP(B715,AmmoTypeFactors,16,False)) * (IFS(REGEXMATCH(B715, ""EMP""), 'Ammo Input'!M715 * N715 / 'Ingredient stats'!$C$5, REGEXMATCH(B715, ""Charge""), (U715^0.75), true, 0) + (IF(VLOOKUP(B7"&amp;"15, AmmoTypeFactors, 10, false), 2,0) + IF('Ammo Input'!P715, 2,0) + IF('Ammo Input'!Q715,MIN(ROUNDUP(0.2*('Ammo Input'!H715/1000)*'Ammo Input'!O715,0),20),0))))"),4)</f>
        <v>4</v>
      </c>
      <c r="W719">
        <v>0</v>
      </c>
      <c r="X719">
        <v>4</v>
      </c>
      <c r="Y719">
        <v>0</v>
      </c>
      <c r="Z719">
        <v>0</v>
      </c>
      <c r="AA719">
        <v>0</v>
      </c>
      <c r="AB719" s="30">
        <f>IF(B719="Sling Bullet (Stone)",ROUNDUP(D719*0.02*E719/'Ingredient stats'!$C$8,0),0)</f>
        <v>0</v>
      </c>
      <c r="AC719" t="str">
        <f t="shared" si="40"/>
        <v>None</v>
      </c>
      <c r="AD719" t="str">
        <f>IF(OR(B719="Buck",B719="Bird",B719="Charge (Scatter)"),'Ammo Input'!J719,"None")</f>
        <v>None</v>
      </c>
      <c r="AE719">
        <f>_xlfn.IFS(ISTEXT(Calcs!N719),Calcs!N719,Calcs!N719&lt;=40,Calcs!N719,Calcs!N719&gt;41,"40")</f>
        <v>9</v>
      </c>
      <c r="AF719">
        <f>_xlfn.IFS(ISTEXT(Calcs!O719),Calcs!O719,Calcs!O719&lt;=80,Calcs!O719,Calcs!O719&gt;=81,"80")</f>
        <v>5</v>
      </c>
      <c r="AG719" s="25">
        <f t="shared" si="41"/>
        <v>3</v>
      </c>
      <c r="AH719" s="25">
        <f t="shared" si="42"/>
        <v>1.59</v>
      </c>
      <c r="AI719" s="25">
        <f t="shared" si="43"/>
        <v>2</v>
      </c>
    </row>
    <row r="720" ht="14.4" spans="1:35">
      <c r="A720" s="24" t="str">
        <f>'Ammo Input'!A720</f>
        <v>SPG-9</v>
      </c>
      <c r="B720" t="str">
        <f>'Ammo Input'!B720</f>
        <v>Thermobaric</v>
      </c>
      <c r="C720">
        <f>ROUNDUP(('Ammo Input'!C720*(MAX('Ammo Input'!D720,'Ammo Input'!F720)*0.5)^2*PI())*3/1000000,2)</f>
        <v>11.56</v>
      </c>
      <c r="D720">
        <f>ROUNDUP(('Ammo Input'!E720+'Ammo Input'!H720*IF('Ammo Input'!J720&lt;&gt;"",MAX('Ammo Input'!J720,1),1))/1000,3)</f>
        <v>6.2</v>
      </c>
      <c r="E720">
        <f>MIN(5000,MAX(25,CEILING(Calcs!L720,_xlfn.IFS(Calcs!L720&lt;100,25,Calcs!L720&lt;250,50,Calcs!L720&lt;1000,250,Calcs!L720&gt;=1000,1000))))</f>
        <v>25</v>
      </c>
      <c r="F720">
        <f>ROUNDUP('Ammo Input'!G720^(3/4),0)</f>
        <v>75</v>
      </c>
      <c r="G720">
        <f>ROUND((0.5*((IF(OR(B720="HEAT",B720="HEDP"),'Ammo Input'!N720,'Ammo Input'!H720)/1000)*(IF(B720="HEAT",9000,IF(B720="HEDP",1500,'Ammo Input'!G720))^2))),0)</f>
        <v>299568</v>
      </c>
      <c r="H720" s="25" t="str">
        <f>CONCATENATE(IF((B720="Foam")+(B720="Smoke"),"-",ROUND(Calcs!D720,0))," ",VLOOKUP(B720,AmmoTypeFactors,5,FALSE))</f>
        <v>277 Thermobaric</v>
      </c>
      <c r="I720" s="25" t="str">
        <f>IF(Calcs!E720=0,"None",CONCATENATE(ROUND(Calcs!E720,0)," ",VLOOKUP(B720,AmmoTypeFactors,6,FALSE)))</f>
        <v>None</v>
      </c>
      <c r="J720">
        <f>MROUND(2.42*'Ammo Input'!M720^(1/3)*VLOOKUP(B720,AmmoTypeFactors,3,FALSE),0.5)</f>
        <v>5</v>
      </c>
      <c r="K720" s="25" t="str">
        <f>IF(VLOOKUP(B720,AmmoTypeFactors,12,FALSE),MROUND(J720/3,0.5),"None")</f>
        <v>None</v>
      </c>
      <c r="L720" s="25" t="str">
        <f>IF(VLOOKUP(B720,AmmoTypeFactors,8,FALSE),"None",ROUNDUP(IF(Calcs!I720&gt;0,Calcs!I720,Calcs!H720),3))</f>
        <v>None</v>
      </c>
      <c r="M720" s="25" t="str">
        <f>IF(VLOOKUP(B720,AmmoTypeFactors,8,FALSE),"None",'Ammo Input'!L720)</f>
        <v>None</v>
      </c>
      <c r="N720">
        <f>'Ammo Input'!O720</f>
        <v>5</v>
      </c>
      <c r="O720" t="e">
        <f>ROUND((P720*0.0036+SUMPRODUCT(Q720:AB720,VLOOKUP($Q$1:$AB$1,IngredientStats,2,FALSE)))/N720*IF('Ammo Input'!R720,0.5,1),2)</f>
        <v>#VALUE!</v>
      </c>
      <c r="P720" t="e">
        <f>(SUMPRODUCT(Q720:AB720,VLOOKUP($Q$1:$AB$1,IngredientStats,4,FALSE))*VLOOKUP(B720,AmmoTypeFactors,14,FALSE)*IF('Ammo Input'!R720,1.1,1))</f>
        <v>#VALUE!</v>
      </c>
      <c r="Q720">
        <f>IFERROR(__xludf.DUMMYFUNCTION("((IF(NOT(OR(REGEXMATCH(B716, ""Arrow""), B716 = ""Javelin"", B716 = ""Stick bomb"")), ROUNDUP(('Ammo Input'!E716 / 1000) * N716)) + IF(VLOOKUP(B716, AmmoTypeFactors, 9, FALSE) = ""Steel"", ROUNDUP(('Ammo Input'!H716 -'Ammo Input'!M716) * MAX(IF('Ammo Inpu"&amp;"t'!J716 &gt; 0, 'Ammo Input'!J716, 1), 1) * N716 / 1000))) / 'Ingredient stats'!$C$2) * IF(ISBLANK(VLOOKUP(B716,AmmoTypeFactors,15,False)),1,VLOOKUP(B716,AmmoTypeFactors,15,False))"),62)</f>
        <v>62</v>
      </c>
      <c r="R720">
        <f>IFERROR(__xludf.DUMMYFUNCTION("ROUNDUP((IF(REGEXMATCH(B716, ""Arrow"") + (B716 = ""Javelin""), 'Ammo Input'!E716) + IF(VLOOKUP(B716, AmmoTypeFactors, 9, FALSE) = ""Wood"", 'Ammo Input'!H716) + IF(B716 = ""Stick bomb"", 'Ammo Input'!E716)) * N716 / 'Ingredient stats'!$C$12 / 1000)"),0)</f>
        <v>0</v>
      </c>
      <c r="S720">
        <v>0</v>
      </c>
      <c r="T720">
        <v>0</v>
      </c>
      <c r="U720">
        <f>IF(VLOOKUP(B720,AmmoTypeFactors,9,FALSE)="Plasteel",ROUNDUP(('Ammo Input'!H720*MAX(IF('Ammo Input'!J720&gt;0,'Ammo Input'!J720,1)*N720/1000/'Ingredient stats'!$C$4)),0),0)</f>
        <v>0</v>
      </c>
      <c r="V720">
        <f>IFERROR(__xludf.DUMMYFUNCTION("ROUNDUP(IF(ISBLANK(VLOOKUP(B716,AmmoTypeFactors,16,False)),1,VLOOKUP(B716,AmmoTypeFactors,16,False)) * (IFS(REGEXMATCH(B716, ""EMP""), 'Ammo Input'!M716 * N716 / 'Ingredient stats'!$C$5, REGEXMATCH(B716, ""Charge""), (U716^0.75), true, 0) + (IF(VLOOKUP(B7"&amp;"16, AmmoTypeFactors, 10, false), 2,0) + IF('Ammo Input'!P716, 2,0) + IF('Ammo Input'!Q716,MIN(ROUNDUP(0.2*('Ammo Input'!H716/1000)*'Ammo Input'!O716,0),20),0))))"),4)</f>
        <v>4</v>
      </c>
      <c r="W720">
        <v>0</v>
      </c>
      <c r="X720">
        <v>38</v>
      </c>
      <c r="Y720">
        <v>0</v>
      </c>
      <c r="Z720">
        <v>0</v>
      </c>
      <c r="AA720">
        <v>0</v>
      </c>
      <c r="AB720" s="30">
        <f>IF(B720="Sling Bullet (Stone)",ROUNDUP(D720*0.02*E720/'Ingredient stats'!$C$8,0),0)</f>
        <v>0</v>
      </c>
      <c r="AC720" t="str">
        <f t="shared" si="40"/>
        <v>None</v>
      </c>
      <c r="AD720" t="str">
        <f>IF(OR(B720="Buck",B720="Bird",B720="Charge (Scatter)"),'Ammo Input'!J720,"None")</f>
        <v>None</v>
      </c>
      <c r="AE720" t="str">
        <f>_xlfn.IFS(ISTEXT(Calcs!N720),Calcs!N720,Calcs!N720&lt;=40,Calcs!N720,Calcs!N720&gt;41,"40")</f>
        <v>None</v>
      </c>
      <c r="AF720" t="str">
        <f>_xlfn.IFS(ISTEXT(Calcs!O720),Calcs!O720,Calcs!O720&lt;=80,Calcs!O720,Calcs!O720&gt;=81,"80")</f>
        <v>None</v>
      </c>
      <c r="AG720" s="25">
        <f t="shared" si="41"/>
        <v>3</v>
      </c>
      <c r="AH720" s="25">
        <f t="shared" si="42"/>
        <v>1.24</v>
      </c>
      <c r="AI720" s="25">
        <f t="shared" si="43"/>
        <v>2</v>
      </c>
    </row>
    <row r="721" ht="14.4" spans="1:35">
      <c r="A721" s="24" t="str">
        <f>'Ammo Input'!A721</f>
        <v>SPG-9</v>
      </c>
      <c r="B721" t="str">
        <f>'Ammo Input'!B721</f>
        <v>Frag</v>
      </c>
      <c r="C721">
        <f>ROUNDUP(('Ammo Input'!C721*(MAX('Ammo Input'!D721,'Ammo Input'!F721)*0.5)^2*PI())*3/1000000,2)</f>
        <v>13.34</v>
      </c>
      <c r="D721">
        <f>ROUNDUP(('Ammo Input'!E721+'Ammo Input'!H721*IF('Ammo Input'!J721&lt;&gt;"",MAX('Ammo Input'!J721,1),1))/1000,3)</f>
        <v>6.45</v>
      </c>
      <c r="E721">
        <f>MIN(5000,MAX(25,CEILING(Calcs!L721,_xlfn.IFS(Calcs!L721&lt;100,25,Calcs!L721&lt;250,50,Calcs!L721&lt;1000,250,Calcs!L721&gt;=1000,1000))))</f>
        <v>25</v>
      </c>
      <c r="F721">
        <f>ROUNDUP('Ammo Input'!G721^(3/4),0)</f>
        <v>75</v>
      </c>
      <c r="G721">
        <f>ROUND((0.5*((IF(OR(B721="HEAT",B721="HEDP"),'Ammo Input'!N721,'Ammo Input'!H721)/1000)*(IF(B721="HEAT",9000,IF(B721="HEDP",1500,'Ammo Input'!G721))^2))),0)</f>
        <v>304561</v>
      </c>
      <c r="H721" s="25" t="str">
        <f>CONCATENATE(IF((B721="Foam")+(B721="Smoke"),"-",ROUND(Calcs!D721,0))," ",VLOOKUP(B721,AmmoTypeFactors,5,FALSE))</f>
        <v>111 Bomb</v>
      </c>
      <c r="I721" s="25" t="str">
        <f>IF(Calcs!E721=0,"None",CONCATENATE(ROUND(Calcs!E721,0)," ",VLOOKUP(B721,AmmoTypeFactors,6,FALSE)))</f>
        <v>None</v>
      </c>
      <c r="J721">
        <f>MROUND(2.42*'Ammo Input'!M721^(1/3)*VLOOKUP(B721,AmmoTypeFactors,3,FALSE),0.5)</f>
        <v>2</v>
      </c>
      <c r="K721" s="25" t="str">
        <f>IF(VLOOKUP(B721,AmmoTypeFactors,12,FALSE),MROUND(J721/3,0.5),"None")</f>
        <v>None</v>
      </c>
      <c r="L721" s="25" t="str">
        <f>IF(VLOOKUP(B721,AmmoTypeFactors,8,FALSE),"None",ROUNDUP(IF(Calcs!I721&gt;0,Calcs!I721,Calcs!H721),3))</f>
        <v>None</v>
      </c>
      <c r="M721" s="25" t="str">
        <f>IF(VLOOKUP(B721,AmmoTypeFactors,8,FALSE),"None",'Ammo Input'!L721)</f>
        <v>None</v>
      </c>
      <c r="N721">
        <f>'Ammo Input'!O721</f>
        <v>5</v>
      </c>
      <c r="O721" t="e">
        <f>ROUND((P721*0.0036+SUMPRODUCT(Q721:AB721,VLOOKUP($Q$1:$AB$1,IngredientStats,2,FALSE)))/N721*IF('Ammo Input'!R721,0.5,1),2)</f>
        <v>#VALUE!</v>
      </c>
      <c r="P721" t="e">
        <f>(SUMPRODUCT(Q721:AB721,VLOOKUP($Q$1:$AB$1,IngredientStats,4,FALSE))*VLOOKUP(B721,AmmoTypeFactors,14,FALSE)*IF('Ammo Input'!R721,1.1,1))</f>
        <v>#VALUE!</v>
      </c>
      <c r="Q721">
        <f>IFERROR(__xludf.DUMMYFUNCTION("((IF(NOT(OR(REGEXMATCH(B717, ""Arrow""), B717 = ""Javelin"", B717 = ""Stick bomb"")), ROUNDUP(('Ammo Input'!E717 / 1000) * N717)) + IF(VLOOKUP(B717, AmmoTypeFactors, 9, FALSE) = ""Steel"", ROUNDUP(('Ammo Input'!H717 -'Ammo Input'!M717) * MAX(IF('Ammo Inpu"&amp;"t'!J717 &gt; 0, 'Ammo Input'!J717, 1), 1) * N717 / 1000))) / 'Ingredient stats'!$C$2) * IF(ISBLANK(VLOOKUP(B717,AmmoTypeFactors,15,False)),1,VLOOKUP(B717,AmmoTypeFactors,15,False))"),66)</f>
        <v>66</v>
      </c>
      <c r="R721">
        <f>IFERROR(__xludf.DUMMYFUNCTION("ROUNDUP((IF(REGEXMATCH(B717, ""Arrow"") + (B717 = ""Javelin""), 'Ammo Input'!E717) + IF(VLOOKUP(B717, AmmoTypeFactors, 9, FALSE) = ""Wood"", 'Ammo Input'!H717) + IF(B717 = ""Stick bomb"", 'Ammo Input'!E717)) * N717 / 'Ingredient stats'!$C$12 / 1000)"),0)</f>
        <v>0</v>
      </c>
      <c r="S721">
        <v>0</v>
      </c>
      <c r="T721">
        <v>0</v>
      </c>
      <c r="U721">
        <f>IF(VLOOKUP(B721,AmmoTypeFactors,9,FALSE)="Plasteel",ROUNDUP(('Ammo Input'!H721*MAX(IF('Ammo Input'!J721&gt;0,'Ammo Input'!J721,1)*N721/1000/'Ingredient stats'!$C$4)),0),0)</f>
        <v>0</v>
      </c>
      <c r="V721">
        <f>IFERROR(__xludf.DUMMYFUNCTION("ROUNDUP(IF(ISBLANK(VLOOKUP(B717,AmmoTypeFactors,16,False)),1,VLOOKUP(B717,AmmoTypeFactors,16,False)) * (IFS(REGEXMATCH(B717, ""EMP""), 'Ammo Input'!M717 * N717 / 'Ingredient stats'!$C$5, REGEXMATCH(B717, ""Charge""), (U717^0.75), true, 0) + (IF(VLOOKUP(B7"&amp;"17, AmmoTypeFactors, 10, false), 2,0) + IF('Ammo Input'!P717, 2,0) + IF('Ammo Input'!Q717,MIN(ROUNDUP(0.2*('Ammo Input'!H717/1000)*'Ammo Input'!O717,0),20),0))))"),4)</f>
        <v>4</v>
      </c>
      <c r="W721">
        <v>0</v>
      </c>
      <c r="X721">
        <v>6</v>
      </c>
      <c r="Y721">
        <v>0</v>
      </c>
      <c r="Z721">
        <v>0</v>
      </c>
      <c r="AA721">
        <v>0</v>
      </c>
      <c r="AB721" s="30">
        <f>IF(B721="Sling Bullet (Stone)",ROUNDUP(D721*0.02*E721/'Ingredient stats'!$C$8,0),0)</f>
        <v>0</v>
      </c>
      <c r="AC721" t="str">
        <f t="shared" si="40"/>
        <v>None</v>
      </c>
      <c r="AD721" t="str">
        <f>IF(OR(B721="Buck",B721="Bird",B721="Charge (Scatter)"),'Ammo Input'!J721,"None")</f>
        <v>None</v>
      </c>
      <c r="AE721">
        <f>_xlfn.IFS(ISTEXT(Calcs!N721),Calcs!N721,Calcs!N721&lt;=40,Calcs!N721,Calcs!N721&gt;41,"40")</f>
        <v>0</v>
      </c>
      <c r="AF721" t="str">
        <f>_xlfn.IFS(ISTEXT(Calcs!O721),Calcs!O721,Calcs!O721&lt;=80,Calcs!O721,Calcs!O721&gt;=81,"80")</f>
        <v>80</v>
      </c>
      <c r="AG721" s="25">
        <f t="shared" si="41"/>
        <v>3</v>
      </c>
      <c r="AH721" s="25">
        <f t="shared" si="42"/>
        <v>1.24</v>
      </c>
      <c r="AI721" s="25">
        <f t="shared" si="43"/>
        <v>2</v>
      </c>
    </row>
    <row r="722" ht="14.4" spans="1:35">
      <c r="A722" s="24" t="str">
        <f>'Ammo Input'!A722</f>
        <v>SPG-9</v>
      </c>
      <c r="B722" t="str">
        <f>'Ammo Input'!B722</f>
        <v>EMP</v>
      </c>
      <c r="C722">
        <f>ROUNDUP(('Ammo Input'!C722*(MAX('Ammo Input'!D722,'Ammo Input'!F722)*0.5)^2*PI())*3/1000000,2)</f>
        <v>11.56</v>
      </c>
      <c r="D722">
        <f>ROUNDUP(('Ammo Input'!E722+'Ammo Input'!H722*IF('Ammo Input'!J722&lt;&gt;"",MAX('Ammo Input'!J722,1),1))/1000,3)</f>
        <v>5.55</v>
      </c>
      <c r="E722">
        <f>MIN(5000,MAX(25,CEILING(Calcs!L722,_xlfn.IFS(Calcs!L722&lt;100,25,Calcs!L722&lt;250,50,Calcs!L722&lt;1000,250,Calcs!L722&gt;=1000,1000))))</f>
        <v>25</v>
      </c>
      <c r="F722">
        <f>ROUNDUP('Ammo Input'!G722^(3/4),0)</f>
        <v>75</v>
      </c>
      <c r="G722">
        <f>ROUND((0.5*((IF(OR(B722="HEAT",B722="HEDP"),'Ammo Input'!N722,'Ammo Input'!H722)/1000)*(IF(B722="HEAT",9000,IF(B722="HEDP",1500,'Ammo Input'!G722))^2))),0)</f>
        <v>267115</v>
      </c>
      <c r="H722" s="25" t="str">
        <f>CONCATENATE(IF((B722="Foam")+(B722="Smoke"),"-",ROUND(Calcs!D722,0))," ",VLOOKUP(B722,AmmoTypeFactors,5,FALSE))</f>
        <v>111 EMP</v>
      </c>
      <c r="I722" s="25" t="str">
        <f>IF(Calcs!E722=0,"None",CONCATENATE(ROUND(Calcs!E722,0)," ",VLOOKUP(B722,AmmoTypeFactors,6,FALSE)))</f>
        <v>None</v>
      </c>
      <c r="J722">
        <f>MROUND(2.42*'Ammo Input'!M722^(1/3)*VLOOKUP(B722,AmmoTypeFactors,3,FALSE),0.5)</f>
        <v>4.5</v>
      </c>
      <c r="K722" s="25" t="str">
        <f>IF(VLOOKUP(B722,AmmoTypeFactors,12,FALSE),MROUND(J722/3,0.5),"None")</f>
        <v>None</v>
      </c>
      <c r="L722" s="25" t="str">
        <f>IF(VLOOKUP(B722,AmmoTypeFactors,8,FALSE),"None",ROUNDUP(IF(Calcs!I722&gt;0,Calcs!I722,Calcs!H722),3))</f>
        <v>None</v>
      </c>
      <c r="M722" s="25" t="str">
        <f>IF(VLOOKUP(B722,AmmoTypeFactors,8,FALSE),"None",'Ammo Input'!L722)</f>
        <v>None</v>
      </c>
      <c r="N722">
        <f>'Ammo Input'!O722</f>
        <v>5</v>
      </c>
      <c r="O722" t="e">
        <f>ROUND((P722*0.0036+SUMPRODUCT(Q722:AB722,VLOOKUP($Q$1:$AB$1,IngredientStats,2,FALSE)))/N722*IF('Ammo Input'!R722,0.5,1),2)</f>
        <v>#VALUE!</v>
      </c>
      <c r="P722" t="e">
        <f>(SUMPRODUCT(Q722:AB722,VLOOKUP($Q$1:$AB$1,IngredientStats,4,FALSE))*VLOOKUP(B722,AmmoTypeFactors,14,FALSE)*IF('Ammo Input'!R722,1.1,1))</f>
        <v>#VALUE!</v>
      </c>
      <c r="Q722">
        <f>IFERROR(__xludf.DUMMYFUNCTION("((IF(NOT(OR(REGEXMATCH(B718, ""Arrow""), B718 = ""Javelin"", B718 = ""Stick bomb"")), ROUNDUP(('Ammo Input'!E718 / 1000) * N718)) + IF(VLOOKUP(B718, AmmoTypeFactors, 9, FALSE) = ""Steel"", ROUNDUP(('Ammo Input'!H718 -'Ammo Input'!M718) * MAX(IF('Ammo Inpu"&amp;"t'!J718 &gt; 0, 'Ammo Input'!J718, 1), 1) * N718 / 1000))) / 'Ingredient stats'!$C$2) * IF(ISBLANK(VLOOKUP(B718,AmmoTypeFactors,15,False)),1,VLOOKUP(B718,AmmoTypeFactors,15,False))"),56)</f>
        <v>56</v>
      </c>
      <c r="R722">
        <f>IFERROR(__xludf.DUMMYFUNCTION("ROUNDUP((IF(REGEXMATCH(B718, ""Arrow"") + (B718 = ""Javelin""), 'Ammo Input'!E718) + IF(VLOOKUP(B718, AmmoTypeFactors, 9, FALSE) = ""Wood"", 'Ammo Input'!H718) + IF(B718 = ""Stick bomb"", 'Ammo Input'!E718)) * N718 / 'Ingredient stats'!$C$12 / 1000)"),0)</f>
        <v>0</v>
      </c>
      <c r="S722">
        <v>0</v>
      </c>
      <c r="T722">
        <v>0</v>
      </c>
      <c r="U722">
        <f>IF(VLOOKUP(B722,AmmoTypeFactors,9,FALSE)="Plasteel",ROUNDUP(('Ammo Input'!H722*MAX(IF('Ammo Input'!J722&gt;0,'Ammo Input'!J722,1)*N722/1000/'Ingredient stats'!$C$4)),0),0)</f>
        <v>0</v>
      </c>
      <c r="V722">
        <f>IFERROR(__xludf.DUMMYFUNCTION("ROUNDUP(IF(ISBLANK(VLOOKUP(B718,AmmoTypeFactors,16,False)),1,VLOOKUP(B718,AmmoTypeFactors,16,False)) * (IFS(REGEXMATCH(B718, ""EMP""), 'Ammo Input'!M718 * N718 / 'Ingredient stats'!$C$5, REGEXMATCH(B718, ""Charge""), (U718^0.75), true, 0) + (IF(VLOOKUP(B7"&amp;"18, AmmoTypeFactors, 10, false), 2,0) + IF('Ammo Input'!P718, 2,0) + IF('Ammo Input'!Q718,MIN(ROUNDUP(0.2*('Ammo Input'!H718/1000)*'Ammo Input'!O718,0),20),0))))"),11)</f>
        <v>11</v>
      </c>
      <c r="W722">
        <v>0</v>
      </c>
      <c r="X722">
        <v>0</v>
      </c>
      <c r="Y722">
        <v>0</v>
      </c>
      <c r="Z722">
        <v>0</v>
      </c>
      <c r="AA722">
        <v>0</v>
      </c>
      <c r="AB722" s="30">
        <f>IF(B722="Sling Bullet (Stone)",ROUNDUP(D722*0.02*E722/'Ingredient stats'!$C$8,0),0)</f>
        <v>0</v>
      </c>
      <c r="AC722" t="str">
        <f t="shared" si="40"/>
        <v>None</v>
      </c>
      <c r="AD722" t="str">
        <f>IF(OR(B722="Buck",B722="Bird",B722="Charge (Scatter)"),'Ammo Input'!J722,"None")</f>
        <v>None</v>
      </c>
      <c r="AE722" t="str">
        <f>_xlfn.IFS(ISTEXT(Calcs!N722),Calcs!N722,Calcs!N722&lt;=40,Calcs!N722,Calcs!N722&gt;41,"40")</f>
        <v>None</v>
      </c>
      <c r="AF722" t="str">
        <f>_xlfn.IFS(ISTEXT(Calcs!O722),Calcs!O722,Calcs!O722&lt;=80,Calcs!O722,Calcs!O722&gt;=81,"80")</f>
        <v>None</v>
      </c>
      <c r="AG722" s="25">
        <f t="shared" si="41"/>
        <v>3</v>
      </c>
      <c r="AH722" s="25">
        <f t="shared" si="42"/>
        <v>1.24</v>
      </c>
      <c r="AI722" s="25">
        <f t="shared" si="43"/>
        <v>2</v>
      </c>
    </row>
    <row r="723" ht="14.4" spans="1:35">
      <c r="A723" s="24" t="str">
        <f>'Ammo Input'!A723</f>
        <v>M6</v>
      </c>
      <c r="B723" t="str">
        <f>'Ammo Input'!B723</f>
        <v>HEAT</v>
      </c>
      <c r="C723">
        <f>ROUNDUP(('Ammo Input'!C723*(MAX('Ammo Input'!D723,'Ammo Input'!F723)*0.5)^2*PI())*3/1000000,2)</f>
        <v>4.66</v>
      </c>
      <c r="D723">
        <f>ROUNDUP(('Ammo Input'!E723+'Ammo Input'!H723*IF('Ammo Input'!J723&lt;&gt;"",MAX('Ammo Input'!J723,1),1))/1000,3)</f>
        <v>1.59</v>
      </c>
      <c r="E723">
        <f>MIN(5000,MAX(25,CEILING(Calcs!L723,_xlfn.IFS(Calcs!L723&lt;100,25,Calcs!L723&lt;250,50,Calcs!L723&lt;1000,250,Calcs!L723&gt;=1000,1000))))</f>
        <v>25</v>
      </c>
      <c r="F723">
        <f>ROUNDUP('Ammo Input'!G723^(3/4),0)</f>
        <v>27</v>
      </c>
      <c r="G723">
        <f>ROUND((0.5*((IF(OR(B723="HEAT",B723="HEDP"),'Ammo Input'!N723,'Ammo Input'!H723)/1000)*(IF(B723="HEAT",9000,IF(B723="HEDP",1500,'Ammo Input'!G723))^2))),0)</f>
        <v>2430000</v>
      </c>
      <c r="H723" s="25" t="str">
        <f>CONCATENATE(IF((B723="Foam")+(B723="Smoke"),"-",ROUND(Calcs!D723,0))," ",VLOOKUP(B723,AmmoTypeFactors,5,FALSE))</f>
        <v>208 Bullet</v>
      </c>
      <c r="I723" s="25" t="str">
        <f>IF(Calcs!E723=0,"None",CONCATENATE(ROUND(Calcs!E723,0)," ",VLOOKUP(B723,AmmoTypeFactors,6,FALSE)))</f>
        <v>None</v>
      </c>
      <c r="J723">
        <f>MROUND(2.42*'Ammo Input'!M723^(1/3)*VLOOKUP(B723,AmmoTypeFactors,3,FALSE),0.5)</f>
        <v>1.5</v>
      </c>
      <c r="K723" s="25" t="str">
        <f>IF(VLOOKUP(B723,AmmoTypeFactors,12,FALSE),MROUND(J723/3,0.5),"None")</f>
        <v>None</v>
      </c>
      <c r="L723" s="25">
        <f>IF(VLOOKUP(B723,AmmoTypeFactors,8,FALSE),"None",ROUNDUP(IF(Calcs!I723&gt;0,Calcs!I723,Calcs!H723),3))</f>
        <v>42.273</v>
      </c>
      <c r="M723" s="25">
        <f>IF(VLOOKUP(B723,AmmoTypeFactors,8,FALSE),"None",'Ammo Input'!L723)</f>
        <v>76</v>
      </c>
      <c r="N723">
        <f>'Ammo Input'!O723</f>
        <v>5</v>
      </c>
      <c r="O723" t="e">
        <f>ROUND((P723*0.0036+SUMPRODUCT(Q723:AB723,VLOOKUP($Q$1:$AB$1,IngredientStats,2,FALSE)))/N723*IF('Ammo Input'!R723,0.5,1),2)</f>
        <v>#VALUE!</v>
      </c>
      <c r="P723" t="e">
        <f>(SUMPRODUCT(Q723:AB723,VLOOKUP($Q$1:$AB$1,IngredientStats,4,FALSE))*VLOOKUP(B723,AmmoTypeFactors,14,FALSE)*IF('Ammo Input'!R723,1.1,1))</f>
        <v>#VALUE!</v>
      </c>
      <c r="Q723">
        <f>IFERROR(__xludf.DUMMYFUNCTION("((IF(NOT(OR(REGEXMATCH(B719, ""Arrow""), B719 = ""Javelin"", B719 = ""Stick bomb"")), ROUNDUP(('Ammo Input'!E719 / 1000) * N719)) + IF(VLOOKUP(B719, AmmoTypeFactors, 9, FALSE) = ""Steel"", ROUNDUP(('Ammo Input'!H719 -'Ammo Input'!M719) * MAX(IF('Ammo Inpu"&amp;"t'!J719 &gt; 0, 'Ammo Input'!J719, 1), 1) * N719 / 1000))) / 'Ingredient stats'!$C$2) * IF(ISBLANK(VLOOKUP(B719,AmmoTypeFactors,15,False)),1,VLOOKUP(B719,AmmoTypeFactors,15,False))"),18)</f>
        <v>18</v>
      </c>
      <c r="R723">
        <f>IFERROR(__xludf.DUMMYFUNCTION("ROUNDUP((IF(REGEXMATCH(B719, ""Arrow"") + (B719 = ""Javelin""), 'Ammo Input'!E719) + IF(VLOOKUP(B719, AmmoTypeFactors, 9, FALSE) = ""Wood"", 'Ammo Input'!H719) + IF(B719 = ""Stick bomb"", 'Ammo Input'!E719)) * N719 / 'Ingredient stats'!$C$12 / 1000)"),0)</f>
        <v>0</v>
      </c>
      <c r="S723">
        <v>0</v>
      </c>
      <c r="T723">
        <v>0</v>
      </c>
      <c r="U723">
        <f>IF(VLOOKUP(B723,AmmoTypeFactors,9,FALSE)="Plasteel",ROUNDUP(('Ammo Input'!H723*MAX(IF('Ammo Input'!J723&gt;0,'Ammo Input'!J723,1)*N723/1000/'Ingredient stats'!$C$4)),0),0)</f>
        <v>0</v>
      </c>
      <c r="V723">
        <f>IFERROR(__xludf.DUMMYFUNCTION("ROUNDUP(IF(ISBLANK(VLOOKUP(B719,AmmoTypeFactors,16,False)),1,VLOOKUP(B719,AmmoTypeFactors,16,False)) * (IFS(REGEXMATCH(B719, ""EMP""), 'Ammo Input'!M719 * N719 / 'Ingredient stats'!$C$5, REGEXMATCH(B719, ""Charge""), (U719^0.75), true, 0) + (IF(VLOOKUP(B7"&amp;"19, AmmoTypeFactors, 10, false), 2,0) + IF('Ammo Input'!P719, 2,0) + IF('Ammo Input'!Q719,MIN(ROUNDUP(0.2*('Ammo Input'!H719/1000)*'Ammo Input'!O719,0),20),0))))"),4)</f>
        <v>4</v>
      </c>
      <c r="W723">
        <v>0</v>
      </c>
      <c r="X723">
        <v>9</v>
      </c>
      <c r="Y723">
        <v>0</v>
      </c>
      <c r="Z723">
        <v>0</v>
      </c>
      <c r="AA723">
        <v>0</v>
      </c>
      <c r="AB723" s="30">
        <f>IF(B723="Sling Bullet (Stone)",ROUNDUP(D723*0.02*E723/'Ingredient stats'!$C$8,0),0)</f>
        <v>0</v>
      </c>
      <c r="AC723" t="str">
        <f t="shared" si="40"/>
        <v>None</v>
      </c>
      <c r="AD723" t="str">
        <f>IF(OR(B723="Buck",B723="Bird",B723="Charge (Scatter)"),'Ammo Input'!J723,"None")</f>
        <v>None</v>
      </c>
      <c r="AE723">
        <f>_xlfn.IFS(ISTEXT(Calcs!N723),Calcs!N723,Calcs!N723&lt;=40,Calcs!N723,Calcs!N723&gt;41,"40")</f>
        <v>1</v>
      </c>
      <c r="AF723">
        <f>_xlfn.IFS(ISTEXT(Calcs!O723),Calcs!O723,Calcs!O723&lt;=80,Calcs!O723,Calcs!O723&gt;=81,"80")</f>
        <v>11</v>
      </c>
      <c r="AG723" s="25">
        <f t="shared" si="41"/>
        <v>3</v>
      </c>
      <c r="AH723" s="25">
        <f t="shared" si="42"/>
        <v>0.45</v>
      </c>
      <c r="AI723" s="25">
        <f t="shared" si="43"/>
        <v>2</v>
      </c>
    </row>
    <row r="724" ht="14.4" spans="1:35">
      <c r="A724" s="24" t="str">
        <f>'Ammo Input'!A724</f>
        <v>M6A1</v>
      </c>
      <c r="B724" t="str">
        <f>'Ammo Input'!B724</f>
        <v>HEAT</v>
      </c>
      <c r="C724">
        <f>ROUNDUP(('Ammo Input'!C724*(MAX('Ammo Input'!D724,'Ammo Input'!F724)*0.5)^2*PI())*3/1000000,2)</f>
        <v>4.66</v>
      </c>
      <c r="D724">
        <f>ROUNDUP(('Ammo Input'!E724+'Ammo Input'!H724*IF('Ammo Input'!J724&lt;&gt;"",MAX('Ammo Input'!J724,1),1))/1000,3)</f>
        <v>1.59</v>
      </c>
      <c r="E724">
        <f>MIN(5000,MAX(25,CEILING(Calcs!L724,_xlfn.IFS(Calcs!L724&lt;100,25,Calcs!L724&lt;250,50,Calcs!L724&lt;1000,250,Calcs!L724&gt;=1000,1000))))</f>
        <v>25</v>
      </c>
      <c r="F724">
        <f>ROUNDUP('Ammo Input'!G724^(3/4),0)</f>
        <v>27</v>
      </c>
      <c r="G724">
        <f>ROUND((0.5*((IF(OR(B724="HEAT",B724="HEDP"),'Ammo Input'!N724,'Ammo Input'!H724)/1000)*(IF(B724="HEAT",9000,IF(B724="HEDP",1500,'Ammo Input'!G724))^2))),0)</f>
        <v>2430000</v>
      </c>
      <c r="H724" s="25" t="str">
        <f>CONCATENATE(IF((B724="Foam")+(B724="Smoke"),"-",ROUND(Calcs!D724,0))," ",VLOOKUP(B724,AmmoTypeFactors,5,FALSE))</f>
        <v>208 Bullet</v>
      </c>
      <c r="I724" s="25" t="str">
        <f>IF(Calcs!E724=0,"None",CONCATENATE(ROUND(Calcs!E724,0)," ",VLOOKUP(B724,AmmoTypeFactors,6,FALSE)))</f>
        <v>None</v>
      </c>
      <c r="J724">
        <f>MROUND(2.42*'Ammo Input'!M724^(1/3)*VLOOKUP(B724,AmmoTypeFactors,3,FALSE),0.5)</f>
        <v>1.5</v>
      </c>
      <c r="K724" s="25" t="str">
        <f>IF(VLOOKUP(B724,AmmoTypeFactors,12,FALSE),MROUND(J724/3,0.5),"None")</f>
        <v>None</v>
      </c>
      <c r="L724" s="25">
        <f>IF(VLOOKUP(B724,AmmoTypeFactors,8,FALSE),"None",ROUNDUP(IF(Calcs!I724&gt;0,Calcs!I724,Calcs!H724),3))</f>
        <v>42.273</v>
      </c>
      <c r="M724" s="25">
        <f>IF(VLOOKUP(B724,AmmoTypeFactors,8,FALSE),"None",'Ammo Input'!L724)</f>
        <v>76</v>
      </c>
      <c r="N724">
        <f>'Ammo Input'!O724</f>
        <v>5</v>
      </c>
      <c r="O724" t="e">
        <f>ROUND((P724*0.0036+SUMPRODUCT(Q724:AB724,VLOOKUP($Q$1:$AB$1,IngredientStats,2,FALSE)))/N724*IF('Ammo Input'!R724,0.5,1),2)</f>
        <v>#VALUE!</v>
      </c>
      <c r="P724" t="e">
        <f>(SUMPRODUCT(Q724:AB724,VLOOKUP($Q$1:$AB$1,IngredientStats,4,FALSE))*VLOOKUP(B724,AmmoTypeFactors,14,FALSE)*IF('Ammo Input'!R724,1.1,1))</f>
        <v>#VALUE!</v>
      </c>
      <c r="Q724">
        <f>IFERROR(__xludf.DUMMYFUNCTION("((IF(NOT(OR(REGEXMATCH(B720, ""Arrow""), B720 = ""Javelin"", B720 = ""Stick bomb"")), ROUNDUP(('Ammo Input'!E720 / 1000) * N720)) + IF(VLOOKUP(B720, AmmoTypeFactors, 9, FALSE) = ""Steel"", ROUNDUP(('Ammo Input'!H720 -'Ammo Input'!M720) * MAX(IF('Ammo Inpu"&amp;"t'!J720 &gt; 0, 'Ammo Input'!J720, 1), 1) * N720 / 1000))) / 'Ingredient stats'!$C$2) * IF(ISBLANK(VLOOKUP(B720,AmmoTypeFactors,15,False)),1,VLOOKUP(B720,AmmoTypeFactors,15,False))"),18)</f>
        <v>18</v>
      </c>
      <c r="R724">
        <f>IFERROR(__xludf.DUMMYFUNCTION("ROUNDUP((IF(REGEXMATCH(B720, ""Arrow"") + (B720 = ""Javelin""), 'Ammo Input'!E720) + IF(VLOOKUP(B720, AmmoTypeFactors, 9, FALSE) = ""Wood"", 'Ammo Input'!H720) + IF(B720 = ""Stick bomb"", 'Ammo Input'!E720)) * N720 / 'Ingredient stats'!$C$12 / 1000)"),0)</f>
        <v>0</v>
      </c>
      <c r="S724">
        <v>0</v>
      </c>
      <c r="T724">
        <v>0</v>
      </c>
      <c r="U724">
        <f>IF(VLOOKUP(B724,AmmoTypeFactors,9,FALSE)="Plasteel",ROUNDUP(('Ammo Input'!H724*MAX(IF('Ammo Input'!J724&gt;0,'Ammo Input'!J724,1)*N724/1000/'Ingredient stats'!$C$4)),0),0)</f>
        <v>0</v>
      </c>
      <c r="V724">
        <f>IFERROR(__xludf.DUMMYFUNCTION("ROUNDUP(IF(ISBLANK(VLOOKUP(B720,AmmoTypeFactors,16,False)),1,VLOOKUP(B720,AmmoTypeFactors,16,False)) * (IFS(REGEXMATCH(B720, ""EMP""), 'Ammo Input'!M720 * N720 / 'Ingredient stats'!$C$5, REGEXMATCH(B720, ""Charge""), (U720^0.75), true, 0) + (IF(VLOOKUP(B7"&amp;"20, AmmoTypeFactors, 10, false), 2,0) + IF('Ammo Input'!P720, 2,0) + IF('Ammo Input'!Q720,MIN(ROUNDUP(0.2*('Ammo Input'!H720/1000)*'Ammo Input'!O720,0),20),0))))"),4)</f>
        <v>4</v>
      </c>
      <c r="W724">
        <v>0</v>
      </c>
      <c r="X724">
        <v>9</v>
      </c>
      <c r="Y724">
        <v>0</v>
      </c>
      <c r="Z724">
        <v>0</v>
      </c>
      <c r="AA724">
        <v>0</v>
      </c>
      <c r="AB724" s="30">
        <f>IF(B724="Sling Bullet (Stone)",ROUNDUP(D724*0.02*E724/'Ingredient stats'!$C$8,0),0)</f>
        <v>0</v>
      </c>
      <c r="AC724" t="str">
        <f t="shared" si="40"/>
        <v>None</v>
      </c>
      <c r="AD724" t="str">
        <f>IF(OR(B724="Buck",B724="Bird",B724="Charge (Scatter)"),'Ammo Input'!J724,"None")</f>
        <v>None</v>
      </c>
      <c r="AE724">
        <f>_xlfn.IFS(ISTEXT(Calcs!N724),Calcs!N724,Calcs!N724&lt;=40,Calcs!N724,Calcs!N724&gt;41,"40")</f>
        <v>1</v>
      </c>
      <c r="AF724">
        <f>_xlfn.IFS(ISTEXT(Calcs!O724),Calcs!O724,Calcs!O724&lt;=80,Calcs!O724,Calcs!O724&gt;=81,"80")</f>
        <v>11</v>
      </c>
      <c r="AG724" s="25">
        <f t="shared" si="41"/>
        <v>3</v>
      </c>
      <c r="AH724" s="25">
        <f t="shared" si="42"/>
        <v>0.45</v>
      </c>
      <c r="AI724" s="25">
        <f t="shared" si="43"/>
        <v>2</v>
      </c>
    </row>
    <row r="725" ht="14.4" spans="1:35">
      <c r="A725" s="24" t="str">
        <f>'Ammo Input'!A725</f>
        <v>M6A3</v>
      </c>
      <c r="B725" t="str">
        <f>'Ammo Input'!B725</f>
        <v>HEAT</v>
      </c>
      <c r="C725">
        <f>ROUNDUP(('Ammo Input'!C725*(MAX('Ammo Input'!D725,'Ammo Input'!F725)*0.5)^2*PI())*3/1000000,2)</f>
        <v>4.19</v>
      </c>
      <c r="D725">
        <f>ROUNDUP(('Ammo Input'!E725+'Ammo Input'!H725*IF('Ammo Input'!J725&lt;&gt;"",MAX('Ammo Input'!J725,1),1))/1000,3)</f>
        <v>1.53</v>
      </c>
      <c r="E725">
        <f>MIN(5000,MAX(25,CEILING(Calcs!L725,_xlfn.IFS(Calcs!L725&lt;100,25,Calcs!L725&lt;250,50,Calcs!L725&lt;1000,250,Calcs!L725&gt;=1000,1000))))</f>
        <v>25</v>
      </c>
      <c r="F725">
        <f>ROUNDUP('Ammo Input'!G725^(3/4),0)</f>
        <v>27</v>
      </c>
      <c r="G725">
        <f>ROUND((0.5*((IF(OR(B725="HEAT",B725="HEDP"),'Ammo Input'!N725,'Ammo Input'!H725)/1000)*(IF(B725="HEAT",9000,IF(B725="HEDP",1500,'Ammo Input'!G725))^2))),0)</f>
        <v>2430000</v>
      </c>
      <c r="H725" s="25" t="str">
        <f>CONCATENATE(IF((B725="Foam")+(B725="Smoke"),"-",ROUND(Calcs!D725,0))," ",VLOOKUP(B725,AmmoTypeFactors,5,FALSE))</f>
        <v>208 Bullet</v>
      </c>
      <c r="I725" s="25" t="str">
        <f>IF(Calcs!E725=0,"None",CONCATENATE(ROUND(Calcs!E725,0)," ",VLOOKUP(B725,AmmoTypeFactors,6,FALSE)))</f>
        <v>None</v>
      </c>
      <c r="J725">
        <f>MROUND(2.42*'Ammo Input'!M725^(1/3)*VLOOKUP(B725,AmmoTypeFactors,3,FALSE),0.5)</f>
        <v>1.5</v>
      </c>
      <c r="K725" s="25" t="str">
        <f>IF(VLOOKUP(B725,AmmoTypeFactors,12,FALSE),MROUND(J725/3,0.5),"None")</f>
        <v>None</v>
      </c>
      <c r="L725" s="25">
        <f>IF(VLOOKUP(B725,AmmoTypeFactors,8,FALSE),"None",ROUNDUP(IF(Calcs!I725&gt;0,Calcs!I725,Calcs!H725),3))</f>
        <v>42.273</v>
      </c>
      <c r="M725" s="25">
        <f>IF(VLOOKUP(B725,AmmoTypeFactors,8,FALSE),"None",'Ammo Input'!L725)</f>
        <v>76</v>
      </c>
      <c r="N725">
        <f>'Ammo Input'!O725</f>
        <v>5</v>
      </c>
      <c r="O725" t="e">
        <f>ROUND((P725*0.0036+SUMPRODUCT(Q725:AB725,VLOOKUP($Q$1:$AB$1,IngredientStats,2,FALSE)))/N725*IF('Ammo Input'!R725,0.5,1),2)</f>
        <v>#VALUE!</v>
      </c>
      <c r="P725" t="e">
        <f>(SUMPRODUCT(Q725:AB725,VLOOKUP($Q$1:$AB$1,IngredientStats,4,FALSE))*VLOOKUP(B725,AmmoTypeFactors,14,FALSE)*IF('Ammo Input'!R725,1.1,1))</f>
        <v>#VALUE!</v>
      </c>
      <c r="Q725">
        <f>IFERROR(__xludf.DUMMYFUNCTION("((IF(NOT(OR(REGEXMATCH(B721, ""Arrow""), B721 = ""Javelin"", B721 = ""Stick bomb"")), ROUNDUP(('Ammo Input'!E721 / 1000) * N721)) + IF(VLOOKUP(B721, AmmoTypeFactors, 9, FALSE) = ""Steel"", ROUNDUP(('Ammo Input'!H721 -'Ammo Input'!M721) * MAX(IF('Ammo Inpu"&amp;"t'!J721 &gt; 0, 'Ammo Input'!J721, 1), 1) * N721 / 1000))) / 'Ingredient stats'!$C$2) * IF(ISBLANK(VLOOKUP(B721,AmmoTypeFactors,15,False)),1,VLOOKUP(B721,AmmoTypeFactors,15,False))"),18)</f>
        <v>18</v>
      </c>
      <c r="R725">
        <f>IFERROR(__xludf.DUMMYFUNCTION("ROUNDUP((IF(REGEXMATCH(B721, ""Arrow"") + (B721 = ""Javelin""), 'Ammo Input'!E721) + IF(VLOOKUP(B721, AmmoTypeFactors, 9, FALSE) = ""Wood"", 'Ammo Input'!H721) + IF(B721 = ""Stick bomb"", 'Ammo Input'!E721)) * N721 / 'Ingredient stats'!$C$12 / 1000)"),0)</f>
        <v>0</v>
      </c>
      <c r="S725">
        <v>0</v>
      </c>
      <c r="T725">
        <v>0</v>
      </c>
      <c r="U725">
        <f>IF(VLOOKUP(B725,AmmoTypeFactors,9,FALSE)="Plasteel",ROUNDUP(('Ammo Input'!H725*MAX(IF('Ammo Input'!J725&gt;0,'Ammo Input'!J725,1)*N725/1000/'Ingredient stats'!$C$4)),0),0)</f>
        <v>0</v>
      </c>
      <c r="V725">
        <f>IFERROR(__xludf.DUMMYFUNCTION("ROUNDUP(IF(ISBLANK(VLOOKUP(B721,AmmoTypeFactors,16,False)),1,VLOOKUP(B721,AmmoTypeFactors,16,False)) * (IFS(REGEXMATCH(B721, ""EMP""), 'Ammo Input'!M721 * N721 / 'Ingredient stats'!$C$5, REGEXMATCH(B721, ""Charge""), (U721^0.75), true, 0) + (IF(VLOOKUP(B7"&amp;"21, AmmoTypeFactors, 10, false), 2,0) + IF('Ammo Input'!P721, 2,0) + IF('Ammo Input'!Q721,MIN(ROUNDUP(0.2*('Ammo Input'!H721/1000)*'Ammo Input'!O721,0),20),0))))"),4)</f>
        <v>4</v>
      </c>
      <c r="W725">
        <v>0</v>
      </c>
      <c r="X725">
        <v>9</v>
      </c>
      <c r="Y725">
        <v>0</v>
      </c>
      <c r="Z725">
        <v>0</v>
      </c>
      <c r="AA725">
        <v>0</v>
      </c>
      <c r="AB725" s="30">
        <f>IF(B725="Sling Bullet (Stone)",ROUNDUP(D725*0.02*E725/'Ingredient stats'!$C$8,0),0)</f>
        <v>0</v>
      </c>
      <c r="AC725" t="str">
        <f t="shared" si="40"/>
        <v>None</v>
      </c>
      <c r="AD725" t="str">
        <f>IF(OR(B725="Buck",B725="Bird",B725="Charge (Scatter)"),'Ammo Input'!J725,"None")</f>
        <v>None</v>
      </c>
      <c r="AE725">
        <f>_xlfn.IFS(ISTEXT(Calcs!N725),Calcs!N725,Calcs!N725&lt;=40,Calcs!N725,Calcs!N725&gt;41,"40")</f>
        <v>1</v>
      </c>
      <c r="AF725">
        <f>_xlfn.IFS(ISTEXT(Calcs!O725),Calcs!O725,Calcs!O725&lt;=80,Calcs!O725,Calcs!O725&gt;=81,"80")</f>
        <v>11</v>
      </c>
      <c r="AG725" s="25">
        <f t="shared" si="41"/>
        <v>3</v>
      </c>
      <c r="AH725" s="25">
        <f t="shared" si="42"/>
        <v>0.45</v>
      </c>
      <c r="AI725" s="25">
        <f t="shared" si="43"/>
        <v>2</v>
      </c>
    </row>
    <row r="726" ht="14.4" spans="1:35">
      <c r="A726" s="24" t="str">
        <f>'Ammo Input'!A726</f>
        <v>M6A3</v>
      </c>
      <c r="B726" t="str">
        <f>'Ammo Input'!B726</f>
        <v>Incendiary</v>
      </c>
      <c r="C726">
        <f>ROUNDUP(('Ammo Input'!C726*(MAX('Ammo Input'!D726,'Ammo Input'!F726)*0.5)^2*PI())*3/1000000,2)</f>
        <v>3.81</v>
      </c>
      <c r="D726">
        <f>ROUNDUP(('Ammo Input'!E726+'Ammo Input'!H726*IF('Ammo Input'!J726&lt;&gt;"",MAX('Ammo Input'!J726,1),1))/1000,3)</f>
        <v>1.59</v>
      </c>
      <c r="E726">
        <f>MIN(5000,MAX(25,CEILING(Calcs!L726,_xlfn.IFS(Calcs!L726&lt;100,25,Calcs!L726&lt;250,50,Calcs!L726&lt;1000,250,Calcs!L726&gt;=1000,1000))))</f>
        <v>25</v>
      </c>
      <c r="F726">
        <f>ROUNDUP('Ammo Input'!G726^(3/4),0)</f>
        <v>27</v>
      </c>
      <c r="G726">
        <f>ROUND((0.5*((IF(OR(B726="HEAT",B726="HEDP"),'Ammo Input'!N726,'Ammo Input'!H726)/1000)*(IF(B726="HEAT",9000,IF(B726="HEDP",1500,'Ammo Input'!G726))^2))),0)</f>
        <v>4232</v>
      </c>
      <c r="H726" s="25" t="str">
        <f>CONCATENATE(IF((B726="Foam")+(B726="Smoke"),"-",ROUND(Calcs!D726,0))," ",VLOOKUP(B726,AmmoTypeFactors,5,FALSE))</f>
        <v>12 Flame</v>
      </c>
      <c r="I726" s="25" t="str">
        <f>IF(Calcs!E726=0,"None",CONCATENATE(ROUND(Calcs!E726,0)," ",VLOOKUP(B726,AmmoTypeFactors,6,FALSE)))</f>
        <v>None</v>
      </c>
      <c r="J726">
        <f>MROUND(2.42*'Ammo Input'!M726^(1/3)*VLOOKUP(B726,AmmoTypeFactors,3,FALSE),0.5)</f>
        <v>6.5</v>
      </c>
      <c r="K726" s="25" t="str">
        <f>IF(VLOOKUP(B726,AmmoTypeFactors,12,FALSE),MROUND(J726/3,0.5),"None")</f>
        <v>None</v>
      </c>
      <c r="L726" s="25" t="str">
        <f>IF(VLOOKUP(B726,AmmoTypeFactors,8,FALSE),"None",ROUNDUP(IF(Calcs!I726&gt;0,Calcs!I726,Calcs!H726),3))</f>
        <v>None</v>
      </c>
      <c r="M726" s="25" t="str">
        <f>IF(VLOOKUP(B726,AmmoTypeFactors,8,FALSE),"None",'Ammo Input'!L726)</f>
        <v>None</v>
      </c>
      <c r="N726">
        <f>'Ammo Input'!O726</f>
        <v>5</v>
      </c>
      <c r="O726" t="e">
        <f>ROUND((P726*0.0036+SUMPRODUCT(Q726:AB726,VLOOKUP($Q$1:$AB$1,IngredientStats,2,FALSE)))/N726*IF('Ammo Input'!R726,0.5,1),2)</f>
        <v>#VALUE!</v>
      </c>
      <c r="P726" t="e">
        <f>(SUMPRODUCT(Q726:AB726,VLOOKUP($Q$1:$AB$1,IngredientStats,4,FALSE))*VLOOKUP(B726,AmmoTypeFactors,14,FALSE)*IF('Ammo Input'!R726,1.1,1))</f>
        <v>#VALUE!</v>
      </c>
      <c r="Q726">
        <f>IFERROR(__xludf.DUMMYFUNCTION("((IF(NOT(OR(REGEXMATCH(B722, ""Arrow""), B722 = ""Javelin"", B722 = ""Stick bomb"")), ROUNDUP(('Ammo Input'!E722 / 1000) * N722)) + IF(VLOOKUP(B722, AmmoTypeFactors, 9, FALSE) = ""Steel"", ROUNDUP(('Ammo Input'!H722 -'Ammo Input'!M722) * MAX(IF('Ammo Inpu"&amp;"t'!J722 &gt; 0, 'Ammo Input'!J722, 1), 1) * N722 / 1000))) / 'Ingredient stats'!$C$2) * IF(ISBLANK(VLOOKUP(B722,AmmoTypeFactors,15,False)),1,VLOOKUP(B722,AmmoTypeFactors,15,False))"),18)</f>
        <v>18</v>
      </c>
      <c r="R726">
        <f>IFERROR(__xludf.DUMMYFUNCTION("ROUNDUP((IF(REGEXMATCH(B722, ""Arrow"") + (B722 = ""Javelin""), 'Ammo Input'!E722) + IF(VLOOKUP(B722, AmmoTypeFactors, 9, FALSE) = ""Wood"", 'Ammo Input'!H722) + IF(B722 = ""Stick bomb"", 'Ammo Input'!E722)) * N722 / 'Ingredient stats'!$C$12 / 1000)"),0)</f>
        <v>0</v>
      </c>
      <c r="S726">
        <v>0</v>
      </c>
      <c r="T726">
        <v>0</v>
      </c>
      <c r="U726">
        <f>IF(VLOOKUP(B726,AmmoTypeFactors,9,FALSE)="Plasteel",ROUNDUP(('Ammo Input'!H726*MAX(IF('Ammo Input'!J726&gt;0,'Ammo Input'!J726,1)*N726/1000/'Ingredient stats'!$C$4)),0),0)</f>
        <v>0</v>
      </c>
      <c r="V726">
        <f>IFERROR(__xludf.DUMMYFUNCTION("ROUNDUP(IF(ISBLANK(VLOOKUP(B722,AmmoTypeFactors,16,False)),1,VLOOKUP(B722,AmmoTypeFactors,16,False)) * (IFS(REGEXMATCH(B722, ""EMP""), 'Ammo Input'!M722 * N722 / 'Ingredient stats'!$C$5, REGEXMATCH(B722, ""Charge""), (U722^0.75), true, 0) + (IF(VLOOKUP(B7"&amp;"22, AmmoTypeFactors, 10, false), 2,0) + IF('Ammo Input'!P722, 2,0) + IF('Ammo Input'!Q722,MIN(ROUNDUP(0.2*('Ammo Input'!H722/1000)*'Ammo Input'!O722,0),20),0))))"),4)</f>
        <v>4</v>
      </c>
      <c r="W726">
        <v>4</v>
      </c>
      <c r="X726">
        <v>0</v>
      </c>
      <c r="Y726">
        <v>0</v>
      </c>
      <c r="Z726">
        <v>0</v>
      </c>
      <c r="AA726">
        <v>0</v>
      </c>
      <c r="AB726" s="30">
        <f>IF(B726="Sling Bullet (Stone)",ROUNDUP(D726*0.02*E726/'Ingredient stats'!$C$8,0),0)</f>
        <v>0</v>
      </c>
      <c r="AC726" t="str">
        <f t="shared" si="40"/>
        <v>None</v>
      </c>
      <c r="AD726" t="str">
        <f>IF(OR(B726="Buck",B726="Bird",B726="Charge (Scatter)"),'Ammo Input'!J726,"None")</f>
        <v>None</v>
      </c>
      <c r="AE726" t="str">
        <f>_xlfn.IFS(ISTEXT(Calcs!N726),Calcs!N726,Calcs!N726&lt;=40,Calcs!N726,Calcs!N726&gt;41,"40")</f>
        <v>None</v>
      </c>
      <c r="AF726" t="str">
        <f>_xlfn.IFS(ISTEXT(Calcs!O726),Calcs!O726,Calcs!O726&lt;=80,Calcs!O726,Calcs!O726&gt;=81,"80")</f>
        <v>None</v>
      </c>
      <c r="AG726" s="25">
        <f t="shared" si="41"/>
        <v>3</v>
      </c>
      <c r="AH726" s="25">
        <f t="shared" si="42"/>
        <v>0.45</v>
      </c>
      <c r="AI726" s="25">
        <f t="shared" si="43"/>
        <v>2</v>
      </c>
    </row>
    <row r="727" ht="14.4" spans="1:35">
      <c r="A727" s="24" t="str">
        <f>'Ammo Input'!A727</f>
        <v>M72 LAW</v>
      </c>
      <c r="B727" t="str">
        <f>'Ammo Input'!B727</f>
        <v>HEAT</v>
      </c>
      <c r="C727">
        <f>ROUNDUP(('Ammo Input'!C727*(MAX('Ammo Input'!D727,'Ammo Input'!F727)*0.5)^2*PI())*3/1000000,2)</f>
        <v>15.79</v>
      </c>
      <c r="D727">
        <f>ROUNDUP(('Ammo Input'!E727+'Ammo Input'!H727*IF('Ammo Input'!J727&lt;&gt;"",MAX('Ammo Input'!J727,1),1))/1000,3)</f>
        <v>2.5</v>
      </c>
      <c r="E727">
        <f>MIN(5000,MAX(25,CEILING(Calcs!L727,_xlfn.IFS(Calcs!L727&lt;100,25,Calcs!L727&lt;250,50,Calcs!L727&lt;1000,250,Calcs!L727&gt;=1000,1000))))</f>
        <v>25</v>
      </c>
      <c r="F727">
        <f>ROUNDUP('Ammo Input'!G727^(3/4),0)</f>
        <v>42</v>
      </c>
      <c r="G727">
        <f>ROUND((0.5*((IF(OR(B727="HEAT",B727="HEDP"),'Ammo Input'!N727,'Ammo Input'!H727)/1000)*(IF(B727="HEAT",9000,IF(B727="HEDP",1500,'Ammo Input'!G727))^2))),0)</f>
        <v>4050000</v>
      </c>
      <c r="H727" s="25" t="str">
        <f>CONCATENATE(IF((B727="Foam")+(B727="Smoke"),"-",ROUND(Calcs!D727,0))," ",VLOOKUP(B727,AmmoTypeFactors,5,FALSE))</f>
        <v>248 Bullet</v>
      </c>
      <c r="I727" s="25" t="str">
        <f>IF(Calcs!E727=0,"None",CONCATENATE(ROUND(Calcs!E727,0)," ",VLOOKUP(B727,AmmoTypeFactors,6,FALSE)))</f>
        <v>None</v>
      </c>
      <c r="J727">
        <f>MROUND(2.42*'Ammo Input'!M727^(1/3)*VLOOKUP(B727,AmmoTypeFactors,3,FALSE),0.5)</f>
        <v>1</v>
      </c>
      <c r="K727" s="25" t="str">
        <f>IF(VLOOKUP(B727,AmmoTypeFactors,12,FALSE),MROUND(J727/3,0.5),"None")</f>
        <v>None</v>
      </c>
      <c r="L727" s="25">
        <f>IF(VLOOKUP(B727,AmmoTypeFactors,8,FALSE),"None",ROUNDUP(IF(Calcs!I727&gt;0,Calcs!I727,Calcs!H727),3))</f>
        <v>31.584</v>
      </c>
      <c r="M727" s="25">
        <f>IF(VLOOKUP(B727,AmmoTypeFactors,8,FALSE),"None",'Ammo Input'!L727)</f>
        <v>300</v>
      </c>
      <c r="N727">
        <f>'Ammo Input'!O727</f>
        <v>5</v>
      </c>
      <c r="O727" t="e">
        <f>ROUND((P727*0.0036+SUMPRODUCT(Q727:AB727,VLOOKUP($Q$1:$AB$1,IngredientStats,2,FALSE)))/N727*IF('Ammo Input'!R727,0.5,1),2)</f>
        <v>#VALUE!</v>
      </c>
      <c r="P727" t="e">
        <f>(SUMPRODUCT(Q727:AB727,VLOOKUP($Q$1:$AB$1,IngredientStats,4,FALSE))*VLOOKUP(B727,AmmoTypeFactors,14,FALSE)*IF('Ammo Input'!R727,1.1,1))</f>
        <v>#VALUE!</v>
      </c>
      <c r="Q727">
        <f>IFERROR(__xludf.DUMMYFUNCTION("((IF(NOT(OR(REGEXMATCH(B723, ""Arrow""), B723 = ""Javelin"", B723 = ""Stick bomb"")), ROUNDUP(('Ammo Input'!E723 / 1000) * N723)) + IF(VLOOKUP(B723, AmmoTypeFactors, 9, FALSE) = ""Steel"", ROUNDUP(('Ammo Input'!H723 -'Ammo Input'!M723) * MAX(IF('Ammo Inpu"&amp;"t'!J723 &gt; 0, 'Ammo Input'!J723, 1), 1) * N723 / 1000))) / 'Ingredient stats'!$C$2) * IF(ISBLANK(VLOOKUP(B723,AmmoTypeFactors,15,False)),1,VLOOKUP(B723,AmmoTypeFactors,15,False))"),26)</f>
        <v>26</v>
      </c>
      <c r="R727">
        <f>IFERROR(__xludf.DUMMYFUNCTION("ROUNDUP((IF(REGEXMATCH(B723, ""Arrow"") + (B723 = ""Javelin""), 'Ammo Input'!E723) + IF(VLOOKUP(B723, AmmoTypeFactors, 9, FALSE) = ""Wood"", 'Ammo Input'!H723) + IF(B723 = ""Stick bomb"", 'Ammo Input'!E723)) * N723 / 'Ingredient stats'!$C$12 / 1000)"),0)</f>
        <v>0</v>
      </c>
      <c r="S727">
        <v>0</v>
      </c>
      <c r="T727">
        <v>0</v>
      </c>
      <c r="U727">
        <f>IF(VLOOKUP(B727,AmmoTypeFactors,9,FALSE)="Plasteel",ROUNDUP(('Ammo Input'!H727*MAX(IF('Ammo Input'!J727&gt;0,'Ammo Input'!J727,1)*N727/1000/'Ingredient stats'!$C$4)),0),0)</f>
        <v>0</v>
      </c>
      <c r="V727">
        <f>IFERROR(__xludf.DUMMYFUNCTION("ROUNDUP(IF(ISBLANK(VLOOKUP(B723,AmmoTypeFactors,16,False)),1,VLOOKUP(B723,AmmoTypeFactors,16,False)) * (IFS(REGEXMATCH(B723, ""EMP""), 'Ammo Input'!M723 * N723 / 'Ingredient stats'!$C$5, REGEXMATCH(B723, ""Charge""), (U723^0.75), true, 0) + (IF(VLOOKUP(B7"&amp;"23, AmmoTypeFactors, 10, false), 2,0) + IF('Ammo Input'!P723, 2,0) + IF('Ammo Input'!Q723,MIN(ROUNDUP(0.2*('Ammo Input'!H723/1000)*'Ammo Input'!O723,0),20),0))))"),4)</f>
        <v>4</v>
      </c>
      <c r="W727">
        <v>0</v>
      </c>
      <c r="X727">
        <v>6</v>
      </c>
      <c r="Y727">
        <v>0</v>
      </c>
      <c r="Z727">
        <v>0</v>
      </c>
      <c r="AA727">
        <v>0</v>
      </c>
      <c r="AB727" s="30">
        <f>IF(B727="Sling Bullet (Stone)",ROUNDUP(D727*0.02*E727/'Ingredient stats'!$C$8,0),0)</f>
        <v>0</v>
      </c>
      <c r="AC727" t="str">
        <f t="shared" si="40"/>
        <v>None</v>
      </c>
      <c r="AD727" t="str">
        <f>IF(OR(B727="Buck",B727="Bird",B727="Charge (Scatter)"),'Ammo Input'!J727,"None")</f>
        <v>None</v>
      </c>
      <c r="AE727">
        <f>_xlfn.IFS(ISTEXT(Calcs!N727),Calcs!N727,Calcs!N727&lt;=40,Calcs!N727,Calcs!N727&gt;41,"40")</f>
        <v>3</v>
      </c>
      <c r="AF727">
        <f>_xlfn.IFS(ISTEXT(Calcs!O727),Calcs!O727,Calcs!O727&lt;=80,Calcs!O727,Calcs!O727&gt;=81,"80")</f>
        <v>7</v>
      </c>
      <c r="AG727" s="25">
        <f t="shared" si="41"/>
        <v>3</v>
      </c>
      <c r="AH727" s="25">
        <f t="shared" si="42"/>
        <v>0.7</v>
      </c>
      <c r="AI727" s="25">
        <f t="shared" si="43"/>
        <v>2</v>
      </c>
    </row>
    <row r="728" ht="14.4" spans="1:35">
      <c r="A728" s="24" t="str">
        <f>'Ammo Input'!A728</f>
        <v>M74</v>
      </c>
      <c r="B728" t="str">
        <f>'Ammo Input'!B728</f>
        <v>Incendiary</v>
      </c>
      <c r="C728">
        <f>ROUNDUP(('Ammo Input'!C728*(MAX('Ammo Input'!D728,'Ammo Input'!F728)*0.5)^2*PI())*3/1000000,2)</f>
        <v>10.43</v>
      </c>
      <c r="D728">
        <f>ROUNDUP(('Ammo Input'!E728+'Ammo Input'!H728*IF('Ammo Input'!J728&lt;&gt;"",MAX('Ammo Input'!J728,1),1))/1000,3)</f>
        <v>1.71</v>
      </c>
      <c r="E728">
        <f>MIN(5000,MAX(25,CEILING(Calcs!L728,_xlfn.IFS(Calcs!L728&lt;100,25,Calcs!L728&lt;250,50,Calcs!L728&lt;1000,250,Calcs!L728&gt;=1000,1000))))</f>
        <v>25</v>
      </c>
      <c r="F728">
        <f>ROUNDUP('Ammo Input'!G728^(3/4),0)</f>
        <v>35</v>
      </c>
      <c r="G728">
        <f>ROUND((0.5*((IF(OR(B728="HEAT",B728="HEDP"),'Ammo Input'!N728,'Ammo Input'!H728)/1000)*(IF(B728="HEAT",9000,IF(B728="HEDP",1500,'Ammo Input'!G728))^2))),0)</f>
        <v>8837</v>
      </c>
      <c r="H728" s="25" t="str">
        <f>CONCATENATE(IF((B728="Foam")+(B728="Smoke"),"-",ROUND(Calcs!D728,0))," ",VLOOKUP(B728,AmmoTypeFactors,5,FALSE))</f>
        <v>9 Flame</v>
      </c>
      <c r="I728" s="25" t="str">
        <f>IF(Calcs!E728=0,"None",CONCATENATE(ROUND(Calcs!E728,0)," ",VLOOKUP(B728,AmmoTypeFactors,6,FALSE)))</f>
        <v>None</v>
      </c>
      <c r="J728">
        <f>MROUND(2.42*'Ammo Input'!M728^(1/3)*VLOOKUP(B728,AmmoTypeFactors,3,FALSE),0.5)</f>
        <v>6</v>
      </c>
      <c r="K728" s="25" t="str">
        <f>IF(VLOOKUP(B728,AmmoTypeFactors,12,FALSE),MROUND(J728/3,0.5),"None")</f>
        <v>None</v>
      </c>
      <c r="L728" s="25" t="str">
        <f>IF(VLOOKUP(B728,AmmoTypeFactors,8,FALSE),"None",ROUNDUP(IF(Calcs!I728&gt;0,Calcs!I728,Calcs!H728),3))</f>
        <v>None</v>
      </c>
      <c r="M728" s="25" t="str">
        <f>IF(VLOOKUP(B728,AmmoTypeFactors,8,FALSE),"None",'Ammo Input'!L728)</f>
        <v>None</v>
      </c>
      <c r="N728">
        <f>'Ammo Input'!O728</f>
        <v>4</v>
      </c>
      <c r="O728" t="e">
        <f>ROUND((P728*0.0036+SUMPRODUCT(Q728:AB728,VLOOKUP($Q$1:$AB$1,IngredientStats,2,FALSE)))/N728*IF('Ammo Input'!R728,0.5,1),2)</f>
        <v>#VALUE!</v>
      </c>
      <c r="P728" t="e">
        <f>(SUMPRODUCT(Q728:AB728,VLOOKUP($Q$1:$AB$1,IngredientStats,4,FALSE))*VLOOKUP(B728,AmmoTypeFactors,14,FALSE)*IF('Ammo Input'!R728,1.1,1))</f>
        <v>#VALUE!</v>
      </c>
      <c r="Q728">
        <f>IFERROR(__xludf.DUMMYFUNCTION("((IF(NOT(OR(REGEXMATCH(B724, ""Arrow""), B724 = ""Javelin"", B724 = ""Stick bomb"")), ROUNDUP(('Ammo Input'!E724 / 1000) * N724)) + IF(VLOOKUP(B724, AmmoTypeFactors, 9, FALSE) = ""Steel"", ROUNDUP(('Ammo Input'!H724 -'Ammo Input'!M724) * MAX(IF('Ammo Inpu"&amp;"t'!J724 &gt; 0, 'Ammo Input'!J724, 1), 1) * N724 / 1000))) / 'Ingredient stats'!$C$2) * IF(ISBLANK(VLOOKUP(B724,AmmoTypeFactors,15,False)),1,VLOOKUP(B724,AmmoTypeFactors,15,False))"),16)</f>
        <v>16</v>
      </c>
      <c r="R728">
        <f>IFERROR(__xludf.DUMMYFUNCTION("ROUNDUP((IF(REGEXMATCH(B724, ""Arrow"") + (B724 = ""Javelin""), 'Ammo Input'!E724) + IF(VLOOKUP(B724, AmmoTypeFactors, 9, FALSE) = ""Wood"", 'Ammo Input'!H724) + IF(B724 = ""Stick bomb"", 'Ammo Input'!E724)) * N724 / 'Ingredient stats'!$C$12 / 1000)"),0)</f>
        <v>0</v>
      </c>
      <c r="S728">
        <v>0</v>
      </c>
      <c r="T728">
        <v>0</v>
      </c>
      <c r="U728">
        <f>IF(VLOOKUP(B728,AmmoTypeFactors,9,FALSE)="Plasteel",ROUNDUP(('Ammo Input'!H728*MAX(IF('Ammo Input'!J728&gt;0,'Ammo Input'!J728,1)*N728/1000/'Ingredient stats'!$C$4)),0),0)</f>
        <v>0</v>
      </c>
      <c r="V728">
        <f>IFERROR(__xludf.DUMMYFUNCTION("ROUNDUP(IF(ISBLANK(VLOOKUP(B724,AmmoTypeFactors,16,False)),1,VLOOKUP(B724,AmmoTypeFactors,16,False)) * (IFS(REGEXMATCH(B724, ""EMP""), 'Ammo Input'!M724 * N724 / 'Ingredient stats'!$C$5, REGEXMATCH(B724, ""Charge""), (U724^0.75), true, 0) + (IF(VLOOKUP(B7"&amp;"24, AmmoTypeFactors, 10, false), 2,0) + IF('Ammo Input'!P724, 2,0) + IF('Ammo Input'!Q724,MIN(ROUNDUP(0.2*('Ammo Input'!H724/1000)*'Ammo Input'!O724,0),20),0))))"),4)</f>
        <v>4</v>
      </c>
      <c r="W728">
        <v>3</v>
      </c>
      <c r="X728">
        <v>0</v>
      </c>
      <c r="Y728">
        <v>0</v>
      </c>
      <c r="Z728">
        <v>0</v>
      </c>
      <c r="AA728">
        <v>0</v>
      </c>
      <c r="AB728" s="30">
        <f>IF(B728="Sling Bullet (Stone)",ROUNDUP(D728*0.02*E728/'Ingredient stats'!$C$8,0),0)</f>
        <v>0</v>
      </c>
      <c r="AC728" t="str">
        <f t="shared" si="40"/>
        <v>None</v>
      </c>
      <c r="AD728" t="str">
        <f>IF(OR(B728="Buck",B728="Bird",B728="Charge (Scatter)"),'Ammo Input'!J728,"None")</f>
        <v>None</v>
      </c>
      <c r="AE728" t="str">
        <f>_xlfn.IFS(ISTEXT(Calcs!N728),Calcs!N728,Calcs!N728&lt;=40,Calcs!N728,Calcs!N728&gt;41,"40")</f>
        <v>None</v>
      </c>
      <c r="AF728" t="str">
        <f>_xlfn.IFS(ISTEXT(Calcs!O728),Calcs!O728,Calcs!O728&lt;=80,Calcs!O728,Calcs!O728&gt;=81,"80")</f>
        <v>None</v>
      </c>
      <c r="AG728" s="25">
        <f t="shared" si="41"/>
        <v>3</v>
      </c>
      <c r="AH728" s="25">
        <f t="shared" si="42"/>
        <v>0.58</v>
      </c>
      <c r="AI728" s="25">
        <f t="shared" si="43"/>
        <v>2</v>
      </c>
    </row>
    <row r="729" ht="14.4" spans="1:35">
      <c r="A729" s="24" t="str">
        <f>'Ammo Input'!A729</f>
        <v>RPG 28</v>
      </c>
      <c r="B729" t="str">
        <f>'Ammo Input'!B729</f>
        <v>HEAT</v>
      </c>
      <c r="C729">
        <f>ROUNDUP(('Ammo Input'!C729*(MAX('Ammo Input'!D729,'Ammo Input'!F729)*0.5)^2*PI())*3/1000000,2)</f>
        <v>35.9</v>
      </c>
      <c r="D729">
        <f>ROUNDUP(('Ammo Input'!E729+'Ammo Input'!H729*IF('Ammo Input'!J729&lt;&gt;"",MAX('Ammo Input'!J729,1),1))/1000,3)</f>
        <v>13.1</v>
      </c>
      <c r="E729">
        <f>MIN(5000,MAX(25,CEILING(Calcs!L729,_xlfn.IFS(Calcs!L729&lt;100,25,Calcs!L729&lt;250,50,Calcs!L729&lt;1000,250,Calcs!L729&gt;=1000,1000))))</f>
        <v>25</v>
      </c>
      <c r="F729">
        <f>ROUNDUP('Ammo Input'!G729^(3/4),0)</f>
        <v>65</v>
      </c>
      <c r="G729">
        <f>ROUND((0.5*((IF(OR(B729="HEAT",B729="HEDP"),'Ammo Input'!N729,'Ammo Input'!H729)/1000)*(IF(B729="HEAT",9000,IF(B729="HEDP",1500,'Ammo Input'!G729))^2))),0)</f>
        <v>5670000</v>
      </c>
      <c r="H729" s="25" t="str">
        <f>CONCATENATE(IF((B729="Foam")+(B729="Smoke"),"-",ROUND(Calcs!D729,0))," ",VLOOKUP(B729,AmmoTypeFactors,5,FALSE))</f>
        <v>279 Bullet</v>
      </c>
      <c r="I729" s="25" t="str">
        <f>IF(Calcs!E729=0,"None",CONCATENATE(ROUND(Calcs!E729,0)," ",VLOOKUP(B729,AmmoTypeFactors,6,FALSE)))</f>
        <v>None</v>
      </c>
      <c r="J729">
        <f>MROUND(2.42*'Ammo Input'!M729^(1/3)*VLOOKUP(B729,AmmoTypeFactors,3,FALSE),0.5)</f>
        <v>1.5</v>
      </c>
      <c r="K729" s="25" t="str">
        <f>IF(VLOOKUP(B729,AmmoTypeFactors,12,FALSE),MROUND(J729/3,0.5),"None")</f>
        <v>None</v>
      </c>
      <c r="L729" s="25">
        <f>IF(VLOOKUP(B729,AmmoTypeFactors,8,FALSE),"None",ROUNDUP(IF(Calcs!I729&gt;0,Calcs!I729,Calcs!H729),3))</f>
        <v>46.227</v>
      </c>
      <c r="M729" s="25">
        <f>IF(VLOOKUP(B729,AmmoTypeFactors,8,FALSE),"None",'Ammo Input'!L729)</f>
        <v>1000</v>
      </c>
      <c r="N729">
        <f>'Ammo Input'!O729</f>
        <v>5</v>
      </c>
      <c r="O729" t="e">
        <f>ROUND((P729*0.0036+SUMPRODUCT(Q729:AB729,VLOOKUP($Q$1:$AB$1,IngredientStats,2,FALSE)))/N729*IF('Ammo Input'!R729,0.5,1),2)</f>
        <v>#VALUE!</v>
      </c>
      <c r="P729" t="e">
        <f>(SUMPRODUCT(Q729:AB729,VLOOKUP($Q$1:$AB$1,IngredientStats,4,FALSE))*VLOOKUP(B729,AmmoTypeFactors,14,FALSE)*IF('Ammo Input'!R729,1.1,1))</f>
        <v>#VALUE!</v>
      </c>
      <c r="Q729">
        <f>IFERROR(__xludf.DUMMYFUNCTION("((IF(NOT(OR(REGEXMATCH(B725, ""Arrow""), B725 = ""Javelin"", B725 = ""Stick bomb"")), ROUNDUP(('Ammo Input'!E725 / 1000) * N725)) + IF(VLOOKUP(B725, AmmoTypeFactors, 9, FALSE) = ""Steel"", ROUNDUP(('Ammo Input'!H725 -'Ammo Input'!M725) * MAX(IF('Ammo Inpu"&amp;"t'!J725 &gt; 0, 'Ammo Input'!J725, 1), 1) * N725 / 1000))) / 'Ingredient stats'!$C$2) * IF(ISBLANK(VLOOKUP(B725,AmmoTypeFactors,15,False)),1,VLOOKUP(B725,AmmoTypeFactors,15,False))"),132)</f>
        <v>132</v>
      </c>
      <c r="R729">
        <f>IFERROR(__xludf.DUMMYFUNCTION("ROUNDUP((IF(REGEXMATCH(B725, ""Arrow"") + (B725 = ""Javelin""), 'Ammo Input'!E725) + IF(VLOOKUP(B725, AmmoTypeFactors, 9, FALSE) = ""Wood"", 'Ammo Input'!H725) + IF(B725 = ""Stick bomb"", 'Ammo Input'!E725)) * N725 / 'Ingredient stats'!$C$12 / 1000)"),0)</f>
        <v>0</v>
      </c>
      <c r="S729">
        <v>0</v>
      </c>
      <c r="T729">
        <v>0</v>
      </c>
      <c r="U729">
        <f>IF(VLOOKUP(B729,AmmoTypeFactors,9,FALSE)="Plasteel",ROUNDUP(('Ammo Input'!H729*MAX(IF('Ammo Input'!J729&gt;0,'Ammo Input'!J729,1)*N729/1000/'Ingredient stats'!$C$4)),0),0)</f>
        <v>0</v>
      </c>
      <c r="V729">
        <f>IFERROR(__xludf.DUMMYFUNCTION("ROUNDUP(IF(ISBLANK(VLOOKUP(B725,AmmoTypeFactors,16,False)),1,VLOOKUP(B725,AmmoTypeFactors,16,False)) * (IFS(REGEXMATCH(B725, ""EMP""), 'Ammo Input'!M725 * N725 / 'Ingredient stats'!$C$5, REGEXMATCH(B725, ""Charge""), (U725^0.75), true, 0) + (IF(VLOOKUP(B7"&amp;"25, AmmoTypeFactors, 10, false), 2,0) + IF('Ammo Input'!P725, 2,0) + IF('Ammo Input'!Q725,MIN(ROUNDUP(0.2*('Ammo Input'!H725/1000)*'Ammo Input'!O725,0),20),0))))"),4)</f>
        <v>4</v>
      </c>
      <c r="W729">
        <v>0</v>
      </c>
      <c r="X729">
        <v>10</v>
      </c>
      <c r="Y729">
        <v>0</v>
      </c>
      <c r="Z729">
        <v>0</v>
      </c>
      <c r="AA729">
        <v>0</v>
      </c>
      <c r="AB729" s="30">
        <f>IF(B729="Sling Bullet (Stone)",ROUNDUP(D729*0.02*E729/'Ingredient stats'!$C$8,0),0)</f>
        <v>0</v>
      </c>
      <c r="AC729" t="str">
        <f t="shared" si="40"/>
        <v>None</v>
      </c>
      <c r="AD729" t="str">
        <f>IF(OR(B729="Buck",B729="Bird",B729="Charge (Scatter)"),'Ammo Input'!J729,"None")</f>
        <v>None</v>
      </c>
      <c r="AE729">
        <f>_xlfn.IFS(ISTEXT(Calcs!N729),Calcs!N729,Calcs!N729&lt;=40,Calcs!N729,Calcs!N729&gt;41,"40")</f>
        <v>20</v>
      </c>
      <c r="AF729">
        <f>_xlfn.IFS(ISTEXT(Calcs!O729),Calcs!O729,Calcs!O729&lt;=80,Calcs!O729,Calcs!O729&gt;=81,"80")</f>
        <v>13</v>
      </c>
      <c r="AG729" s="25">
        <f t="shared" si="41"/>
        <v>3</v>
      </c>
      <c r="AH729" s="25">
        <f t="shared" si="42"/>
        <v>1.08</v>
      </c>
      <c r="AI729" s="25">
        <f t="shared" si="43"/>
        <v>2</v>
      </c>
    </row>
    <row r="730" ht="14.4" spans="1:35">
      <c r="A730" s="24" t="str">
        <f>'Ammo Input'!A730</f>
        <v>RPG 32</v>
      </c>
      <c r="B730" t="str">
        <f>'Ammo Input'!B730</f>
        <v>HEAT</v>
      </c>
      <c r="C730">
        <f>ROUNDUP(('Ammo Input'!C730*(MAX('Ammo Input'!D730,'Ammo Input'!F730)*0.5)^2*PI())*3/1000000,2)</f>
        <v>23.95</v>
      </c>
      <c r="D730">
        <f>ROUNDUP(('Ammo Input'!E730+'Ammo Input'!H730*IF('Ammo Input'!J730&lt;&gt;"",MAX('Ammo Input'!J730,1),1))/1000,3)</f>
        <v>7</v>
      </c>
      <c r="E730">
        <f>MIN(5000,MAX(25,CEILING(Calcs!L730,_xlfn.IFS(Calcs!L730&lt;100,25,Calcs!L730&lt;250,50,Calcs!L730&lt;1000,250,Calcs!L730&gt;=1000,1000))))</f>
        <v>25</v>
      </c>
      <c r="F730">
        <f>ROUNDUP('Ammo Input'!G730^(3/4),0)</f>
        <v>41</v>
      </c>
      <c r="G730">
        <f>ROUND((0.5*((IF(OR(B730="HEAT",B730="HEDP"),'Ammo Input'!N730,'Ammo Input'!H730)/1000)*(IF(B730="HEAT",9000,IF(B730="HEDP",1500,'Ammo Input'!G730))^2))),0)</f>
        <v>4860000</v>
      </c>
      <c r="H730" s="25" t="str">
        <f>CONCATENATE(IF((B730="Foam")+(B730="Smoke"),"-",ROUND(Calcs!D730,0))," ",VLOOKUP(B730,AmmoTypeFactors,5,FALSE))</f>
        <v>264 Bullet</v>
      </c>
      <c r="I730" s="25" t="str">
        <f>IF(Calcs!E730=0,"None",CONCATENATE(ROUND(Calcs!E730,0)," ",VLOOKUP(B730,AmmoTypeFactors,6,FALSE)))</f>
        <v>None</v>
      </c>
      <c r="J730">
        <f>MROUND(2.42*'Ammo Input'!M730^(1/3)*VLOOKUP(B730,AmmoTypeFactors,3,FALSE),0.5)</f>
        <v>1</v>
      </c>
      <c r="K730" s="25" t="str">
        <f>IF(VLOOKUP(B730,AmmoTypeFactors,12,FALSE),MROUND(J730/3,0.5),"None")</f>
        <v>None</v>
      </c>
      <c r="L730" s="25">
        <f>IF(VLOOKUP(B730,AmmoTypeFactors,8,FALSE),"None",ROUNDUP(IF(Calcs!I730&gt;0,Calcs!I730,Calcs!H730),3))</f>
        <v>41.818</v>
      </c>
      <c r="M730" s="25">
        <f>IF(VLOOKUP(B730,AmmoTypeFactors,8,FALSE),"None",'Ammo Input'!L730)</f>
        <v>650</v>
      </c>
      <c r="N730">
        <f>'Ammo Input'!O730</f>
        <v>5</v>
      </c>
      <c r="O730" t="e">
        <f>ROUND((P730*0.0036+SUMPRODUCT(Q730:AB730,VLOOKUP($Q$1:$AB$1,IngredientStats,2,FALSE)))/N730*IF('Ammo Input'!R730,0.5,1),2)</f>
        <v>#VALUE!</v>
      </c>
      <c r="P730" t="e">
        <f>(SUMPRODUCT(Q730:AB730,VLOOKUP($Q$1:$AB$1,IngredientStats,4,FALSE))*VLOOKUP(B730,AmmoTypeFactors,14,FALSE)*IF('Ammo Input'!R730,1.1,1))</f>
        <v>#VALUE!</v>
      </c>
      <c r="Q730">
        <f>IFERROR(__xludf.DUMMYFUNCTION("((IF(NOT(OR(REGEXMATCH(B726, ""Arrow""), B726 = ""Javelin"", B726 = ""Stick bomb"")), ROUNDUP(('Ammo Input'!E726 / 1000) * N726)) + IF(VLOOKUP(B726, AmmoTypeFactors, 9, FALSE) = ""Steel"", ROUNDUP(('Ammo Input'!H726 -'Ammo Input'!M726) * MAX(IF('Ammo Inpu"&amp;"t'!J726 &gt; 0, 'Ammo Input'!J726, 1), 1) * N726 / 1000))) / 'Ingredient stats'!$C$2) * IF(ISBLANK(VLOOKUP(B726,AmmoTypeFactors,15,False)),1,VLOOKUP(B726,AmmoTypeFactors,15,False))"),70)</f>
        <v>70</v>
      </c>
      <c r="R730">
        <f>IFERROR(__xludf.DUMMYFUNCTION("ROUNDUP((IF(REGEXMATCH(B726, ""Arrow"") + (B726 = ""Javelin""), 'Ammo Input'!E726) + IF(VLOOKUP(B726, AmmoTypeFactors, 9, FALSE) = ""Wood"", 'Ammo Input'!H726) + IF(B726 = ""Stick bomb"", 'Ammo Input'!E726)) * N726 / 'Ingredient stats'!$C$12 / 1000)"),0)</f>
        <v>0</v>
      </c>
      <c r="S730">
        <v>0</v>
      </c>
      <c r="T730">
        <v>0</v>
      </c>
      <c r="U730">
        <f>IF(VLOOKUP(B730,AmmoTypeFactors,9,FALSE)="Plasteel",ROUNDUP(('Ammo Input'!H730*MAX(IF('Ammo Input'!J730&gt;0,'Ammo Input'!J730,1)*N730/1000/'Ingredient stats'!$C$4)),0),0)</f>
        <v>0</v>
      </c>
      <c r="V730">
        <f>IFERROR(__xludf.DUMMYFUNCTION("ROUNDUP(IF(ISBLANK(VLOOKUP(B726,AmmoTypeFactors,16,False)),1,VLOOKUP(B726,AmmoTypeFactors,16,False)) * (IFS(REGEXMATCH(B726, ""EMP""), 'Ammo Input'!M726 * N726 / 'Ingredient stats'!$C$5, REGEXMATCH(B726, ""Charge""), (U726^0.75), true, 0) + (IF(VLOOKUP(B7"&amp;"26, AmmoTypeFactors, 10, false), 2,0) + IF('Ammo Input'!P726, 2,0) + IF('Ammo Input'!Q726,MIN(ROUNDUP(0.2*('Ammo Input'!H726/1000)*'Ammo Input'!O726,0),20),0))))"),4)</f>
        <v>4</v>
      </c>
      <c r="W730">
        <v>0</v>
      </c>
      <c r="X730">
        <v>9</v>
      </c>
      <c r="Y730">
        <v>0</v>
      </c>
      <c r="Z730">
        <v>0</v>
      </c>
      <c r="AA730">
        <v>0</v>
      </c>
      <c r="AB730" s="30">
        <f>IF(B730="Sling Bullet (Stone)",ROUNDUP(D730*0.02*E730/'Ingredient stats'!$C$8,0),0)</f>
        <v>0</v>
      </c>
      <c r="AC730" t="str">
        <f t="shared" si="40"/>
        <v>None</v>
      </c>
      <c r="AD730" t="str">
        <f>IF(OR(B730="Buck",B730="Bird",B730="Charge (Scatter)"),'Ammo Input'!J730,"None")</f>
        <v>None</v>
      </c>
      <c r="AE730">
        <f>_xlfn.IFS(ISTEXT(Calcs!N730),Calcs!N730,Calcs!N730&lt;=40,Calcs!N730,Calcs!N730&gt;41,"40")</f>
        <v>6</v>
      </c>
      <c r="AF730">
        <f>_xlfn.IFS(ISTEXT(Calcs!O730),Calcs!O730,Calcs!O730&lt;=80,Calcs!O730,Calcs!O730&gt;=81,"80")</f>
        <v>11</v>
      </c>
      <c r="AG730" s="25">
        <f t="shared" si="41"/>
        <v>3</v>
      </c>
      <c r="AH730" s="25">
        <f t="shared" si="42"/>
        <v>0.68</v>
      </c>
      <c r="AI730" s="25">
        <f t="shared" si="43"/>
        <v>2</v>
      </c>
    </row>
    <row r="731" ht="14.4" spans="1:35">
      <c r="A731" s="24" t="str">
        <f>'Ammo Input'!A731</f>
        <v>RPG 32</v>
      </c>
      <c r="B731" t="str">
        <f>'Ammo Input'!B731</f>
        <v>Thermobaric</v>
      </c>
      <c r="C731">
        <f>ROUNDUP(('Ammo Input'!C731*(MAX('Ammo Input'!D731,'Ammo Input'!F731)*0.5)^2*PI())*3/1000000,2)</f>
        <v>23.95</v>
      </c>
      <c r="D731">
        <f>ROUNDUP(('Ammo Input'!E731+'Ammo Input'!H731*IF('Ammo Input'!J731&lt;&gt;"",MAX('Ammo Input'!J731,1),1))/1000,3)</f>
        <v>7</v>
      </c>
      <c r="E731">
        <f>MIN(5000,MAX(25,CEILING(Calcs!L731,_xlfn.IFS(Calcs!L731&lt;100,25,Calcs!L731&lt;250,50,Calcs!L731&lt;1000,250,Calcs!L731&gt;=1000,1000))))</f>
        <v>25</v>
      </c>
      <c r="F731">
        <f>ROUNDUP('Ammo Input'!G731^(3/4),0)</f>
        <v>41</v>
      </c>
      <c r="G731">
        <f>ROUND((0.5*((IF(OR(B731="HEAT",B731="HEDP"),'Ammo Input'!N731,'Ammo Input'!H731)/1000)*(IF(B731="HEAT",9000,IF(B731="HEDP",1500,'Ammo Input'!G731))^2))),0)</f>
        <v>39200</v>
      </c>
      <c r="H731" s="25" t="str">
        <f>CONCATENATE(IF((B731="Foam")+(B731="Smoke"),"-",ROUND(Calcs!D731,0))," ",VLOOKUP(B731,AmmoTypeFactors,5,FALSE))</f>
        <v>280 Thermobaric</v>
      </c>
      <c r="I731" s="25" t="str">
        <f>IF(Calcs!E731=0,"None",CONCATENATE(ROUND(Calcs!E731,0)," ",VLOOKUP(B731,AmmoTypeFactors,6,FALSE)))</f>
        <v>None</v>
      </c>
      <c r="J731">
        <f>MROUND(2.42*'Ammo Input'!M731^(1/3)*VLOOKUP(B731,AmmoTypeFactors,3,FALSE),0.5)</f>
        <v>5</v>
      </c>
      <c r="K731" s="25" t="str">
        <f>IF(VLOOKUP(B731,AmmoTypeFactors,12,FALSE),MROUND(J731/3,0.5),"None")</f>
        <v>None</v>
      </c>
      <c r="L731" s="25" t="str">
        <f>IF(VLOOKUP(B731,AmmoTypeFactors,8,FALSE),"None",ROUNDUP(IF(Calcs!I731&gt;0,Calcs!I731,Calcs!H731),3))</f>
        <v>None</v>
      </c>
      <c r="M731" s="25" t="str">
        <f>IF(VLOOKUP(B731,AmmoTypeFactors,8,FALSE),"None",'Ammo Input'!L731)</f>
        <v>None</v>
      </c>
      <c r="N731">
        <f>'Ammo Input'!O731</f>
        <v>5</v>
      </c>
      <c r="O731" t="e">
        <f>ROUND((P731*0.0036+SUMPRODUCT(Q731:AB731,VLOOKUP($Q$1:$AB$1,IngredientStats,2,FALSE)))/N731*IF('Ammo Input'!R731,0.5,1),2)</f>
        <v>#VALUE!</v>
      </c>
      <c r="P731" t="e">
        <f>(SUMPRODUCT(Q731:AB731,VLOOKUP($Q$1:$AB$1,IngredientStats,4,FALSE))*VLOOKUP(B731,AmmoTypeFactors,14,FALSE)*IF('Ammo Input'!R731,1.1,1))</f>
        <v>#VALUE!</v>
      </c>
      <c r="Q731">
        <f>IFERROR(__xludf.DUMMYFUNCTION("((IF(NOT(OR(REGEXMATCH(B727, ""Arrow""), B727 = ""Javelin"", B727 = ""Stick bomb"")), ROUNDUP(('Ammo Input'!E727 / 1000) * N727)) + IF(VLOOKUP(B727, AmmoTypeFactors, 9, FALSE) = ""Steel"", ROUNDUP(('Ammo Input'!H727 -'Ammo Input'!M727) * MAX(IF('Ammo Inpu"&amp;"t'!J727 &gt; 0, 'Ammo Input'!J727, 1), 1) * N727 / 1000))) / 'Ingredient stats'!$C$2) * IF(ISBLANK(VLOOKUP(B727,AmmoTypeFactors,15,False)),1,VLOOKUP(B727,AmmoTypeFactors,15,False))"),70)</f>
        <v>70</v>
      </c>
      <c r="R731">
        <f>IFERROR(__xludf.DUMMYFUNCTION("ROUNDUP((IF(REGEXMATCH(B727, ""Arrow"") + (B727 = ""Javelin""), 'Ammo Input'!E727) + IF(VLOOKUP(B727, AmmoTypeFactors, 9, FALSE) = ""Wood"", 'Ammo Input'!H727) + IF(B727 = ""Stick bomb"", 'Ammo Input'!E727)) * N727 / 'Ingredient stats'!$C$12 / 1000)"),0)</f>
        <v>0</v>
      </c>
      <c r="S731">
        <v>0</v>
      </c>
      <c r="T731">
        <v>0</v>
      </c>
      <c r="U731">
        <f>IF(VLOOKUP(B731,AmmoTypeFactors,9,FALSE)="Plasteel",ROUNDUP(('Ammo Input'!H731*MAX(IF('Ammo Input'!J731&gt;0,'Ammo Input'!J731,1)*N731/1000/'Ingredient stats'!$C$4)),0),0)</f>
        <v>0</v>
      </c>
      <c r="V731">
        <f>IFERROR(__xludf.DUMMYFUNCTION("ROUNDUP(IF(ISBLANK(VLOOKUP(B727,AmmoTypeFactors,16,False)),1,VLOOKUP(B727,AmmoTypeFactors,16,False)) * (IFS(REGEXMATCH(B727, ""EMP""), 'Ammo Input'!M727 * N727 / 'Ingredient stats'!$C$5, REGEXMATCH(B727, ""Charge""), (U727^0.75), true, 0) + (IF(VLOOKUP(B7"&amp;"27, AmmoTypeFactors, 10, false), 2,0) + IF('Ammo Input'!P727, 2,0) + IF('Ammo Input'!Q727,MIN(ROUNDUP(0.2*('Ammo Input'!H727/1000)*'Ammo Input'!O727,0),20),0))))"),4)</f>
        <v>4</v>
      </c>
      <c r="W731">
        <v>0</v>
      </c>
      <c r="X731">
        <v>39</v>
      </c>
      <c r="Y731">
        <v>0</v>
      </c>
      <c r="Z731">
        <v>0</v>
      </c>
      <c r="AA731">
        <v>0</v>
      </c>
      <c r="AB731" s="30">
        <f>IF(B731="Sling Bullet (Stone)",ROUNDUP(D731*0.02*E731/'Ingredient stats'!$C$8,0),0)</f>
        <v>0</v>
      </c>
      <c r="AC731" t="str">
        <f t="shared" si="40"/>
        <v>None</v>
      </c>
      <c r="AD731" t="str">
        <f>IF(OR(B731="Buck",B731="Bird",B731="Charge (Scatter)"),'Ammo Input'!J731,"None")</f>
        <v>None</v>
      </c>
      <c r="AE731" t="str">
        <f>_xlfn.IFS(ISTEXT(Calcs!N731),Calcs!N731,Calcs!N731&lt;=40,Calcs!N731,Calcs!N731&gt;41,"40")</f>
        <v>None</v>
      </c>
      <c r="AF731" t="str">
        <f>_xlfn.IFS(ISTEXT(Calcs!O731),Calcs!O731,Calcs!O731&lt;=80,Calcs!O731,Calcs!O731&gt;=81,"80")</f>
        <v>None</v>
      </c>
      <c r="AG731" s="25">
        <f t="shared" si="41"/>
        <v>3</v>
      </c>
      <c r="AH731" s="25">
        <f t="shared" si="42"/>
        <v>0.68</v>
      </c>
      <c r="AI731" s="25">
        <f t="shared" si="43"/>
        <v>2</v>
      </c>
    </row>
    <row r="732" ht="14.4" spans="1:35">
      <c r="A732" s="24" t="str">
        <f>'Ammo Input'!A732</f>
        <v>S-5MO 57mm Rocket</v>
      </c>
      <c r="B732" t="str">
        <f>'Ammo Input'!B732</f>
        <v>HE</v>
      </c>
      <c r="C732">
        <f>ROUNDUP(('Ammo Input'!C732*(MAX('Ammo Input'!D732,'Ammo Input'!F732)*0.5)^2*PI())*3/1000000,2)</f>
        <v>7.05</v>
      </c>
      <c r="D732">
        <f>ROUNDUP(('Ammo Input'!E732+'Ammo Input'!H732*IF('Ammo Input'!J732&lt;&gt;"",MAX('Ammo Input'!J732,1),1))/1000,3)</f>
        <v>4.82</v>
      </c>
      <c r="E732">
        <f>MIN(5000,MAX(25,CEILING(Calcs!L732,_xlfn.IFS(Calcs!L732&lt;100,25,Calcs!L732&lt;250,50,Calcs!L732&lt;1000,250,Calcs!L732&gt;=1000,1000))))</f>
        <v>25</v>
      </c>
      <c r="F732">
        <f>ROUNDUP('Ammo Input'!G732^(3/4),0)</f>
        <v>120</v>
      </c>
      <c r="G732">
        <f>ROUND((0.5*((IF(OR(B732="HEAT",B732="HEDP"),'Ammo Input'!N732,'Ammo Input'!H732)/1000)*(IF(B732="HEAT",9000,IF(B732="HEDP",1500,'Ammo Input'!G732))^2))),0)</f>
        <v>827584</v>
      </c>
      <c r="H732" s="25" t="str">
        <f>CONCATENATE(IF((B732="Foam")+(B732="Smoke"),"-",ROUND(Calcs!D732,0))," ",VLOOKUP(B732,AmmoTypeFactors,5,FALSE))</f>
        <v>187 Bomb</v>
      </c>
      <c r="I732" s="25" t="str">
        <f>IF(Calcs!E732=0,"None",CONCATENATE(ROUND(Calcs!E732,0)," ",VLOOKUP(B732,AmmoTypeFactors,6,FALSE)))</f>
        <v>None</v>
      </c>
      <c r="J732">
        <f>MROUND(2.42*'Ammo Input'!M732^(1/3)*VLOOKUP(B732,AmmoTypeFactors,3,FALSE),0.5)</f>
        <v>3</v>
      </c>
      <c r="K732" s="25" t="str">
        <f>IF(VLOOKUP(B732,AmmoTypeFactors,12,FALSE),MROUND(J732/3,0.5),"None")</f>
        <v>None</v>
      </c>
      <c r="L732" s="25" t="str">
        <f>IF(VLOOKUP(B732,AmmoTypeFactors,8,FALSE),"None",ROUNDUP(IF(Calcs!I732&gt;0,Calcs!I732,Calcs!H732),3))</f>
        <v>None</v>
      </c>
      <c r="M732" s="25" t="str">
        <f>IF(VLOOKUP(B732,AmmoTypeFactors,8,FALSE),"None",'Ammo Input'!L732)</f>
        <v>None</v>
      </c>
      <c r="N732">
        <f>'Ammo Input'!O732</f>
        <v>5</v>
      </c>
      <c r="O732" t="e">
        <f>ROUND((P732*0.0036+SUMPRODUCT(Q732:AB732,VLOOKUP($Q$1:$AB$1,IngredientStats,2,FALSE)))/N732*IF('Ammo Input'!R732,0.5,1),2)</f>
        <v>#VALUE!</v>
      </c>
      <c r="P732" t="e">
        <f>(SUMPRODUCT(Q732:AB732,VLOOKUP($Q$1:$AB$1,IngredientStats,4,FALSE))*VLOOKUP(B732,AmmoTypeFactors,14,FALSE)*IF('Ammo Input'!R732,1.1,1))</f>
        <v>#VALUE!</v>
      </c>
      <c r="Q732">
        <f>IFERROR(__xludf.DUMMYFUNCTION("((IF(NOT(OR(REGEXMATCH(B728, ""Arrow""), B728 = ""Javelin"", B728 = ""Stick bomb"")), ROUNDUP(('Ammo Input'!E728 / 1000) * N728)) + IF(VLOOKUP(B728, AmmoTypeFactors, 9, FALSE) = ""Steel"", ROUNDUP(('Ammo Input'!H728 -'Ammo Input'!M728) * MAX(IF('Ammo Inpu"&amp;"t'!J728 &gt; 0, 'Ammo Input'!J728, 1), 1) * N728 / 1000))) / 'Ingredient stats'!$C$2) * IF(ISBLANK(VLOOKUP(B728,AmmoTypeFactors,15,False)),1,VLOOKUP(B728,AmmoTypeFactors,15,False))"),50)</f>
        <v>50</v>
      </c>
      <c r="R732">
        <f>IFERROR(__xludf.DUMMYFUNCTION("ROUNDUP((IF(REGEXMATCH(B728, ""Arrow"") + (B728 = ""Javelin""), 'Ammo Input'!E728) + IF(VLOOKUP(B728, AmmoTypeFactors, 9, FALSE) = ""Wood"", 'Ammo Input'!H728) + IF(B728 = ""Stick bomb"", 'Ammo Input'!E728)) * N728 / 'Ingredient stats'!$C$12 / 1000)"),0)</f>
        <v>0</v>
      </c>
      <c r="S732">
        <v>0</v>
      </c>
      <c r="T732">
        <v>0</v>
      </c>
      <c r="U732">
        <f>IF(VLOOKUP(B732,AmmoTypeFactors,9,FALSE)="Plasteel",ROUNDUP(('Ammo Input'!H732*MAX(IF('Ammo Input'!J732&gt;0,'Ammo Input'!J732,1)*N732/1000/'Ingredient stats'!$C$4)),0),0)</f>
        <v>0</v>
      </c>
      <c r="V732">
        <f>IFERROR(__xludf.DUMMYFUNCTION("ROUNDUP(IF(ISBLANK(VLOOKUP(B728,AmmoTypeFactors,16,False)),1,VLOOKUP(B728,AmmoTypeFactors,16,False)) * (IFS(REGEXMATCH(B728, ""EMP""), 'Ammo Input'!M728 * N728 / 'Ingredient stats'!$C$5, REGEXMATCH(B728, ""Charge""), (U728^0.75), true, 0) + (IF(VLOOKUP(B7"&amp;"28, AmmoTypeFactors, 10, false), 2,0) + IF('Ammo Input'!P728, 2,0) + IF('Ammo Input'!Q728,MIN(ROUNDUP(0.2*('Ammo Input'!H728/1000)*'Ammo Input'!O728,0),20),0))))"),4)</f>
        <v>4</v>
      </c>
      <c r="W732">
        <v>0</v>
      </c>
      <c r="X732">
        <v>14</v>
      </c>
      <c r="Y732">
        <v>0</v>
      </c>
      <c r="Z732">
        <v>0</v>
      </c>
      <c r="AA732">
        <v>0</v>
      </c>
      <c r="AB732" s="30">
        <f>IF(B732="Sling Bullet (Stone)",ROUNDUP(D732*0.02*E732/'Ingredient stats'!$C$8,0),0)</f>
        <v>0</v>
      </c>
      <c r="AC732" t="str">
        <f t="shared" si="40"/>
        <v>None</v>
      </c>
      <c r="AD732" t="str">
        <f>IF(OR(B732="Buck",B732="Bird",B732="Charge (Scatter)"),'Ammo Input'!J732,"None")</f>
        <v>None</v>
      </c>
      <c r="AE732">
        <f>_xlfn.IFS(ISTEXT(Calcs!N732),Calcs!N732,Calcs!N732&lt;=40,Calcs!N732,Calcs!N732&gt;41,"40")</f>
        <v>13</v>
      </c>
      <c r="AF732">
        <f>_xlfn.IFS(ISTEXT(Calcs!O732),Calcs!O732,Calcs!O732&lt;=80,Calcs!O732,Calcs!O732&gt;=81,"80")</f>
        <v>34</v>
      </c>
      <c r="AG732" s="25">
        <f t="shared" si="41"/>
        <v>3</v>
      </c>
      <c r="AH732" s="25">
        <f t="shared" si="42"/>
        <v>1.98</v>
      </c>
      <c r="AI732" s="25">
        <f t="shared" si="43"/>
        <v>2</v>
      </c>
    </row>
    <row r="733" ht="14.4" spans="1:35">
      <c r="A733" s="24" t="str">
        <f>'Ammo Input'!A733</f>
        <v>S-5KO 57mm Rocket</v>
      </c>
      <c r="B733" t="str">
        <f>'Ammo Input'!B733</f>
        <v>HEAT</v>
      </c>
      <c r="C733">
        <f>ROUNDUP(('Ammo Input'!C733*(MAX('Ammo Input'!D733,'Ammo Input'!F733)*0.5)^2*PI())*3/1000000,2)</f>
        <v>7.04</v>
      </c>
      <c r="D733">
        <f>ROUNDUP(('Ammo Input'!E733+'Ammo Input'!H733*IF('Ammo Input'!J733&lt;&gt;"",MAX('Ammo Input'!J733,1),1))/1000,3)</f>
        <v>4.5</v>
      </c>
      <c r="E733">
        <f>MIN(5000,MAX(25,CEILING(Calcs!L733,_xlfn.IFS(Calcs!L733&lt;100,25,Calcs!L733&lt;250,50,Calcs!L733&lt;1000,250,Calcs!L733&gt;=1000,1000))))</f>
        <v>25</v>
      </c>
      <c r="F733">
        <f>ROUNDUP('Ammo Input'!G733^(3/4),0)</f>
        <v>120</v>
      </c>
      <c r="G733">
        <f>ROUND((0.5*((IF(OR(B733="HEAT",B733="HEDP"),'Ammo Input'!N733,'Ammo Input'!H733)/1000)*(IF(B733="HEAT",9000,IF(B733="HEDP",1500,'Ammo Input'!G733))^2))),0)</f>
        <v>1101600</v>
      </c>
      <c r="H733" s="25" t="str">
        <f>CONCATENATE(IF((B733="Foam")+(B733="Smoke"),"-",ROUND(Calcs!D733,0))," ",VLOOKUP(B733,AmmoTypeFactors,5,FALSE))</f>
        <v>158 Bullet</v>
      </c>
      <c r="I733" s="25" t="str">
        <f>IF(Calcs!E733=0,"None",CONCATENATE(ROUND(Calcs!E733,0)," ",VLOOKUP(B733,AmmoTypeFactors,6,FALSE)))</f>
        <v>None</v>
      </c>
      <c r="J733">
        <f>MROUND(2.42*'Ammo Input'!M733^(1/3)*VLOOKUP(B733,AmmoTypeFactors,3,FALSE),0.5)</f>
        <v>1</v>
      </c>
      <c r="K733" s="25" t="str">
        <f>IF(VLOOKUP(B733,AmmoTypeFactors,12,FALSE),MROUND(J733/3,0.5),"None")</f>
        <v>None</v>
      </c>
      <c r="L733" s="25">
        <f>IF(VLOOKUP(B733,AmmoTypeFactors,8,FALSE),"None",ROUNDUP(IF(Calcs!I733&gt;0,Calcs!I733,Calcs!H733),3))</f>
        <v>26.312</v>
      </c>
      <c r="M733" s="25">
        <f>IF(VLOOKUP(B733,AmmoTypeFactors,8,FALSE),"None",'Ammo Input'!L733)</f>
        <v>172</v>
      </c>
      <c r="N733">
        <f>'Ammo Input'!O733</f>
        <v>5</v>
      </c>
      <c r="O733" t="e">
        <f>ROUND((P733*0.0036+SUMPRODUCT(Q733:AB733,VLOOKUP($Q$1:$AB$1,IngredientStats,2,FALSE)))/N733*IF('Ammo Input'!R733,0.5,1),2)</f>
        <v>#VALUE!</v>
      </c>
      <c r="P733" t="e">
        <f>(SUMPRODUCT(Q733:AB733,VLOOKUP($Q$1:$AB$1,IngredientStats,4,FALSE))*VLOOKUP(B733,AmmoTypeFactors,14,FALSE)*IF('Ammo Input'!R733,1.1,1))</f>
        <v>#VALUE!</v>
      </c>
      <c r="Q733">
        <f>IFERROR(__xludf.DUMMYFUNCTION("((IF(NOT(OR(REGEXMATCH(B729, ""Arrow""), B729 = ""Javelin"", B729 = ""Stick bomb"")), ROUNDUP(('Ammo Input'!E729 / 1000) * N729)) + IF(VLOOKUP(B729, AmmoTypeFactors, 9, FALSE) = ""Steel"", ROUNDUP(('Ammo Input'!H729 -'Ammo Input'!M729) * MAX(IF('Ammo Inpu"&amp;"t'!J729 &gt; 0, 'Ammo Input'!J729, 1), 1) * N729 / 1000))) / 'Ingredient stats'!$C$2) * IF(ISBLANK(VLOOKUP(B729,AmmoTypeFactors,15,False)),1,VLOOKUP(B729,AmmoTypeFactors,15,False))"),46)</f>
        <v>46</v>
      </c>
      <c r="R733">
        <f>IFERROR(__xludf.DUMMYFUNCTION("ROUNDUP((IF(REGEXMATCH(B729, ""Arrow"") + (B729 = ""Javelin""), 'Ammo Input'!E729) + IF(VLOOKUP(B729, AmmoTypeFactors, 9, FALSE) = ""Wood"", 'Ammo Input'!H729) + IF(B729 = ""Stick bomb"", 'Ammo Input'!E729)) * N729 / 'Ingredient stats'!$C$12 / 1000)"),0)</f>
        <v>0</v>
      </c>
      <c r="S733">
        <v>0</v>
      </c>
      <c r="T733">
        <v>0</v>
      </c>
      <c r="U733">
        <f>IF(VLOOKUP(B733,AmmoTypeFactors,9,FALSE)="Plasteel",ROUNDUP(('Ammo Input'!H733*MAX(IF('Ammo Input'!J733&gt;0,'Ammo Input'!J733,1)*N733/1000/'Ingredient stats'!$C$4)),0),0)</f>
        <v>0</v>
      </c>
      <c r="V733">
        <f>IFERROR(__xludf.DUMMYFUNCTION("ROUNDUP(IF(ISBLANK(VLOOKUP(B729,AmmoTypeFactors,16,False)),1,VLOOKUP(B729,AmmoTypeFactors,16,False)) * (IFS(REGEXMATCH(B729, ""EMP""), 'Ammo Input'!M729 * N729 / 'Ingredient stats'!$C$5, REGEXMATCH(B729, ""Charge""), (U729^0.75), true, 0) + (IF(VLOOKUP(B7"&amp;"29, AmmoTypeFactors, 10, false), 2,0) + IF('Ammo Input'!P729, 2,0) + IF('Ammo Input'!Q729,MIN(ROUNDUP(0.2*('Ammo Input'!H729/1000)*'Ammo Input'!O729,0),20),0))))"),4)</f>
        <v>4</v>
      </c>
      <c r="W733">
        <v>0</v>
      </c>
      <c r="X733">
        <v>4</v>
      </c>
      <c r="Y733">
        <v>0</v>
      </c>
      <c r="Z733">
        <v>0</v>
      </c>
      <c r="AA733">
        <v>0</v>
      </c>
      <c r="AB733" s="30">
        <f>IF(B733="Sling Bullet (Stone)",ROUNDUP(D733*0.02*E733/'Ingredient stats'!$C$8,0),0)</f>
        <v>0</v>
      </c>
      <c r="AC733" t="str">
        <f t="shared" si="40"/>
        <v>None</v>
      </c>
      <c r="AD733" t="str">
        <f>IF(OR(B733="Buck",B733="Bird",B733="Charge (Scatter)"),'Ammo Input'!J733,"None")</f>
        <v>None</v>
      </c>
      <c r="AE733">
        <f>_xlfn.IFS(ISTEXT(Calcs!N733),Calcs!N733,Calcs!N733&lt;=40,Calcs!N733,Calcs!N733&gt;41,"40")</f>
        <v>8</v>
      </c>
      <c r="AF733">
        <f>_xlfn.IFS(ISTEXT(Calcs!O733),Calcs!O733,Calcs!O733&lt;=80,Calcs!O733,Calcs!O733&gt;=81,"80")</f>
        <v>5</v>
      </c>
      <c r="AG733" s="25">
        <f t="shared" si="41"/>
        <v>3</v>
      </c>
      <c r="AH733" s="25">
        <f t="shared" si="42"/>
        <v>1.98</v>
      </c>
      <c r="AI733" s="25">
        <f t="shared" si="43"/>
        <v>2</v>
      </c>
    </row>
    <row r="734" ht="14.4" spans="1:35">
      <c r="A734" s="24" t="str">
        <f>'Ammo Input'!A734</f>
        <v>S-5TB 57mm Rocket</v>
      </c>
      <c r="B734" t="str">
        <f>'Ammo Input'!B734</f>
        <v>Thermobaric</v>
      </c>
      <c r="C734">
        <f>ROUNDUP(('Ammo Input'!C734*(MAX('Ammo Input'!D734,'Ammo Input'!F734)*0.5)^2*PI())*3/1000000,2)</f>
        <v>7.7</v>
      </c>
      <c r="D734">
        <f>ROUNDUP(('Ammo Input'!E734+'Ammo Input'!H734*IF('Ammo Input'!J734&lt;&gt;"",MAX('Ammo Input'!J734,1),1))/1000,3)</f>
        <v>5.01</v>
      </c>
      <c r="E734">
        <f>MIN(5000,MAX(25,CEILING(Calcs!L734,_xlfn.IFS(Calcs!L734&lt;100,25,Calcs!L734&lt;250,50,Calcs!L734&lt;1000,250,Calcs!L734&gt;=1000,1000))))</f>
        <v>25</v>
      </c>
      <c r="F734">
        <f>ROUNDUP('Ammo Input'!G734^(3/4),0)</f>
        <v>120</v>
      </c>
      <c r="G734">
        <f>ROUND((0.5*((IF(OR(B734="HEAT",B734="HEDP"),'Ammo Input'!N734,'Ammo Input'!H734)/1000)*(IF(B734="HEAT",9000,IF(B734="HEDP",1500,'Ammo Input'!G734))^2))),0)</f>
        <v>860207</v>
      </c>
      <c r="H734" s="25" t="str">
        <f>CONCATENATE(IF((B734="Foam")+(B734="Smoke"),"-",ROUND(Calcs!D734,0))," ",VLOOKUP(B734,AmmoTypeFactors,5,FALSE))</f>
        <v>160 Thermobaric</v>
      </c>
      <c r="I734" s="25" t="str">
        <f>IF(Calcs!E734=0,"None",CONCATENATE(ROUND(Calcs!E734,0)," ",VLOOKUP(B734,AmmoTypeFactors,6,FALSE)))</f>
        <v>None</v>
      </c>
      <c r="J734">
        <f>MROUND(2.42*'Ammo Input'!M734^(1/3)*VLOOKUP(B734,AmmoTypeFactors,3,FALSE),0.5)</f>
        <v>3.5</v>
      </c>
      <c r="K734" s="25" t="str">
        <f>IF(VLOOKUP(B734,AmmoTypeFactors,12,FALSE),MROUND(J734/3,0.5),"None")</f>
        <v>None</v>
      </c>
      <c r="L734" s="25" t="str">
        <f>IF(VLOOKUP(B734,AmmoTypeFactors,8,FALSE),"None",ROUNDUP(IF(Calcs!I734&gt;0,Calcs!I734,Calcs!H734),3))</f>
        <v>None</v>
      </c>
      <c r="M734" s="25" t="str">
        <f>IF(VLOOKUP(B734,AmmoTypeFactors,8,FALSE),"None",'Ammo Input'!L734)</f>
        <v>None</v>
      </c>
      <c r="N734">
        <f>'Ammo Input'!O734</f>
        <v>5</v>
      </c>
      <c r="O734" t="e">
        <f>ROUND((P734*0.0036+SUMPRODUCT(Q734:AB734,VLOOKUP($Q$1:$AB$1,IngredientStats,2,FALSE)))/N734*IF('Ammo Input'!R734,0.5,1),2)</f>
        <v>#VALUE!</v>
      </c>
      <c r="P734" t="e">
        <f>(SUMPRODUCT(Q734:AB734,VLOOKUP($Q$1:$AB$1,IngredientStats,4,FALSE))*VLOOKUP(B734,AmmoTypeFactors,14,FALSE)*IF('Ammo Input'!R734,1.1,1))</f>
        <v>#VALUE!</v>
      </c>
      <c r="Q734">
        <f>IFERROR(__xludf.DUMMYFUNCTION("((IF(NOT(OR(REGEXMATCH(B730, ""Arrow""), B730 = ""Javelin"", B730 = ""Stick bomb"")), ROUNDUP(('Ammo Input'!E730 / 1000) * N730)) + IF(VLOOKUP(B730, AmmoTypeFactors, 9, FALSE) = ""Steel"", ROUNDUP(('Ammo Input'!H730 -'Ammo Input'!M730) * MAX(IF('Ammo Inpu"&amp;"t'!J730 &gt; 0, 'Ammo Input'!J730, 1), 1) * N730 / 1000))) / 'Ingredient stats'!$C$2) * IF(ISBLANK(VLOOKUP(B730,AmmoTypeFactors,15,False)),1,VLOOKUP(B730,AmmoTypeFactors,15,False))"),52)</f>
        <v>52</v>
      </c>
      <c r="R734">
        <f>IFERROR(__xludf.DUMMYFUNCTION("ROUNDUP((IF(REGEXMATCH(B730, ""Arrow"") + (B730 = ""Javelin""), 'Ammo Input'!E730) + IF(VLOOKUP(B730, AmmoTypeFactors, 9, FALSE) = ""Wood"", 'Ammo Input'!H730) + IF(B730 = ""Stick bomb"", 'Ammo Input'!E730)) * N730 / 'Ingredient stats'!$C$12 / 1000)"),0)</f>
        <v>0</v>
      </c>
      <c r="S734">
        <v>0</v>
      </c>
      <c r="T734">
        <v>0</v>
      </c>
      <c r="U734">
        <f>IF(VLOOKUP(B734,AmmoTypeFactors,9,FALSE)="Plasteel",ROUNDUP(('Ammo Input'!H734*MAX(IF('Ammo Input'!J734&gt;0,'Ammo Input'!J734,1)*N734/1000/'Ingredient stats'!$C$4)),0),0)</f>
        <v>0</v>
      </c>
      <c r="V734">
        <f>IFERROR(__xludf.DUMMYFUNCTION("ROUNDUP(IF(ISBLANK(VLOOKUP(B730,AmmoTypeFactors,16,False)),1,VLOOKUP(B730,AmmoTypeFactors,16,False)) * (IFS(REGEXMATCH(B730, ""EMP""), 'Ammo Input'!M730 * N730 / 'Ingredient stats'!$C$5, REGEXMATCH(B730, ""Charge""), (U730^0.75), true, 0) + (IF(VLOOKUP(B7"&amp;"30, AmmoTypeFactors, 10, false), 2,0) + IF('Ammo Input'!P730, 2,0) + IF('Ammo Input'!Q730,MIN(ROUNDUP(0.2*('Ammo Input'!H730/1000)*'Ammo Input'!O730,0),20),0))))"),4)</f>
        <v>4</v>
      </c>
      <c r="W734">
        <v>0</v>
      </c>
      <c r="X734">
        <v>16</v>
      </c>
      <c r="Y734">
        <v>0</v>
      </c>
      <c r="Z734">
        <v>0</v>
      </c>
      <c r="AA734">
        <v>0</v>
      </c>
      <c r="AB734" s="30">
        <f>IF(B734="Sling Bullet (Stone)",ROUNDUP(D734*0.02*E734/'Ingredient stats'!$C$8,0),0)</f>
        <v>0</v>
      </c>
      <c r="AC734" t="str">
        <f t="shared" si="40"/>
        <v>None</v>
      </c>
      <c r="AD734" t="str">
        <f>IF(OR(B734="Buck",B734="Bird",B734="Charge (Scatter)"),'Ammo Input'!J734,"None")</f>
        <v>None</v>
      </c>
      <c r="AE734" t="str">
        <f>_xlfn.IFS(ISTEXT(Calcs!N734),Calcs!N734,Calcs!N734&lt;=40,Calcs!N734,Calcs!N734&gt;41,"40")</f>
        <v>None</v>
      </c>
      <c r="AF734" t="str">
        <f>_xlfn.IFS(ISTEXT(Calcs!O734),Calcs!O734,Calcs!O734&lt;=80,Calcs!O734,Calcs!O734&gt;=81,"80")</f>
        <v>None</v>
      </c>
      <c r="AG734" s="25">
        <f t="shared" si="41"/>
        <v>3</v>
      </c>
      <c r="AH734" s="25">
        <f t="shared" si="42"/>
        <v>1.98</v>
      </c>
      <c r="AI734" s="25">
        <f t="shared" si="43"/>
        <v>2</v>
      </c>
    </row>
    <row r="735" ht="14.4" spans="1:35">
      <c r="A735" s="24" t="str">
        <f>'Ammo Input'!A735</f>
        <v>Tomahawk TLAM</v>
      </c>
      <c r="B735" t="str">
        <f>'Ammo Input'!B735</f>
        <v>HE</v>
      </c>
      <c r="C735">
        <f>ROUNDUP(('Ammo Input'!C735*(MAX('Ammo Input'!D735,'Ammo Input'!F735)*0.5)^2*PI())*3/1000000,2)</f>
        <v>3830.29</v>
      </c>
      <c r="D735">
        <f>ROUNDUP(('Ammo Input'!E735+'Ammo Input'!H735*IF('Ammo Input'!J735&lt;&gt;"",MAX('Ammo Input'!J735,1),1))/1000,3)</f>
        <v>1440</v>
      </c>
      <c r="E735">
        <f>MIN(5000,MAX(25,CEILING(Calcs!L735,_xlfn.IFS(Calcs!L735&lt;100,25,Calcs!L735&lt;250,50,Calcs!L735&lt;1000,250,Calcs!L735&gt;=1000,1000))))</f>
        <v>25</v>
      </c>
      <c r="F735">
        <f>ROUNDUP('Ammo Input'!G735^(3/4),0)</f>
        <v>63</v>
      </c>
      <c r="G735">
        <f>ROUND((0.5*((IF(OR(B735="HEAT",B735="HEDP"),'Ammo Input'!N735,'Ammo Input'!H735)/1000)*(IF(B735="HEAT",9000,IF(B735="HEDP",1500,'Ammo Input'!G735))^2))),0)</f>
        <v>43926480</v>
      </c>
      <c r="H735" s="25" t="str">
        <f>CONCATENATE(IF((B735="Foam")+(B735="Smoke"),"-",ROUND(Calcs!D735,0))," ",VLOOKUP(B735,AmmoTypeFactors,5,FALSE))</f>
        <v>5653 Bomb</v>
      </c>
      <c r="I735" s="25" t="str">
        <f>IF(Calcs!E735=0,"None",CONCATENATE(ROUND(Calcs!E735,0)," ",VLOOKUP(B735,AmmoTypeFactors,6,FALSE)))</f>
        <v>None</v>
      </c>
      <c r="J735">
        <f>MROUND(2.42*'Ammo Input'!M735^(1/3)*VLOOKUP(B735,AmmoTypeFactors,3,FALSE),0.5)</f>
        <v>19.5</v>
      </c>
      <c r="K735" s="25" t="str">
        <f>IF(VLOOKUP(B735,AmmoTypeFactors,12,FALSE),MROUND(J735/3,0.5),"None")</f>
        <v>None</v>
      </c>
      <c r="L735" s="25" t="str">
        <f>IF(VLOOKUP(B735,AmmoTypeFactors,8,FALSE),"None",ROUNDUP(IF(Calcs!I735&gt;0,Calcs!I735,Calcs!H735),3))</f>
        <v>None</v>
      </c>
      <c r="M735" s="25" t="str">
        <f>IF(VLOOKUP(B735,AmmoTypeFactors,8,FALSE),"None",'Ammo Input'!L735)</f>
        <v>None</v>
      </c>
      <c r="N735">
        <f>'Ammo Input'!O735</f>
        <v>1</v>
      </c>
      <c r="O735" t="e">
        <f>ROUND((P735*0.0036+SUMPRODUCT(Q735:AB735,VLOOKUP($Q$1:$AB$1,IngredientStats,2,FALSE)))/N735*IF('Ammo Input'!R735,0.5,1),2)</f>
        <v>#VALUE!</v>
      </c>
      <c r="P735" t="e">
        <f>(SUMPRODUCT(Q735:AB735,VLOOKUP($Q$1:$AB$1,IngredientStats,4,FALSE))*VLOOKUP(B735,AmmoTypeFactors,14,FALSE)*IF('Ammo Input'!R735,1.1,1))</f>
        <v>#VALUE!</v>
      </c>
      <c r="Q735">
        <f>IFERROR(__xludf.DUMMYFUNCTION("((IF(NOT(OR(REGEXMATCH(B731, ""Arrow""), B731 = ""Javelin"", B731 = ""Stick bomb"")), ROUNDUP(('Ammo Input'!E731 / 1000) * N731)) + IF(VLOOKUP(B731, AmmoTypeFactors, 9, FALSE) = ""Steel"", ROUNDUP(('Ammo Input'!H731 -'Ammo Input'!M731) * MAX(IF('Ammo Inpu"&amp;"t'!J731 &gt; 0, 'Ammo Input'!J731, 1), 1) * N731 / 1000))) / 'Ingredient stats'!$C$2) * IF(ISBLANK(VLOOKUP(B731,AmmoTypeFactors,15,False)),1,VLOOKUP(B731,AmmoTypeFactors,15,False))"),2880)</f>
        <v>2880</v>
      </c>
      <c r="R735">
        <f>IFERROR(__xludf.DUMMYFUNCTION("ROUNDUP((IF(REGEXMATCH(B731, ""Arrow"") + (B731 = ""Javelin""), 'Ammo Input'!E731) + IF(VLOOKUP(B731, AmmoTypeFactors, 9, FALSE) = ""Wood"", 'Ammo Input'!H731) + IF(B731 = ""Stick bomb"", 'Ammo Input'!E731)) * N731 / 'Ingredient stats'!$C$12 / 1000)"),0)</f>
        <v>0</v>
      </c>
      <c r="S735">
        <v>0</v>
      </c>
      <c r="T735">
        <v>0</v>
      </c>
      <c r="U735">
        <f>IF(VLOOKUP(B735,AmmoTypeFactors,9,FALSE)="Plasteel",ROUNDUP(('Ammo Input'!H735*MAX(IF('Ammo Input'!J735&gt;0,'Ammo Input'!J735,1)*N735/1000/'Ingredient stats'!$C$4)),0),0)</f>
        <v>0</v>
      </c>
      <c r="V735">
        <f>IFERROR(__xludf.DUMMYFUNCTION("ROUNDUP(IF(ISBLANK(VLOOKUP(B731,AmmoTypeFactors,16,False)),1,VLOOKUP(B731,AmmoTypeFactors,16,False)) * (IFS(REGEXMATCH(B731, ""EMP""), 'Ammo Input'!M731 * N731 / 'Ingredient stats'!$C$5, REGEXMATCH(B731, ""Charge""), (U731^0.75), true, 0) + (IF(VLOOKUP(B7"&amp;"31, AmmoTypeFactors, 10, false), 2,0) + IF('Ammo Input'!P731, 2,0) + IF('Ammo Input'!Q731,MIN(ROUNDUP(0.2*('Ammo Input'!H731/1000)*'Ammo Input'!O731,0),20),0))))"),24)</f>
        <v>24</v>
      </c>
      <c r="W735">
        <v>0</v>
      </c>
      <c r="X735">
        <v>792</v>
      </c>
      <c r="Y735">
        <v>0</v>
      </c>
      <c r="Z735">
        <v>0</v>
      </c>
      <c r="AA735">
        <v>0</v>
      </c>
      <c r="AB735" s="30">
        <f>IF(B735="Sling Bullet (Stone)",ROUNDUP(D735*0.02*E735/'Ingredient stats'!$C$8,0),0)</f>
        <v>0</v>
      </c>
      <c r="AC735" t="str">
        <f t="shared" si="40"/>
        <v>None</v>
      </c>
      <c r="AD735" t="str">
        <f>IF(OR(B735="Buck",B735="Bird",B735="Charge (Scatter)"),'Ammo Input'!J735,"None")</f>
        <v>None</v>
      </c>
      <c r="AE735" t="str">
        <f>_xlfn.IFS(ISTEXT(Calcs!N735),Calcs!N735,Calcs!N735&lt;=40,Calcs!N735,Calcs!N735&gt;41,"40")</f>
        <v>40</v>
      </c>
      <c r="AF735" t="str">
        <f>_xlfn.IFS(ISTEXT(Calcs!O735),Calcs!O735,Calcs!O735&lt;=80,Calcs!O735,Calcs!O735&gt;=81,"80")</f>
        <v>80</v>
      </c>
      <c r="AG735" s="25">
        <f t="shared" si="41"/>
        <v>3</v>
      </c>
      <c r="AH735" s="25">
        <f t="shared" si="42"/>
        <v>1.04</v>
      </c>
      <c r="AI735" s="25">
        <f t="shared" si="43"/>
        <v>2</v>
      </c>
    </row>
    <row r="736" ht="14.4" spans="1:35">
      <c r="A736" s="24" t="str">
        <f>'Ammo Input'!A736</f>
        <v>127mm Javelin</v>
      </c>
      <c r="B736" t="str">
        <f>'Ammo Input'!B736</f>
        <v>HEAT</v>
      </c>
      <c r="C736">
        <f>ROUNDUP(('Ammo Input'!C736*(MAX('Ammo Input'!D736,'Ammo Input'!F736)*0.5)^2*PI())*3/1000000,2)</f>
        <v>57.02</v>
      </c>
      <c r="D736">
        <f>ROUNDUP(('Ammo Input'!E736+'Ammo Input'!H736*IF('Ammo Input'!J736&lt;&gt;"",MAX('Ammo Input'!J736,1),1))/1000,3)</f>
        <v>15.97</v>
      </c>
      <c r="E736">
        <f>MIN(5000,MAX(25,CEILING(Calcs!L736,_xlfn.IFS(Calcs!L736&lt;100,25,Calcs!L736&lt;250,50,Calcs!L736&lt;1000,250,Calcs!L736&gt;=1000,1000))))</f>
        <v>25</v>
      </c>
      <c r="F736">
        <f>ROUNDUP('Ammo Input'!G736^(3/4),0)</f>
        <v>57</v>
      </c>
      <c r="G736">
        <f>ROUND((0.5*((IF(OR(B736="HEAT",B736="HEDP"),'Ammo Input'!N736,'Ammo Input'!H736)/1000)*(IF(B736="HEAT",9000,IF(B736="HEDP",1500,'Ammo Input'!G736))^2))),0)</f>
        <v>12150000</v>
      </c>
      <c r="H736" s="25" t="str">
        <f>CONCATENATE(IF((B736="Foam")+(B736="Smoke"),"-",ROUND(Calcs!D736,0))," ",VLOOKUP(B736,AmmoTypeFactors,5,FALSE))</f>
        <v>363 Bullet</v>
      </c>
      <c r="I736" s="25" t="str">
        <f>IF(Calcs!E736=0,"None",CONCATENATE(ROUND(Calcs!E736,0)," ",VLOOKUP(B736,AmmoTypeFactors,6,FALSE)))</f>
        <v>None</v>
      </c>
      <c r="J736">
        <f>MROUND(2.42*'Ammo Input'!M736^(1/3)*VLOOKUP(B736,AmmoTypeFactors,3,FALSE),0.5)</f>
        <v>3</v>
      </c>
      <c r="K736" s="25" t="str">
        <f>IF(VLOOKUP(B736,AmmoTypeFactors,12,FALSE),MROUND(J736/3,0.5),"None")</f>
        <v>None</v>
      </c>
      <c r="L736" s="25">
        <f>IF(VLOOKUP(B736,AmmoTypeFactors,8,FALSE),"None",ROUNDUP(IF(Calcs!I736&gt;0,Calcs!I736,Calcs!H736),3))</f>
        <v>175.402</v>
      </c>
      <c r="M736" s="25">
        <f>IF(VLOOKUP(B736,AmmoTypeFactors,8,FALSE),"None",'Ammo Input'!L736)</f>
        <v>750</v>
      </c>
      <c r="N736">
        <f>'Ammo Input'!O736</f>
        <v>5</v>
      </c>
      <c r="O736" t="e">
        <f>ROUND((P736*0.0036+SUMPRODUCT(Q736:AB736,VLOOKUP($Q$1:$AB$1,IngredientStats,2,FALSE)))/N736*IF('Ammo Input'!R736,0.5,1),2)</f>
        <v>#VALUE!</v>
      </c>
      <c r="P736" t="e">
        <f>(SUMPRODUCT(Q736:AB736,VLOOKUP($Q$1:$AB$1,IngredientStats,4,FALSE))*VLOOKUP(B736,AmmoTypeFactors,14,FALSE)*IF('Ammo Input'!R736,1.1,1))</f>
        <v>#VALUE!</v>
      </c>
      <c r="Q736">
        <f>IFERROR(__xludf.DUMMYFUNCTION("((IF(NOT(OR(REGEXMATCH(B732, ""Arrow""), B732 = ""Javelin"", B732 = ""Stick bomb"")), ROUNDUP(('Ammo Input'!E732 / 1000) * N732)) + IF(VLOOKUP(B732, AmmoTypeFactors, 9, FALSE) = ""Steel"", ROUNDUP(('Ammo Input'!H732 -'Ammo Input'!M732) * MAX(IF('Ammo Inpu"&amp;"t'!J732 &gt; 0, 'Ammo Input'!J732, 1), 1) * N732 / 1000))) / 'Ingredient stats'!$C$2) * IF(ISBLANK(VLOOKUP(B732,AmmoTypeFactors,15,False)),1,VLOOKUP(B732,AmmoTypeFactors,15,False))"),162)</f>
        <v>162</v>
      </c>
      <c r="R736">
        <f>IFERROR(__xludf.DUMMYFUNCTION("ROUNDUP((IF(REGEXMATCH(B732, ""Arrow"") + (B732 = ""Javelin""), 'Ammo Input'!E732) + IF(VLOOKUP(B732, AmmoTypeFactors, 9, FALSE) = ""Wood"", 'Ammo Input'!H732) + IF(B732 = ""Stick bomb"", 'Ammo Input'!E732)) * N732 / 'Ingredient stats'!$C$12 / 1000)"),0)</f>
        <v>0</v>
      </c>
      <c r="S736">
        <v>0</v>
      </c>
      <c r="T736">
        <v>0</v>
      </c>
      <c r="U736">
        <f>IF(VLOOKUP(B736,AmmoTypeFactors,9,FALSE)="Plasteel",ROUNDUP(('Ammo Input'!H736*MAX(IF('Ammo Input'!J736&gt;0,'Ammo Input'!J736,1)*N736/1000/'Ingredient stats'!$C$4)),0),0)</f>
        <v>0</v>
      </c>
      <c r="V736">
        <f>IFERROR(__xludf.DUMMYFUNCTION("ROUNDUP(IF(ISBLANK(VLOOKUP(B732,AmmoTypeFactors,16,False)),1,VLOOKUP(B732,AmmoTypeFactors,16,False)) * (IFS(REGEXMATCH(B732, ""EMP""), 'Ammo Input'!M732 * N732 / 'Ingredient stats'!$C$5, REGEXMATCH(B732, ""Charge""), (U732^0.75), true, 0) + (IF(VLOOKUP(B7"&amp;"32, AmmoTypeFactors, 10, false), 2,0) + IF('Ammo Input'!P732, 2,0) + IF('Ammo Input'!Q732,MIN(ROUNDUP(0.2*('Ammo Input'!H732/1000)*'Ammo Input'!O732,0),20),0))))"),14)</f>
        <v>14</v>
      </c>
      <c r="W736">
        <v>0</v>
      </c>
      <c r="X736">
        <v>91</v>
      </c>
      <c r="Y736">
        <v>0</v>
      </c>
      <c r="Z736">
        <v>0</v>
      </c>
      <c r="AA736">
        <v>0</v>
      </c>
      <c r="AB736" s="30">
        <f>IF(B736="Sling Bullet (Stone)",ROUNDUP(D736*0.02*E736/'Ingredient stats'!$C$8,0),0)</f>
        <v>0</v>
      </c>
      <c r="AC736" t="str">
        <f t="shared" si="40"/>
        <v>None</v>
      </c>
      <c r="AD736" t="str">
        <f>IF(OR(B736="Buck",B736="Bird",B736="Charge (Scatter)"),'Ammo Input'!J736,"None")</f>
        <v>None</v>
      </c>
      <c r="AE736">
        <f>_xlfn.IFS(ISTEXT(Calcs!N736),Calcs!N736,Calcs!N736&lt;=40,Calcs!N736,Calcs!N736&gt;41,"40")</f>
        <v>2</v>
      </c>
      <c r="AF736" t="str">
        <f>_xlfn.IFS(ISTEXT(Calcs!O736),Calcs!O736,Calcs!O736&lt;=80,Calcs!O736,Calcs!O736&gt;=81,"80")</f>
        <v>80</v>
      </c>
      <c r="AG736" s="25">
        <f t="shared" si="41"/>
        <v>3</v>
      </c>
      <c r="AH736" s="25">
        <f t="shared" si="42"/>
        <v>0.94</v>
      </c>
      <c r="AI736" s="25">
        <f t="shared" si="43"/>
        <v>2</v>
      </c>
    </row>
    <row r="737" ht="14.4" spans="1:35">
      <c r="A737" s="24" t="str">
        <f>'Ammo Input'!A737</f>
        <v>130mm Type 63</v>
      </c>
      <c r="B737" t="str">
        <f>'Ammo Input'!B737</f>
        <v>HE</v>
      </c>
      <c r="C737">
        <f>ROUNDUP(('Ammo Input'!C737*(MAX('Ammo Input'!D737,'Ammo Input'!F737)*0.5)^2*PI())*3/1000000,2)</f>
        <v>43.81</v>
      </c>
      <c r="D737">
        <f>ROUNDUP(('Ammo Input'!E737+'Ammo Input'!H737*IF('Ammo Input'!J737&lt;&gt;"",MAX('Ammo Input'!J737,1),1))/1000,3)</f>
        <v>33</v>
      </c>
      <c r="E737">
        <f>MIN(5000,MAX(25,CEILING(Calcs!L737,_xlfn.IFS(Calcs!L737&lt;100,25,Calcs!L737&lt;250,50,Calcs!L737&lt;1000,250,Calcs!L737&gt;=1000,1000))))</f>
        <v>25</v>
      </c>
      <c r="F737">
        <f>ROUNDUP('Ammo Input'!G737^(3/4),0)</f>
        <v>96</v>
      </c>
      <c r="G737">
        <f>ROUND((0.5*((IF(OR(B737="HEAT",B737="HEDP"),'Ammo Input'!N737,'Ammo Input'!H737)/1000)*(IF(B737="HEAT",9000,IF(B737="HEDP",1500,'Ammo Input'!G737))^2))),0)</f>
        <v>3150989</v>
      </c>
      <c r="H737" s="25" t="str">
        <f>CONCATENATE(IF((B737="Foam")+(B737="Smoke"),"-",ROUND(Calcs!D737,0))," ",VLOOKUP(B737,AmmoTypeFactors,5,FALSE))</f>
        <v>254 Bomb</v>
      </c>
      <c r="I737" s="25" t="str">
        <f>IF(Calcs!E737=0,"None",CONCATENATE(ROUND(Calcs!E737,0)," ",VLOOKUP(B737,AmmoTypeFactors,6,FALSE)))</f>
        <v>None</v>
      </c>
      <c r="J737">
        <f>MROUND(2.42*'Ammo Input'!M737^(1/3)*VLOOKUP(B737,AmmoTypeFactors,3,FALSE),0.5)</f>
        <v>3.5</v>
      </c>
      <c r="K737" s="25" t="str">
        <f>IF(VLOOKUP(B737,AmmoTypeFactors,12,FALSE),MROUND(J737/3,0.5),"None")</f>
        <v>None</v>
      </c>
      <c r="L737" s="25" t="str">
        <f>IF(VLOOKUP(B737,AmmoTypeFactors,8,FALSE),"None",ROUNDUP(IF(Calcs!I737&gt;0,Calcs!I737,Calcs!H737),3))</f>
        <v>None</v>
      </c>
      <c r="M737" s="25" t="str">
        <f>IF(VLOOKUP(B737,AmmoTypeFactors,8,FALSE),"None",'Ammo Input'!L737)</f>
        <v>None</v>
      </c>
      <c r="N737">
        <f>'Ammo Input'!O737</f>
        <v>5</v>
      </c>
      <c r="O737" t="e">
        <f>ROUND((P737*0.0036+SUMPRODUCT(Q737:AB737,VLOOKUP($Q$1:$AB$1,IngredientStats,2,FALSE)))/N737*IF('Ammo Input'!R737,0.5,1),2)</f>
        <v>#VALUE!</v>
      </c>
      <c r="P737" t="e">
        <f>(SUMPRODUCT(Q737:AB737,VLOOKUP($Q$1:$AB$1,IngredientStats,4,FALSE))*VLOOKUP(B737,AmmoTypeFactors,14,FALSE)*IF('Ammo Input'!R737,1.1,1))</f>
        <v>#VALUE!</v>
      </c>
      <c r="Q737">
        <f>IFERROR(__xludf.DUMMYFUNCTION("((IF(NOT(OR(REGEXMATCH(B733, ""Arrow""), B733 = ""Javelin"", B733 = ""Stick bomb"")), ROUNDUP(('Ammo Input'!E733 / 1000) * N733)) + IF(VLOOKUP(B733, AmmoTypeFactors, 9, FALSE) = ""Steel"", ROUNDUP(('Ammo Input'!H733 -'Ammo Input'!M733) * MAX(IF('Ammo Inpu"&amp;"t'!J733 &gt; 0, 'Ammo Input'!J733, 1), 1) * N733 / 1000))) / 'Ingredient stats'!$C$2) * IF(ISBLANK(VLOOKUP(B733,AmmoTypeFactors,15,False)),1,VLOOKUP(B733,AmmoTypeFactors,15,False))"),330)</f>
        <v>330</v>
      </c>
      <c r="R737">
        <f>IFERROR(__xludf.DUMMYFUNCTION("ROUNDUP((IF(REGEXMATCH(B733, ""Arrow"") + (B733 = ""Javelin""), 'Ammo Input'!E733) + IF(VLOOKUP(B733, AmmoTypeFactors, 9, FALSE) = ""Wood"", 'Ammo Input'!H733) + IF(B733 = ""Stick bomb"", 'Ammo Input'!E733)) * N733 / 'Ingredient stats'!$C$12 / 1000)"),0)</f>
        <v>0</v>
      </c>
      <c r="S737">
        <v>0</v>
      </c>
      <c r="T737">
        <v>0</v>
      </c>
      <c r="U737">
        <f>IF(VLOOKUP(B737,AmmoTypeFactors,9,FALSE)="Plasteel",ROUNDUP(('Ammo Input'!H737*MAX(IF('Ammo Input'!J737&gt;0,'Ammo Input'!J737,1)*N737/1000/'Ingredient stats'!$C$4)),0),0)</f>
        <v>0</v>
      </c>
      <c r="V737">
        <f>IFERROR(__xludf.DUMMYFUNCTION("ROUNDUP(IF(ISBLANK(VLOOKUP(B733,AmmoTypeFactors,16,False)),1,VLOOKUP(B733,AmmoTypeFactors,16,False)) * (IFS(REGEXMATCH(B733, ""EMP""), 'Ammo Input'!M733 * N733 / 'Ingredient stats'!$C$5, REGEXMATCH(B733, ""Charge""), (U733^0.75), true, 0) + (IF(VLOOKUP(B7"&amp;"33, AmmoTypeFactors, 10, false), 2,0) + IF('Ammo Input'!P733, 2,0) + IF('Ammo Input'!Q733,MIN(ROUNDUP(0.2*('Ammo Input'!H733/1000)*'Ammo Input'!O733,0),20),0))))"),4)</f>
        <v>4</v>
      </c>
      <c r="W737">
        <v>0</v>
      </c>
      <c r="X737">
        <v>23</v>
      </c>
      <c r="Y737">
        <v>0</v>
      </c>
      <c r="Z737">
        <v>0</v>
      </c>
      <c r="AA737">
        <v>0</v>
      </c>
      <c r="AB737" s="30">
        <f>IF(B737="Sling Bullet (Stone)",ROUNDUP(D737*0.02*E737/'Ingredient stats'!$C$8,0),0)</f>
        <v>0</v>
      </c>
      <c r="AC737" t="str">
        <f t="shared" si="40"/>
        <v>None</v>
      </c>
      <c r="AD737" t="str">
        <f>IF(OR(B737="Buck",B737="Bird",B737="Charge (Scatter)"),'Ammo Input'!J737,"None")</f>
        <v>None</v>
      </c>
      <c r="AE737" t="str">
        <f>_xlfn.IFS(ISTEXT(Calcs!N737),Calcs!N737,Calcs!N737&lt;=40,Calcs!N737,Calcs!N737&gt;41,"40")</f>
        <v>40</v>
      </c>
      <c r="AF737">
        <f>_xlfn.IFS(ISTEXT(Calcs!O737),Calcs!O737,Calcs!O737&lt;=80,Calcs!O737,Calcs!O737&gt;=81,"80")</f>
        <v>57</v>
      </c>
      <c r="AG737" s="25">
        <f t="shared" si="41"/>
        <v>3</v>
      </c>
      <c r="AH737" s="25">
        <f t="shared" si="42"/>
        <v>1.59</v>
      </c>
      <c r="AI737" s="25">
        <f t="shared" si="43"/>
        <v>2</v>
      </c>
    </row>
    <row r="738" ht="14.4" spans="1:35">
      <c r="A738" s="24" t="str">
        <f>'Ammo Input'!A738</f>
        <v>132mm M13</v>
      </c>
      <c r="B738" t="str">
        <f>'Ammo Input'!B738</f>
        <v>HE</v>
      </c>
      <c r="C738">
        <f>ROUNDUP(('Ammo Input'!C738*(MAX('Ammo Input'!D738,'Ammo Input'!F738)*0.5)^2*PI())*3/1000000,2)</f>
        <v>59.53</v>
      </c>
      <c r="D738">
        <f>ROUNDUP(('Ammo Input'!E738+'Ammo Input'!H738*IF('Ammo Input'!J738&lt;&gt;"",MAX('Ammo Input'!J738,1),1))/1000,3)</f>
        <v>43</v>
      </c>
      <c r="E738">
        <f>MIN(5000,MAX(25,CEILING(Calcs!L738,_xlfn.IFS(Calcs!L738&lt;100,25,Calcs!L738&lt;250,50,Calcs!L738&lt;1000,250,Calcs!L738&gt;=1000,1000))))</f>
        <v>25</v>
      </c>
      <c r="F738">
        <f>ROUNDUP('Ammo Input'!G738^(3/4),0)</f>
        <v>81</v>
      </c>
      <c r="G738">
        <f>ROUND((0.5*((IF(OR(B738="HEAT",B738="HEDP"),'Ammo Input'!N738,'Ammo Input'!H738)/1000)*(IF(B738="HEAT",9000,IF(B738="HEDP",1500,'Ammo Input'!G738))^2))),0)</f>
        <v>2633750</v>
      </c>
      <c r="H738" s="25" t="str">
        <f>CONCATENATE(IF((B738="Foam")+(B738="Smoke"),"-",ROUND(Calcs!D738,0))," ",VLOOKUP(B738,AmmoTypeFactors,5,FALSE))</f>
        <v>337 Bomb</v>
      </c>
      <c r="I738" s="25" t="str">
        <f>IF(Calcs!E738=0,"None",CONCATENATE(ROUND(Calcs!E738,0)," ",VLOOKUP(B738,AmmoTypeFactors,6,FALSE)))</f>
        <v>None</v>
      </c>
      <c r="J738">
        <f>MROUND(2.42*'Ammo Input'!M738^(1/3)*VLOOKUP(B738,AmmoTypeFactors,3,FALSE),0.5)</f>
        <v>4</v>
      </c>
      <c r="K738" s="25" t="str">
        <f>IF(VLOOKUP(B738,AmmoTypeFactors,12,FALSE),MROUND(J738/3,0.5),"None")</f>
        <v>None</v>
      </c>
      <c r="L738" s="25" t="str">
        <f>IF(VLOOKUP(B738,AmmoTypeFactors,8,FALSE),"None",ROUNDUP(IF(Calcs!I738&gt;0,Calcs!I738,Calcs!H738),3))</f>
        <v>None</v>
      </c>
      <c r="M738" s="25" t="str">
        <f>IF(VLOOKUP(B738,AmmoTypeFactors,8,FALSE),"None",'Ammo Input'!L738)</f>
        <v>None</v>
      </c>
      <c r="N738">
        <f>'Ammo Input'!O738</f>
        <v>4</v>
      </c>
      <c r="O738" t="e">
        <f>ROUND((P738*0.0036+SUMPRODUCT(Q738:AB738,VLOOKUP($Q$1:$AB$1,IngredientStats,2,FALSE)))/N738*IF('Ammo Input'!R738,0.5,1),2)</f>
        <v>#VALUE!</v>
      </c>
      <c r="P738" t="e">
        <f>(SUMPRODUCT(Q738:AB738,VLOOKUP($Q$1:$AB$1,IngredientStats,4,FALSE))*VLOOKUP(B738,AmmoTypeFactors,14,FALSE)*IF('Ammo Input'!R738,1.1,1))</f>
        <v>#VALUE!</v>
      </c>
      <c r="Q738">
        <f>IFERROR(__xludf.DUMMYFUNCTION("((IF(NOT(OR(REGEXMATCH(B734, ""Arrow""), B734 = ""Javelin"", B734 = ""Stick bomb"")), ROUNDUP(('Ammo Input'!E734 / 1000) * N734)) + IF(VLOOKUP(B734, AmmoTypeFactors, 9, FALSE) = ""Steel"", ROUNDUP(('Ammo Input'!H734 -'Ammo Input'!M734) * MAX(IF('Ammo Inpu"&amp;"t'!J734 &gt; 0, 'Ammo Input'!J734, 1), 1) * N734 / 1000))) / 'Ingredient stats'!$C$2) * IF(ISBLANK(VLOOKUP(B734,AmmoTypeFactors,15,False)),1,VLOOKUP(B734,AmmoTypeFactors,15,False))"),344)</f>
        <v>344</v>
      </c>
      <c r="R738">
        <f>IFERROR(__xludf.DUMMYFUNCTION("ROUNDUP((IF(REGEXMATCH(B734, ""Arrow"") + (B734 = ""Javelin""), 'Ammo Input'!E734) + IF(VLOOKUP(B734, AmmoTypeFactors, 9, FALSE) = ""Wood"", 'Ammo Input'!H734) + IF(B734 = ""Stick bomb"", 'Ammo Input'!E734)) * N734 / 'Ingredient stats'!$C$12 / 1000)"),0)</f>
        <v>0</v>
      </c>
      <c r="S738">
        <v>0</v>
      </c>
      <c r="T738">
        <v>0</v>
      </c>
      <c r="U738">
        <f>IF(VLOOKUP(B738,AmmoTypeFactors,9,FALSE)="Plasteel",ROUNDUP(('Ammo Input'!H738*MAX(IF('Ammo Input'!J738&gt;0,'Ammo Input'!J738,1)*N738/1000/'Ingredient stats'!$C$4)),0),0)</f>
        <v>0</v>
      </c>
      <c r="V738">
        <f>IFERROR(__xludf.DUMMYFUNCTION("ROUNDUP(IF(ISBLANK(VLOOKUP(B734,AmmoTypeFactors,16,False)),1,VLOOKUP(B734,AmmoTypeFactors,16,False)) * (IFS(REGEXMATCH(B734, ""EMP""), 'Ammo Input'!M734 * N734 / 'Ingredient stats'!$C$5, REGEXMATCH(B734, ""Charge""), (U734^0.75), true, 0) + (IF(VLOOKUP(B7"&amp;"34, AmmoTypeFactors, 10, false), 2,0) + IF('Ammo Input'!P734, 2,0) + IF('Ammo Input'!Q734,MIN(ROUNDUP(0.2*('Ammo Input'!H734/1000)*'Ammo Input'!O734,0),20),0))))"),4)</f>
        <v>4</v>
      </c>
      <c r="W738">
        <v>0</v>
      </c>
      <c r="X738">
        <v>29</v>
      </c>
      <c r="Y738">
        <v>0</v>
      </c>
      <c r="Z738">
        <v>0</v>
      </c>
      <c r="AA738">
        <v>0</v>
      </c>
      <c r="AB738" s="30">
        <f>IF(B738="Sling Bullet (Stone)",ROUNDUP(D738*0.02*E738/'Ingredient stats'!$C$8,0),0)</f>
        <v>0</v>
      </c>
      <c r="AC738" t="str">
        <f t="shared" si="40"/>
        <v>None</v>
      </c>
      <c r="AD738" t="str">
        <f>IF(OR(B738="Buck",B738="Bird",B738="Charge (Scatter)"),'Ammo Input'!J738,"None")</f>
        <v>None</v>
      </c>
      <c r="AE738" t="str">
        <f>_xlfn.IFS(ISTEXT(Calcs!N738),Calcs!N738,Calcs!N738&lt;=40,Calcs!N738,Calcs!N738&gt;41,"40")</f>
        <v>40</v>
      </c>
      <c r="AF738" t="str">
        <f>_xlfn.IFS(ISTEXT(Calcs!O738),Calcs!O738,Calcs!O738&lt;=80,Calcs!O738,Calcs!O738&gt;=81,"80")</f>
        <v>80</v>
      </c>
      <c r="AG738" s="25">
        <f t="shared" si="41"/>
        <v>3</v>
      </c>
      <c r="AH738" s="25">
        <f t="shared" si="42"/>
        <v>1.33</v>
      </c>
      <c r="AI738" s="25">
        <f t="shared" si="43"/>
        <v>2</v>
      </c>
    </row>
    <row r="739" ht="14.4" spans="1:35">
      <c r="A739" s="24" t="str">
        <f>'Ammo Input'!A739</f>
        <v>150 MBT LAW</v>
      </c>
      <c r="B739" t="str">
        <f>'Ammo Input'!B739</f>
        <v>HEAT</v>
      </c>
      <c r="C739">
        <f>ROUNDUP(('Ammo Input'!C739*(MAX('Ammo Input'!D739,'Ammo Input'!F739)*0.5)^2*PI())*3/1000000,2)</f>
        <v>65.18</v>
      </c>
      <c r="D739">
        <f>ROUNDUP(('Ammo Input'!E739+'Ammo Input'!H739*IF('Ammo Input'!J739&lt;&gt;"",MAX('Ammo Input'!J739,1),1))/1000,3)</f>
        <v>12.5</v>
      </c>
      <c r="E739">
        <f>MIN(5000,MAX(25,CEILING(Calcs!L739,_xlfn.IFS(Calcs!L739&lt;100,25,Calcs!L739&lt;250,50,Calcs!L739&lt;1000,250,Calcs!L739&gt;=1000,1000))))</f>
        <v>25</v>
      </c>
      <c r="F739">
        <f>ROUNDUP('Ammo Input'!G739^(3/4),0)</f>
        <v>54</v>
      </c>
      <c r="G739">
        <f>ROUND((0.5*((IF(OR(B739="HEAT",B739="HEDP"),'Ammo Input'!N739,'Ammo Input'!H739)/1000)*(IF(B739="HEAT",9000,IF(B739="HEDP",1500,'Ammo Input'!G739))^2))),0)</f>
        <v>6075000</v>
      </c>
      <c r="H739" s="25" t="str">
        <f>CONCATENATE(IF((B739="Foam")+(B739="Smoke"),"-",ROUND(Calcs!D739,0))," ",VLOOKUP(B739,AmmoTypeFactors,5,FALSE))</f>
        <v>286 Bullet</v>
      </c>
      <c r="I739" s="25" t="str">
        <f>IF(Calcs!E739=0,"None",CONCATENATE(ROUND(Calcs!E739,0)," ",VLOOKUP(B739,AmmoTypeFactors,6,FALSE)))</f>
        <v>None</v>
      </c>
      <c r="J739">
        <f>MROUND(2.42*'Ammo Input'!M739^(1/3)*VLOOKUP(B739,AmmoTypeFactors,3,FALSE),0.5)</f>
        <v>2.5</v>
      </c>
      <c r="K739" s="25" t="str">
        <f>IF(VLOOKUP(B739,AmmoTypeFactors,12,FALSE),MROUND(J739/3,0.5),"None")</f>
        <v>None</v>
      </c>
      <c r="L739" s="25">
        <f>IF(VLOOKUP(B739,AmmoTypeFactors,8,FALSE),"None",ROUNDUP(IF(Calcs!I739&gt;0,Calcs!I739,Calcs!H739),3))</f>
        <v>137.525</v>
      </c>
      <c r="M739" s="25">
        <f>IF(VLOOKUP(B739,AmmoTypeFactors,8,FALSE),"None",'Ammo Input'!L739)</f>
        <v>600</v>
      </c>
      <c r="N739">
        <f>'Ammo Input'!O739</f>
        <v>5</v>
      </c>
      <c r="O739" t="e">
        <f>ROUND((P739*0.0036+SUMPRODUCT(Q739:AB739,VLOOKUP($Q$1:$AB$1,IngredientStats,2,FALSE)))/N739*IF('Ammo Input'!R739,0.5,1),2)</f>
        <v>#VALUE!</v>
      </c>
      <c r="P739" t="e">
        <f>(SUMPRODUCT(Q739:AB739,VLOOKUP($Q$1:$AB$1,IngredientStats,4,FALSE))*VLOOKUP(B739,AmmoTypeFactors,14,FALSE)*IF('Ammo Input'!R739,1.1,1))</f>
        <v>#VALUE!</v>
      </c>
      <c r="Q739">
        <f>IFERROR(__xludf.DUMMYFUNCTION("((IF(NOT(OR(REGEXMATCH(B735, ""Arrow""), B735 = ""Javelin"", B735 = ""Stick bomb"")), ROUNDUP(('Ammo Input'!E735 / 1000) * N735)) + IF(VLOOKUP(B735, AmmoTypeFactors, 9, FALSE) = ""Steel"", ROUNDUP(('Ammo Input'!H735 -'Ammo Input'!M735) * MAX(IF('Ammo Inpu"&amp;"t'!J735 &gt; 0, 'Ammo Input'!J735, 1), 1) * N735 / 1000))) / 'Ingredient stats'!$C$2) * IF(ISBLANK(VLOOKUP(B735,AmmoTypeFactors,15,False)),1,VLOOKUP(B735,AmmoTypeFactors,15,False))"),126)</f>
        <v>126</v>
      </c>
      <c r="R739">
        <f>IFERROR(__xludf.DUMMYFUNCTION("ROUNDUP((IF(REGEXMATCH(B735, ""Arrow"") + (B735 = ""Javelin""), 'Ammo Input'!E735) + IF(VLOOKUP(B735, AmmoTypeFactors, 9, FALSE) = ""Wood"", 'Ammo Input'!H735) + IF(B735 = ""Stick bomb"", 'Ammo Input'!E735)) * N735 / 'Ingredient stats'!$C$12 / 1000)"),0)</f>
        <v>0</v>
      </c>
      <c r="S739">
        <v>0</v>
      </c>
      <c r="T739">
        <v>0</v>
      </c>
      <c r="U739">
        <f>IF(VLOOKUP(B739,AmmoTypeFactors,9,FALSE)="Plasteel",ROUNDUP(('Ammo Input'!H739*MAX(IF('Ammo Input'!J739&gt;0,'Ammo Input'!J739,1)*N739/1000/'Ingredient stats'!$C$4)),0),0)</f>
        <v>0</v>
      </c>
      <c r="V739">
        <f>IFERROR(__xludf.DUMMYFUNCTION("ROUNDUP(IF(ISBLANK(VLOOKUP(B735,AmmoTypeFactors,16,False)),1,VLOOKUP(B735,AmmoTypeFactors,16,False)) * (IFS(REGEXMATCH(B735, ""EMP""), 'Ammo Input'!M735 * N735 / 'Ingredient stats'!$C$5, REGEXMATCH(B735, ""Charge""), (U735^0.75), true, 0) + (IF(VLOOKUP(B7"&amp;"35, AmmoTypeFactors, 10, false), 2,0) + IF('Ammo Input'!P735, 2,0) + IF('Ammo Input'!Q735,MIN(ROUNDUP(0.2*('Ammo Input'!H735/1000)*'Ammo Input'!O735,0),20),0))))"),13)</f>
        <v>13</v>
      </c>
      <c r="W739">
        <v>0</v>
      </c>
      <c r="X739">
        <v>61</v>
      </c>
      <c r="Y739">
        <v>0</v>
      </c>
      <c r="Z739">
        <v>0</v>
      </c>
      <c r="AA739">
        <v>0</v>
      </c>
      <c r="AB739" s="30">
        <f>IF(B739="Sling Bullet (Stone)",ROUNDUP(D739*0.02*E739/'Ingredient stats'!$C$8,0),0)</f>
        <v>0</v>
      </c>
      <c r="AC739" t="str">
        <f t="shared" si="40"/>
        <v>None</v>
      </c>
      <c r="AD739" t="str">
        <f>IF(OR(B739="Buck",B739="Bird",B739="Charge (Scatter)"),'Ammo Input'!J739,"None")</f>
        <v>None</v>
      </c>
      <c r="AE739">
        <f>_xlfn.IFS(ISTEXT(Calcs!N739),Calcs!N739,Calcs!N739&lt;=40,Calcs!N739,Calcs!N739&gt;41,"40")</f>
        <v>5</v>
      </c>
      <c r="AF739">
        <f>_xlfn.IFS(ISTEXT(Calcs!O739),Calcs!O739,Calcs!O739&lt;=80,Calcs!O739,Calcs!O739&gt;=81,"80")</f>
        <v>76</v>
      </c>
      <c r="AG739" s="25">
        <f t="shared" si="41"/>
        <v>3</v>
      </c>
      <c r="AH739" s="25">
        <f t="shared" si="42"/>
        <v>0.89</v>
      </c>
      <c r="AI739" s="25">
        <f t="shared" si="43"/>
        <v>2</v>
      </c>
    </row>
    <row r="740" ht="14.4" spans="1:35">
      <c r="A740" s="24" t="str">
        <f>'Ammo Input'!A740</f>
        <v>90mm Matador</v>
      </c>
      <c r="B740" t="str">
        <f>'Ammo Input'!B740</f>
        <v>HEAT</v>
      </c>
      <c r="C740">
        <f>ROUNDUP(('Ammo Input'!C740*(MAX('Ammo Input'!D740,'Ammo Input'!F740)*0.5)^2*PI())*3/1000000,2)</f>
        <v>24.52</v>
      </c>
      <c r="D740">
        <f>ROUNDUP(('Ammo Input'!E740+'Ammo Input'!H740*IF('Ammo Input'!J740&lt;&gt;"",MAX('Ammo Input'!J740,1),1))/1000,3)</f>
        <v>8.9</v>
      </c>
      <c r="E740">
        <f>MIN(5000,MAX(25,CEILING(Calcs!L740,_xlfn.IFS(Calcs!L740&lt;100,25,Calcs!L740&lt;250,50,Calcs!L740&lt;1000,250,Calcs!L740&gt;=1000,1000))))</f>
        <v>25</v>
      </c>
      <c r="F740">
        <f>ROUNDUP('Ammo Input'!G740^(3/4),0)</f>
        <v>63</v>
      </c>
      <c r="G740">
        <f>ROUND((0.5*((IF(OR(B740="HEAT",B740="HEDP"),'Ammo Input'!N740,'Ammo Input'!H740)/1000)*(IF(B740="HEAT",9000,IF(B740="HEDP",1500,'Ammo Input'!G740))^2))),0)</f>
        <v>4050000</v>
      </c>
      <c r="H740" s="25" t="str">
        <f>CONCATENATE(IF((B740="Foam")+(B740="Smoke"),"-",ROUND(Calcs!D740,0))," ",VLOOKUP(B740,AmmoTypeFactors,5,FALSE))</f>
        <v>248 Bullet</v>
      </c>
      <c r="I740" s="25" t="str">
        <f>IF(Calcs!E740=0,"None",CONCATENATE(ROUND(Calcs!E740,0)," ",VLOOKUP(B740,AmmoTypeFactors,6,FALSE)))</f>
        <v>None</v>
      </c>
      <c r="J740">
        <f>MROUND(2.42*'Ammo Input'!M740^(1/3)*VLOOKUP(B740,AmmoTypeFactors,3,FALSE),0.5)</f>
        <v>1</v>
      </c>
      <c r="K740" s="25" t="str">
        <f>IF(VLOOKUP(B740,AmmoTypeFactors,12,FALSE),MROUND(J740/3,0.5),"None")</f>
        <v>None</v>
      </c>
      <c r="L740" s="25">
        <f>IF(VLOOKUP(B740,AmmoTypeFactors,8,FALSE),"None",ROUNDUP(IF(Calcs!I740&gt;0,Calcs!I740,Calcs!H740),3))</f>
        <v>33.233</v>
      </c>
      <c r="M740" s="25">
        <f>IF(VLOOKUP(B740,AmmoTypeFactors,8,FALSE),"None",'Ammo Input'!L740)</f>
        <v>500</v>
      </c>
      <c r="N740">
        <f>'Ammo Input'!O740</f>
        <v>5</v>
      </c>
      <c r="O740" t="e">
        <f>ROUND((P740*0.0036+SUMPRODUCT(Q740:AB740,VLOOKUP($Q$1:$AB$1,IngredientStats,2,FALSE)))/N740*IF('Ammo Input'!R740,0.5,1),2)</f>
        <v>#VALUE!</v>
      </c>
      <c r="P740" t="e">
        <f>(SUMPRODUCT(Q740:AB740,VLOOKUP($Q$1:$AB$1,IngredientStats,4,FALSE))*VLOOKUP(B740,AmmoTypeFactors,14,FALSE)*IF('Ammo Input'!R740,1.1,1))</f>
        <v>#VALUE!</v>
      </c>
      <c r="Q740">
        <f>IFERROR(__xludf.DUMMYFUNCTION("((IF(NOT(OR(REGEXMATCH(B736, ""Arrow""), B736 = ""Javelin"", B736 = ""Stick bomb"")), ROUNDUP(('Ammo Input'!E736 / 1000) * N736)) + IF(VLOOKUP(B736, AmmoTypeFactors, 9, FALSE) = ""Steel"", ROUNDUP(('Ammo Input'!H736 -'Ammo Input'!M736) * MAX(IF('Ammo Inpu"&amp;"t'!J736 &gt; 0, 'Ammo Input'!J736, 1), 1) * N736 / 1000))) / 'Ingredient stats'!$C$2) * IF(ISBLANK(VLOOKUP(B736,AmmoTypeFactors,15,False)),1,VLOOKUP(B736,AmmoTypeFactors,15,False))"),90)</f>
        <v>90</v>
      </c>
      <c r="R740">
        <f>IFERROR(__xludf.DUMMYFUNCTION("ROUNDUP((IF(REGEXMATCH(B736, ""Arrow"") + (B736 = ""Javelin""), 'Ammo Input'!E736) + IF(VLOOKUP(B736, AmmoTypeFactors, 9, FALSE) = ""Wood"", 'Ammo Input'!H736) + IF(B736 = ""Stick bomb"", 'Ammo Input'!E736)) * N736 / 'Ingredient stats'!$C$12 / 1000)"),0)</f>
        <v>0</v>
      </c>
      <c r="S740">
        <v>0</v>
      </c>
      <c r="T740">
        <v>0</v>
      </c>
      <c r="U740">
        <f>IF(VLOOKUP(B740,AmmoTypeFactors,9,FALSE)="Plasteel",ROUNDUP(('Ammo Input'!H740*MAX(IF('Ammo Input'!J740&gt;0,'Ammo Input'!J740,1)*N740/1000/'Ingredient stats'!$C$4)),0),0)</f>
        <v>0</v>
      </c>
      <c r="V740">
        <f>IFERROR(__xludf.DUMMYFUNCTION("ROUNDUP(IF(ISBLANK(VLOOKUP(B736,AmmoTypeFactors,16,False)),1,VLOOKUP(B736,AmmoTypeFactors,16,False)) * (IFS(REGEXMATCH(B736, ""EMP""), 'Ammo Input'!M736 * N736 / 'Ingredient stats'!$C$5, REGEXMATCH(B736, ""Charge""), (U736^0.75), true, 0) + (IF(VLOOKUP(B7"&amp;"36, AmmoTypeFactors, 10, false), 2,0) + IF('Ammo Input'!P736, 2,0) + IF('Ammo Input'!Q736,MIN(ROUNDUP(0.2*('Ammo Input'!H736/1000)*'Ammo Input'!O736,0),20),0))))"),4)</f>
        <v>4</v>
      </c>
      <c r="W740">
        <v>0</v>
      </c>
      <c r="X740">
        <v>6</v>
      </c>
      <c r="Y740">
        <v>0</v>
      </c>
      <c r="Z740">
        <v>0</v>
      </c>
      <c r="AA740">
        <v>0</v>
      </c>
      <c r="AB740" s="30">
        <f>IF(B740="Sling Bullet (Stone)",ROUNDUP(D740*0.02*E740/'Ingredient stats'!$C$8,0),0)</f>
        <v>0</v>
      </c>
      <c r="AC740" t="str">
        <f t="shared" si="40"/>
        <v>None</v>
      </c>
      <c r="AD740" t="str">
        <f>IF(OR(B740="Buck",B740="Bird",B740="Charge (Scatter)"),'Ammo Input'!J740,"None")</f>
        <v>None</v>
      </c>
      <c r="AE740">
        <f>_xlfn.IFS(ISTEXT(Calcs!N740),Calcs!N740,Calcs!N740&lt;=40,Calcs!N740,Calcs!N740&gt;41,"40")</f>
        <v>4</v>
      </c>
      <c r="AF740">
        <f>_xlfn.IFS(ISTEXT(Calcs!O740),Calcs!O740,Calcs!O740&lt;=80,Calcs!O740,Calcs!O740&gt;=81,"80")</f>
        <v>8</v>
      </c>
      <c r="AG740" s="25">
        <f t="shared" si="41"/>
        <v>3</v>
      </c>
      <c r="AH740" s="25">
        <f t="shared" si="42"/>
        <v>1.04</v>
      </c>
      <c r="AI740" s="25">
        <f t="shared" si="43"/>
        <v>2</v>
      </c>
    </row>
    <row r="741" ht="14.4" spans="1:35">
      <c r="A741" s="24" t="str">
        <f>'Ammo Input'!A741</f>
        <v>88 RPzB</v>
      </c>
      <c r="B741" t="str">
        <f>'Ammo Input'!B741</f>
        <v>HEAT</v>
      </c>
      <c r="C741">
        <f>ROUNDUP(('Ammo Input'!C741*(MAX('Ammo Input'!D741,'Ammo Input'!F741)*0.5)^2*PI())*3/1000000,2)</f>
        <v>11.59</v>
      </c>
      <c r="D741">
        <f>ROUNDUP(('Ammo Input'!E741+'Ammo Input'!H741*IF('Ammo Input'!J741&lt;&gt;"",MAX('Ammo Input'!J741,1),1))/1000,3)</f>
        <v>2.7</v>
      </c>
      <c r="E741">
        <f>MIN(5000,MAX(25,CEILING(Calcs!L741,_xlfn.IFS(Calcs!L741&lt;100,25,Calcs!L741&lt;250,50,Calcs!L741&lt;1000,250,Calcs!L741&gt;=1000,1000))))</f>
        <v>25</v>
      </c>
      <c r="F741">
        <f>ROUNDUP('Ammo Input'!G741^(3/4),0)</f>
        <v>34</v>
      </c>
      <c r="G741">
        <f>ROUND((0.5*((IF(OR(B741="HEAT",B741="HEDP"),'Ammo Input'!N741,'Ammo Input'!H741)/1000)*(IF(B741="HEAT",9000,IF(B741="HEDP",1500,'Ammo Input'!G741))^2))),0)</f>
        <v>2430000</v>
      </c>
      <c r="H741" s="25" t="str">
        <f>CONCATENATE(IF((B741="Foam")+(B741="Smoke"),"-",ROUND(Calcs!D741,0))," ",VLOOKUP(B741,AmmoTypeFactors,5,FALSE))</f>
        <v>208 Bullet</v>
      </c>
      <c r="I741" s="25" t="str">
        <f>IF(Calcs!E741=0,"None",CONCATENATE(ROUND(Calcs!E741,0)," ",VLOOKUP(B741,AmmoTypeFactors,6,FALSE)))</f>
        <v>None</v>
      </c>
      <c r="J741">
        <f>MROUND(2.42*'Ammo Input'!M741^(1/3)*VLOOKUP(B741,AmmoTypeFactors,3,FALSE),0.5)</f>
        <v>1</v>
      </c>
      <c r="K741" s="25" t="str">
        <f>IF(VLOOKUP(B741,AmmoTypeFactors,12,FALSE),MROUND(J741/3,0.5),"None")</f>
        <v>None</v>
      </c>
      <c r="L741" s="25">
        <f>IF(VLOOKUP(B741,AmmoTypeFactors,8,FALSE),"None",ROUNDUP(IF(Calcs!I741&gt;0,Calcs!I741,Calcs!H741),3))</f>
        <v>37.321</v>
      </c>
      <c r="M741" s="25">
        <f>IF(VLOOKUP(B741,AmmoTypeFactors,8,FALSE),"None",'Ammo Input'!L741)</f>
        <v>220</v>
      </c>
      <c r="N741">
        <f>'Ammo Input'!O741</f>
        <v>5</v>
      </c>
      <c r="O741" t="e">
        <f>ROUND((P741*0.0036+SUMPRODUCT(Q741:AB741,VLOOKUP($Q$1:$AB$1,IngredientStats,2,FALSE)))/N741*IF('Ammo Input'!R741,0.5,1),2)</f>
        <v>#VALUE!</v>
      </c>
      <c r="P741" t="e">
        <f>(SUMPRODUCT(Q741:AB741,VLOOKUP($Q$1:$AB$1,IngredientStats,4,FALSE))*VLOOKUP(B741,AmmoTypeFactors,14,FALSE)*IF('Ammo Input'!R741,1.1,1))</f>
        <v>#VALUE!</v>
      </c>
      <c r="Q741">
        <f>IFERROR(__xludf.DUMMYFUNCTION("((IF(NOT(OR(REGEXMATCH(B737, ""Arrow""), B737 = ""Javelin"", B737 = ""Stick bomb"")), ROUNDUP(('Ammo Input'!E737 / 1000) * N737)) + IF(VLOOKUP(B737, AmmoTypeFactors, 9, FALSE) = ""Steel"", ROUNDUP(('Ammo Input'!H737 -'Ammo Input'!M737) * MAX(IF('Ammo Inpu"&amp;"t'!J737 &gt; 0, 'Ammo Input'!J737, 1), 1) * N737 / 1000))) / 'Ingredient stats'!$C$2) * IF(ISBLANK(VLOOKUP(B737,AmmoTypeFactors,15,False)),1,VLOOKUP(B737,AmmoTypeFactors,15,False))"),28)</f>
        <v>28</v>
      </c>
      <c r="R741">
        <f>IFERROR(__xludf.DUMMYFUNCTION("ROUNDUP((IF(REGEXMATCH(B737, ""Arrow"") + (B737 = ""Javelin""), 'Ammo Input'!E737) + IF(VLOOKUP(B737, AmmoTypeFactors, 9, FALSE) = ""Wood"", 'Ammo Input'!H737) + IF(B737 = ""Stick bomb"", 'Ammo Input'!E737)) * N737 / 'Ingredient stats'!$C$12 / 1000)"),0)</f>
        <v>0</v>
      </c>
      <c r="S741">
        <v>0</v>
      </c>
      <c r="T741">
        <v>0</v>
      </c>
      <c r="U741">
        <f>IF(VLOOKUP(B741,AmmoTypeFactors,9,FALSE)="Plasteel",ROUNDUP(('Ammo Input'!H741*MAX(IF('Ammo Input'!J741&gt;0,'Ammo Input'!J741,1)*N741/1000/'Ingredient stats'!$C$4)),0),0)</f>
        <v>0</v>
      </c>
      <c r="V741">
        <f>IFERROR(__xludf.DUMMYFUNCTION("ROUNDUP(IF(ISBLANK(VLOOKUP(B737,AmmoTypeFactors,16,False)),1,VLOOKUP(B737,AmmoTypeFactors,16,False)) * (IFS(REGEXMATCH(B737, ""EMP""), 'Ammo Input'!M737 * N737 / 'Ingredient stats'!$C$5, REGEXMATCH(B737, ""Charge""), (U737^0.75), true, 0) + (IF(VLOOKUP(B7"&amp;"37, AmmoTypeFactors, 10, false), 2,0) + IF('Ammo Input'!P737, 2,0) + IF('Ammo Input'!Q737,MIN(ROUNDUP(0.2*('Ammo Input'!H737/1000)*'Ammo Input'!O737,0),20),0))))"),4)</f>
        <v>4</v>
      </c>
      <c r="W741">
        <v>0</v>
      </c>
      <c r="X741">
        <v>7</v>
      </c>
      <c r="Y741">
        <v>0</v>
      </c>
      <c r="Z741">
        <v>0</v>
      </c>
      <c r="AA741">
        <v>0</v>
      </c>
      <c r="AB741" s="30">
        <f>IF(B741="Sling Bullet (Stone)",ROUNDUP(D741*0.02*E741/'Ingredient stats'!$C$8,0),0)</f>
        <v>0</v>
      </c>
      <c r="AC741" t="str">
        <f t="shared" si="40"/>
        <v>None</v>
      </c>
      <c r="AD741" t="str">
        <f>IF(OR(B741="Buck",B741="Bird",B741="Charge (Scatter)"),'Ammo Input'!J741,"None")</f>
        <v>None</v>
      </c>
      <c r="AE741">
        <f>_xlfn.IFS(ISTEXT(Calcs!N741),Calcs!N741,Calcs!N741&lt;=40,Calcs!N741,Calcs!N741&gt;41,"40")</f>
        <v>3</v>
      </c>
      <c r="AF741">
        <f>_xlfn.IFS(ISTEXT(Calcs!O741),Calcs!O741,Calcs!O741&lt;=80,Calcs!O741,Calcs!O741&gt;=81,"80")</f>
        <v>9</v>
      </c>
      <c r="AG741" s="25">
        <f t="shared" si="41"/>
        <v>3</v>
      </c>
      <c r="AH741" s="25">
        <f t="shared" si="42"/>
        <v>0.56</v>
      </c>
      <c r="AI741" s="25">
        <f t="shared" si="43"/>
        <v>2</v>
      </c>
    </row>
    <row r="742" ht="14.4" spans="1:35">
      <c r="A742" s="24" t="str">
        <f>'Ammo Input'!A742</f>
        <v>84mm AT4</v>
      </c>
      <c r="B742" t="str">
        <f>'Ammo Input'!B742</f>
        <v>HEAT</v>
      </c>
      <c r="C742">
        <f>ROUNDUP(('Ammo Input'!C742*(MAX('Ammo Input'!D742,'Ammo Input'!F742)*0.5)^2*PI())*3/1000000,2)</f>
        <v>20.35</v>
      </c>
      <c r="D742">
        <f>ROUNDUP(('Ammo Input'!E742+'Ammo Input'!H742*IF('Ammo Input'!J742&lt;&gt;"",MAX('Ammo Input'!J742,1),1))/1000,3)</f>
        <v>7.5</v>
      </c>
      <c r="E742">
        <f>MIN(5000,MAX(25,CEILING(Calcs!L742,_xlfn.IFS(Calcs!L742&lt;100,25,Calcs!L742&lt;250,50,Calcs!L742&lt;1000,250,Calcs!L742&gt;=1000,1000))))</f>
        <v>25</v>
      </c>
      <c r="F742">
        <f>ROUNDUP('Ammo Input'!G742^(3/4),0)</f>
        <v>63</v>
      </c>
      <c r="G742">
        <f>ROUND((0.5*((IF(OR(B742="HEAT",B742="HEDP"),'Ammo Input'!N742,'Ammo Input'!H742)/1000)*(IF(B742="HEAT",9000,IF(B742="HEDP",1500,'Ammo Input'!G742))^2))),0)</f>
        <v>4050000</v>
      </c>
      <c r="H742" s="25" t="str">
        <f>CONCATENATE(IF((B742="Foam")+(B742="Smoke"),"-",ROUND(Calcs!D742,0))," ",VLOOKUP(B742,AmmoTypeFactors,5,FALSE))</f>
        <v>248 Bullet</v>
      </c>
      <c r="I742" s="25" t="str">
        <f>IF(Calcs!E742=0,"None",CONCATENATE(ROUND(Calcs!E742,0)," ",VLOOKUP(B742,AmmoTypeFactors,6,FALSE)))</f>
        <v>None</v>
      </c>
      <c r="J742">
        <f>MROUND(2.42*'Ammo Input'!M742^(1/3)*VLOOKUP(B742,AmmoTypeFactors,3,FALSE),0.5)</f>
        <v>1</v>
      </c>
      <c r="K742" s="25" t="str">
        <f>IF(VLOOKUP(B742,AmmoTypeFactors,12,FALSE),MROUND(J742/3,0.5),"None")</f>
        <v>None</v>
      </c>
      <c r="L742" s="25">
        <f>IF(VLOOKUP(B742,AmmoTypeFactors,8,FALSE),"None",ROUNDUP(IF(Calcs!I742&gt;0,Calcs!I742,Calcs!H742),3))</f>
        <v>31.995</v>
      </c>
      <c r="M742" s="25">
        <f>IF(VLOOKUP(B742,AmmoTypeFactors,8,FALSE),"None",'Ammo Input'!L742)</f>
        <v>420</v>
      </c>
      <c r="N742">
        <f>'Ammo Input'!O742</f>
        <v>5</v>
      </c>
      <c r="O742" t="e">
        <f>ROUND((P742*0.0036+SUMPRODUCT(Q742:AB742,VLOOKUP($Q$1:$AB$1,IngredientStats,2,FALSE)))/N742*IF('Ammo Input'!R742,0.5,1),2)</f>
        <v>#VALUE!</v>
      </c>
      <c r="P742" t="e">
        <f>(SUMPRODUCT(Q742:AB742,VLOOKUP($Q$1:$AB$1,IngredientStats,4,FALSE))*VLOOKUP(B742,AmmoTypeFactors,14,FALSE)*IF('Ammo Input'!R742,1.1,1))</f>
        <v>#VALUE!</v>
      </c>
      <c r="Q742">
        <f>IFERROR(__xludf.DUMMYFUNCTION("((IF(NOT(OR(REGEXMATCH(B738, ""Arrow""), B738 = ""Javelin"", B738 = ""Stick bomb"")), ROUNDUP(('Ammo Input'!E738 / 1000) * N738)) + IF(VLOOKUP(B738, AmmoTypeFactors, 9, FALSE) = ""Steel"", ROUNDUP(('Ammo Input'!H738 -'Ammo Input'!M738) * MAX(IF('Ammo Inpu"&amp;"t'!J738 &gt; 0, 'Ammo Input'!J738, 1), 1) * N738 / 1000))) / 'Ingredient stats'!$C$2) * IF(ISBLANK(VLOOKUP(B738,AmmoTypeFactors,15,False)),1,VLOOKUP(B738,AmmoTypeFactors,15,False))"),76)</f>
        <v>76</v>
      </c>
      <c r="R742">
        <f>IFERROR(__xludf.DUMMYFUNCTION("ROUNDUP((IF(REGEXMATCH(B738, ""Arrow"") + (B738 = ""Javelin""), 'Ammo Input'!E738) + IF(VLOOKUP(B738, AmmoTypeFactors, 9, FALSE) = ""Wood"", 'Ammo Input'!H738) + IF(B738 = ""Stick bomb"", 'Ammo Input'!E738)) * N738 / 'Ingredient stats'!$C$12 / 1000)"),0)</f>
        <v>0</v>
      </c>
      <c r="S742">
        <v>0</v>
      </c>
      <c r="T742">
        <v>0</v>
      </c>
      <c r="U742">
        <f>IF(VLOOKUP(B742,AmmoTypeFactors,9,FALSE)="Plasteel",ROUNDUP(('Ammo Input'!H742*MAX(IF('Ammo Input'!J742&gt;0,'Ammo Input'!J742,1)*N742/1000/'Ingredient stats'!$C$4)),0),0)</f>
        <v>0</v>
      </c>
      <c r="V742">
        <f>IFERROR(__xludf.DUMMYFUNCTION("ROUNDUP(IF(ISBLANK(VLOOKUP(B738,AmmoTypeFactors,16,False)),1,VLOOKUP(B738,AmmoTypeFactors,16,False)) * (IFS(REGEXMATCH(B738, ""EMP""), 'Ammo Input'!M738 * N738 / 'Ingredient stats'!$C$5, REGEXMATCH(B738, ""Charge""), (U738^0.75), true, 0) + (IF(VLOOKUP(B7"&amp;"38, AmmoTypeFactors, 10, false), 2,0) + IF('Ammo Input'!P738, 2,0) + IF('Ammo Input'!Q738,MIN(ROUNDUP(0.2*('Ammo Input'!H738/1000)*'Ammo Input'!O738,0),20),0))))"),4)</f>
        <v>4</v>
      </c>
      <c r="W742">
        <v>0</v>
      </c>
      <c r="X742">
        <v>6</v>
      </c>
      <c r="Y742">
        <v>0</v>
      </c>
      <c r="Z742">
        <v>0</v>
      </c>
      <c r="AA742">
        <v>0</v>
      </c>
      <c r="AB742" s="30">
        <f>IF(B742="Sling Bullet (Stone)",ROUNDUP(D742*0.02*E742/'Ingredient stats'!$C$8,0),0)</f>
        <v>0</v>
      </c>
      <c r="AC742" t="str">
        <f t="shared" si="40"/>
        <v>None</v>
      </c>
      <c r="AD742" t="str">
        <f>IF(OR(B742="Buck",B742="Bird",B742="Charge (Scatter)"),'Ammo Input'!J742,"None")</f>
        <v>None</v>
      </c>
      <c r="AE742">
        <f>_xlfn.IFS(ISTEXT(Calcs!N742),Calcs!N742,Calcs!N742&lt;=40,Calcs!N742,Calcs!N742&gt;41,"40")</f>
        <v>3</v>
      </c>
      <c r="AF742">
        <f>_xlfn.IFS(ISTEXT(Calcs!O742),Calcs!O742,Calcs!O742&lt;=80,Calcs!O742,Calcs!O742&gt;=81,"80")</f>
        <v>7</v>
      </c>
      <c r="AG742" s="25">
        <f t="shared" si="41"/>
        <v>3</v>
      </c>
      <c r="AH742" s="25">
        <f t="shared" si="42"/>
        <v>1.04</v>
      </c>
      <c r="AI742" s="25">
        <f t="shared" si="43"/>
        <v>2</v>
      </c>
    </row>
    <row r="743" ht="14.4" spans="1:35">
      <c r="A743" s="24" t="str">
        <f>'Ammo Input'!A743</f>
        <v>84x246mmR</v>
      </c>
      <c r="B743" t="str">
        <f>'Ammo Input'!B743</f>
        <v>HEAT</v>
      </c>
      <c r="C743">
        <f>ROUNDUP(('Ammo Input'!C743*(MAX('Ammo Input'!D743,'Ammo Input'!F743)*0.5)^2*PI())*3/1000000,2)</f>
        <v>10.41</v>
      </c>
      <c r="D743">
        <f>ROUNDUP(('Ammo Input'!E743+'Ammo Input'!H743*IF('Ammo Input'!J743&lt;&gt;"",MAX('Ammo Input'!J743,1),1))/1000,3)</f>
        <v>3.5</v>
      </c>
      <c r="E743">
        <f>MIN(5000,MAX(25,CEILING(Calcs!L743,_xlfn.IFS(Calcs!L743&lt;100,25,Calcs!L743&lt;250,50,Calcs!L743&lt;1000,250,Calcs!L743&gt;=1000,1000))))</f>
        <v>25</v>
      </c>
      <c r="F743">
        <f>ROUNDUP('Ammo Input'!G743^(3/4),0)</f>
        <v>64</v>
      </c>
      <c r="G743">
        <f>ROUND((0.5*((IF(OR(B743="HEAT",B743="HEDP"),'Ammo Input'!N743,'Ammo Input'!H743)/1000)*(IF(B743="HEAT",9000,IF(B743="HEDP",1500,'Ammo Input'!G743))^2))),0)</f>
        <v>4050000</v>
      </c>
      <c r="H743" s="25" t="str">
        <f>CONCATENATE(IF((B743="Foam")+(B743="Smoke"),"-",ROUND(Calcs!D743,0))," ",VLOOKUP(B743,AmmoTypeFactors,5,FALSE))</f>
        <v>248 Bullet</v>
      </c>
      <c r="I743" s="25" t="str">
        <f>IF(Calcs!E743=0,"None",CONCATENATE(ROUND(Calcs!E743,0)," ",VLOOKUP(B743,AmmoTypeFactors,6,FALSE)))</f>
        <v>None</v>
      </c>
      <c r="J743">
        <f>MROUND(2.42*'Ammo Input'!M743^(1/3)*VLOOKUP(B743,AmmoTypeFactors,3,FALSE),0.5)</f>
        <v>1</v>
      </c>
      <c r="K743" s="25" t="str">
        <f>IF(VLOOKUP(B743,AmmoTypeFactors,12,FALSE),MROUND(J743/3,0.5),"None")</f>
        <v>None</v>
      </c>
      <c r="L743" s="25">
        <f>IF(VLOOKUP(B743,AmmoTypeFactors,8,FALSE),"None",ROUNDUP(IF(Calcs!I743&gt;0,Calcs!I743,Calcs!H743),3))</f>
        <v>33.03</v>
      </c>
      <c r="M743" s="25">
        <f>IF(VLOOKUP(B743,AmmoTypeFactors,8,FALSE),"None",'Ammo Input'!L743)</f>
        <v>400</v>
      </c>
      <c r="N743">
        <f>'Ammo Input'!O743</f>
        <v>5</v>
      </c>
      <c r="O743" t="e">
        <f>ROUND((P743*0.0036+SUMPRODUCT(Q743:AB743,VLOOKUP($Q$1:$AB$1,IngredientStats,2,FALSE)))/N743*IF('Ammo Input'!R743,0.5,1),2)</f>
        <v>#VALUE!</v>
      </c>
      <c r="P743" t="e">
        <f>(SUMPRODUCT(Q743:AB743,VLOOKUP($Q$1:$AB$1,IngredientStats,4,FALSE))*VLOOKUP(B743,AmmoTypeFactors,14,FALSE)*IF('Ammo Input'!R743,1.1,1))</f>
        <v>#VALUE!</v>
      </c>
      <c r="Q743">
        <f>IFERROR(__xludf.DUMMYFUNCTION("((IF(NOT(OR(REGEXMATCH(B739, ""Arrow""), B739 = ""Javelin"", B739 = ""Stick bomb"")), ROUNDUP(('Ammo Input'!E739 / 1000) * N739)) + IF(VLOOKUP(B739, AmmoTypeFactors, 9, FALSE) = ""Steel"", ROUNDUP(('Ammo Input'!H739 -'Ammo Input'!M739) * MAX(IF('Ammo Inpu"&amp;"t'!J739 &gt; 0, 'Ammo Input'!J739, 1), 1) * N739 / 1000))) / 'Ingredient stats'!$C$2) * IF(ISBLANK(VLOOKUP(B739,AmmoTypeFactors,15,False)),1,VLOOKUP(B739,AmmoTypeFactors,15,False))"),36)</f>
        <v>36</v>
      </c>
      <c r="R743">
        <f>IFERROR(__xludf.DUMMYFUNCTION("ROUNDUP((IF(REGEXMATCH(B739, ""Arrow"") + (B739 = ""Javelin""), 'Ammo Input'!E739) + IF(VLOOKUP(B739, AmmoTypeFactors, 9, FALSE) = ""Wood"", 'Ammo Input'!H739) + IF(B739 = ""Stick bomb"", 'Ammo Input'!E739)) * N739 / 'Ingredient stats'!$C$12 / 1000)"),0)</f>
        <v>0</v>
      </c>
      <c r="S743">
        <v>0</v>
      </c>
      <c r="T743">
        <v>0</v>
      </c>
      <c r="U743">
        <f>IF(VLOOKUP(B743,AmmoTypeFactors,9,FALSE)="Plasteel",ROUNDUP(('Ammo Input'!H743*MAX(IF('Ammo Input'!J743&gt;0,'Ammo Input'!J743,1)*N743/1000/'Ingredient stats'!$C$4)),0),0)</f>
        <v>0</v>
      </c>
      <c r="V743">
        <f>IFERROR(__xludf.DUMMYFUNCTION("ROUNDUP(IF(ISBLANK(VLOOKUP(B739,AmmoTypeFactors,16,False)),1,VLOOKUP(B739,AmmoTypeFactors,16,False)) * (IFS(REGEXMATCH(B739, ""EMP""), 'Ammo Input'!M739 * N739 / 'Ingredient stats'!$C$5, REGEXMATCH(B739, ""Charge""), (U739^0.75), true, 0) + (IF(VLOOKUP(B7"&amp;"39, AmmoTypeFactors, 10, false), 2,0) + IF('Ammo Input'!P739, 2,0) + IF('Ammo Input'!Q739,MIN(ROUNDUP(0.2*('Ammo Input'!H739/1000)*'Ammo Input'!O739,0),20),0))))"),4)</f>
        <v>4</v>
      </c>
      <c r="W743">
        <v>0</v>
      </c>
      <c r="X743">
        <v>6</v>
      </c>
      <c r="Y743">
        <v>0</v>
      </c>
      <c r="Z743">
        <v>0</v>
      </c>
      <c r="AA743">
        <v>0</v>
      </c>
      <c r="AB743" s="30">
        <f>IF(B743="Sling Bullet (Stone)",ROUNDUP(D743*0.02*E743/'Ingredient stats'!$C$8,0),0)</f>
        <v>0</v>
      </c>
      <c r="AC743" t="str">
        <f t="shared" si="40"/>
        <v>None</v>
      </c>
      <c r="AD743" t="str">
        <f>IF(OR(B743="Buck",B743="Bird",B743="Charge (Scatter)"),'Ammo Input'!J743,"None")</f>
        <v>None</v>
      </c>
      <c r="AE743">
        <f>_xlfn.IFS(ISTEXT(Calcs!N743),Calcs!N743,Calcs!N743&lt;=40,Calcs!N743,Calcs!N743&gt;41,"40")</f>
        <v>4</v>
      </c>
      <c r="AF743">
        <f>_xlfn.IFS(ISTEXT(Calcs!O743),Calcs!O743,Calcs!O743&lt;=80,Calcs!O743,Calcs!O743&gt;=81,"80")</f>
        <v>7</v>
      </c>
      <c r="AG743" s="25">
        <f t="shared" si="41"/>
        <v>3</v>
      </c>
      <c r="AH743" s="25">
        <f t="shared" si="42"/>
        <v>1.06</v>
      </c>
      <c r="AI743" s="25">
        <f t="shared" si="43"/>
        <v>2</v>
      </c>
    </row>
    <row r="744" ht="14.4" spans="1:35">
      <c r="A744" s="24" t="str">
        <f>'Ammo Input'!A744</f>
        <v>84x246mmR</v>
      </c>
      <c r="B744" t="str">
        <f>'Ammo Input'!B744</f>
        <v>Thermobaric</v>
      </c>
      <c r="C744">
        <f>ROUNDUP(('Ammo Input'!C744*(MAX('Ammo Input'!D744,'Ammo Input'!F744)*0.5)^2*PI())*3/1000000,2)</f>
        <v>10.25</v>
      </c>
      <c r="D744">
        <f>ROUNDUP(('Ammo Input'!E744+'Ammo Input'!H744*IF('Ammo Input'!J744&lt;&gt;"",MAX('Ammo Input'!J744,1),1))/1000,3)</f>
        <v>4.2</v>
      </c>
      <c r="E744">
        <f>MIN(5000,MAX(25,CEILING(Calcs!L744,_xlfn.IFS(Calcs!L744&lt;100,25,Calcs!L744&lt;250,50,Calcs!L744&lt;1000,250,Calcs!L744&gt;=1000,1000))))</f>
        <v>25</v>
      </c>
      <c r="F744">
        <f>ROUNDUP('Ammo Input'!G744^(3/4),0)</f>
        <v>48</v>
      </c>
      <c r="G744">
        <f>ROUND((0.5*((IF(OR(B744="HEAT",B744="HEDP"),'Ammo Input'!N744,'Ammo Input'!H744)/1000)*(IF(B744="HEAT",9000,IF(B744="HEDP",1500,'Ammo Input'!G744))^2))),0)</f>
        <v>49130</v>
      </c>
      <c r="H744" s="25" t="str">
        <f>CONCATENATE(IF((B744="Foam")+(B744="Smoke"),"-",ROUND(Calcs!D744,0))," ",VLOOKUP(B744,AmmoTypeFactors,5,FALSE))</f>
        <v>160 Thermobaric</v>
      </c>
      <c r="I744" s="25" t="str">
        <f>IF(Calcs!E744=0,"None",CONCATENATE(ROUND(Calcs!E744,0)," ",VLOOKUP(B744,AmmoTypeFactors,6,FALSE)))</f>
        <v>None</v>
      </c>
      <c r="J744">
        <f>MROUND(2.42*'Ammo Input'!M744^(1/3)*VLOOKUP(B744,AmmoTypeFactors,3,FALSE),0.5)</f>
        <v>3.5</v>
      </c>
      <c r="K744" s="25" t="str">
        <f>IF(VLOOKUP(B744,AmmoTypeFactors,12,FALSE),MROUND(J744/3,0.5),"None")</f>
        <v>None</v>
      </c>
      <c r="L744" s="25" t="str">
        <f>IF(VLOOKUP(B744,AmmoTypeFactors,8,FALSE),"None",ROUNDUP(IF(Calcs!I744&gt;0,Calcs!I744,Calcs!H744),3))</f>
        <v>None</v>
      </c>
      <c r="M744" s="25" t="str">
        <f>IF(VLOOKUP(B744,AmmoTypeFactors,8,FALSE),"None",'Ammo Input'!L744)</f>
        <v>None</v>
      </c>
      <c r="N744">
        <f>'Ammo Input'!O744</f>
        <v>5</v>
      </c>
      <c r="O744" t="e">
        <f>ROUND((P744*0.0036+SUMPRODUCT(Q744:AB744,VLOOKUP($Q$1:$AB$1,IngredientStats,2,FALSE)))/N744*IF('Ammo Input'!R744,0.5,1),2)</f>
        <v>#VALUE!</v>
      </c>
      <c r="P744" t="e">
        <f>(SUMPRODUCT(Q744:AB744,VLOOKUP($Q$1:$AB$1,IngredientStats,4,FALSE))*VLOOKUP(B744,AmmoTypeFactors,14,FALSE)*IF('Ammo Input'!R744,1.1,1))</f>
        <v>#VALUE!</v>
      </c>
      <c r="Q744">
        <f>IFERROR(__xludf.DUMMYFUNCTION("((IF(NOT(OR(REGEXMATCH(B740, ""Arrow""), B740 = ""Javelin"", B740 = ""Stick bomb"")), ROUNDUP(('Ammo Input'!E740 / 1000) * N740)) + IF(VLOOKUP(B740, AmmoTypeFactors, 9, FALSE) = ""Steel"", ROUNDUP(('Ammo Input'!H740 -'Ammo Input'!M740) * MAX(IF('Ammo Inpu"&amp;"t'!J740 &gt; 0, 'Ammo Input'!J740, 1), 1) * N740 / 1000))) / 'Ingredient stats'!$C$2) * IF(ISBLANK(VLOOKUP(B740,AmmoTypeFactors,15,False)),1,VLOOKUP(B740,AmmoTypeFactors,15,False))"),42)</f>
        <v>42</v>
      </c>
      <c r="R744">
        <f>IFERROR(__xludf.DUMMYFUNCTION("ROUNDUP((IF(REGEXMATCH(B740, ""Arrow"") + (B740 = ""Javelin""), 'Ammo Input'!E740) + IF(VLOOKUP(B740, AmmoTypeFactors, 9, FALSE) = ""Wood"", 'Ammo Input'!H740) + IF(B740 = ""Stick bomb"", 'Ammo Input'!E740)) * N740 / 'Ingredient stats'!$C$12 / 1000)"),0)</f>
        <v>0</v>
      </c>
      <c r="S744">
        <v>0</v>
      </c>
      <c r="T744">
        <v>0</v>
      </c>
      <c r="U744">
        <f>IF(VLOOKUP(B744,AmmoTypeFactors,9,FALSE)="Plasteel",ROUNDUP(('Ammo Input'!H744*MAX(IF('Ammo Input'!J744&gt;0,'Ammo Input'!J744,1)*N744/1000/'Ingredient stats'!$C$4)),0),0)</f>
        <v>0</v>
      </c>
      <c r="V744">
        <f>IFERROR(__xludf.DUMMYFUNCTION("ROUNDUP(IF(ISBLANK(VLOOKUP(B740,AmmoTypeFactors,16,False)),1,VLOOKUP(B740,AmmoTypeFactors,16,False)) * (IFS(REGEXMATCH(B740, ""EMP""), 'Ammo Input'!M740 * N740 / 'Ingredient stats'!$C$5, REGEXMATCH(B740, ""Charge""), (U740^0.75), true, 0) + (IF(VLOOKUP(B7"&amp;"40, AmmoTypeFactors, 10, false), 2,0) + IF('Ammo Input'!P740, 2,0) + IF('Ammo Input'!Q740,MIN(ROUNDUP(0.2*('Ammo Input'!H740/1000)*'Ammo Input'!O740,0),20),0))))"),4)</f>
        <v>4</v>
      </c>
      <c r="W744">
        <v>0</v>
      </c>
      <c r="X744">
        <v>16</v>
      </c>
      <c r="Y744">
        <v>0</v>
      </c>
      <c r="Z744">
        <v>0</v>
      </c>
      <c r="AA744">
        <v>0</v>
      </c>
      <c r="AB744" s="30">
        <f>IF(B744="Sling Bullet (Stone)",ROUNDUP(D744*0.02*E744/'Ingredient stats'!$C$8,0),0)</f>
        <v>0</v>
      </c>
      <c r="AC744" t="str">
        <f t="shared" si="40"/>
        <v>None</v>
      </c>
      <c r="AD744" t="str">
        <f>IF(OR(B744="Buck",B744="Bird",B744="Charge (Scatter)"),'Ammo Input'!J744,"None")</f>
        <v>None</v>
      </c>
      <c r="AE744" t="str">
        <f>_xlfn.IFS(ISTEXT(Calcs!N744),Calcs!N744,Calcs!N744&lt;=40,Calcs!N744,Calcs!N744&gt;41,"40")</f>
        <v>None</v>
      </c>
      <c r="AF744" t="str">
        <f>_xlfn.IFS(ISTEXT(Calcs!O744),Calcs!O744,Calcs!O744&lt;=80,Calcs!O744,Calcs!O744&gt;=81,"80")</f>
        <v>None</v>
      </c>
      <c r="AG744" s="25">
        <f t="shared" si="41"/>
        <v>3</v>
      </c>
      <c r="AH744" s="25">
        <f t="shared" si="42"/>
        <v>0.8</v>
      </c>
      <c r="AI744" s="25">
        <f t="shared" si="43"/>
        <v>2</v>
      </c>
    </row>
    <row r="745" ht="14.4" spans="1:35">
      <c r="A745" s="24" t="str">
        <f>'Ammo Input'!A745</f>
        <v>84x246mmR</v>
      </c>
      <c r="B745" t="str">
        <f>'Ammo Input'!B745</f>
        <v>HE</v>
      </c>
      <c r="C745">
        <f>ROUNDUP(('Ammo Input'!C745*(MAX('Ammo Input'!D745,'Ammo Input'!F745)*0.5)^2*PI())*3/1000000,2)</f>
        <v>7.26</v>
      </c>
      <c r="D745">
        <f>ROUNDUP(('Ammo Input'!E745+'Ammo Input'!H745*IF('Ammo Input'!J745&lt;&gt;"",MAX('Ammo Input'!J745,1),1))/1000,3)</f>
        <v>4.3</v>
      </c>
      <c r="E745">
        <f>MIN(5000,MAX(25,CEILING(Calcs!L745,_xlfn.IFS(Calcs!L745&lt;100,25,Calcs!L745&lt;250,50,Calcs!L745&lt;1000,250,Calcs!L745&gt;=1000,1000))))</f>
        <v>25</v>
      </c>
      <c r="F745">
        <f>ROUNDUP('Ammo Input'!G745^(3/4),0)</f>
        <v>51</v>
      </c>
      <c r="G745">
        <f>ROUND((0.5*((IF(OR(B745="HEAT",B745="HEDP"),'Ammo Input'!N745,'Ammo Input'!H745)/1000)*(IF(B745="HEAT",9000,IF(B745="HEDP",1500,'Ammo Input'!G745))^2))),0)</f>
        <v>59894</v>
      </c>
      <c r="H745" s="25" t="str">
        <f>CONCATENATE(IF((B745="Foam")+(B745="Smoke"),"-",ROUND(Calcs!D745,0))," ",VLOOKUP(B745,AmmoTypeFactors,5,FALSE))</f>
        <v>151 Bomb</v>
      </c>
      <c r="I745" s="25" t="str">
        <f>IF(Calcs!E745=0,"None",CONCATENATE(ROUND(Calcs!E745,0)," ",VLOOKUP(B745,AmmoTypeFactors,6,FALSE)))</f>
        <v>None</v>
      </c>
      <c r="J745">
        <f>MROUND(2.42*'Ammo Input'!M745^(1/3)*VLOOKUP(B745,AmmoTypeFactors,3,FALSE),0.5)</f>
        <v>2.5</v>
      </c>
      <c r="K745" s="25" t="str">
        <f>IF(VLOOKUP(B745,AmmoTypeFactors,12,FALSE),MROUND(J745/3,0.5),"None")</f>
        <v>None</v>
      </c>
      <c r="L745" s="25" t="str">
        <f>IF(VLOOKUP(B745,AmmoTypeFactors,8,FALSE),"None",ROUNDUP(IF(Calcs!I745&gt;0,Calcs!I745,Calcs!H745),3))</f>
        <v>None</v>
      </c>
      <c r="M745" s="25" t="str">
        <f>IF(VLOOKUP(B745,AmmoTypeFactors,8,FALSE),"None",'Ammo Input'!L745)</f>
        <v>None</v>
      </c>
      <c r="N745">
        <f>'Ammo Input'!O745</f>
        <v>5</v>
      </c>
      <c r="O745" t="e">
        <f>ROUND((P745*0.0036+SUMPRODUCT(Q745:AB745,VLOOKUP($Q$1:$AB$1,IngredientStats,2,FALSE)))/N745*IF('Ammo Input'!R745,0.5,1),2)</f>
        <v>#VALUE!</v>
      </c>
      <c r="P745" t="e">
        <f>(SUMPRODUCT(Q745:AB745,VLOOKUP($Q$1:$AB$1,IngredientStats,4,FALSE))*VLOOKUP(B745,AmmoTypeFactors,14,FALSE)*IF('Ammo Input'!R745,1.1,1))</f>
        <v>#VALUE!</v>
      </c>
      <c r="Q745">
        <f>IFERROR(__xludf.DUMMYFUNCTION("((IF(NOT(OR(REGEXMATCH(B741, ""Arrow""), B741 = ""Javelin"", B741 = ""Stick bomb"")), ROUNDUP(('Ammo Input'!E741 / 1000) * N741)) + IF(VLOOKUP(B741, AmmoTypeFactors, 9, FALSE) = ""Steel"", ROUNDUP(('Ammo Input'!H741 -'Ammo Input'!M741) * MAX(IF('Ammo Inpu"&amp;"t'!J741 &gt; 0, 'Ammo Input'!J741, 1), 1) * N741 / 1000))) / 'Ingredient stats'!$C$2) * IF(ISBLANK(VLOOKUP(B741,AmmoTypeFactors,15,False)),1,VLOOKUP(B741,AmmoTypeFactors,15,False))"),44)</f>
        <v>44</v>
      </c>
      <c r="R745">
        <f>IFERROR(__xludf.DUMMYFUNCTION("ROUNDUP((IF(REGEXMATCH(B741, ""Arrow"") + (B741 = ""Javelin""), 'Ammo Input'!E741) + IF(VLOOKUP(B741, AmmoTypeFactors, 9, FALSE) = ""Wood"", 'Ammo Input'!H741) + IF(B741 = ""Stick bomb"", 'Ammo Input'!E741)) * N741 / 'Ingredient stats'!$C$12 / 1000)"),0)</f>
        <v>0</v>
      </c>
      <c r="S745">
        <v>0</v>
      </c>
      <c r="T745">
        <v>0</v>
      </c>
      <c r="U745">
        <f>IF(VLOOKUP(B745,AmmoTypeFactors,9,FALSE)="Plasteel",ROUNDUP(('Ammo Input'!H745*MAX(IF('Ammo Input'!J745&gt;0,'Ammo Input'!J745,1)*N745/1000/'Ingredient stats'!$C$4)),0),0)</f>
        <v>0</v>
      </c>
      <c r="V745">
        <f>IFERROR(__xludf.DUMMYFUNCTION("ROUNDUP(IF(ISBLANK(VLOOKUP(B741,AmmoTypeFactors,16,False)),1,VLOOKUP(B741,AmmoTypeFactors,16,False)) * (IFS(REGEXMATCH(B741, ""EMP""), 'Ammo Input'!M741 * N741 / 'Ingredient stats'!$C$5, REGEXMATCH(B741, ""Charge""), (U741^0.75), true, 0) + (IF(VLOOKUP(B7"&amp;"41, AmmoTypeFactors, 10, false), 2,0) + IF('Ammo Input'!P741, 2,0) + IF('Ammo Input'!Q741,MIN(ROUNDUP(0.2*('Ammo Input'!H741/1000)*'Ammo Input'!O741,0),20),0))))"),4)</f>
        <v>4</v>
      </c>
      <c r="W745">
        <v>0</v>
      </c>
      <c r="X745">
        <v>10</v>
      </c>
      <c r="Y745">
        <v>0</v>
      </c>
      <c r="Z745">
        <v>0</v>
      </c>
      <c r="AA745">
        <v>0</v>
      </c>
      <c r="AB745" s="30">
        <f>IF(B745="Sling Bullet (Stone)",ROUNDUP(D745*0.02*E745/'Ingredient stats'!$C$8,0),0)</f>
        <v>0</v>
      </c>
      <c r="AC745" t="str">
        <f t="shared" si="40"/>
        <v>None</v>
      </c>
      <c r="AD745" t="str">
        <f>IF(OR(B745="Buck",B745="Bird",B745="Charge (Scatter)"),'Ammo Input'!J745,"None")</f>
        <v>None</v>
      </c>
      <c r="AE745">
        <f>_xlfn.IFS(ISTEXT(Calcs!N745),Calcs!N745,Calcs!N745&lt;=40,Calcs!N745,Calcs!N745&gt;41,"40")</f>
        <v>10</v>
      </c>
      <c r="AF745">
        <f>_xlfn.IFS(ISTEXT(Calcs!O745),Calcs!O745,Calcs!O745&lt;=80,Calcs!O745,Calcs!O745&gt;=81,"80")</f>
        <v>24</v>
      </c>
      <c r="AG745" s="25">
        <f t="shared" si="41"/>
        <v>3</v>
      </c>
      <c r="AH745" s="25">
        <f t="shared" si="42"/>
        <v>0.84</v>
      </c>
      <c r="AI745" s="25">
        <f t="shared" si="43"/>
        <v>2</v>
      </c>
    </row>
    <row r="746" ht="14.4" spans="1:35">
      <c r="A746" s="24" t="str">
        <f>'Ammo Input'!A746</f>
        <v>84x246mmR (Airburst)</v>
      </c>
      <c r="B746" t="str">
        <f>'Ammo Input'!B746</f>
        <v>HE</v>
      </c>
      <c r="C746">
        <f>ROUNDUP(('Ammo Input'!C746*(MAX('Ammo Input'!D746,'Ammo Input'!F746)*0.5)^2*PI())*3/1000000,2)</f>
        <v>7.26</v>
      </c>
      <c r="D746">
        <f>ROUNDUP(('Ammo Input'!E746+'Ammo Input'!H746*IF('Ammo Input'!J746&lt;&gt;"",MAX('Ammo Input'!J746,1),1))/1000,3)</f>
        <v>4.3</v>
      </c>
      <c r="E746">
        <f>MIN(5000,MAX(25,CEILING(Calcs!L746,_xlfn.IFS(Calcs!L746&lt;100,25,Calcs!L746&lt;250,50,Calcs!L746&lt;1000,250,Calcs!L746&gt;=1000,1000))))</f>
        <v>25</v>
      </c>
      <c r="F746">
        <f>ROUNDUP('Ammo Input'!G746^(3/4),0)</f>
        <v>51</v>
      </c>
      <c r="G746">
        <f>ROUND((0.5*((IF(OR(B746="HEAT",B746="HEDP"),'Ammo Input'!N746,'Ammo Input'!H746)/1000)*(IF(B746="HEAT",9000,IF(B746="HEDP",1500,'Ammo Input'!G746))^2))),0)</f>
        <v>59894</v>
      </c>
      <c r="H746" s="25" t="str">
        <f>CONCATENATE(IF((B746="Foam")+(B746="Smoke"),"-",ROUND(Calcs!D746,0))," ",VLOOKUP(B746,AmmoTypeFactors,5,FALSE))</f>
        <v>151 Bomb</v>
      </c>
      <c r="I746" s="25" t="str">
        <f>IF(Calcs!E746=0,"None",CONCATENATE(ROUND(Calcs!E746,0)," ",VLOOKUP(B746,AmmoTypeFactors,6,FALSE)))</f>
        <v>None</v>
      </c>
      <c r="J746">
        <f>MROUND(2.42*'Ammo Input'!M746^(1/3)*VLOOKUP(B746,AmmoTypeFactors,3,FALSE),0.5)</f>
        <v>2.5</v>
      </c>
      <c r="K746" s="25" t="str">
        <f>IF(VLOOKUP(B746,AmmoTypeFactors,12,FALSE),MROUND(J746/3,0.5),"None")</f>
        <v>None</v>
      </c>
      <c r="L746" s="25" t="str">
        <f>IF(VLOOKUP(B746,AmmoTypeFactors,8,FALSE),"None",ROUNDUP(IF(Calcs!I746&gt;0,Calcs!I746,Calcs!H746),3))</f>
        <v>None</v>
      </c>
      <c r="M746" s="25" t="str">
        <f>IF(VLOOKUP(B746,AmmoTypeFactors,8,FALSE),"None",'Ammo Input'!L746)</f>
        <v>None</v>
      </c>
      <c r="N746">
        <f>'Ammo Input'!O746</f>
        <v>5</v>
      </c>
      <c r="O746" t="e">
        <f>ROUND((P746*0.0036+SUMPRODUCT(Q746:AB746,VLOOKUP($Q$1:$AB$1,IngredientStats,2,FALSE)))/N746*IF('Ammo Input'!R746,0.5,1),2)</f>
        <v>#VALUE!</v>
      </c>
      <c r="P746" t="e">
        <f>(SUMPRODUCT(Q746:AB746,VLOOKUP($Q$1:$AB$1,IngredientStats,4,FALSE))*VLOOKUP(B746,AmmoTypeFactors,14,FALSE)*IF('Ammo Input'!R746,1.1,1))</f>
        <v>#VALUE!</v>
      </c>
      <c r="Q746">
        <f>IFERROR(__xludf.DUMMYFUNCTION("((IF(NOT(OR(REGEXMATCH(B742, ""Arrow""), B742 = ""Javelin"", B742 = ""Stick bomb"")), ROUNDUP(('Ammo Input'!E742 / 1000) * N742)) + IF(VLOOKUP(B742, AmmoTypeFactors, 9, FALSE) = ""Steel"", ROUNDUP(('Ammo Input'!H742 -'Ammo Input'!M742) * MAX(IF('Ammo Inpu"&amp;"t'!J742 &gt; 0, 'Ammo Input'!J742, 1), 1) * N742 / 1000))) / 'Ingredient stats'!$C$2) * IF(ISBLANK(VLOOKUP(B742,AmmoTypeFactors,15,False)),1,VLOOKUP(B742,AmmoTypeFactors,15,False))"),44)</f>
        <v>44</v>
      </c>
      <c r="R746">
        <f>IFERROR(__xludf.DUMMYFUNCTION("ROUNDUP((IF(REGEXMATCH(B742, ""Arrow"") + (B742 = ""Javelin""), 'Ammo Input'!E742) + IF(VLOOKUP(B742, AmmoTypeFactors, 9, FALSE) = ""Wood"", 'Ammo Input'!H742) + IF(B742 = ""Stick bomb"", 'Ammo Input'!E742)) * N742 / 'Ingredient stats'!$C$12 / 1000)"),0)</f>
        <v>0</v>
      </c>
      <c r="S746">
        <v>0</v>
      </c>
      <c r="T746">
        <v>0</v>
      </c>
      <c r="U746">
        <f>IF(VLOOKUP(B746,AmmoTypeFactors,9,FALSE)="Plasteel",ROUNDUP(('Ammo Input'!H746*MAX(IF('Ammo Input'!J746&gt;0,'Ammo Input'!J746,1)*N746/1000/'Ingredient stats'!$C$4)),0),0)</f>
        <v>0</v>
      </c>
      <c r="V746">
        <f>IFERROR(__xludf.DUMMYFUNCTION("ROUNDUP(IF(ISBLANK(VLOOKUP(B742,AmmoTypeFactors,16,False)),1,VLOOKUP(B742,AmmoTypeFactors,16,False)) * (IFS(REGEXMATCH(B742, ""EMP""), 'Ammo Input'!M742 * N742 / 'Ingredient stats'!$C$5, REGEXMATCH(B742, ""Charge""), (U742^0.75), true, 0) + (IF(VLOOKUP(B7"&amp;"42, AmmoTypeFactors, 10, false), 2,0) + IF('Ammo Input'!P742, 2,0) + IF('Ammo Input'!Q742,MIN(ROUNDUP(0.2*('Ammo Input'!H742/1000)*'Ammo Input'!O742,0),20),0))))"),4)</f>
        <v>4</v>
      </c>
      <c r="W746">
        <v>0</v>
      </c>
      <c r="X746">
        <v>10</v>
      </c>
      <c r="Y746">
        <v>0</v>
      </c>
      <c r="Z746">
        <v>0</v>
      </c>
      <c r="AA746">
        <v>0</v>
      </c>
      <c r="AB746" s="30">
        <f>IF(B746="Sling Bullet (Stone)",ROUNDUP(D746*0.02*E746/'Ingredient stats'!$C$8,0),0)</f>
        <v>0</v>
      </c>
      <c r="AC746" t="str">
        <f t="shared" si="40"/>
        <v>None</v>
      </c>
      <c r="AD746" t="str">
        <f>IF(OR(B746="Buck",B746="Bird",B746="Charge (Scatter)"),'Ammo Input'!J746,"None")</f>
        <v>None</v>
      </c>
      <c r="AE746">
        <f>_xlfn.IFS(ISTEXT(Calcs!N746),Calcs!N746,Calcs!N746&lt;=40,Calcs!N746,Calcs!N746&gt;41,"40")</f>
        <v>10</v>
      </c>
      <c r="AF746">
        <f>_xlfn.IFS(ISTEXT(Calcs!O746),Calcs!O746,Calcs!O746&lt;=80,Calcs!O746,Calcs!O746&gt;=81,"80")</f>
        <v>24</v>
      </c>
      <c r="AG746" s="25">
        <f t="shared" si="41"/>
        <v>3</v>
      </c>
      <c r="AH746" s="25">
        <f t="shared" si="42"/>
        <v>0.84</v>
      </c>
      <c r="AI746" s="25">
        <f t="shared" si="43"/>
        <v>2</v>
      </c>
    </row>
    <row r="747" ht="14.4" spans="1:35">
      <c r="A747" s="24" t="str">
        <f>'Ammo Input'!A747</f>
        <v>84x246mmR</v>
      </c>
      <c r="B747" t="str">
        <f>'Ammo Input'!B747</f>
        <v>HEDP</v>
      </c>
      <c r="C747">
        <f>ROUNDUP(('Ammo Input'!C747*(MAX('Ammo Input'!D747,'Ammo Input'!F747)*0.5)^2*PI())*3/1000000,2)</f>
        <v>8.35</v>
      </c>
      <c r="D747">
        <f>ROUNDUP(('Ammo Input'!E747+'Ammo Input'!H747*IF('Ammo Input'!J747&lt;&gt;"",MAX('Ammo Input'!J747,1),1))/1000,3)</f>
        <v>3.3</v>
      </c>
      <c r="E747">
        <f>MIN(5000,MAX(25,CEILING(Calcs!L747,_xlfn.IFS(Calcs!L747&lt;100,25,Calcs!L747&lt;250,50,Calcs!L747&lt;1000,250,Calcs!L747&gt;=1000,1000))))</f>
        <v>25</v>
      </c>
      <c r="F747">
        <f>ROUNDUP('Ammo Input'!G747^(3/4),0)</f>
        <v>59</v>
      </c>
      <c r="G747">
        <f>ROUND((0.5*((IF(OR(B747="HEAT",B747="HEDP"),'Ammo Input'!N747,'Ammo Input'!H747)/1000)*(IF(B747="HEAT",9000,IF(B747="HEDP",1500,'Ammo Input'!G747))^2))),0)</f>
        <v>144000</v>
      </c>
      <c r="H747" s="25" t="str">
        <f>CONCATENATE(IF((B747="Foam")+(B747="Smoke"),"-",ROUND(Calcs!D747,0))," ",VLOOKUP(B747,AmmoTypeFactors,5,FALSE))</f>
        <v>189 Bullet</v>
      </c>
      <c r="I747" s="25" t="str">
        <f>IF(Calcs!E747=0,"None",CONCATENATE(ROUND(Calcs!E747,0)," ",VLOOKUP(B747,AmmoTypeFactors,6,FALSE)))</f>
        <v>111 Bomb</v>
      </c>
      <c r="J747">
        <f>MROUND(2.42*'Ammo Input'!M747^(1/3)*VLOOKUP(B747,AmmoTypeFactors,3,FALSE),0.5)</f>
        <v>1</v>
      </c>
      <c r="K747" s="25" t="str">
        <f>IF(VLOOKUP(B747,AmmoTypeFactors,12,FALSE),MROUND(J747/3,0.5),"None")</f>
        <v>None</v>
      </c>
      <c r="L747" s="25">
        <f>IF(VLOOKUP(B747,AmmoTypeFactors,8,FALSE),"None",ROUNDUP(IF(Calcs!I747&gt;0,Calcs!I747,Calcs!H747),3))</f>
        <v>33.371</v>
      </c>
      <c r="M747" s="25">
        <f>IF(VLOOKUP(B747,AmmoTypeFactors,8,FALSE),"None",'Ammo Input'!L747)</f>
        <v>150</v>
      </c>
      <c r="N747">
        <f>'Ammo Input'!O747</f>
        <v>5</v>
      </c>
      <c r="O747" t="e">
        <f>ROUND((P747*0.0036+SUMPRODUCT(Q747:AB747,VLOOKUP($Q$1:$AB$1,IngredientStats,2,FALSE)))/N747*IF('Ammo Input'!R747,0.5,1),2)</f>
        <v>#VALUE!</v>
      </c>
      <c r="P747" t="e">
        <f>(SUMPRODUCT(Q747:AB747,VLOOKUP($Q$1:$AB$1,IngredientStats,4,FALSE))*VLOOKUP(B747,AmmoTypeFactors,14,FALSE)*IF('Ammo Input'!R747,1.1,1))</f>
        <v>#VALUE!</v>
      </c>
      <c r="Q747">
        <f>IFERROR(__xludf.DUMMYFUNCTION("((IF(NOT(OR(REGEXMATCH(B743, ""Arrow""), B743 = ""Javelin"", B743 = ""Stick bomb"")), ROUNDUP(('Ammo Input'!E743 / 1000) * N743)) + IF(VLOOKUP(B743, AmmoTypeFactors, 9, FALSE) = ""Steel"", ROUNDUP(('Ammo Input'!H743 -'Ammo Input'!M743) * MAX(IF('Ammo Inpu"&amp;"t'!J743 &gt; 0, 'Ammo Input'!J743, 1), 1) * N743 / 1000))) / 'Ingredient stats'!$C$2) * IF(ISBLANK(VLOOKUP(B743,AmmoTypeFactors,15,False)),1,VLOOKUP(B743,AmmoTypeFactors,15,False))"),36)</f>
        <v>36</v>
      </c>
      <c r="R747">
        <f>IFERROR(__xludf.DUMMYFUNCTION("ROUNDUP((IF(REGEXMATCH(B743, ""Arrow"") + (B743 = ""Javelin""), 'Ammo Input'!E743) + IF(VLOOKUP(B743, AmmoTypeFactors, 9, FALSE) = ""Wood"", 'Ammo Input'!H743) + IF(B743 = ""Stick bomb"", 'Ammo Input'!E743)) * N743 / 'Ingredient stats'!$C$12 / 1000)"),0)</f>
        <v>0</v>
      </c>
      <c r="S747">
        <v>0</v>
      </c>
      <c r="T747">
        <v>0</v>
      </c>
      <c r="U747">
        <f>IF(VLOOKUP(B747,AmmoTypeFactors,9,FALSE)="Plasteel",ROUNDUP(('Ammo Input'!H747*MAX(IF('Ammo Input'!J747&gt;0,'Ammo Input'!J747,1)*N747/1000/'Ingredient stats'!$C$4)),0),0)</f>
        <v>0</v>
      </c>
      <c r="V747">
        <f>IFERROR(__xludf.DUMMYFUNCTION("ROUNDUP(IF(ISBLANK(VLOOKUP(B743,AmmoTypeFactors,16,False)),1,VLOOKUP(B743,AmmoTypeFactors,16,False)) * (IFS(REGEXMATCH(B743, ""EMP""), 'Ammo Input'!M743 * N743 / 'Ingredient stats'!$C$5, REGEXMATCH(B743, ""Charge""), (U743^0.75), true, 0) + (IF(VLOOKUP(B7"&amp;"43, AmmoTypeFactors, 10, false), 2,0) + IF('Ammo Input'!P743, 2,0) + IF('Ammo Input'!Q743,MIN(ROUNDUP(0.2*('Ammo Input'!H743/1000)*'Ammo Input'!O743,0),20),0))))"),4)</f>
        <v>4</v>
      </c>
      <c r="W747">
        <v>0</v>
      </c>
      <c r="X747">
        <v>6</v>
      </c>
      <c r="Y747">
        <v>0</v>
      </c>
      <c r="Z747">
        <v>0</v>
      </c>
      <c r="AA747">
        <v>0</v>
      </c>
      <c r="AB747" s="30">
        <f>IF(B747="Sling Bullet (Stone)",ROUNDUP(D747*0.02*E747/'Ingredient stats'!$C$8,0),0)</f>
        <v>0</v>
      </c>
      <c r="AC747" t="str">
        <f t="shared" si="40"/>
        <v>None</v>
      </c>
      <c r="AD747" t="str">
        <f>IF(OR(B747="Buck",B747="Bird",B747="Charge (Scatter)"),'Ammo Input'!J747,"None")</f>
        <v>None</v>
      </c>
      <c r="AE747">
        <f>_xlfn.IFS(ISTEXT(Calcs!N747),Calcs!N747,Calcs!N747&lt;=40,Calcs!N747,Calcs!N747&gt;41,"40")</f>
        <v>10</v>
      </c>
      <c r="AF747">
        <f>_xlfn.IFS(ISTEXT(Calcs!O747),Calcs!O747,Calcs!O747&lt;=80,Calcs!O747,Calcs!O747&gt;=81,"80")</f>
        <v>22</v>
      </c>
      <c r="AG747" s="25">
        <f t="shared" si="41"/>
        <v>3</v>
      </c>
      <c r="AH747" s="25">
        <f t="shared" si="42"/>
        <v>0.98</v>
      </c>
      <c r="AI747" s="25">
        <f t="shared" si="43"/>
        <v>2</v>
      </c>
    </row>
    <row r="748" ht="14.4" spans="1:35">
      <c r="A748" s="24" t="str">
        <f>'Ammo Input'!A748</f>
        <v>84x246mmR</v>
      </c>
      <c r="B748" t="str">
        <f>'Ammo Input'!B748</f>
        <v>Frag</v>
      </c>
      <c r="C748">
        <f>ROUNDUP(('Ammo Input'!C748*(MAX('Ammo Input'!D748,'Ammo Input'!F748)*0.5)^2*PI())*3/1000000,2)</f>
        <v>7.18</v>
      </c>
      <c r="D748">
        <f>ROUNDUP(('Ammo Input'!E748+'Ammo Input'!H748*IF('Ammo Input'!J748&lt;&gt;"",MAX('Ammo Input'!J748,1),1))/1000,3)</f>
        <v>3.2</v>
      </c>
      <c r="E748">
        <f>MIN(5000,MAX(25,CEILING(Calcs!L748,_xlfn.IFS(Calcs!L748&lt;100,25,Calcs!L748&lt;250,50,Calcs!L748&lt;1000,250,Calcs!L748&gt;=1000,1000))))</f>
        <v>25</v>
      </c>
      <c r="F748">
        <f>ROUNDUP('Ammo Input'!G748^(3/4),0)</f>
        <v>61</v>
      </c>
      <c r="G748">
        <f>ROUND((0.5*((IF(OR(B748="HEAT",B748="HEDP"),'Ammo Input'!N748,'Ammo Input'!H748)/1000)*(IF(B748="HEAT",9000,IF(B748="HEDP",1500,'Ammo Input'!G748))^2))),0)</f>
        <v>66240</v>
      </c>
      <c r="H748" s="25" t="str">
        <f>CONCATENATE(IF((B748="Foam")+(B748="Smoke"),"-",ROUND(Calcs!D748,0))," ",VLOOKUP(B748,AmmoTypeFactors,5,FALSE))</f>
        <v>111 Bomb</v>
      </c>
      <c r="I748" s="25" t="str">
        <f>IF(Calcs!E748=0,"None",CONCATENATE(ROUND(Calcs!E748,0)," ",VLOOKUP(B748,AmmoTypeFactors,6,FALSE)))</f>
        <v>None</v>
      </c>
      <c r="J748">
        <f>MROUND(2.42*'Ammo Input'!M748^(1/3)*VLOOKUP(B748,AmmoTypeFactors,3,FALSE),0.5)</f>
        <v>2</v>
      </c>
      <c r="K748" s="25" t="str">
        <f>IF(VLOOKUP(B748,AmmoTypeFactors,12,FALSE),MROUND(J748/3,0.5),"None")</f>
        <v>None</v>
      </c>
      <c r="L748" s="25" t="str">
        <f>IF(VLOOKUP(B748,AmmoTypeFactors,8,FALSE),"None",ROUNDUP(IF(Calcs!I748&gt;0,Calcs!I748,Calcs!H748),3))</f>
        <v>None</v>
      </c>
      <c r="M748" s="25" t="str">
        <f>IF(VLOOKUP(B748,AmmoTypeFactors,8,FALSE),"None",'Ammo Input'!L748)</f>
        <v>None</v>
      </c>
      <c r="N748">
        <f>'Ammo Input'!O748</f>
        <v>5</v>
      </c>
      <c r="O748" t="e">
        <f>ROUND((P748*0.0036+SUMPRODUCT(Q748:AB748,VLOOKUP($Q$1:$AB$1,IngredientStats,2,FALSE)))/N748*IF('Ammo Input'!R748,0.5,1),2)</f>
        <v>#VALUE!</v>
      </c>
      <c r="P748" t="e">
        <f>(SUMPRODUCT(Q748:AB748,VLOOKUP($Q$1:$AB$1,IngredientStats,4,FALSE))*VLOOKUP(B748,AmmoTypeFactors,14,FALSE)*IF('Ammo Input'!R748,1.1,1))</f>
        <v>#VALUE!</v>
      </c>
      <c r="Q748">
        <f>IFERROR(__xludf.DUMMYFUNCTION("((IF(NOT(OR(REGEXMATCH(B744, ""Arrow""), B744 = ""Javelin"", B744 = ""Stick bomb"")), ROUNDUP(('Ammo Input'!E744 / 1000) * N744)) + IF(VLOOKUP(B744, AmmoTypeFactors, 9, FALSE) = ""Steel"", ROUNDUP(('Ammo Input'!H744 -'Ammo Input'!M744) * MAX(IF('Ammo Inpu"&amp;"t'!J744 &gt; 0, 'Ammo Input'!J744, 1), 1) * N744 / 1000))) / 'Ingredient stats'!$C$2) * IF(ISBLANK(VLOOKUP(B744,AmmoTypeFactors,15,False)),1,VLOOKUP(B744,AmmoTypeFactors,15,False))"),34)</f>
        <v>34</v>
      </c>
      <c r="R748">
        <f>IFERROR(__xludf.DUMMYFUNCTION("ROUNDUP((IF(REGEXMATCH(B744, ""Arrow"") + (B744 = ""Javelin""), 'Ammo Input'!E744) + IF(VLOOKUP(B744, AmmoTypeFactors, 9, FALSE) = ""Wood"", 'Ammo Input'!H744) + IF(B744 = ""Stick bomb"", 'Ammo Input'!E744)) * N744 / 'Ingredient stats'!$C$12 / 1000)"),0)</f>
        <v>0</v>
      </c>
      <c r="S748">
        <v>0</v>
      </c>
      <c r="T748">
        <v>0</v>
      </c>
      <c r="U748">
        <f>IF(VLOOKUP(B748,AmmoTypeFactors,9,FALSE)="Plasteel",ROUNDUP(('Ammo Input'!H748*MAX(IF('Ammo Input'!J748&gt;0,'Ammo Input'!J748,1)*N748/1000/'Ingredient stats'!$C$4)),0),0)</f>
        <v>0</v>
      </c>
      <c r="V748">
        <f>IFERROR(__xludf.DUMMYFUNCTION("ROUNDUP(IF(ISBLANK(VLOOKUP(B744,AmmoTypeFactors,16,False)),1,VLOOKUP(B744,AmmoTypeFactors,16,False)) * (IFS(REGEXMATCH(B744, ""EMP""), 'Ammo Input'!M744 * N744 / 'Ingredient stats'!$C$5, REGEXMATCH(B744, ""Charge""), (U744^0.75), true, 0) + (IF(VLOOKUP(B7"&amp;"44, AmmoTypeFactors, 10, false), 2,0) + IF('Ammo Input'!P744, 2,0) + IF('Ammo Input'!Q744,MIN(ROUNDUP(0.2*('Ammo Input'!H744/1000)*'Ammo Input'!O744,0),20),0))))"),4)</f>
        <v>4</v>
      </c>
      <c r="W748">
        <v>0</v>
      </c>
      <c r="X748">
        <v>6</v>
      </c>
      <c r="Y748">
        <v>0</v>
      </c>
      <c r="Z748">
        <v>0</v>
      </c>
      <c r="AA748">
        <v>0</v>
      </c>
      <c r="AB748" s="30">
        <f>IF(B748="Sling Bullet (Stone)",ROUNDUP(D748*0.02*E748/'Ingredient stats'!$C$8,0),0)</f>
        <v>0</v>
      </c>
      <c r="AC748" t="str">
        <f t="shared" si="40"/>
        <v>None</v>
      </c>
      <c r="AD748" t="str">
        <f>IF(OR(B748="Buck",B748="Bird",B748="Charge (Scatter)"),'Ammo Input'!J748,"None")</f>
        <v>None</v>
      </c>
      <c r="AE748">
        <f>_xlfn.IFS(ISTEXT(Calcs!N748),Calcs!N748,Calcs!N748&lt;=40,Calcs!N748,Calcs!N748&gt;41,"40")</f>
        <v>0</v>
      </c>
      <c r="AF748" t="str">
        <f>_xlfn.IFS(ISTEXT(Calcs!O748),Calcs!O748,Calcs!O748&lt;=80,Calcs!O748,Calcs!O748&gt;=81,"80")</f>
        <v>80</v>
      </c>
      <c r="AG748" s="25">
        <f t="shared" si="41"/>
        <v>3</v>
      </c>
      <c r="AH748" s="25">
        <f t="shared" si="42"/>
        <v>1.01</v>
      </c>
      <c r="AI748" s="25">
        <f t="shared" si="43"/>
        <v>2</v>
      </c>
    </row>
    <row r="749" ht="14.4" spans="1:35">
      <c r="A749" s="24" t="str">
        <f>'Ammo Input'!A749</f>
        <v>84x246mmR</v>
      </c>
      <c r="B749" t="str">
        <f>'Ammo Input'!B749</f>
        <v>Buck</v>
      </c>
      <c r="C749">
        <f>ROUNDUP(('Ammo Input'!C749*(MAX('Ammo Input'!D749,'Ammo Input'!F749)*0.5)^2*PI())*3/1000000,2)</f>
        <v>7.31</v>
      </c>
      <c r="D749">
        <f>ROUNDUP(('Ammo Input'!E749+'Ammo Input'!H749*IF('Ammo Input'!J749&lt;&gt;"",MAX('Ammo Input'!J749,1),1))/1000,3)</f>
        <v>1.9</v>
      </c>
      <c r="E749">
        <f>MIN(5000,MAX(25,CEILING(Calcs!L749,_xlfn.IFS(Calcs!L749&lt;100,25,Calcs!L749&lt;250,50,Calcs!L749&lt;1000,250,Calcs!L749&gt;=1000,1000))))</f>
        <v>25</v>
      </c>
      <c r="F749">
        <f>ROUNDUP('Ammo Input'!G749^(3/4),0)</f>
        <v>73</v>
      </c>
      <c r="G749">
        <f>ROUND((0.5*((IF(OR(B749="HEAT",B749="HEDP"),'Ammo Input'!N749,'Ammo Input'!H749)/1000)*(IF(B749="HEAT",9000,IF(B749="HEDP",1500,'Ammo Input'!G749))^2))),0)</f>
        <v>900</v>
      </c>
      <c r="H749" s="25" t="str">
        <f>CONCATENATE(IF((B749="Foam")+(B749="Smoke"),"-",ROUND(Calcs!D749,0))," ",VLOOKUP(B749,AmmoTypeFactors,5,FALSE))</f>
        <v>28 Bullet</v>
      </c>
      <c r="I749" s="25" t="str">
        <f>IF(Calcs!E749=0,"None",CONCATENATE(ROUND(Calcs!E749,0)," ",VLOOKUP(B749,AmmoTypeFactors,6,FALSE)))</f>
        <v>None</v>
      </c>
      <c r="J749">
        <f>MROUND(2.42*'Ammo Input'!M749^(1/3)*VLOOKUP(B749,AmmoTypeFactors,3,FALSE),0.5)</f>
        <v>0</v>
      </c>
      <c r="K749" s="25" t="str">
        <f>IF(VLOOKUP(B749,AmmoTypeFactors,12,FALSE),MROUND(J749/3,0.5),"None")</f>
        <v>None</v>
      </c>
      <c r="L749" s="25">
        <f>IF(VLOOKUP(B749,AmmoTypeFactors,8,FALSE),"None",ROUNDUP(IF(Calcs!I749&gt;0,Calcs!I749,Calcs!H749),3))</f>
        <v>18</v>
      </c>
      <c r="M749" s="25">
        <f>IF(VLOOKUP(B749,AmmoTypeFactors,8,FALSE),"None",'Ammo Input'!L749)</f>
        <v>5</v>
      </c>
      <c r="N749">
        <f>'Ammo Input'!O749</f>
        <v>5</v>
      </c>
      <c r="O749" t="e">
        <f>ROUND((P749*0.0036+SUMPRODUCT(Q749:AB749,VLOOKUP($Q$1:$AB$1,IngredientStats,2,FALSE)))/N749*IF('Ammo Input'!R749,0.5,1),2)</f>
        <v>#VALUE!</v>
      </c>
      <c r="P749" t="e">
        <f>(SUMPRODUCT(Q749:AB749,VLOOKUP($Q$1:$AB$1,IngredientStats,4,FALSE))*VLOOKUP(B749,AmmoTypeFactors,14,FALSE)*IF('Ammo Input'!R749,1.1,1))</f>
        <v>#VALUE!</v>
      </c>
      <c r="Q749">
        <f>IFERROR(__xludf.DUMMYFUNCTION("((IF(NOT(OR(REGEXMATCH(B745, ""Arrow""), B745 = ""Javelin"", B745 = ""Stick bomb"")), ROUNDUP(('Ammo Input'!E745 / 1000) * N745)) + IF(VLOOKUP(B745, AmmoTypeFactors, 9, FALSE) = ""Steel"", ROUNDUP(('Ammo Input'!H745 -'Ammo Input'!M745) * MAX(IF('Ammo Inpu"&amp;"t'!J745 &gt; 0, 'Ammo Input'!J745, 1), 1) * N745 / 1000))) / 'Ingredient stats'!$C$2) * IF(ISBLANK(VLOOKUP(B745,AmmoTypeFactors,15,False)),1,VLOOKUP(B745,AmmoTypeFactors,15,False))"),20)</f>
        <v>20</v>
      </c>
      <c r="R749">
        <f>IFERROR(__xludf.DUMMYFUNCTION("ROUNDUP((IF(REGEXMATCH(B745, ""Arrow"") + (B745 = ""Javelin""), 'Ammo Input'!E745) + IF(VLOOKUP(B745, AmmoTypeFactors, 9, FALSE) = ""Wood"", 'Ammo Input'!H745) + IF(B745 = ""Stick bomb"", 'Ammo Input'!E745)) * N745 / 'Ingredient stats'!$C$12 / 1000)"),0)</f>
        <v>0</v>
      </c>
      <c r="S749">
        <v>0</v>
      </c>
      <c r="T749">
        <v>0</v>
      </c>
      <c r="U749">
        <f>IF(VLOOKUP(B749,AmmoTypeFactors,9,FALSE)="Plasteel",ROUNDUP(('Ammo Input'!H749*MAX(IF('Ammo Input'!J749&gt;0,'Ammo Input'!J749,1)*N749/1000/'Ingredient stats'!$C$4)),0),0)</f>
        <v>0</v>
      </c>
      <c r="V749">
        <f>IFERROR(__xludf.DUMMYFUNCTION("ROUNDUP(IF(ISBLANK(VLOOKUP(B745,AmmoTypeFactors,16,False)),1,VLOOKUP(B745,AmmoTypeFactors,16,False)) * (IFS(REGEXMATCH(B745, ""EMP""), 'Ammo Input'!M745 * N745 / 'Ingredient stats'!$C$5, REGEXMATCH(B745, ""Charge""), (U745^0.75), true, 0) + (IF(VLOOKUP(B7"&amp;"45, AmmoTypeFactors, 10, false), 2,0) + IF('Ammo Input'!P745, 2,0) + IF('Ammo Input'!Q745,MIN(ROUNDUP(0.2*('Ammo Input'!H745/1000)*'Ammo Input'!O745,0),20),0))))"),2)</f>
        <v>2</v>
      </c>
      <c r="W749">
        <v>0</v>
      </c>
      <c r="X749">
        <v>0</v>
      </c>
      <c r="Y749">
        <v>0</v>
      </c>
      <c r="Z749">
        <v>0</v>
      </c>
      <c r="AA749">
        <v>0</v>
      </c>
      <c r="AB749" s="30">
        <f>IF(B749="Sling Bullet (Stone)",ROUNDUP(D749*0.02*E749/'Ingredient stats'!$C$8,0),0)</f>
        <v>0</v>
      </c>
      <c r="AC749">
        <f t="shared" si="40"/>
        <v>8.9</v>
      </c>
      <c r="AD749">
        <f>IF(OR(B749="Buck",B749="Bird",B749="Charge (Scatter)"),'Ammo Input'!J749,"None")</f>
        <v>50</v>
      </c>
      <c r="AE749" t="str">
        <f>_xlfn.IFS(ISTEXT(Calcs!N749),Calcs!N749,Calcs!N749&lt;=40,Calcs!N749,Calcs!N749&gt;41,"40")</f>
        <v>None</v>
      </c>
      <c r="AF749" t="str">
        <f>_xlfn.IFS(ISTEXT(Calcs!O749),Calcs!O749,Calcs!O749&lt;=80,Calcs!O749,Calcs!O749&gt;=81,"80")</f>
        <v>None</v>
      </c>
      <c r="AG749" s="25">
        <f t="shared" si="41"/>
        <v>1</v>
      </c>
      <c r="AH749" s="25">
        <f t="shared" si="42"/>
        <v>1.2</v>
      </c>
      <c r="AI749" s="25">
        <f t="shared" si="43"/>
        <v>1</v>
      </c>
    </row>
    <row r="750" ht="14.4" spans="1:35">
      <c r="A750" s="24" t="str">
        <f>'Ammo Input'!A750</f>
        <v>84x246mmR</v>
      </c>
      <c r="B750" t="str">
        <f>'Ammo Input'!B750</f>
        <v>Incendiary (Heavy)</v>
      </c>
      <c r="C750">
        <f>ROUNDUP(('Ammo Input'!C750*(MAX('Ammo Input'!D750,'Ammo Input'!F750)*0.5)^2*PI())*3/1000000,2)</f>
        <v>7.64</v>
      </c>
      <c r="D750">
        <f>ROUNDUP(('Ammo Input'!E750+'Ammo Input'!H750*IF('Ammo Input'!J750&lt;&gt;"",MAX('Ammo Input'!J750,1),1))/1000,3)</f>
        <v>3.02</v>
      </c>
      <c r="E750">
        <f>MIN(5000,MAX(25,CEILING(Calcs!L750,_xlfn.IFS(Calcs!L750&lt;100,25,Calcs!L750&lt;250,50,Calcs!L750&lt;1000,250,Calcs!L750&gt;=1000,1000))))</f>
        <v>25</v>
      </c>
      <c r="F750">
        <f>ROUNDUP('Ammo Input'!G750^(3/4),0)</f>
        <v>65</v>
      </c>
      <c r="G750">
        <f>ROUND((0.5*((IF(OR(B750="HEAT",B750="HEDP"),'Ammo Input'!N750,'Ammo Input'!H750)/1000)*(IF(B750="HEAT",9000,IF(B750="HEDP",1500,'Ammo Input'!G750))^2))),0)</f>
        <v>74360</v>
      </c>
      <c r="H750" s="25" t="str">
        <f>CONCATENATE(IF((B750="Foam")+(B750="Smoke"),"-",ROUND(Calcs!D750,0))," ",VLOOKUP(B750,AmmoTypeFactors,5,FALSE))</f>
        <v>15 Flame</v>
      </c>
      <c r="I750" s="25" t="str">
        <f>IF(Calcs!E750=0,"None",CONCATENATE(ROUND(Calcs!E750,0)," ",VLOOKUP(B750,AmmoTypeFactors,6,FALSE)))</f>
        <v>113 Thermobaric</v>
      </c>
      <c r="J750">
        <f>MROUND(2.42*'Ammo Input'!M750^(1/3)*VLOOKUP(B750,AmmoTypeFactors,3,FALSE),0.5)</f>
        <v>8</v>
      </c>
      <c r="K750" s="25">
        <f>IF(VLOOKUP(B750,AmmoTypeFactors,12,FALSE),MROUND(J750/3,0.5),"None")</f>
        <v>2.5</v>
      </c>
      <c r="L750" s="25" t="str">
        <f>IF(VLOOKUP(B750,AmmoTypeFactors,8,FALSE),"None",ROUNDUP(IF(Calcs!I750&gt;0,Calcs!I750,Calcs!H750),3))</f>
        <v>None</v>
      </c>
      <c r="M750" s="25" t="str">
        <f>IF(VLOOKUP(B750,AmmoTypeFactors,8,FALSE),"None",'Ammo Input'!L750)</f>
        <v>None</v>
      </c>
      <c r="N750">
        <f>'Ammo Input'!O750</f>
        <v>5</v>
      </c>
      <c r="O750" t="e">
        <f>ROUND((P750*0.0036+SUMPRODUCT(Q750:AB750,VLOOKUP($Q$1:$AB$1,IngredientStats,2,FALSE)))/N750*IF('Ammo Input'!R750,0.5,1),2)</f>
        <v>#VALUE!</v>
      </c>
      <c r="P750" t="e">
        <f>(SUMPRODUCT(Q750:AB750,VLOOKUP($Q$1:$AB$1,IngredientStats,4,FALSE))*VLOOKUP(B750,AmmoTypeFactors,14,FALSE)*IF('Ammo Input'!R750,1.1,1))</f>
        <v>#VALUE!</v>
      </c>
      <c r="Q750">
        <f>IFERROR(__xludf.DUMMYFUNCTION("((IF(NOT(OR(REGEXMATCH(B746, ""Arrow""), B746 = ""Javelin"", B746 = ""Stick bomb"")), ROUNDUP(('Ammo Input'!E746 / 1000) * N746)) + IF(VLOOKUP(B746, AmmoTypeFactors, 9, FALSE) = ""Steel"", ROUNDUP(('Ammo Input'!H746 -'Ammo Input'!M746) * MAX(IF('Ammo Inpu"&amp;"t'!J746 &gt; 0, 'Ammo Input'!J746, 1), 1) * N746 / 1000))) / 'Ingredient stats'!$C$2) * IF(ISBLANK(VLOOKUP(B746,AmmoTypeFactors,15,False)),1,VLOOKUP(B746,AmmoTypeFactors,15,False))"),32)</f>
        <v>32</v>
      </c>
      <c r="R750">
        <f>IFERROR(__xludf.DUMMYFUNCTION("ROUNDUP((IF(REGEXMATCH(B746, ""Arrow"") + (B746 = ""Javelin""), 'Ammo Input'!E746) + IF(VLOOKUP(B746, AmmoTypeFactors, 9, FALSE) = ""Wood"", 'Ammo Input'!H746) + IF(B746 = ""Stick bomb"", 'Ammo Input'!E746)) * N746 / 'Ingredient stats'!$C$12 / 1000)"),0)</f>
        <v>0</v>
      </c>
      <c r="S750">
        <v>0</v>
      </c>
      <c r="T750">
        <v>0</v>
      </c>
      <c r="U750">
        <f>IF(VLOOKUP(B750,AmmoTypeFactors,9,FALSE)="Plasteel",ROUNDUP(('Ammo Input'!H750*MAX(IF('Ammo Input'!J750&gt;0,'Ammo Input'!J750,1)*N750/1000/'Ingredient stats'!$C$4)),0),0)</f>
        <v>0</v>
      </c>
      <c r="V750">
        <f>IFERROR(__xludf.DUMMYFUNCTION("ROUNDUP(IF(ISBLANK(VLOOKUP(B746,AmmoTypeFactors,16,False)),1,VLOOKUP(B746,AmmoTypeFactors,16,False)) * (IFS(REGEXMATCH(B746, ""EMP""), 'Ammo Input'!M746 * N746 / 'Ingredient stats'!$C$5, REGEXMATCH(B746, ""Charge""), (U746^0.75), true, 0) + (IF(VLOOKUP(B7"&amp;"46, AmmoTypeFactors, 10, false), 2,0) + IF('Ammo Input'!P746, 2,0) + IF('Ammo Input'!Q746,MIN(ROUNDUP(0.2*('Ammo Input'!H746/1000)*'Ammo Input'!O746,0),20),0))))"),4)</f>
        <v>4</v>
      </c>
      <c r="W750">
        <v>7</v>
      </c>
      <c r="X750">
        <v>0</v>
      </c>
      <c r="Y750">
        <v>0</v>
      </c>
      <c r="Z750">
        <v>0</v>
      </c>
      <c r="AA750">
        <v>0</v>
      </c>
      <c r="AB750" s="30">
        <f>IF(B750="Sling Bullet (Stone)",ROUNDUP(D750*0.02*E750/'Ingredient stats'!$C$8,0),0)</f>
        <v>0</v>
      </c>
      <c r="AC750" t="str">
        <f t="shared" si="40"/>
        <v>None</v>
      </c>
      <c r="AD750" t="str">
        <f>IF(OR(B750="Buck",B750="Bird",B750="Charge (Scatter)"),'Ammo Input'!J750,"None")</f>
        <v>None</v>
      </c>
      <c r="AE750" t="str">
        <f>_xlfn.IFS(ISTEXT(Calcs!N750),Calcs!N750,Calcs!N750&lt;=40,Calcs!N750,Calcs!N750&gt;41,"40")</f>
        <v>None</v>
      </c>
      <c r="AF750" t="str">
        <f>_xlfn.IFS(ISTEXT(Calcs!O750),Calcs!O750,Calcs!O750&lt;=80,Calcs!O750,Calcs!O750&gt;=81,"80")</f>
        <v>None</v>
      </c>
      <c r="AG750" s="25">
        <f t="shared" si="41"/>
        <v>3</v>
      </c>
      <c r="AH750" s="25">
        <f t="shared" si="42"/>
        <v>1.08</v>
      </c>
      <c r="AI750" s="25">
        <f t="shared" si="43"/>
        <v>2</v>
      </c>
    </row>
    <row r="751" ht="14.4" spans="1:35">
      <c r="A751" s="24" t="str">
        <f>'Ammo Input'!A751</f>
        <v>84x246mmR</v>
      </c>
      <c r="B751" t="str">
        <f>'Ammo Input'!B751</f>
        <v>EMP</v>
      </c>
      <c r="C751">
        <f>ROUNDUP(('Ammo Input'!C751*(MAX('Ammo Input'!D751,'Ammo Input'!F751)*0.5)^2*PI())*3/1000000,2)</f>
        <v>7.26</v>
      </c>
      <c r="D751">
        <f>ROUNDUP(('Ammo Input'!E751+'Ammo Input'!H751*IF('Ammo Input'!J751&lt;&gt;"",MAX('Ammo Input'!J751,1),1))/1000,3)</f>
        <v>3.1</v>
      </c>
      <c r="E751">
        <f>MIN(5000,MAX(25,CEILING(Calcs!L751,_xlfn.IFS(Calcs!L751&lt;100,25,Calcs!L751&lt;250,50,Calcs!L751&lt;1000,250,Calcs!L751&gt;=1000,1000))))</f>
        <v>25</v>
      </c>
      <c r="F751">
        <f>ROUNDUP('Ammo Input'!G751^(3/4),0)</f>
        <v>61</v>
      </c>
      <c r="G751">
        <f>ROUND((0.5*((IF(OR(B751="HEAT",B751="HEDP"),'Ammo Input'!N751,'Ammo Input'!H751)/1000)*(IF(B751="HEAT",9000,IF(B751="HEDP",1500,'Ammo Input'!G751))^2))),0)</f>
        <v>66240</v>
      </c>
      <c r="H751" s="25" t="str">
        <f>CONCATENATE(IF((B751="Foam")+(B751="Smoke"),"-",ROUND(Calcs!D751,0))," ",VLOOKUP(B751,AmmoTypeFactors,5,FALSE))</f>
        <v>151 EMP</v>
      </c>
      <c r="I751" s="25" t="str">
        <f>IF(Calcs!E751=0,"None",CONCATENATE(ROUND(Calcs!E751,0)," ",VLOOKUP(B751,AmmoTypeFactors,6,FALSE)))</f>
        <v>None</v>
      </c>
      <c r="J751">
        <f>MROUND(2.42*'Ammo Input'!M751^(1/3)*VLOOKUP(B751,AmmoTypeFactors,3,FALSE),0.5)</f>
        <v>5</v>
      </c>
      <c r="K751" s="25" t="str">
        <f>IF(VLOOKUP(B751,AmmoTypeFactors,12,FALSE),MROUND(J751/3,0.5),"None")</f>
        <v>None</v>
      </c>
      <c r="L751" s="25" t="str">
        <f>IF(VLOOKUP(B751,AmmoTypeFactors,8,FALSE),"None",ROUNDUP(IF(Calcs!I751&gt;0,Calcs!I751,Calcs!H751),3))</f>
        <v>None</v>
      </c>
      <c r="M751" s="25" t="str">
        <f>IF(VLOOKUP(B751,AmmoTypeFactors,8,FALSE),"None",'Ammo Input'!L751)</f>
        <v>None</v>
      </c>
      <c r="N751">
        <f>'Ammo Input'!O751</f>
        <v>5</v>
      </c>
      <c r="O751" t="e">
        <f>ROUND((P751*0.0036+SUMPRODUCT(Q751:AB751,VLOOKUP($Q$1:$AB$1,IngredientStats,2,FALSE)))/N751*IF('Ammo Input'!R751,0.5,1),2)</f>
        <v>#VALUE!</v>
      </c>
      <c r="P751" t="e">
        <f>(SUMPRODUCT(Q751:AB751,VLOOKUP($Q$1:$AB$1,IngredientStats,4,FALSE))*VLOOKUP(B751,AmmoTypeFactors,14,FALSE)*IF('Ammo Input'!R751,1.1,1))</f>
        <v>#VALUE!</v>
      </c>
      <c r="Q751">
        <f>IFERROR(__xludf.DUMMYFUNCTION("((IF(NOT(OR(REGEXMATCH(B747, ""Arrow""), B747 = ""Javelin"", B747 = ""Stick bomb"")), ROUNDUP(('Ammo Input'!E747 / 1000) * N747)) + IF(VLOOKUP(B747, AmmoTypeFactors, 9, FALSE) = ""Steel"", ROUNDUP(('Ammo Input'!H747 -'Ammo Input'!M747) * MAX(IF('Ammo Inpu"&amp;"t'!J747 &gt; 0, 'Ammo Input'!J747, 1), 1) * N747 / 1000))) / 'Ingredient stats'!$C$2) * IF(ISBLANK(VLOOKUP(B747,AmmoTypeFactors,15,False)),1,VLOOKUP(B747,AmmoTypeFactors,15,False))"),32)</f>
        <v>32</v>
      </c>
      <c r="R751">
        <f>IFERROR(__xludf.DUMMYFUNCTION("ROUNDUP((IF(REGEXMATCH(B747, ""Arrow"") + (B747 = ""Javelin""), 'Ammo Input'!E747) + IF(VLOOKUP(B747, AmmoTypeFactors, 9, FALSE) = ""Wood"", 'Ammo Input'!H747) + IF(B747 = ""Stick bomb"", 'Ammo Input'!E747)) * N747 / 'Ingredient stats'!$C$12 / 1000)"),0)</f>
        <v>0</v>
      </c>
      <c r="S751">
        <v>0</v>
      </c>
      <c r="T751">
        <v>0</v>
      </c>
      <c r="U751">
        <f>IF(VLOOKUP(B751,AmmoTypeFactors,9,FALSE)="Plasteel",ROUNDUP(('Ammo Input'!H751*MAX(IF('Ammo Input'!J751&gt;0,'Ammo Input'!J751,1)*N751/1000/'Ingredient stats'!$C$4)),0),0)</f>
        <v>0</v>
      </c>
      <c r="V751">
        <f>IFERROR(__xludf.DUMMYFUNCTION("ROUNDUP(IF(ISBLANK(VLOOKUP(B747,AmmoTypeFactors,16,False)),1,VLOOKUP(B747,AmmoTypeFactors,16,False)) * (IFS(REGEXMATCH(B747, ""EMP""), 'Ammo Input'!M747 * N747 / 'Ingredient stats'!$C$5, REGEXMATCH(B747, ""Charge""), (U747^0.75), true, 0) + (IF(VLOOKUP(B7"&amp;"47, AmmoTypeFactors, 10, false), 2,0) + IF('Ammo Input'!P747, 2,0) + IF('Ammo Input'!Q747,MIN(ROUNDUP(0.2*('Ammo Input'!H747/1000)*'Ammo Input'!O747,0),20),0))))"),15)</f>
        <v>15</v>
      </c>
      <c r="W751">
        <v>0</v>
      </c>
      <c r="X751">
        <v>0</v>
      </c>
      <c r="Y751">
        <v>0</v>
      </c>
      <c r="Z751">
        <v>0</v>
      </c>
      <c r="AA751">
        <v>0</v>
      </c>
      <c r="AB751" s="30">
        <f>IF(B751="Sling Bullet (Stone)",ROUNDUP(D751*0.02*E751/'Ingredient stats'!$C$8,0),0)</f>
        <v>0</v>
      </c>
      <c r="AC751" t="str">
        <f t="shared" si="40"/>
        <v>None</v>
      </c>
      <c r="AD751" t="str">
        <f>IF(OR(B751="Buck",B751="Bird",B751="Charge (Scatter)"),'Ammo Input'!J751,"None")</f>
        <v>None</v>
      </c>
      <c r="AE751" t="str">
        <f>_xlfn.IFS(ISTEXT(Calcs!N751),Calcs!N751,Calcs!N751&lt;=40,Calcs!N751,Calcs!N751&gt;41,"40")</f>
        <v>None</v>
      </c>
      <c r="AF751" t="str">
        <f>_xlfn.IFS(ISTEXT(Calcs!O751),Calcs!O751,Calcs!O751&lt;=80,Calcs!O751,Calcs!O751&gt;=81,"80")</f>
        <v>None</v>
      </c>
      <c r="AG751" s="25">
        <f t="shared" si="41"/>
        <v>3</v>
      </c>
      <c r="AH751" s="25">
        <f t="shared" si="42"/>
        <v>1.01</v>
      </c>
      <c r="AI751" s="25">
        <f t="shared" si="43"/>
        <v>2</v>
      </c>
    </row>
    <row r="752" ht="14.4" spans="1:35">
      <c r="A752" s="24" t="str">
        <f>'Ammo Input'!A752</f>
        <v>84x246mmR</v>
      </c>
      <c r="B752" t="str">
        <f>'Ammo Input'!B752</f>
        <v>Smoke</v>
      </c>
      <c r="C752">
        <f>ROUNDUP(('Ammo Input'!C752*(MAX('Ammo Input'!D752,'Ammo Input'!F752)*0.5)^2*PI())*3/1000000,2)</f>
        <v>8.35</v>
      </c>
      <c r="D752">
        <f>ROUNDUP(('Ammo Input'!E752+'Ammo Input'!H752*IF('Ammo Input'!J752&lt;&gt;"",MAX('Ammo Input'!J752,1),1))/1000,3)</f>
        <v>3.3</v>
      </c>
      <c r="E752">
        <f>MIN(5000,MAX(25,CEILING(Calcs!L752,_xlfn.IFS(Calcs!L752&lt;100,25,Calcs!L752&lt;250,50,Calcs!L752&lt;1000,250,Calcs!L752&gt;=1000,1000))))</f>
        <v>25</v>
      </c>
      <c r="F752">
        <f>ROUNDUP('Ammo Input'!G752^(3/4),0)</f>
        <v>61</v>
      </c>
      <c r="G752">
        <f>ROUND((0.5*((IF(OR(B752="HEAT",B752="HEDP"),'Ammo Input'!N752,'Ammo Input'!H752)/1000)*(IF(B752="HEAT",9000,IF(B752="HEDP",1500,'Ammo Input'!G752))^2))),0)</f>
        <v>65952</v>
      </c>
      <c r="H752" s="25" t="str">
        <f>CONCATENATE(IF((B752="Foam")+(B752="Smoke"),"-",ROUND(Calcs!D752,0))," ",VLOOKUP(B752,AmmoTypeFactors,5,FALSE))</f>
        <v>- Smoke</v>
      </c>
      <c r="I752" s="25" t="str">
        <f>IF(Calcs!E752=0,"None",CONCATENATE(ROUND(Calcs!E752,0)," ",VLOOKUP(B752,AmmoTypeFactors,6,FALSE)))</f>
        <v>None</v>
      </c>
      <c r="J752">
        <f>MROUND(2.42*'Ammo Input'!M752^(1/3)*VLOOKUP(B752,AmmoTypeFactors,3,FALSE),0.5)</f>
        <v>5.5</v>
      </c>
      <c r="K752" s="25" t="str">
        <f>IF(VLOOKUP(B752,AmmoTypeFactors,12,FALSE),MROUND(J752/3,0.5),"None")</f>
        <v>None</v>
      </c>
      <c r="L752" s="25" t="str">
        <f>IF(VLOOKUP(B752,AmmoTypeFactors,8,FALSE),"None",ROUNDUP(IF(Calcs!I752&gt;0,Calcs!I752,Calcs!H752),3))</f>
        <v>None</v>
      </c>
      <c r="M752" s="25" t="str">
        <f>IF(VLOOKUP(B752,AmmoTypeFactors,8,FALSE),"None",'Ammo Input'!L752)</f>
        <v>None</v>
      </c>
      <c r="N752">
        <f>'Ammo Input'!O752</f>
        <v>5</v>
      </c>
      <c r="O752" t="e">
        <f>ROUND((P752*0.0036+SUMPRODUCT(Q752:AB752,VLOOKUP($Q$1:$AB$1,IngredientStats,2,FALSE)))/N752*IF('Ammo Input'!R752,0.5,1),2)</f>
        <v>#VALUE!</v>
      </c>
      <c r="P752" t="e">
        <f>(SUMPRODUCT(Q752:AB752,VLOOKUP($Q$1:$AB$1,IngredientStats,4,FALSE))*VLOOKUP(B752,AmmoTypeFactors,14,FALSE)*IF('Ammo Input'!R752,1.1,1))</f>
        <v>#VALUE!</v>
      </c>
      <c r="Q752">
        <f>IFERROR(__xludf.DUMMYFUNCTION("((IF(NOT(OR(REGEXMATCH(B748, ""Arrow""), B748 = ""Javelin"", B748 = ""Stick bomb"")), ROUNDUP(('Ammo Input'!E748 / 1000) * N748)) + IF(VLOOKUP(B748, AmmoTypeFactors, 9, FALSE) = ""Steel"", ROUNDUP(('Ammo Input'!H748 -'Ammo Input'!M748) * MAX(IF('Ammo Inpu"&amp;"t'!J748 &gt; 0, 'Ammo Input'!J748, 1), 1) * N748 / 1000))) / 'Ingredient stats'!$C$2) * IF(ISBLANK(VLOOKUP(B748,AmmoTypeFactors,15,False)),1,VLOOKUP(B748,AmmoTypeFactors,15,False))"),36)</f>
        <v>36</v>
      </c>
      <c r="R752">
        <f>IFERROR(__xludf.DUMMYFUNCTION("ROUNDUP((IF(REGEXMATCH(B748, ""Arrow"") + (B748 = ""Javelin""), 'Ammo Input'!E748) + IF(VLOOKUP(B748, AmmoTypeFactors, 9, FALSE) = ""Wood"", 'Ammo Input'!H748) + IF(B748 = ""Stick bomb"", 'Ammo Input'!E748)) * N748 / 'Ingredient stats'!$C$12 / 1000)"),0)</f>
        <v>0</v>
      </c>
      <c r="S752">
        <v>0</v>
      </c>
      <c r="T752">
        <v>0</v>
      </c>
      <c r="U752">
        <f>IF(VLOOKUP(B752,AmmoTypeFactors,9,FALSE)="Plasteel",ROUNDUP(('Ammo Input'!H752*MAX(IF('Ammo Input'!J752&gt;0,'Ammo Input'!J752,1)*N752/1000/'Ingredient stats'!$C$4)),0),0)</f>
        <v>0</v>
      </c>
      <c r="V752">
        <f>IFERROR(__xludf.DUMMYFUNCTION("ROUNDUP(IF(ISBLANK(VLOOKUP(B748,AmmoTypeFactors,16,False)),1,VLOOKUP(B748,AmmoTypeFactors,16,False)) * (IFS(REGEXMATCH(B748, ""EMP""), 'Ammo Input'!M748 * N748 / 'Ingredient stats'!$C$5, REGEXMATCH(B748, ""Charge""), (U748^0.75), true, 0) + (IF(VLOOKUP(B7"&amp;"48, AmmoTypeFactors, 10, false), 2,0) + IF('Ammo Input'!P748, 2,0) + IF('Ammo Input'!Q748,MIN(ROUNDUP(0.2*('Ammo Input'!H748/1000)*'Ammo Input'!O748,0),20),0))))"),4)</f>
        <v>4</v>
      </c>
      <c r="W752">
        <v>2</v>
      </c>
      <c r="X752">
        <v>0</v>
      </c>
      <c r="Y752">
        <v>0</v>
      </c>
      <c r="Z752">
        <v>0</v>
      </c>
      <c r="AA752">
        <v>0</v>
      </c>
      <c r="AB752" s="30">
        <f>IF(B752="Sling Bullet (Stone)",ROUNDUP(D752*0.02*E752/'Ingredient stats'!$C$8,0),0)</f>
        <v>0</v>
      </c>
      <c r="AC752" t="str">
        <f t="shared" si="40"/>
        <v>None</v>
      </c>
      <c r="AD752" t="str">
        <f>IF(OR(B752="Buck",B752="Bird",B752="Charge (Scatter)"),'Ammo Input'!J752,"None")</f>
        <v>None</v>
      </c>
      <c r="AE752" t="str">
        <f>_xlfn.IFS(ISTEXT(Calcs!N752),Calcs!N752,Calcs!N752&lt;=40,Calcs!N752,Calcs!N752&gt;41,"40")</f>
        <v>None</v>
      </c>
      <c r="AF752" t="str">
        <f>_xlfn.IFS(ISTEXT(Calcs!O752),Calcs!O752,Calcs!O752&lt;=80,Calcs!O752,Calcs!O752&gt;=81,"80")</f>
        <v>None</v>
      </c>
      <c r="AG752" s="25">
        <f t="shared" si="41"/>
        <v>0</v>
      </c>
      <c r="AH752" s="25">
        <f t="shared" si="42"/>
        <v>1.01</v>
      </c>
      <c r="AI752" s="25">
        <f t="shared" si="43"/>
        <v>0</v>
      </c>
    </row>
    <row r="753" ht="14.4" spans="1:35">
      <c r="A753" s="24" t="str">
        <f>'Ammo Input'!A753</f>
        <v>83mm SMAW</v>
      </c>
      <c r="B753" t="str">
        <f>'Ammo Input'!B753</f>
        <v>HEAT</v>
      </c>
      <c r="C753">
        <f>ROUNDUP(('Ammo Input'!C753*(MAX('Ammo Input'!D753,'Ammo Input'!F753)*0.5)^2*PI())*3/1000000,2)</f>
        <v>17.91</v>
      </c>
      <c r="D753">
        <f>ROUNDUP(('Ammo Input'!E753+'Ammo Input'!H753*IF('Ammo Input'!J753&lt;&gt;"",MAX('Ammo Input'!J753,1),1))/1000,3)</f>
        <v>6.3</v>
      </c>
      <c r="E753">
        <f>MIN(5000,MAX(25,CEILING(Calcs!L753,_xlfn.IFS(Calcs!L753&lt;100,25,Calcs!L753&lt;250,50,Calcs!L753&lt;1000,250,Calcs!L753&gt;=1000,1000))))</f>
        <v>25</v>
      </c>
      <c r="F753">
        <f>ROUNDUP('Ammo Input'!G753^(3/4),0)</f>
        <v>58</v>
      </c>
      <c r="G753">
        <f>ROUND((0.5*((IF(OR(B753="HEAT",B753="HEDP"),'Ammo Input'!N753,'Ammo Input'!H753)/1000)*(IF(B753="HEAT",9000,IF(B753="HEDP",1500,'Ammo Input'!G753))^2))),0)</f>
        <v>4050000</v>
      </c>
      <c r="H753" s="25" t="str">
        <f>CONCATENATE(IF((B753="Foam")+(B753="Smoke"),"-",ROUND(Calcs!D753,0))," ",VLOOKUP(B753,AmmoTypeFactors,5,FALSE))</f>
        <v>248 Bullet</v>
      </c>
      <c r="I753" s="25" t="str">
        <f>IF(Calcs!E753=0,"None",CONCATENATE(ROUND(Calcs!E753,0)," ",VLOOKUP(B753,AmmoTypeFactors,6,FALSE)))</f>
        <v>None</v>
      </c>
      <c r="J753">
        <f>MROUND(2.42*'Ammo Input'!M753^(1/3)*VLOOKUP(B753,AmmoTypeFactors,3,FALSE),0.5)</f>
        <v>1</v>
      </c>
      <c r="K753" s="25" t="str">
        <f>IF(VLOOKUP(B753,AmmoTypeFactors,12,FALSE),MROUND(J753/3,0.5),"None")</f>
        <v>None</v>
      </c>
      <c r="L753" s="25">
        <f>IF(VLOOKUP(B753,AmmoTypeFactors,8,FALSE),"None",ROUNDUP(IF(Calcs!I753&gt;0,Calcs!I753,Calcs!H753),3))</f>
        <v>39.494</v>
      </c>
      <c r="M753" s="25">
        <f>IF(VLOOKUP(B753,AmmoTypeFactors,8,FALSE),"None",'Ammo Input'!L753)</f>
        <v>600</v>
      </c>
      <c r="N753">
        <f>'Ammo Input'!O753</f>
        <v>5</v>
      </c>
      <c r="O753" t="e">
        <f>ROUND((P753*0.0036+SUMPRODUCT(Q753:AB753,VLOOKUP($Q$1:$AB$1,IngredientStats,2,FALSE)))/N753*IF('Ammo Input'!R753,0.5,1),2)</f>
        <v>#VALUE!</v>
      </c>
      <c r="P753" t="e">
        <f>(SUMPRODUCT(Q753:AB753,VLOOKUP($Q$1:$AB$1,IngredientStats,4,FALSE))*VLOOKUP(B753,AmmoTypeFactors,14,FALSE)*IF('Ammo Input'!R753,1.1,1))</f>
        <v>#VALUE!</v>
      </c>
      <c r="Q753">
        <f>IFERROR(__xludf.DUMMYFUNCTION("((IF(NOT(OR(REGEXMATCH(B749, ""Arrow""), B749 = ""Javelin"", B749 = ""Stick bomb"")), ROUNDUP(('Ammo Input'!E749 / 1000) * N749)) + IF(VLOOKUP(B749, AmmoTypeFactors, 9, FALSE) = ""Steel"", ROUNDUP(('Ammo Input'!H749 -'Ammo Input'!M749) * MAX(IF('Ammo Inpu"&amp;"t'!J749 &gt; 0, 'Ammo Input'!J749, 1), 1) * N749 / 1000))) / 'Ingredient stats'!$C$2) * IF(ISBLANK(VLOOKUP(B749,AmmoTypeFactors,15,False)),1,VLOOKUP(B749,AmmoTypeFactors,15,False))"),64)</f>
        <v>64</v>
      </c>
      <c r="R753">
        <f>IFERROR(__xludf.DUMMYFUNCTION("ROUNDUP((IF(REGEXMATCH(B749, ""Arrow"") + (B749 = ""Javelin""), 'Ammo Input'!E749) + IF(VLOOKUP(B749, AmmoTypeFactors, 9, FALSE) = ""Wood"", 'Ammo Input'!H749) + IF(B749 = ""Stick bomb"", 'Ammo Input'!E749)) * N749 / 'Ingredient stats'!$C$12 / 1000)"),0)</f>
        <v>0</v>
      </c>
      <c r="S753">
        <v>0</v>
      </c>
      <c r="T753">
        <v>0</v>
      </c>
      <c r="U753">
        <f>IF(VLOOKUP(B753,AmmoTypeFactors,9,FALSE)="Plasteel",ROUNDUP(('Ammo Input'!H753*MAX(IF('Ammo Input'!J753&gt;0,'Ammo Input'!J753,1)*N753/1000/'Ingredient stats'!$C$4)),0),0)</f>
        <v>0</v>
      </c>
      <c r="V753">
        <f>IFERROR(__xludf.DUMMYFUNCTION("ROUNDUP(IF(ISBLANK(VLOOKUP(B749,AmmoTypeFactors,16,False)),1,VLOOKUP(B749,AmmoTypeFactors,16,False)) * (IFS(REGEXMATCH(B749, ""EMP""), 'Ammo Input'!M749 * N749 / 'Ingredient stats'!$C$5, REGEXMATCH(B749, ""Charge""), (U749^0.75), true, 0) + (IF(VLOOKUP(B7"&amp;"49, AmmoTypeFactors, 10, false), 2,0) + IF('Ammo Input'!P749, 2,0) + IF('Ammo Input'!Q749,MIN(ROUNDUP(0.2*('Ammo Input'!H749/1000)*'Ammo Input'!O749,0),20),0))))"),4)</f>
        <v>4</v>
      </c>
      <c r="W753">
        <v>0</v>
      </c>
      <c r="X753">
        <v>8</v>
      </c>
      <c r="Y753">
        <v>0</v>
      </c>
      <c r="Z753">
        <v>0</v>
      </c>
      <c r="AA753">
        <v>0</v>
      </c>
      <c r="AB753" s="30">
        <f>IF(B753="Sling Bullet (Stone)",ROUNDUP(D753*0.02*E753/'Ingredient stats'!$C$8,0),0)</f>
        <v>0</v>
      </c>
      <c r="AC753" t="str">
        <f t="shared" si="40"/>
        <v>None</v>
      </c>
      <c r="AD753" t="str">
        <f>IF(OR(B753="Buck",B753="Bird",B753="Charge (Scatter)"),'Ammo Input'!J753,"None")</f>
        <v>None</v>
      </c>
      <c r="AE753">
        <f>_xlfn.IFS(ISTEXT(Calcs!N753),Calcs!N753,Calcs!N753&lt;=40,Calcs!N753,Calcs!N753&gt;41,"40")</f>
        <v>7</v>
      </c>
      <c r="AF753">
        <f>_xlfn.IFS(ISTEXT(Calcs!O753),Calcs!O753,Calcs!O753&lt;=80,Calcs!O753,Calcs!O753&gt;=81,"80")</f>
        <v>10</v>
      </c>
      <c r="AG753" s="25">
        <f t="shared" si="41"/>
        <v>3</v>
      </c>
      <c r="AH753" s="25">
        <f t="shared" si="42"/>
        <v>0.96</v>
      </c>
      <c r="AI753" s="25">
        <f t="shared" si="43"/>
        <v>2</v>
      </c>
    </row>
    <row r="754" ht="14.4" spans="1:35">
      <c r="A754" s="24" t="str">
        <f>'Ammo Input'!A754</f>
        <v>83mm SMAW</v>
      </c>
      <c r="B754" t="str">
        <f>'Ammo Input'!B754</f>
        <v>HE</v>
      </c>
      <c r="C754">
        <f>ROUNDUP(('Ammo Input'!C754*(MAX('Ammo Input'!D754,'Ammo Input'!F754)*0.5)^2*PI())*3/1000000,2)</f>
        <v>15.87</v>
      </c>
      <c r="D754">
        <f>ROUNDUP(('Ammo Input'!E754+'Ammo Input'!H754*IF('Ammo Input'!J754&lt;&gt;"",MAX('Ammo Input'!J754,1),1))/1000,3)</f>
        <v>5.9</v>
      </c>
      <c r="E754">
        <f>MIN(5000,MAX(25,CEILING(Calcs!L754,_xlfn.IFS(Calcs!L754&lt;100,25,Calcs!L754&lt;250,50,Calcs!L754&lt;1000,250,Calcs!L754&gt;=1000,1000))))</f>
        <v>25</v>
      </c>
      <c r="F754">
        <f>ROUNDUP('Ammo Input'!G754^(3/4),0)</f>
        <v>58</v>
      </c>
      <c r="G754">
        <f>ROUND((0.5*((IF(OR(B754="HEAT",B754="HEDP"),'Ammo Input'!N754,'Ammo Input'!H754)/1000)*(IF(B754="HEAT",9000,IF(B754="HEDP",1500,'Ammo Input'!G754))^2))),0)</f>
        <v>101640</v>
      </c>
      <c r="H754" s="25" t="str">
        <f>CONCATENATE(IF((B754="Foam")+(B754="Smoke"),"-",ROUND(Calcs!D754,0))," ",VLOOKUP(B754,AmmoTypeFactors,5,FALSE))</f>
        <v>154 Bomb</v>
      </c>
      <c r="I754" s="25" t="str">
        <f>IF(Calcs!E754=0,"None",CONCATENATE(ROUND(Calcs!E754,0)," ",VLOOKUP(B754,AmmoTypeFactors,6,FALSE)))</f>
        <v>None</v>
      </c>
      <c r="J754">
        <f>MROUND(2.42*'Ammo Input'!M754^(1/3)*VLOOKUP(B754,AmmoTypeFactors,3,FALSE),0.5)</f>
        <v>2.5</v>
      </c>
      <c r="K754" s="25" t="str">
        <f>IF(VLOOKUP(B754,AmmoTypeFactors,12,FALSE),MROUND(J754/3,0.5),"None")</f>
        <v>None</v>
      </c>
      <c r="L754" s="25" t="str">
        <f>IF(VLOOKUP(B754,AmmoTypeFactors,8,FALSE),"None",ROUNDUP(IF(Calcs!I754&gt;0,Calcs!I754,Calcs!H754),3))</f>
        <v>None</v>
      </c>
      <c r="M754" s="25" t="str">
        <f>IF(VLOOKUP(B754,AmmoTypeFactors,8,FALSE),"None",'Ammo Input'!L754)</f>
        <v>None</v>
      </c>
      <c r="N754">
        <f>'Ammo Input'!O754</f>
        <v>5</v>
      </c>
      <c r="O754" t="e">
        <f>ROUND((P754*0.0036+SUMPRODUCT(Q754:AB754,VLOOKUP($Q$1:$AB$1,IngredientStats,2,FALSE)))/N754*IF('Ammo Input'!R754,0.5,1),2)</f>
        <v>#VALUE!</v>
      </c>
      <c r="P754" t="e">
        <f>(SUMPRODUCT(Q754:AB754,VLOOKUP($Q$1:$AB$1,IngredientStats,4,FALSE))*VLOOKUP(B754,AmmoTypeFactors,14,FALSE)*IF('Ammo Input'!R754,1.1,1))</f>
        <v>#VALUE!</v>
      </c>
      <c r="Q754">
        <f>IFERROR(__xludf.DUMMYFUNCTION("((IF(NOT(OR(REGEXMATCH(B750, ""Arrow""), B750 = ""Javelin"", B750 = ""Stick bomb"")), ROUNDUP(('Ammo Input'!E750 / 1000) * N750)) + IF(VLOOKUP(B750, AmmoTypeFactors, 9, FALSE) = ""Steel"", ROUNDUP(('Ammo Input'!H750 -'Ammo Input'!M750) * MAX(IF('Ammo Inpu"&amp;"t'!J750 &gt; 0, 'Ammo Input'!J750, 1), 1) * N750 / 1000))) / 'Ingredient stats'!$C$2) * IF(ISBLANK(VLOOKUP(B750,AmmoTypeFactors,15,False)),1,VLOOKUP(B750,AmmoTypeFactors,15,False))"),60)</f>
        <v>60</v>
      </c>
      <c r="R754">
        <f>IFERROR(__xludf.DUMMYFUNCTION("ROUNDUP((IF(REGEXMATCH(B750, ""Arrow"") + (B750 = ""Javelin""), 'Ammo Input'!E750) + IF(VLOOKUP(B750, AmmoTypeFactors, 9, FALSE) = ""Wood"", 'Ammo Input'!H750) + IF(B750 = ""Stick bomb"", 'Ammo Input'!E750)) * N750 / 'Ingredient stats'!$C$12 / 1000)"),0)</f>
        <v>0</v>
      </c>
      <c r="S754">
        <v>0</v>
      </c>
      <c r="T754">
        <v>0</v>
      </c>
      <c r="U754">
        <f>IF(VLOOKUP(B754,AmmoTypeFactors,9,FALSE)="Plasteel",ROUNDUP(('Ammo Input'!H754*MAX(IF('Ammo Input'!J754&gt;0,'Ammo Input'!J754,1)*N754/1000/'Ingredient stats'!$C$4)),0),0)</f>
        <v>0</v>
      </c>
      <c r="V754">
        <f>IFERROR(__xludf.DUMMYFUNCTION("ROUNDUP(IF(ISBLANK(VLOOKUP(B750,AmmoTypeFactors,16,False)),1,VLOOKUP(B750,AmmoTypeFactors,16,False)) * (IFS(REGEXMATCH(B750, ""EMP""), 'Ammo Input'!M750 * N750 / 'Ingredient stats'!$C$5, REGEXMATCH(B750, ""Charge""), (U750^0.75), true, 0) + (IF(VLOOKUP(B7"&amp;"50, AmmoTypeFactors, 10, false), 2,0) + IF('Ammo Input'!P750, 2,0) + IF('Ammo Input'!Q750,MIN(ROUNDUP(0.2*('Ammo Input'!H750/1000)*'Ammo Input'!O750,0),20),0))))"),4)</f>
        <v>4</v>
      </c>
      <c r="W754">
        <v>0</v>
      </c>
      <c r="X754">
        <v>10</v>
      </c>
      <c r="Y754">
        <v>0</v>
      </c>
      <c r="Z754">
        <v>0</v>
      </c>
      <c r="AA754">
        <v>0</v>
      </c>
      <c r="AB754" s="30">
        <f>IF(B754="Sling Bullet (Stone)",ROUNDUP(D754*0.02*E754/'Ingredient stats'!$C$8,0),0)</f>
        <v>0</v>
      </c>
      <c r="AC754" t="str">
        <f t="shared" si="40"/>
        <v>None</v>
      </c>
      <c r="AD754" t="str">
        <f>IF(OR(B754="Buck",B754="Bird",B754="Charge (Scatter)"),'Ammo Input'!J754,"None")</f>
        <v>None</v>
      </c>
      <c r="AE754">
        <f>_xlfn.IFS(ISTEXT(Calcs!N754),Calcs!N754,Calcs!N754&lt;=40,Calcs!N754,Calcs!N754&gt;41,"40")</f>
        <v>12</v>
      </c>
      <c r="AF754">
        <f>_xlfn.IFS(ISTEXT(Calcs!O754),Calcs!O754,Calcs!O754&lt;=80,Calcs!O754,Calcs!O754&gt;=81,"80")</f>
        <v>25</v>
      </c>
      <c r="AG754" s="25">
        <f t="shared" si="41"/>
        <v>3</v>
      </c>
      <c r="AH754" s="25">
        <f t="shared" si="42"/>
        <v>0.96</v>
      </c>
      <c r="AI754" s="25">
        <f t="shared" si="43"/>
        <v>2</v>
      </c>
    </row>
    <row r="755" ht="14.4" spans="1:35">
      <c r="A755" s="24" t="str">
        <f>'Ammo Input'!A755</f>
        <v>83mm SMAW</v>
      </c>
      <c r="B755" t="str">
        <f>'Ammo Input'!B755</f>
        <v>Thermobaric</v>
      </c>
      <c r="C755">
        <f>ROUNDUP(('Ammo Input'!C755*(MAX('Ammo Input'!D755,'Ammo Input'!F755)*0.5)^2*PI())*3/1000000,2)</f>
        <v>17.27</v>
      </c>
      <c r="D755">
        <f>ROUNDUP(('Ammo Input'!E755+'Ammo Input'!H755*IF('Ammo Input'!J755&lt;&gt;"",MAX('Ammo Input'!J755,1),1))/1000,3)</f>
        <v>5.76</v>
      </c>
      <c r="E755">
        <f>MIN(5000,MAX(25,CEILING(Calcs!L755,_xlfn.IFS(Calcs!L755&lt;100,25,Calcs!L755&lt;250,50,Calcs!L755&lt;1000,250,Calcs!L755&gt;=1000,1000))))</f>
        <v>25</v>
      </c>
      <c r="F755">
        <f>ROUNDUP('Ammo Input'!G755^(3/4),0)</f>
        <v>58</v>
      </c>
      <c r="G755">
        <f>ROUND((0.5*((IF(OR(B755="HEAT",B755="HEDP"),'Ammo Input'!N755,'Ammo Input'!H755)/1000)*(IF(B755="HEAT",9000,IF(B755="HEDP",1500,'Ammo Input'!G755))^2))),0)</f>
        <v>101640</v>
      </c>
      <c r="H755" s="25" t="str">
        <f>CONCATENATE(IF((B755="Foam")+(B755="Smoke"),"-",ROUND(Calcs!D755,0))," ",VLOOKUP(B755,AmmoTypeFactors,5,FALSE))</f>
        <v>260 Thermobaric</v>
      </c>
      <c r="I755" s="25" t="str">
        <f>IF(Calcs!E755=0,"None",CONCATENATE(ROUND(Calcs!E755,0)," ",VLOOKUP(B755,AmmoTypeFactors,6,FALSE)))</f>
        <v>None</v>
      </c>
      <c r="J755">
        <f>MROUND(2.42*'Ammo Input'!M755^(1/3)*VLOOKUP(B755,AmmoTypeFactors,3,FALSE),0.5)</f>
        <v>5</v>
      </c>
      <c r="K755" s="25" t="str">
        <f>IF(VLOOKUP(B755,AmmoTypeFactors,12,FALSE),MROUND(J755/3,0.5),"None")</f>
        <v>None</v>
      </c>
      <c r="L755" s="25" t="str">
        <f>IF(VLOOKUP(B755,AmmoTypeFactors,8,FALSE),"None",ROUNDUP(IF(Calcs!I755&gt;0,Calcs!I755,Calcs!H755),3))</f>
        <v>None</v>
      </c>
      <c r="M755" s="25" t="str">
        <f>IF(VLOOKUP(B755,AmmoTypeFactors,8,FALSE),"None",'Ammo Input'!L755)</f>
        <v>None</v>
      </c>
      <c r="N755">
        <f>'Ammo Input'!O755</f>
        <v>5</v>
      </c>
      <c r="O755" t="e">
        <f>ROUND((P755*0.0036+SUMPRODUCT(Q755:AB755,VLOOKUP($Q$1:$AB$1,IngredientStats,2,FALSE)))/N755*IF('Ammo Input'!R755,0.5,1),2)</f>
        <v>#VALUE!</v>
      </c>
      <c r="P755" t="e">
        <f>(SUMPRODUCT(Q755:AB755,VLOOKUP($Q$1:$AB$1,IngredientStats,4,FALSE))*VLOOKUP(B755,AmmoTypeFactors,14,FALSE)*IF('Ammo Input'!R755,1.1,1))</f>
        <v>#VALUE!</v>
      </c>
      <c r="Q755">
        <f>IFERROR(__xludf.DUMMYFUNCTION("((IF(NOT(OR(REGEXMATCH(B751, ""Arrow""), B751 = ""Javelin"", B751 = ""Stick bomb"")), ROUNDUP(('Ammo Input'!E751 / 1000) * N751)) + IF(VLOOKUP(B751, AmmoTypeFactors, 9, FALSE) = ""Steel"", ROUNDUP(('Ammo Input'!H751 -'Ammo Input'!M751) * MAX(IF('Ammo Inpu"&amp;"t'!J751 &gt; 0, 'Ammo Input'!J751, 1), 1) * N751 / 1000))) / 'Ingredient stats'!$C$2) * IF(ISBLANK(VLOOKUP(B751,AmmoTypeFactors,15,False)),1,VLOOKUP(B751,AmmoTypeFactors,15,False))"),58)</f>
        <v>58</v>
      </c>
      <c r="R755">
        <f>IFERROR(__xludf.DUMMYFUNCTION("ROUNDUP((IF(REGEXMATCH(B751, ""Arrow"") + (B751 = ""Javelin""), 'Ammo Input'!E751) + IF(VLOOKUP(B751, AmmoTypeFactors, 9, FALSE) = ""Wood"", 'Ammo Input'!H751) + IF(B751 = ""Stick bomb"", 'Ammo Input'!E751)) * N751 / 'Ingredient stats'!$C$12 / 1000)"),0)</f>
        <v>0</v>
      </c>
      <c r="S755">
        <v>0</v>
      </c>
      <c r="T755">
        <v>0</v>
      </c>
      <c r="U755">
        <f>IF(VLOOKUP(B755,AmmoTypeFactors,9,FALSE)="Plasteel",ROUNDUP(('Ammo Input'!H755*MAX(IF('Ammo Input'!J755&gt;0,'Ammo Input'!J755,1)*N755/1000/'Ingredient stats'!$C$4)),0),0)</f>
        <v>0</v>
      </c>
      <c r="V755">
        <f>IFERROR(__xludf.DUMMYFUNCTION("ROUNDUP(IF(ISBLANK(VLOOKUP(B751,AmmoTypeFactors,16,False)),1,VLOOKUP(B751,AmmoTypeFactors,16,False)) * (IFS(REGEXMATCH(B751, ""EMP""), 'Ammo Input'!M751 * N751 / 'Ingredient stats'!$C$5, REGEXMATCH(B751, ""Charge""), (U751^0.75), true, 0) + (IF(VLOOKUP(B7"&amp;"51, AmmoTypeFactors, 10, false), 2,0) + IF('Ammo Input'!P751, 2,0) + IF('Ammo Input'!Q751,MIN(ROUNDUP(0.2*('Ammo Input'!H751/1000)*'Ammo Input'!O751,0),20),0))))"),4)</f>
        <v>4</v>
      </c>
      <c r="W755">
        <v>0</v>
      </c>
      <c r="X755">
        <v>34</v>
      </c>
      <c r="Y755">
        <v>0</v>
      </c>
      <c r="Z755">
        <v>0</v>
      </c>
      <c r="AA755">
        <v>0</v>
      </c>
      <c r="AB755" s="30">
        <f>IF(B755="Sling Bullet (Stone)",ROUNDUP(D755*0.02*E755/'Ingredient stats'!$C$8,0),0)</f>
        <v>0</v>
      </c>
      <c r="AC755" t="str">
        <f t="shared" si="40"/>
        <v>None</v>
      </c>
      <c r="AD755" t="str">
        <f>IF(OR(B755="Buck",B755="Bird",B755="Charge (Scatter)"),'Ammo Input'!J755,"None")</f>
        <v>None</v>
      </c>
      <c r="AE755" t="str">
        <f>_xlfn.IFS(ISTEXT(Calcs!N755),Calcs!N755,Calcs!N755&lt;=40,Calcs!N755,Calcs!N755&gt;41,"40")</f>
        <v>None</v>
      </c>
      <c r="AF755" t="str">
        <f>_xlfn.IFS(ISTEXT(Calcs!O755),Calcs!O755,Calcs!O755&lt;=80,Calcs!O755,Calcs!O755&gt;=81,"80")</f>
        <v>None</v>
      </c>
      <c r="AG755" s="25">
        <f t="shared" si="41"/>
        <v>3</v>
      </c>
      <c r="AH755" s="25">
        <f t="shared" si="42"/>
        <v>0.96</v>
      </c>
      <c r="AI755" s="25">
        <f t="shared" si="43"/>
        <v>2</v>
      </c>
    </row>
    <row r="756" ht="14.4" spans="1:35">
      <c r="A756" s="24" t="str">
        <f>'Ammo Input'!A756</f>
        <v>70mm APKWS</v>
      </c>
      <c r="B756" t="str">
        <f>'Ammo Input'!B756</f>
        <v>HEAT</v>
      </c>
      <c r="C756">
        <f>ROUNDUP(('Ammo Input'!C756*(MAX('Ammo Input'!D756,'Ammo Input'!F756)*0.5)^2*PI())*3/1000000,2)</f>
        <v>21.59</v>
      </c>
      <c r="D756">
        <f>ROUNDUP(('Ammo Input'!E756+'Ammo Input'!H756*IF('Ammo Input'!J756&lt;&gt;"",MAX('Ammo Input'!J756,1),1))/1000,3)</f>
        <v>15</v>
      </c>
      <c r="E756">
        <f>MIN(5000,MAX(25,CEILING(Calcs!L756,_xlfn.IFS(Calcs!L756&lt;100,25,Calcs!L756&lt;250,50,Calcs!L756&lt;1000,250,Calcs!L756&gt;=1000,1000))))</f>
        <v>25</v>
      </c>
      <c r="F756">
        <f>ROUNDUP('Ammo Input'!G756^(3/4),0)</f>
        <v>178</v>
      </c>
      <c r="G756">
        <f>ROUND((0.5*((IF(OR(B756="HEAT",B756="HEDP"),'Ammo Input'!N756,'Ammo Input'!H756)/1000)*(IF(B756="HEAT",9000,IF(B756="HEDP",1500,'Ammo Input'!G756))^2))),0)</f>
        <v>4050000</v>
      </c>
      <c r="H756" s="25" t="str">
        <f>CONCATENATE(IF((B756="Foam")+(B756="Smoke"),"-",ROUND(Calcs!D756,0))," ",VLOOKUP(B756,AmmoTypeFactors,5,FALSE))</f>
        <v>248 Bullet</v>
      </c>
      <c r="I756" s="25" t="str">
        <f>IF(Calcs!E756=0,"None",CONCATENATE(ROUND(Calcs!E756,0)," ",VLOOKUP(B756,AmmoTypeFactors,6,FALSE)))</f>
        <v>None</v>
      </c>
      <c r="J756">
        <f>MROUND(2.42*'Ammo Input'!M756^(1/3)*VLOOKUP(B756,AmmoTypeFactors,3,FALSE),0.5)</f>
        <v>1.5</v>
      </c>
      <c r="K756" s="25" t="str">
        <f>IF(VLOOKUP(B756,AmmoTypeFactors,12,FALSE),MROUND(J756/3,0.5),"None")</f>
        <v>None</v>
      </c>
      <c r="L756" s="25">
        <f>IF(VLOOKUP(B756,AmmoTypeFactors,8,FALSE),"None",ROUNDUP(IF(Calcs!I756&gt;0,Calcs!I756,Calcs!H756),3))</f>
        <v>44.286</v>
      </c>
      <c r="M756" s="25">
        <f>IF(VLOOKUP(B756,AmmoTypeFactors,8,FALSE),"None",'Ammo Input'!L756)</f>
        <v>300</v>
      </c>
      <c r="N756">
        <f>'Ammo Input'!O756</f>
        <v>5</v>
      </c>
      <c r="O756" t="e">
        <f>ROUND((P756*0.0036+SUMPRODUCT(Q756:AB756,VLOOKUP($Q$1:$AB$1,IngredientStats,2,FALSE)))/N756*IF('Ammo Input'!R756,0.5,1),2)</f>
        <v>#VALUE!</v>
      </c>
      <c r="P756" t="e">
        <f>(SUMPRODUCT(Q756:AB756,VLOOKUP($Q$1:$AB$1,IngredientStats,4,FALSE))*VLOOKUP(B756,AmmoTypeFactors,14,FALSE)*IF('Ammo Input'!R756,1.1,1))</f>
        <v>#VALUE!</v>
      </c>
      <c r="Q756">
        <f>IFERROR(__xludf.DUMMYFUNCTION("((IF(NOT(OR(REGEXMATCH(B752, ""Arrow""), B752 = ""Javelin"", B752 = ""Stick bomb"")), ROUNDUP(('Ammo Input'!E752 / 1000) * N752)) + IF(VLOOKUP(B752, AmmoTypeFactors, 9, FALSE) = ""Steel"", ROUNDUP(('Ammo Input'!H752 -'Ammo Input'!M752) * MAX(IF('Ammo Inpu"&amp;"t'!J752 &gt; 0, 'Ammo Input'!J752, 1), 1) * N752 / 1000))) / 'Ingredient stats'!$C$2) * IF(ISBLANK(VLOOKUP(B752,AmmoTypeFactors,15,False)),1,VLOOKUP(B752,AmmoTypeFactors,15,False))"),150)</f>
        <v>150</v>
      </c>
      <c r="R756">
        <f>IFERROR(__xludf.DUMMYFUNCTION("ROUNDUP((IF(REGEXMATCH(B752, ""Arrow"") + (B752 = ""Javelin""), 'Ammo Input'!E752) + IF(VLOOKUP(B752, AmmoTypeFactors, 9, FALSE) = ""Wood"", 'Ammo Input'!H752) + IF(B752 = ""Stick bomb"", 'Ammo Input'!E752)) * N752 / 'Ingredient stats'!$C$12 / 1000)"),0)</f>
        <v>0</v>
      </c>
      <c r="S756">
        <v>0</v>
      </c>
      <c r="T756">
        <v>0</v>
      </c>
      <c r="U756">
        <f>IF(VLOOKUP(B756,AmmoTypeFactors,9,FALSE)="Plasteel",ROUNDUP(('Ammo Input'!H756*MAX(IF('Ammo Input'!J756&gt;0,'Ammo Input'!J756,1)*N756/1000/'Ingredient stats'!$C$4)),0),0)</f>
        <v>0</v>
      </c>
      <c r="V756">
        <f>IFERROR(__xludf.DUMMYFUNCTION("ROUNDUP(IF(ISBLANK(VLOOKUP(B752,AmmoTypeFactors,16,False)),1,VLOOKUP(B752,AmmoTypeFactors,16,False)) * (IFS(REGEXMATCH(B752, ""EMP""), 'Ammo Input'!M752 * N752 / 'Ingredient stats'!$C$5, REGEXMATCH(B752, ""Charge""), (U752^0.75), true, 0) + (IF(VLOOKUP(B7"&amp;"52, AmmoTypeFactors, 10, false), 2,0) + IF('Ammo Input'!P752, 2,0) + IF('Ammo Input'!Q752,MIN(ROUNDUP(0.2*('Ammo Input'!H752/1000)*'Ammo Input'!O752,0),20),0))))"),19)</f>
        <v>19</v>
      </c>
      <c r="W756">
        <v>0</v>
      </c>
      <c r="X756">
        <v>10</v>
      </c>
      <c r="Y756">
        <v>0</v>
      </c>
      <c r="Z756">
        <v>0</v>
      </c>
      <c r="AA756">
        <v>0</v>
      </c>
      <c r="AB756" s="30">
        <f>IF(B756="Sling Bullet (Stone)",ROUNDUP(D756*0.02*E756/'Ingredient stats'!$C$8,0),0)</f>
        <v>0</v>
      </c>
      <c r="AC756" t="str">
        <f t="shared" si="40"/>
        <v>None</v>
      </c>
      <c r="AD756" t="str">
        <f>IF(OR(B756="Buck",B756="Bird",B756="Charge (Scatter)"),'Ammo Input'!J756,"None")</f>
        <v>None</v>
      </c>
      <c r="AE756">
        <f>_xlfn.IFS(ISTEXT(Calcs!N756),Calcs!N756,Calcs!N756&lt;=40,Calcs!N756,Calcs!N756&gt;41,"40")</f>
        <v>26</v>
      </c>
      <c r="AF756">
        <f>_xlfn.IFS(ISTEXT(Calcs!O756),Calcs!O756,Calcs!O756&lt;=80,Calcs!O756,Calcs!O756&gt;=81,"80")</f>
        <v>12</v>
      </c>
      <c r="AG756" s="25">
        <f t="shared" si="41"/>
        <v>3</v>
      </c>
      <c r="AH756" s="25">
        <f t="shared" si="42"/>
        <v>2.9</v>
      </c>
      <c r="AI756" s="25">
        <f t="shared" si="43"/>
        <v>2</v>
      </c>
    </row>
    <row r="757" ht="14.4" spans="1:35">
      <c r="A757" s="24" t="str">
        <f>'Ammo Input'!A757</f>
        <v>20mm Fliegerfaust</v>
      </c>
      <c r="B757" t="str">
        <f>'Ammo Input'!B757</f>
        <v>HE</v>
      </c>
      <c r="C757">
        <f>ROUNDUP(('Ammo Input'!C757*(MAX('Ammo Input'!D757,'Ammo Input'!F757)*0.5)^2*PI())*3/1000000,2)</f>
        <v>0.16</v>
      </c>
      <c r="D757">
        <f>ROUNDUP(('Ammo Input'!E757+'Ammo Input'!H757*IF('Ammo Input'!J757&lt;&gt;"",MAX('Ammo Input'!J757,1),1))/1000,3)</f>
        <v>0.12</v>
      </c>
      <c r="E757">
        <f>MIN(5000,MAX(25,CEILING(Calcs!L757,_xlfn.IFS(Calcs!L757&lt;100,25,Calcs!L757&lt;250,50,Calcs!L757&lt;1000,250,Calcs!L757&gt;=1000,1000))))</f>
        <v>4000</v>
      </c>
      <c r="F757">
        <f>ROUNDUP('Ammo Input'!G757^(3/4),0)</f>
        <v>81</v>
      </c>
      <c r="G757">
        <f>ROUND((0.5*((IF(OR(B757="HEAT",B757="HEDP"),'Ammo Input'!N757,'Ammo Input'!H757)/1000)*(IF(B757="HEAT",9000,IF(B757="HEDP",1500,'Ammo Input'!G757))^2))),0)</f>
        <v>5513</v>
      </c>
      <c r="H757" s="25" t="str">
        <f>CONCATENATE(IF((B757="Foam")+(B757="Smoke"),"-",ROUND(Calcs!D757,0))," ",VLOOKUP(B757,AmmoTypeFactors,5,FALSE))</f>
        <v>16 Bomb</v>
      </c>
      <c r="I757" s="25" t="str">
        <f>IF(Calcs!E757=0,"None",CONCATENATE(ROUND(Calcs!E757,0)," ",VLOOKUP(B757,AmmoTypeFactors,6,FALSE)))</f>
        <v>None</v>
      </c>
      <c r="J757">
        <f>MROUND(2.42*'Ammo Input'!M757^(1/3)*VLOOKUP(B757,AmmoTypeFactors,3,FALSE),0.5)</f>
        <v>0.5</v>
      </c>
      <c r="K757" s="25" t="str">
        <f>IF(VLOOKUP(B757,AmmoTypeFactors,12,FALSE),MROUND(J757/3,0.5),"None")</f>
        <v>None</v>
      </c>
      <c r="L757" s="25" t="str">
        <f>IF(VLOOKUP(B757,AmmoTypeFactors,8,FALSE),"None",ROUNDUP(IF(Calcs!I757&gt;0,Calcs!I757,Calcs!H757),3))</f>
        <v>None</v>
      </c>
      <c r="M757" s="25" t="str">
        <f>IF(VLOOKUP(B757,AmmoTypeFactors,8,FALSE),"None",'Ammo Input'!L757)</f>
        <v>None</v>
      </c>
      <c r="N757">
        <f>'Ammo Input'!O757</f>
        <v>10</v>
      </c>
      <c r="O757" t="e">
        <f>ROUND((P757*0.0036+SUMPRODUCT(Q757:AB757,VLOOKUP($Q$1:$AB$1,IngredientStats,2,FALSE)))/N757*IF('Ammo Input'!R757,0.5,1),2)</f>
        <v>#VALUE!</v>
      </c>
      <c r="P757" t="e">
        <f>(SUMPRODUCT(Q757:AB757,VLOOKUP($Q$1:$AB$1,IngredientStats,4,FALSE))*VLOOKUP(B757,AmmoTypeFactors,14,FALSE)*IF('Ammo Input'!R757,1.1,1))</f>
        <v>#VALUE!</v>
      </c>
      <c r="Q757">
        <f>IFERROR(__xludf.DUMMYFUNCTION("((IF(NOT(OR(REGEXMATCH(B753, ""Arrow""), B753 = ""Javelin"", B753 = ""Stick bomb"")), ROUNDUP(('Ammo Input'!E753 / 1000) * N753)) + IF(VLOOKUP(B753, AmmoTypeFactors, 9, FALSE) = ""Steel"", ROUNDUP(('Ammo Input'!H753 -'Ammo Input'!M753) * MAX(IF('Ammo Inpu"&amp;"t'!J753 &gt; 0, 'Ammo Input'!J753, 1), 1) * N753 / 1000))) / 'Ingredient stats'!$C$2) * IF(ISBLANK(VLOOKUP(B753,AmmoTypeFactors,15,False)),1,VLOOKUP(B753,AmmoTypeFactors,15,False))"),4)</f>
        <v>4</v>
      </c>
      <c r="R757">
        <f>IFERROR(__xludf.DUMMYFUNCTION("ROUNDUP((IF(REGEXMATCH(B753, ""Arrow"") + (B753 = ""Javelin""), 'Ammo Input'!E753) + IF(VLOOKUP(B753, AmmoTypeFactors, 9, FALSE) = ""Wood"", 'Ammo Input'!H753) + IF(B753 = ""Stick bomb"", 'Ammo Input'!E753)) * N753 / 'Ingredient stats'!$C$12 / 1000)"),0)</f>
        <v>0</v>
      </c>
      <c r="S757">
        <v>0</v>
      </c>
      <c r="T757">
        <v>0</v>
      </c>
      <c r="U757">
        <f>IF(VLOOKUP(B757,AmmoTypeFactors,9,FALSE)="Plasteel",ROUNDUP(('Ammo Input'!H757*MAX(IF('Ammo Input'!J757&gt;0,'Ammo Input'!J757,1)*N757/1000/'Ingredient stats'!$C$4)),0),0)</f>
        <v>0</v>
      </c>
      <c r="V757">
        <f>IFERROR(__xludf.DUMMYFUNCTION("ROUNDUP(IF(ISBLANK(VLOOKUP(B753,AmmoTypeFactors,16,False)),1,VLOOKUP(B753,AmmoTypeFactors,16,False)) * (IFS(REGEXMATCH(B753, ""EMP""), 'Ammo Input'!M753 * N753 / 'Ingredient stats'!$C$5, REGEXMATCH(B753, ""Charge""), (U753^0.75), true, 0) + (IF(VLOOKUP(B7"&amp;"53, AmmoTypeFactors, 10, false), 2,0) + IF('Ammo Input'!P753, 2,0) + IF('Ammo Input'!Q753,MIN(ROUNDUP(0.2*('Ammo Input'!H753/1000)*'Ammo Input'!O753,0),20),0))))"),4)</f>
        <v>4</v>
      </c>
      <c r="W757">
        <v>0</v>
      </c>
      <c r="X757">
        <v>1</v>
      </c>
      <c r="Y757">
        <v>0</v>
      </c>
      <c r="Z757">
        <v>0</v>
      </c>
      <c r="AA757">
        <v>0</v>
      </c>
      <c r="AB757" s="30">
        <f>IF(B757="Sling Bullet (Stone)",ROUNDUP(D757*0.02*E757/'Ingredient stats'!$C$8,0),0)</f>
        <v>0</v>
      </c>
      <c r="AC757" t="str">
        <f t="shared" si="40"/>
        <v>None</v>
      </c>
      <c r="AD757" t="str">
        <f>IF(OR(B757="Buck",B757="Bird",B757="Charge (Scatter)"),'Ammo Input'!J757,"None")</f>
        <v>None</v>
      </c>
      <c r="AE757">
        <f>_xlfn.IFS(ISTEXT(Calcs!N757),Calcs!N757,Calcs!N757&lt;=40,Calcs!N757,Calcs!N757&gt;41,"40")</f>
        <v>1</v>
      </c>
      <c r="AF757">
        <f>_xlfn.IFS(ISTEXT(Calcs!O757),Calcs!O757,Calcs!O757&lt;=80,Calcs!O757,Calcs!O757&gt;=81,"80")</f>
        <v>1</v>
      </c>
      <c r="AG757" s="25">
        <f t="shared" si="41"/>
        <v>3</v>
      </c>
      <c r="AH757" s="25">
        <f t="shared" si="42"/>
        <v>1.33</v>
      </c>
      <c r="AI757" s="25">
        <f t="shared" si="43"/>
        <v>2</v>
      </c>
    </row>
    <row r="758" ht="14.4" spans="1:35">
      <c r="A758" s="24" t="str">
        <f>'Ammo Input'!A758</f>
        <v>90mm recoilless</v>
      </c>
      <c r="B758" t="str">
        <f>'Ammo Input'!B758</f>
        <v>HEAT</v>
      </c>
      <c r="C758">
        <f>ROUNDUP(('Ammo Input'!C758*(MAX('Ammo Input'!D758,'Ammo Input'!F758)*0.5)^2*PI())*3/1000000,2)</f>
        <v>13.63</v>
      </c>
      <c r="D758">
        <f>ROUNDUP(('Ammo Input'!E758+'Ammo Input'!H758*IF('Ammo Input'!J758&lt;&gt;"",MAX('Ammo Input'!J758,1),1))/1000,3)</f>
        <v>4.196</v>
      </c>
      <c r="E758">
        <f>MIN(5000,MAX(25,CEILING(Calcs!L758,_xlfn.IFS(Calcs!L758&lt;100,25,Calcs!L758&lt;250,50,Calcs!L758&lt;1000,250,Calcs!L758&gt;=1000,1000))))</f>
        <v>25</v>
      </c>
      <c r="F758">
        <f>ROUNDUP('Ammo Input'!G758^(3/4),0)</f>
        <v>56</v>
      </c>
      <c r="G758">
        <f>ROUND((0.5*((IF(OR(B758="HEAT",B758="HEDP"),'Ammo Input'!N758,'Ammo Input'!H758)/1000)*(IF(B758="HEAT",9000,IF(B758="HEDP",1500,'Ammo Input'!G758))^2))),0)</f>
        <v>3645000</v>
      </c>
      <c r="H758" s="25" t="str">
        <f>CONCATENATE(IF((B758="Foam")+(B758="Smoke"),"-",ROUND(Calcs!D758,0))," ",VLOOKUP(B758,AmmoTypeFactors,5,FALSE))</f>
        <v>239 Bullet</v>
      </c>
      <c r="I758" s="25" t="str">
        <f>IF(Calcs!E758=0,"None",CONCATENATE(ROUND(Calcs!E758,0)," ",VLOOKUP(B758,AmmoTypeFactors,6,FALSE)))</f>
        <v>None</v>
      </c>
      <c r="J758">
        <f>MROUND(2.42*'Ammo Input'!M758^(1/3)*VLOOKUP(B758,AmmoTypeFactors,3,FALSE),0.5)</f>
        <v>1</v>
      </c>
      <c r="K758" s="25" t="str">
        <f>IF(VLOOKUP(B758,AmmoTypeFactors,12,FALSE),MROUND(J758/3,0.5),"None")</f>
        <v>None</v>
      </c>
      <c r="L758" s="25">
        <f>IF(VLOOKUP(B758,AmmoTypeFactors,8,FALSE),"None",ROUNDUP(IF(Calcs!I758&gt;0,Calcs!I758,Calcs!H758),3))</f>
        <v>31.885</v>
      </c>
      <c r="M758" s="25">
        <f>IF(VLOOKUP(B758,AmmoTypeFactors,8,FALSE),"None",'Ammo Input'!L758)</f>
        <v>350</v>
      </c>
      <c r="N758">
        <f>'Ammo Input'!O758</f>
        <v>5</v>
      </c>
      <c r="O758" t="e">
        <f>ROUND((P758*0.0036+SUMPRODUCT(Q758:AB758,VLOOKUP($Q$1:$AB$1,IngredientStats,2,FALSE)))/N758*IF('Ammo Input'!R758,0.5,1),2)</f>
        <v>#VALUE!</v>
      </c>
      <c r="P758" t="e">
        <f>(SUMPRODUCT(Q758:AB758,VLOOKUP($Q$1:$AB$1,IngredientStats,4,FALSE))*VLOOKUP(B758,AmmoTypeFactors,14,FALSE)*IF('Ammo Input'!R758,1.1,1))</f>
        <v>#VALUE!</v>
      </c>
      <c r="Q758">
        <f>IFERROR(__xludf.DUMMYFUNCTION("((IF(NOT(OR(REGEXMATCH(B754, ""Arrow""), B754 = ""Javelin"", B754 = ""Stick bomb"")), ROUNDUP(('Ammo Input'!E754 / 1000) * N754)) + IF(VLOOKUP(B754, AmmoTypeFactors, 9, FALSE) = ""Steel"", ROUNDUP(('Ammo Input'!H754 -'Ammo Input'!M754) * MAX(IF('Ammo Inpu"&amp;"t'!J754 &gt; 0, 'Ammo Input'!J754, 1), 1) * N754 / 1000))) / 'Ingredient stats'!$C$2) * IF(ISBLANK(VLOOKUP(B754,AmmoTypeFactors,15,False)),1,VLOOKUP(B754,AmmoTypeFactors,15,False))"),44)</f>
        <v>44</v>
      </c>
      <c r="R758">
        <f>IFERROR(__xludf.DUMMYFUNCTION("ROUNDUP((IF(REGEXMATCH(B754, ""Arrow"") + (B754 = ""Javelin""), 'Ammo Input'!E754) + IF(VLOOKUP(B754, AmmoTypeFactors, 9, FALSE) = ""Wood"", 'Ammo Input'!H754) + IF(B754 = ""Stick bomb"", 'Ammo Input'!E754)) * N754 / 'Ingredient stats'!$C$12 / 1000)"),0)</f>
        <v>0</v>
      </c>
      <c r="S758">
        <v>0</v>
      </c>
      <c r="T758">
        <v>0</v>
      </c>
      <c r="U758">
        <f>IF(VLOOKUP(B758,AmmoTypeFactors,9,FALSE)="Plasteel",ROUNDUP(('Ammo Input'!H758*MAX(IF('Ammo Input'!J758&gt;0,'Ammo Input'!J758,1)*N758/1000/'Ingredient stats'!$C$4)),0),0)</f>
        <v>0</v>
      </c>
      <c r="V758">
        <f>IFERROR(__xludf.DUMMYFUNCTION("ROUNDUP(IF(ISBLANK(VLOOKUP(B754,AmmoTypeFactors,16,False)),1,VLOOKUP(B754,AmmoTypeFactors,16,False)) * (IFS(REGEXMATCH(B754, ""EMP""), 'Ammo Input'!M754 * N754 / 'Ingredient stats'!$C$5, REGEXMATCH(B754, ""Charge""), (U754^0.75), true, 0) + (IF(VLOOKUP(B7"&amp;"54, AmmoTypeFactors, 10, false), 2,0) + IF('Ammo Input'!P754, 2,0) + IF('Ammo Input'!Q754,MIN(ROUNDUP(0.2*('Ammo Input'!H754/1000)*'Ammo Input'!O754,0),20),0))))"),4)</f>
        <v>4</v>
      </c>
      <c r="W758">
        <v>0</v>
      </c>
      <c r="X758">
        <v>6</v>
      </c>
      <c r="Y758">
        <v>0</v>
      </c>
      <c r="Z758">
        <v>0</v>
      </c>
      <c r="AA758">
        <v>0</v>
      </c>
      <c r="AB758" s="30">
        <f>IF(B758="Sling Bullet (Stone)",ROUNDUP(D758*0.02*E758/'Ingredient stats'!$C$8,0),0)</f>
        <v>0</v>
      </c>
      <c r="AC758" t="str">
        <f t="shared" si="40"/>
        <v>None</v>
      </c>
      <c r="AD758" t="str">
        <f>IF(OR(B758="Buck",B758="Bird",B758="Charge (Scatter)"),'Ammo Input'!J758,"None")</f>
        <v>None</v>
      </c>
      <c r="AE758">
        <f>_xlfn.IFS(ISTEXT(Calcs!N758),Calcs!N758,Calcs!N758&lt;=40,Calcs!N758,Calcs!N758&gt;41,"40")</f>
        <v>5</v>
      </c>
      <c r="AF758">
        <f>_xlfn.IFS(ISTEXT(Calcs!O758),Calcs!O758,Calcs!O758&lt;=80,Calcs!O758,Calcs!O758&gt;=81,"80")</f>
        <v>7</v>
      </c>
      <c r="AG758" s="25">
        <f t="shared" si="41"/>
        <v>3</v>
      </c>
      <c r="AH758" s="25">
        <f t="shared" si="42"/>
        <v>0.93</v>
      </c>
      <c r="AI758" s="25">
        <f t="shared" si="43"/>
        <v>2</v>
      </c>
    </row>
    <row r="759" ht="14.4" spans="1:35">
      <c r="A759" s="24" t="str">
        <f>'Ammo Input'!A759</f>
        <v>90mm recoilless</v>
      </c>
      <c r="B759" t="str">
        <f>'Ammo Input'!B759</f>
        <v>Buck</v>
      </c>
      <c r="C759">
        <f>ROUNDUP(('Ammo Input'!C759*(MAX('Ammo Input'!D759,'Ammo Input'!F759)*0.5)^2*PI())*3/1000000,2)</f>
        <v>9.3</v>
      </c>
      <c r="D759">
        <f>ROUNDUP(('Ammo Input'!E759+'Ammo Input'!H759*IF('Ammo Input'!J759&lt;&gt;"",MAX('Ammo Input'!J759,1),1))/1000,3)</f>
        <v>3.08</v>
      </c>
      <c r="E759">
        <f>MIN(5000,MAX(25,CEILING(Calcs!L759,_xlfn.IFS(Calcs!L759&lt;100,25,Calcs!L759&lt;250,50,Calcs!L759&lt;1000,250,Calcs!L759&gt;=1000,1000))))</f>
        <v>25</v>
      </c>
      <c r="F759">
        <f>ROUNDUP('Ammo Input'!G759^(3/4),0)</f>
        <v>87</v>
      </c>
      <c r="G759">
        <f>ROUND((0.5*((IF(OR(B759="HEAT",B759="HEDP"),'Ammo Input'!N759,'Ammo Input'!H759)/1000)*(IF(B759="HEAT",9000,IF(B759="HEDP",1500,'Ammo Input'!G759))^2))),0)</f>
        <v>726</v>
      </c>
      <c r="H759" s="25" t="str">
        <f>CONCATENATE(IF((B759="Foam")+(B759="Smoke"),"-",ROUND(Calcs!D759,0))," ",VLOOKUP(B759,AmmoTypeFactors,5,FALSE))</f>
        <v>27 Bullet</v>
      </c>
      <c r="I759" s="25" t="str">
        <f>IF(Calcs!E759=0,"None",CONCATENATE(ROUND(Calcs!E759,0)," ",VLOOKUP(B759,AmmoTypeFactors,6,FALSE)))</f>
        <v>None</v>
      </c>
      <c r="J759">
        <f>MROUND(2.42*'Ammo Input'!M759^(1/3)*VLOOKUP(B759,AmmoTypeFactors,3,FALSE),0.5)</f>
        <v>0</v>
      </c>
      <c r="K759" s="25" t="str">
        <f>IF(VLOOKUP(B759,AmmoTypeFactors,12,FALSE),MROUND(J759/3,0.5),"None")</f>
        <v>None</v>
      </c>
      <c r="L759" s="25">
        <f>IF(VLOOKUP(B759,AmmoTypeFactors,8,FALSE),"None",ROUNDUP(IF(Calcs!I759&gt;0,Calcs!I759,Calcs!H759),3))</f>
        <v>14.52</v>
      </c>
      <c r="M759" s="25">
        <f>IF(VLOOKUP(B759,AmmoTypeFactors,8,FALSE),"None",'Ammo Input'!L759)</f>
        <v>5</v>
      </c>
      <c r="N759">
        <f>'Ammo Input'!O759</f>
        <v>5</v>
      </c>
      <c r="O759" t="e">
        <f>ROUND((P759*0.0036+SUMPRODUCT(Q759:AB759,VLOOKUP($Q$1:$AB$1,IngredientStats,2,FALSE)))/N759*IF('Ammo Input'!R759,0.5,1),2)</f>
        <v>#VALUE!</v>
      </c>
      <c r="P759" t="e">
        <f>(SUMPRODUCT(Q759:AB759,VLOOKUP($Q$1:$AB$1,IngredientStats,4,FALSE))*VLOOKUP(B759,AmmoTypeFactors,14,FALSE)*IF('Ammo Input'!R759,1.1,1))</f>
        <v>#VALUE!</v>
      </c>
      <c r="Q759">
        <f>IFERROR(__xludf.DUMMYFUNCTION("((IF(NOT(OR(REGEXMATCH(B755, ""Arrow""), B755 = ""Javelin"", B755 = ""Stick bomb"")), ROUNDUP(('Ammo Input'!E755 / 1000) * N755)) + IF(VLOOKUP(B755, AmmoTypeFactors, 9, FALSE) = ""Steel"", ROUNDUP(('Ammo Input'!H755 -'Ammo Input'!M755) * MAX(IF('Ammo Inpu"&amp;"t'!J755 &gt; 0, 'Ammo Input'!J755, 1), 1) * N755 / 1000))) / 'Ingredient stats'!$C$2) * IF(ISBLANK(VLOOKUP(B755,AmmoTypeFactors,15,False)),1,VLOOKUP(B755,AmmoTypeFactors,15,False))"),32)</f>
        <v>32</v>
      </c>
      <c r="R759">
        <f>IFERROR(__xludf.DUMMYFUNCTION("ROUNDUP((IF(REGEXMATCH(B755, ""Arrow"") + (B755 = ""Javelin""), 'Ammo Input'!E755) + IF(VLOOKUP(B755, AmmoTypeFactors, 9, FALSE) = ""Wood"", 'Ammo Input'!H755) + IF(B755 = ""Stick bomb"", 'Ammo Input'!E755)) * N755 / 'Ingredient stats'!$C$12 / 1000)"),0)</f>
        <v>0</v>
      </c>
      <c r="S759">
        <v>0</v>
      </c>
      <c r="T759">
        <v>0</v>
      </c>
      <c r="U759">
        <f>IF(VLOOKUP(B759,AmmoTypeFactors,9,FALSE)="Plasteel",ROUNDUP(('Ammo Input'!H759*MAX(IF('Ammo Input'!J759&gt;0,'Ammo Input'!J759,1)*N759/1000/'Ingredient stats'!$C$4)),0),0)</f>
        <v>0</v>
      </c>
      <c r="V759">
        <f>IFERROR(__xludf.DUMMYFUNCTION("ROUNDUP(IF(ISBLANK(VLOOKUP(B755,AmmoTypeFactors,16,False)),1,VLOOKUP(B755,AmmoTypeFactors,16,False)) * (IFS(REGEXMATCH(B755, ""EMP""), 'Ammo Input'!M755 * N755 / 'Ingredient stats'!$C$5, REGEXMATCH(B755, ""Charge""), (U755^0.75), true, 0) + (IF(VLOOKUP(B7"&amp;"55, AmmoTypeFactors, 10, false), 2,0) + IF('Ammo Input'!P755, 2,0) + IF('Ammo Input'!Q755,MIN(ROUNDUP(0.2*('Ammo Input'!H755/1000)*'Ammo Input'!O755,0),20),0))))"),2)</f>
        <v>2</v>
      </c>
      <c r="W759">
        <v>0</v>
      </c>
      <c r="X759">
        <v>0</v>
      </c>
      <c r="Y759">
        <v>0</v>
      </c>
      <c r="Z759">
        <v>0</v>
      </c>
      <c r="AA759">
        <v>0</v>
      </c>
      <c r="AB759" s="30">
        <f>IF(B759="Sling Bullet (Stone)",ROUNDUP(D759*0.02*E759/'Ingredient stats'!$C$8,0),0)</f>
        <v>0</v>
      </c>
      <c r="AC759">
        <f t="shared" si="40"/>
        <v>8.9</v>
      </c>
      <c r="AD759">
        <f>IF(OR(B759="Buck",B759="Bird",B759="Charge (Scatter)"),'Ammo Input'!J759,"None")</f>
        <v>120</v>
      </c>
      <c r="AE759" t="str">
        <f>_xlfn.IFS(ISTEXT(Calcs!N759),Calcs!N759,Calcs!N759&lt;=40,Calcs!N759,Calcs!N759&gt;41,"40")</f>
        <v>None</v>
      </c>
      <c r="AF759" t="str">
        <f>_xlfn.IFS(ISTEXT(Calcs!O759),Calcs!O759,Calcs!O759&lt;=80,Calcs!O759,Calcs!O759&gt;=81,"80")</f>
        <v>None</v>
      </c>
      <c r="AG759" s="25">
        <f t="shared" si="41"/>
        <v>1</v>
      </c>
      <c r="AH759" s="25">
        <f t="shared" si="42"/>
        <v>1.44</v>
      </c>
      <c r="AI759" s="25">
        <f t="shared" si="43"/>
        <v>1</v>
      </c>
    </row>
    <row r="760" ht="14.4" spans="1:35">
      <c r="A760" s="14" t="s">
        <v>293</v>
      </c>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row>
    <row r="761" ht="14.4" spans="1:35">
      <c r="A761" s="24" t="str">
        <f>'Ammo Input'!A761</f>
        <v>Frag (Small)</v>
      </c>
      <c r="B761" t="str">
        <f>'Ammo Input'!B761</f>
        <v>FMJ</v>
      </c>
      <c r="C761">
        <f>ROUNDUP(('Ammo Input'!C761*(MAX('Ammo Input'!D761,'Ammo Input'!F761)*0.5)^2*PI())*3/1000000,2)</f>
        <v>0</v>
      </c>
      <c r="D761">
        <f>ROUNDUP(('Ammo Input'!E761+'Ammo Input'!H761*IF('Ammo Input'!J761&lt;&gt;"",MAX('Ammo Input'!J761,1),1))/1000,3)</f>
        <v>0.004</v>
      </c>
      <c r="E761" t="e">
        <f>MIN(5000,MAX(25,CEILING(Calcs!L761,_xlfn.IFS(Calcs!L761&lt;100,25,Calcs!L761&lt;250,50,Calcs!L761&lt;1000,250,Calcs!L761&gt;=1000,1000))))</f>
        <v>#DIV/0!</v>
      </c>
      <c r="F761">
        <f>ROUNDUP('Ammo Input'!G761^(3/4),0)</f>
        <v>122</v>
      </c>
      <c r="G761">
        <f>ROUND((0.5*((IF(OR(B761="HEAT",B761="HEDP"),'Ammo Input'!N761,'Ammo Input'!H761)/1000)*(IF(B761="HEAT",9000,IF(B761="HEDP",1500,'Ammo Input'!G761))^2))),0)</f>
        <v>720</v>
      </c>
      <c r="H761" s="25" t="str">
        <f>CONCATENATE(IF((B761="Foam")+(B761="Smoke"),"-",ROUND(Calcs!D761,0))," ",VLOOKUP(B761,AmmoTypeFactors,5,FALSE))</f>
        <v>9 Bullet</v>
      </c>
      <c r="I761" s="25" t="str">
        <f>IF(Calcs!E761=0,"None",CONCATENATE(ROUND(Calcs!E761,0)," ",VLOOKUP(B761,AmmoTypeFactors,6,FALSE)))</f>
        <v>None</v>
      </c>
      <c r="J761">
        <f>MROUND(2.42*'Ammo Input'!M761^(1/3)*VLOOKUP(B761,AmmoTypeFactors,3,FALSE),0.5)</f>
        <v>0</v>
      </c>
      <c r="K761" s="25" t="str">
        <f>IF(VLOOKUP(B761,AmmoTypeFactors,12,FALSE),MROUND(J761/3,0.5),"None")</f>
        <v>None</v>
      </c>
      <c r="L761" s="25">
        <f>IF(VLOOKUP(B761,AmmoTypeFactors,8,FALSE),"None",ROUNDUP(IF(Calcs!I761&gt;0,Calcs!I761,Calcs!H761),3))</f>
        <v>14.4</v>
      </c>
      <c r="M761" s="25">
        <f>IF(VLOOKUP(B761,AmmoTypeFactors,8,FALSE),"None",'Ammo Input'!L761)</f>
        <v>2</v>
      </c>
      <c r="N761">
        <f>'Ammo Input'!O761</f>
        <v>0</v>
      </c>
      <c r="O761" t="e">
        <f>ROUND((P761*0.0036+SUMPRODUCT(Q761:AB761,VLOOKUP($Q$1:$AB$1,IngredientStats,2,FALSE)))/N761*IF('Ammo Input'!R761,0.5,1),2)</f>
        <v>#VALUE!</v>
      </c>
      <c r="P761" t="e">
        <f>(SUMPRODUCT(Q761:AB761,VLOOKUP($Q$1:$AB$1,IngredientStats,4,FALSE))*VLOOKUP(B761,AmmoTypeFactors,14,FALSE)*IF('Ammo Input'!R761,1.1,1))</f>
        <v>#VALUE!</v>
      </c>
      <c r="Q761">
        <f>IFERROR(__xludf.DUMMYFUNCTION("((IF(NOT(OR(REGEXMATCH(B757, ""Arrow""), B757 = ""Javelin"", B757 = ""Stick bomb"")), ROUNDUP(('Ammo Input'!E757 / 1000) * N757)) + IF(VLOOKUP(B757, AmmoTypeFactors, 9, FALSE) = ""Steel"", ROUNDUP(('Ammo Input'!H757 -'Ammo Input'!M757) * MAX(IF('Ammo Inpu"&amp;"t'!J757 &gt; 0, 'Ammo Input'!J757, 1), 1) * N757 / 1000))) / 'Ingredient stats'!$C$2) * IF(ISBLANK(VLOOKUP(B757,AmmoTypeFactors,15,False)),1,VLOOKUP(B757,AmmoTypeFactors,15,False))"),0)</f>
        <v>0</v>
      </c>
      <c r="R761">
        <f>IFERROR(__xludf.DUMMYFUNCTION("ROUNDUP((IF(REGEXMATCH(B757, ""Arrow"") + (B757 = ""Javelin""), 'Ammo Input'!E757) + IF(VLOOKUP(B757, AmmoTypeFactors, 9, FALSE) = ""Wood"", 'Ammo Input'!H757) + IF(B757 = ""Stick bomb"", 'Ammo Input'!E757)) * N757 / 'Ingredient stats'!$C$12 / 1000)"),0)</f>
        <v>0</v>
      </c>
      <c r="S761">
        <v>0</v>
      </c>
      <c r="T761">
        <v>0</v>
      </c>
      <c r="U761">
        <f>IF(VLOOKUP(B761,AmmoTypeFactors,9,FALSE)="Plasteel",ROUNDUP(('Ammo Input'!H761*MAX(IF('Ammo Input'!J761&gt;0,'Ammo Input'!J761,1)*N761/1000/'Ingredient stats'!$C$4)),0),0)</f>
        <v>0</v>
      </c>
      <c r="V761">
        <f>IFERROR(__xludf.DUMMYFUNCTION("ROUNDUP(IF(ISBLANK(VLOOKUP(B757,AmmoTypeFactors,16,False)),1,VLOOKUP(B757,AmmoTypeFactors,16,False)) * (IFS(REGEXMATCH(B757, ""EMP""), 'Ammo Input'!M757 * N757 / 'Ingredient stats'!$C$5, REGEXMATCH(B757, ""Charge""), (U757^0.75), true, 0) + (IF(VLOOKUP(B7"&amp;"57, AmmoTypeFactors, 10, false), 2,0) + IF('Ammo Input'!P757, 2,0) + IF('Ammo Input'!Q757,MIN(ROUNDUP(0.2*('Ammo Input'!H757/1000)*'Ammo Input'!O757,0),20),0))))"),0)</f>
        <v>0</v>
      </c>
      <c r="W761">
        <v>0</v>
      </c>
      <c r="X761">
        <v>0</v>
      </c>
      <c r="Y761">
        <v>0</v>
      </c>
      <c r="Z761">
        <v>0</v>
      </c>
      <c r="AA761" s="30">
        <v>0</v>
      </c>
      <c r="AB761" s="30">
        <f>IF(B761="Sling Bullet (Stone)",ROUNDUP(D761*0.02*E761/'Ingredient stats'!$C$8,0),0)</f>
        <v>0</v>
      </c>
      <c r="AC761" t="str">
        <f t="shared" ref="AC761:AC770" si="44">IF(B761="Buck",8.9,IF(B761="Bird",71.4,IF(B761="Beanbag",2,IF(OR(B761="Charge (Scatter)",B761="Charge (IonScatter)"),8.9,"None"))))</f>
        <v>None</v>
      </c>
      <c r="AD761" t="str">
        <f>IF(OR(B761="Buck",B761="Bird",B761="Charge (Scatter)"),'Ammo Input'!J761,"None")</f>
        <v>None</v>
      </c>
      <c r="AE761" t="str">
        <f>_xlfn.IFS(ISTEXT(Calcs!N761),Calcs!N761,Calcs!N761&lt;=40,Calcs!N761,Calcs!N761&gt;41,"40")</f>
        <v>None</v>
      </c>
      <c r="AF761" t="str">
        <f>_xlfn.IFS(ISTEXT(Calcs!O761),Calcs!O761,Calcs!O761&lt;=80,Calcs!O761,Calcs!O761&gt;=81,"80")</f>
        <v>None</v>
      </c>
      <c r="AG761" s="25">
        <f t="shared" ref="AG761:AG770" si="45">IF(IFERROR(FIND("-",$H761),0),0,IF($J761,3,1))</f>
        <v>1</v>
      </c>
      <c r="AH761" s="25">
        <f t="shared" ref="AH761:AH770" si="46">IFERROR(ROUND(200/(CEILING(200/$F761*60,1)+1),2),"-")</f>
        <v>2</v>
      </c>
      <c r="AI761" s="25">
        <f t="shared" ref="AI761:AI770" si="47">IF(IFERROR(FIND("-",$H761),0),0,IF($J761,2,1))</f>
        <v>1</v>
      </c>
    </row>
    <row r="762" ht="14.4" spans="1:35">
      <c r="A762" s="24" t="str">
        <f>'Ammo Input'!A762</f>
        <v>Frag (Medium)</v>
      </c>
      <c r="B762" t="str">
        <f>'Ammo Input'!B762</f>
        <v>FMJ</v>
      </c>
      <c r="C762">
        <f>ROUNDUP(('Ammo Input'!C762*(MAX('Ammo Input'!D762,'Ammo Input'!F762)*0.5)^2*PI())*3/1000000,2)</f>
        <v>0</v>
      </c>
      <c r="D762">
        <f>ROUNDUP(('Ammo Input'!E762+'Ammo Input'!H762*IF('Ammo Input'!J762&lt;&gt;"",MAX('Ammo Input'!J762,1),1))/1000,3)</f>
        <v>0.015</v>
      </c>
      <c r="E762" t="e">
        <f>MIN(5000,MAX(25,CEILING(Calcs!L762,_xlfn.IFS(Calcs!L762&lt;100,25,Calcs!L762&lt;250,50,Calcs!L762&lt;1000,250,Calcs!L762&gt;=1000,1000))))</f>
        <v>#DIV/0!</v>
      </c>
      <c r="F762">
        <f>ROUNDUP('Ammo Input'!G762^(3/4),0)</f>
        <v>129</v>
      </c>
      <c r="G762">
        <f>ROUND((0.5*((IF(OR(B762="HEAT",B762="HEDP"),'Ammo Input'!N762,'Ammo Input'!H762)/1000)*(IF(B762="HEAT",9000,IF(B762="HEDP",1500,'Ammo Input'!G762))^2))),0)</f>
        <v>3169</v>
      </c>
      <c r="H762" s="25" t="str">
        <f>CONCATENATE(IF((B762="Foam")+(B762="Smoke"),"-",ROUND(Calcs!D762,0))," ",VLOOKUP(B762,AmmoTypeFactors,5,FALSE))</f>
        <v>18 Bullet</v>
      </c>
      <c r="I762" s="25" t="str">
        <f>IF(Calcs!E762=0,"None",CONCATENATE(ROUND(Calcs!E762,0)," ",VLOOKUP(B762,AmmoTypeFactors,6,FALSE)))</f>
        <v>None</v>
      </c>
      <c r="J762">
        <f>MROUND(2.42*'Ammo Input'!M762^(1/3)*VLOOKUP(B762,AmmoTypeFactors,3,FALSE),0.5)</f>
        <v>0</v>
      </c>
      <c r="K762" s="25" t="str">
        <f>IF(VLOOKUP(B762,AmmoTypeFactors,12,FALSE),MROUND(J762/3,0.5),"None")</f>
        <v>None</v>
      </c>
      <c r="L762" s="25">
        <f>IF(VLOOKUP(B762,AmmoTypeFactors,8,FALSE),"None",ROUNDUP(IF(Calcs!I762&gt;0,Calcs!I762,Calcs!H762),3))</f>
        <v>63.38</v>
      </c>
      <c r="M762" s="25">
        <f>IF(VLOOKUP(B762,AmmoTypeFactors,8,FALSE),"None",'Ammo Input'!L762)</f>
        <v>3</v>
      </c>
      <c r="N762">
        <f>'Ammo Input'!O762</f>
        <v>0</v>
      </c>
      <c r="O762" t="e">
        <f>ROUND((P762*0.0036+SUMPRODUCT(Q762:AB762,VLOOKUP($Q$1:$AB$1,IngredientStats,2,FALSE)))/N762*IF('Ammo Input'!R762,0.5,1),2)</f>
        <v>#VALUE!</v>
      </c>
      <c r="P762" t="e">
        <f>(SUMPRODUCT(Q762:AB762,VLOOKUP($Q$1:$AB$1,IngredientStats,4,FALSE))*VLOOKUP(B762,AmmoTypeFactors,14,FALSE)*IF('Ammo Input'!R762,1.1,1))</f>
        <v>#VALUE!</v>
      </c>
      <c r="Q762">
        <f>IFERROR(__xludf.DUMMYFUNCTION("((IF(NOT(OR(REGEXMATCH(B758, ""Arrow""), B758 = ""Javelin"", B758 = ""Stick bomb"")), ROUNDUP(('Ammo Input'!E758 / 1000) * N758)) + IF(VLOOKUP(B758, AmmoTypeFactors, 9, FALSE) = ""Steel"", ROUNDUP(('Ammo Input'!H758 -'Ammo Input'!M758) * MAX(IF('Ammo Inpu"&amp;"t'!J758 &gt; 0, 'Ammo Input'!J758, 1), 1) * N758 / 1000))) / 'Ingredient stats'!$C$2) * IF(ISBLANK(VLOOKUP(B758,AmmoTypeFactors,15,False)),1,VLOOKUP(B758,AmmoTypeFactors,15,False))"),0)</f>
        <v>0</v>
      </c>
      <c r="R762">
        <f>IFERROR(__xludf.DUMMYFUNCTION("ROUNDUP((IF(REGEXMATCH(B758, ""Arrow"") + (B758 = ""Javelin""), 'Ammo Input'!E758) + IF(VLOOKUP(B758, AmmoTypeFactors, 9, FALSE) = ""Wood"", 'Ammo Input'!H758) + IF(B758 = ""Stick bomb"", 'Ammo Input'!E758)) * N758 / 'Ingredient stats'!$C$12 / 1000)"),0)</f>
        <v>0</v>
      </c>
      <c r="S762">
        <v>0</v>
      </c>
      <c r="T762">
        <v>0</v>
      </c>
      <c r="U762">
        <f>IF(VLOOKUP(B762,AmmoTypeFactors,9,FALSE)="Plasteel",ROUNDUP(('Ammo Input'!H762*MAX(IF('Ammo Input'!J762&gt;0,'Ammo Input'!J762,1)*N762/1000/'Ingredient stats'!$C$4)),0),0)</f>
        <v>0</v>
      </c>
      <c r="V762">
        <f>IFERROR(__xludf.DUMMYFUNCTION("ROUNDUP(IF(ISBLANK(VLOOKUP(B758,AmmoTypeFactors,16,False)),1,VLOOKUP(B758,AmmoTypeFactors,16,False)) * (IFS(REGEXMATCH(B758, ""EMP""), 'Ammo Input'!M758 * N758 / 'Ingredient stats'!$C$5, REGEXMATCH(B758, ""Charge""), (U758^0.75), true, 0) + (IF(VLOOKUP(B7"&amp;"58, AmmoTypeFactors, 10, false), 2,0) + IF('Ammo Input'!P758, 2,0) + IF('Ammo Input'!Q758,MIN(ROUNDUP(0.2*('Ammo Input'!H758/1000)*'Ammo Input'!O758,0),20),0))))"),0)</f>
        <v>0</v>
      </c>
      <c r="W762">
        <v>0</v>
      </c>
      <c r="X762">
        <v>0</v>
      </c>
      <c r="Y762">
        <v>0</v>
      </c>
      <c r="Z762">
        <v>0</v>
      </c>
      <c r="AA762">
        <v>0</v>
      </c>
      <c r="AB762" s="30">
        <f>IF(B762="Sling Bullet (Stone)",ROUNDUP(D762*0.02*E762/'Ingredient stats'!$C$8,0),0)</f>
        <v>0</v>
      </c>
      <c r="AC762" t="str">
        <f t="shared" si="44"/>
        <v>None</v>
      </c>
      <c r="AD762" t="str">
        <f>IF(OR(B762="Buck",B762="Bird",B762="Charge (Scatter)"),'Ammo Input'!J762,"None")</f>
        <v>None</v>
      </c>
      <c r="AE762" t="str">
        <f>_xlfn.IFS(ISTEXT(Calcs!N762),Calcs!N762,Calcs!N762&lt;=40,Calcs!N762,Calcs!N762&gt;41,"40")</f>
        <v>None</v>
      </c>
      <c r="AF762" t="str">
        <f>_xlfn.IFS(ISTEXT(Calcs!O762),Calcs!O762,Calcs!O762&lt;=80,Calcs!O762,Calcs!O762&gt;=81,"80")</f>
        <v>None</v>
      </c>
      <c r="AG762" s="25">
        <f t="shared" si="45"/>
        <v>1</v>
      </c>
      <c r="AH762" s="25">
        <f t="shared" si="46"/>
        <v>2.11</v>
      </c>
      <c r="AI762" s="25">
        <f t="shared" si="47"/>
        <v>1</v>
      </c>
    </row>
    <row r="763" ht="14.4" spans="1:35">
      <c r="A763" s="24" t="str">
        <f>'Ammo Input'!A763</f>
        <v>Frag (Large)</v>
      </c>
      <c r="B763" t="str">
        <f>'Ammo Input'!B763</f>
        <v>FMJ</v>
      </c>
      <c r="C763">
        <f>ROUNDUP(('Ammo Input'!C763*(MAX('Ammo Input'!D763,'Ammo Input'!F763)*0.5)^2*PI())*3/1000000,2)</f>
        <v>0</v>
      </c>
      <c r="D763">
        <f>ROUNDUP(('Ammo Input'!E763+'Ammo Input'!H763*IF('Ammo Input'!J763&lt;&gt;"",MAX('Ammo Input'!J763,1),1))/1000,3)</f>
        <v>0.07</v>
      </c>
      <c r="E763" t="e">
        <f>MIN(5000,MAX(25,CEILING(Calcs!L763,_xlfn.IFS(Calcs!L763&lt;100,25,Calcs!L763&lt;250,50,Calcs!L763&lt;1000,250,Calcs!L763&gt;=1000,1000))))</f>
        <v>#DIV/0!</v>
      </c>
      <c r="F763">
        <f>ROUNDUP('Ammo Input'!G763^(3/4),0)</f>
        <v>137</v>
      </c>
      <c r="G763">
        <f>ROUND((0.5*((IF(OR(B763="HEAT",B763="HEDP"),'Ammo Input'!N763,'Ammo Input'!H763)/1000)*(IF(B763="HEAT",9000,IF(B763="HEDP",1500,'Ammo Input'!G763))^2))),0)</f>
        <v>17150</v>
      </c>
      <c r="H763" s="25" t="str">
        <f>CONCATENATE(IF((B763="Foam")+(B763="Smoke"),"-",ROUND(Calcs!D763,0))," ",VLOOKUP(B763,AmmoTypeFactors,5,FALSE))</f>
        <v>39 Bullet</v>
      </c>
      <c r="I763" s="25" t="str">
        <f>IF(Calcs!E763=0,"None",CONCATENATE(ROUND(Calcs!E763,0)," ",VLOOKUP(B763,AmmoTypeFactors,6,FALSE)))</f>
        <v>None</v>
      </c>
      <c r="J763">
        <f>MROUND(2.42*'Ammo Input'!M763^(1/3)*VLOOKUP(B763,AmmoTypeFactors,3,FALSE),0.5)</f>
        <v>0</v>
      </c>
      <c r="K763" s="25" t="str">
        <f>IF(VLOOKUP(B763,AmmoTypeFactors,12,FALSE),MROUND(J763/3,0.5),"None")</f>
        <v>None</v>
      </c>
      <c r="L763" s="25">
        <f>IF(VLOOKUP(B763,AmmoTypeFactors,8,FALSE),"None",ROUNDUP(IF(Calcs!I763&gt;0,Calcs!I763,Calcs!H763),3))</f>
        <v>343</v>
      </c>
      <c r="M763" s="25">
        <f>IF(VLOOKUP(B763,AmmoTypeFactors,8,FALSE),"None",'Ammo Input'!L763)</f>
        <v>4.5</v>
      </c>
      <c r="N763">
        <f>'Ammo Input'!O763</f>
        <v>0</v>
      </c>
      <c r="O763" t="e">
        <f>ROUND((P763*0.0036+SUMPRODUCT(Q763:AB763,VLOOKUP($Q$1:$AB$1,IngredientStats,2,FALSE)))/N763*IF('Ammo Input'!R763,0.5,1),2)</f>
        <v>#VALUE!</v>
      </c>
      <c r="P763" t="e">
        <f>(SUMPRODUCT(Q763:AB763,VLOOKUP($Q$1:$AB$1,IngredientStats,4,FALSE))*VLOOKUP(B763,AmmoTypeFactors,14,FALSE)*IF('Ammo Input'!R763,1.1,1))</f>
        <v>#VALUE!</v>
      </c>
      <c r="Q763">
        <f>IFERROR(__xludf.DUMMYFUNCTION("((IF(NOT(OR(REGEXMATCH(B759, ""Arrow""), B759 = ""Javelin"", B759 = ""Stick bomb"")), ROUNDUP(('Ammo Input'!E759 / 1000) * N759)) + IF(VLOOKUP(B759, AmmoTypeFactors, 9, FALSE) = ""Steel"", ROUNDUP(('Ammo Input'!H759 -'Ammo Input'!M759) * MAX(IF('Ammo Inpu"&amp;"t'!J759 &gt; 0, 'Ammo Input'!J759, 1), 1) * N759 / 1000))) / 'Ingredient stats'!$C$2) * IF(ISBLANK(VLOOKUP(B759,AmmoTypeFactors,15,False)),1,VLOOKUP(B759,AmmoTypeFactors,15,False))"),0)</f>
        <v>0</v>
      </c>
      <c r="R763">
        <f>IFERROR(__xludf.DUMMYFUNCTION("ROUNDUP((IF(REGEXMATCH(B759, ""Arrow"") + (B759 = ""Javelin""), 'Ammo Input'!E759) + IF(VLOOKUP(B759, AmmoTypeFactors, 9, FALSE) = ""Wood"", 'Ammo Input'!H759) + IF(B759 = ""Stick bomb"", 'Ammo Input'!E759)) * N759 / 'Ingredient stats'!$C$12 / 1000)"),0)</f>
        <v>0</v>
      </c>
      <c r="S763">
        <v>0</v>
      </c>
      <c r="T763">
        <v>0</v>
      </c>
      <c r="U763">
        <f>IF(VLOOKUP(B763,AmmoTypeFactors,9,FALSE)="Plasteel",ROUNDUP(('Ammo Input'!H763*MAX(IF('Ammo Input'!J763&gt;0,'Ammo Input'!J763,1)*N763/1000/'Ingredient stats'!$C$4)),0),0)</f>
        <v>0</v>
      </c>
      <c r="V763">
        <f>IFERROR(__xludf.DUMMYFUNCTION("ROUNDUP(IF(ISBLANK(VLOOKUP(B759,AmmoTypeFactors,16,False)),1,VLOOKUP(B759,AmmoTypeFactors,16,False)) * (IFS(REGEXMATCH(B759, ""EMP""), 'Ammo Input'!M759 * N759 / 'Ingredient stats'!$C$5, REGEXMATCH(B759, ""Charge""), (U759^0.75), true, 0) + (IF(VLOOKUP(B7"&amp;"59, AmmoTypeFactors, 10, false), 2,0) + IF('Ammo Input'!P759, 2,0) + IF('Ammo Input'!Q759,MIN(ROUNDUP(0.2*('Ammo Input'!H759/1000)*'Ammo Input'!O759,0),20),0))))"),0)</f>
        <v>0</v>
      </c>
      <c r="W763">
        <v>0</v>
      </c>
      <c r="X763">
        <v>0</v>
      </c>
      <c r="Y763">
        <v>0</v>
      </c>
      <c r="Z763">
        <v>0</v>
      </c>
      <c r="AA763">
        <v>0</v>
      </c>
      <c r="AB763" s="30">
        <f>IF(B763="Sling Bullet (Stone)",ROUNDUP(D763*0.02*E763/'Ingredient stats'!$C$8,0),0)</f>
        <v>0</v>
      </c>
      <c r="AC763" t="str">
        <f t="shared" si="44"/>
        <v>None</v>
      </c>
      <c r="AD763" t="str">
        <f>IF(OR(B763="Buck",B763="Bird",B763="Charge (Scatter)"),'Ammo Input'!J763,"None")</f>
        <v>None</v>
      </c>
      <c r="AE763" t="str">
        <f>_xlfn.IFS(ISTEXT(Calcs!N763),Calcs!N763,Calcs!N763&lt;=40,Calcs!N763,Calcs!N763&gt;41,"40")</f>
        <v>None</v>
      </c>
      <c r="AF763" t="str">
        <f>_xlfn.IFS(ISTEXT(Calcs!O763),Calcs!O763,Calcs!O763&lt;=80,Calcs!O763,Calcs!O763&gt;=81,"80")</f>
        <v>None</v>
      </c>
      <c r="AG763" s="25">
        <f t="shared" si="45"/>
        <v>1</v>
      </c>
      <c r="AH763" s="25">
        <f t="shared" si="46"/>
        <v>2.25</v>
      </c>
      <c r="AI763" s="25">
        <f t="shared" si="47"/>
        <v>1</v>
      </c>
    </row>
    <row r="764" ht="14.4" spans="1:35">
      <c r="A764" s="24" t="str">
        <f>'Ammo Input'!A764</f>
        <v>Frag (Bomblet)</v>
      </c>
      <c r="B764" t="str">
        <f>'Ammo Input'!B764</f>
        <v>HEAT</v>
      </c>
      <c r="C764">
        <f>ROUNDUP(('Ammo Input'!C764*(MAX('Ammo Input'!D764,'Ammo Input'!F764)*0.5)^2*PI())*3/1000000,2)</f>
        <v>0</v>
      </c>
      <c r="D764">
        <f>ROUNDUP(('Ammo Input'!E764+'Ammo Input'!H764*IF('Ammo Input'!J764&lt;&gt;"",MAX('Ammo Input'!J764,1),1))/1000,3)</f>
        <v>0.208</v>
      </c>
      <c r="E764" t="e">
        <f>MIN(5000,MAX(25,CEILING(Calcs!L764,_xlfn.IFS(Calcs!L764&lt;100,25,Calcs!L764&lt;250,50,Calcs!L764&lt;1000,250,Calcs!L764&gt;=1000,1000))))</f>
        <v>#DIV/0!</v>
      </c>
      <c r="F764">
        <f>ROUNDUP('Ammo Input'!G764^(3/4),0)</f>
        <v>54</v>
      </c>
      <c r="G764">
        <f>ROUND((0.5*((IF(OR(B764="HEAT",B764="HEDP"),'Ammo Input'!N764,'Ammo Input'!H764)/1000)*(IF(B764="HEAT",9000,IF(B764="HEDP",1500,'Ammo Input'!G764))^2))),0)</f>
        <v>40500</v>
      </c>
      <c r="H764" s="25" t="str">
        <f>CONCATENATE(IF((B764="Foam")+(B764="Smoke"),"-",ROUND(Calcs!D764,0))," ",VLOOKUP(B764,AmmoTypeFactors,5,FALSE))</f>
        <v>50 Bullet</v>
      </c>
      <c r="I764" s="25" t="str">
        <f>IF(Calcs!E764=0,"None",CONCATENATE(ROUND(Calcs!E764,0)," ",VLOOKUP(B764,AmmoTypeFactors,6,FALSE)))</f>
        <v>None</v>
      </c>
      <c r="J764">
        <f>MROUND(2.42*'Ammo Input'!M764^(1/3)*VLOOKUP(B764,AmmoTypeFactors,3,FALSE),0.5)</f>
        <v>0.5</v>
      </c>
      <c r="K764" s="25" t="str">
        <f>IF(VLOOKUP(B764,AmmoTypeFactors,12,FALSE),MROUND(J764/3,0.5),"None")</f>
        <v>None</v>
      </c>
      <c r="L764" s="25">
        <f>IF(VLOOKUP(B764,AmmoTypeFactors,8,FALSE),"None",ROUNDUP(IF(Calcs!I764&gt;0,Calcs!I764,Calcs!H764),3))</f>
        <v>6.387</v>
      </c>
      <c r="M764" s="25">
        <f>IF(VLOOKUP(B764,AmmoTypeFactors,8,FALSE),"None",'Ammo Input'!L764)</f>
        <v>70</v>
      </c>
      <c r="N764">
        <f>'Ammo Input'!O764</f>
        <v>0</v>
      </c>
      <c r="O764" t="e">
        <f>ROUND((P764*0.0036+SUMPRODUCT(Q764:AB764,VLOOKUP($Q$1:$AB$1,IngredientStats,2,FALSE)))/N764*IF('Ammo Input'!R764,0.5,1),2)</f>
        <v>#VALUE!</v>
      </c>
      <c r="P764" t="e">
        <f>(SUMPRODUCT(Q764:AB764,VLOOKUP($Q$1:$AB$1,IngredientStats,4,FALSE))*VLOOKUP(B764,AmmoTypeFactors,14,FALSE)*IF('Ammo Input'!R764,1.1,1))</f>
        <v>#VALUE!</v>
      </c>
      <c r="Q764">
        <f>IFERROR(__xludf.DUMMYFUNCTION("((IF(NOT(OR(REGEXMATCH(B760, ""Arrow""), B760 = ""Javelin"", B760 = ""Stick bomb"")), ROUNDUP(('Ammo Input'!E760 / 1000) * N760)) + IF(VLOOKUP(B760, AmmoTypeFactors, 9, FALSE) = ""Steel"", ROUNDUP(('Ammo Input'!H760 -'Ammo Input'!M760) * MAX(IF('Ammo Inpu"&amp;"t'!J760 &gt; 0, 'Ammo Input'!J760, 1), 1) * N760 / 1000))) / 'Ingredient stats'!$C$2) * IF(ISBLANK(VLOOKUP(B760,AmmoTypeFactors,15,False)),1,VLOOKUP(B760,AmmoTypeFactors,15,False))"),0)</f>
        <v>0</v>
      </c>
      <c r="R764">
        <f>IFERROR(__xludf.DUMMYFUNCTION("ROUNDUP((IF(REGEXMATCH(B760, ""Arrow"") + (B760 = ""Javelin""), 'Ammo Input'!E760) + IF(VLOOKUP(B760, AmmoTypeFactors, 9, FALSE) = ""Wood"", 'Ammo Input'!H760) + IF(B760 = ""Stick bomb"", 'Ammo Input'!E760)) * N760 / 'Ingredient stats'!$C$12 / 1000)"),0)</f>
        <v>0</v>
      </c>
      <c r="S764">
        <v>0</v>
      </c>
      <c r="T764">
        <v>0</v>
      </c>
      <c r="U764">
        <f>IF(VLOOKUP(B764,AmmoTypeFactors,9,FALSE)="Plasteel",ROUNDUP(('Ammo Input'!H764*MAX(IF('Ammo Input'!J764&gt;0,'Ammo Input'!J764,1)*N764/1000/'Ingredient stats'!$C$4)),0),0)</f>
        <v>0</v>
      </c>
      <c r="V764">
        <f>IFERROR(__xludf.DUMMYFUNCTION("ROUNDUP(IF(ISBLANK(VLOOKUP(B760,AmmoTypeFactors,16,False)),1,VLOOKUP(B760,AmmoTypeFactors,16,False)) * (IFS(REGEXMATCH(B760, ""EMP""), 'Ammo Input'!M760 * N760 / 'Ingredient stats'!$C$5, REGEXMATCH(B760, ""Charge""), (U760^0.75), true, 0) + (IF(VLOOKUP(B7"&amp;"60, AmmoTypeFactors, 10, false), 2,0) + IF('Ammo Input'!P760, 2,0) + IF('Ammo Input'!Q760,MIN(ROUNDUP(0.2*('Ammo Input'!H760/1000)*'Ammo Input'!O760,0),20),0))))"),2)</f>
        <v>2</v>
      </c>
      <c r="W764">
        <v>0</v>
      </c>
      <c r="X764">
        <v>0</v>
      </c>
      <c r="Y764">
        <v>0</v>
      </c>
      <c r="Z764">
        <v>0</v>
      </c>
      <c r="AA764">
        <v>0</v>
      </c>
      <c r="AB764" s="30">
        <f>IF(B764="Sling Bullet (Stone)",ROUNDUP(D764*0.02*E764/'Ingredient stats'!$C$8,0),0)</f>
        <v>0</v>
      </c>
      <c r="AC764" t="str">
        <f t="shared" si="44"/>
        <v>None</v>
      </c>
      <c r="AD764" t="str">
        <f>IF(OR(B764="Buck",B764="Bird",B764="Charge (Scatter)"),'Ammo Input'!J764,"None")</f>
        <v>None</v>
      </c>
      <c r="AE764">
        <f>_xlfn.IFS(ISTEXT(Calcs!N764),Calcs!N764,Calcs!N764&lt;=40,Calcs!N764,Calcs!N764&gt;41,"40")</f>
        <v>1</v>
      </c>
      <c r="AF764">
        <f>_xlfn.IFS(ISTEXT(Calcs!O764),Calcs!O764,Calcs!O764&lt;=80,Calcs!O764,Calcs!O764&gt;=81,"80")</f>
        <v>1</v>
      </c>
      <c r="AG764" s="25">
        <f t="shared" si="45"/>
        <v>3</v>
      </c>
      <c r="AH764" s="25">
        <f t="shared" si="46"/>
        <v>0.89</v>
      </c>
      <c r="AI764" s="25">
        <f t="shared" si="47"/>
        <v>2</v>
      </c>
    </row>
    <row r="765" ht="14.4" spans="1:35">
      <c r="A765" s="24" t="str">
        <f>'Ammo Input'!A765</f>
        <v>Ballistic Knife</v>
      </c>
      <c r="B765" t="str">
        <f>'Ammo Input'!B765</f>
        <v>Javelin</v>
      </c>
      <c r="C765">
        <f>ROUNDUP(('Ammo Input'!C765*(MAX('Ammo Input'!D765,'Ammo Input'!F765)*0.5)^2*PI())*3/1000000,2)</f>
        <v>0.1</v>
      </c>
      <c r="D765">
        <f>ROUNDUP(('Ammo Input'!E765+'Ammo Input'!H765*IF('Ammo Input'!J765&lt;&gt;"",MAX('Ammo Input'!J765,1),1))/1000,3)</f>
        <v>0.13</v>
      </c>
      <c r="E765">
        <f>MIN(5000,MAX(25,CEILING(Calcs!L765,_xlfn.IFS(Calcs!L765&lt;100,25,Calcs!L765&lt;250,50,Calcs!L765&lt;1000,250,Calcs!L765&gt;=1000,1000))))</f>
        <v>5000</v>
      </c>
      <c r="F765">
        <f>ROUNDUP('Ammo Input'!G765^(3/4),0)</f>
        <v>9</v>
      </c>
      <c r="G765">
        <f>ROUND((0.5*((IF(OR(B765="HEAT",B765="HEDP"),'Ammo Input'!N765,'Ammo Input'!H765)/1000)*(IF(B765="HEAT",9000,IF(B765="HEDP",1500,'Ammo Input'!G765))^2))),0)</f>
        <v>19</v>
      </c>
      <c r="H765" s="25" t="str">
        <f>CONCATENATE(IF((B765="Foam")+(B765="Smoke"),"-",ROUND(Calcs!D765,0))," ",VLOOKUP(B765,AmmoTypeFactors,5,FALSE))</f>
        <v>4 Stab</v>
      </c>
      <c r="I765" s="25" t="str">
        <f>IF(Calcs!E765=0,"None",CONCATENATE(ROUND(Calcs!E765,0)," ",VLOOKUP(B765,AmmoTypeFactors,6,FALSE)))</f>
        <v>None</v>
      </c>
      <c r="J765">
        <f>MROUND(2.42*'Ammo Input'!M765^(1/3)*VLOOKUP(B765,AmmoTypeFactors,3,FALSE),0.5)</f>
        <v>0</v>
      </c>
      <c r="K765" s="25" t="str">
        <f>IF(VLOOKUP(B765,AmmoTypeFactors,12,FALSE),MROUND(J765/3,0.5),"None")</f>
        <v>None</v>
      </c>
      <c r="L765" s="25">
        <f>IF(VLOOKUP(B765,AmmoTypeFactors,8,FALSE),"None",ROUNDUP(IF(Calcs!I765&gt;0,Calcs!I765,Calcs!H765),3))</f>
        <v>0.38</v>
      </c>
      <c r="M765" s="25">
        <f>IF(VLOOKUP(B765,AmmoTypeFactors,8,FALSE),"None",'Ammo Input'!L765)</f>
        <v>1</v>
      </c>
      <c r="N765">
        <f>'Ammo Input'!O765</f>
        <v>10</v>
      </c>
      <c r="O765" t="e">
        <f>ROUND((P765*0.0036+SUMPRODUCT(Q765:AB765,VLOOKUP($Q$1:$AB$1,IngredientStats,2,FALSE)))/N765*IF('Ammo Input'!R765,0.5,1),2)</f>
        <v>#VALUE!</v>
      </c>
      <c r="P765" t="e">
        <f>(SUMPRODUCT(Q765:AB765,VLOOKUP($Q$1:$AB$1,IngredientStats,4,FALSE))*VLOOKUP(B765,AmmoTypeFactors,14,FALSE)*IF('Ammo Input'!R765,1.1,1))</f>
        <v>#VALUE!</v>
      </c>
      <c r="Q765">
        <f>IFERROR(__xludf.DUMMYFUNCTION("((IF(NOT(OR(REGEXMATCH(B761, ""Arrow""), B761 = ""Javelin"", B761 = ""Stick bomb"")), ROUNDUP(('Ammo Input'!E761 / 1000) * N761)) + IF(VLOOKUP(B761, AmmoTypeFactors, 9, FALSE) = ""Steel"", ROUNDUP(('Ammo Input'!H761 -'Ammo Input'!M761) * MAX(IF('Ammo Inpu"&amp;"t'!J761 &gt; 0, 'Ammo Input'!J761, 1), 1) * N761 / 1000))) / 'Ingredient stats'!$C$2) * IF(ISBLANK(VLOOKUP(B761,AmmoTypeFactors,15,False)),1,VLOOKUP(B761,AmmoTypeFactors,15,False))"),4)</f>
        <v>4</v>
      </c>
      <c r="R765">
        <f>IFERROR(__xludf.DUMMYFUNCTION("ROUNDUP((IF(REGEXMATCH(B761, ""Arrow"") + (B761 = ""Javelin""), 'Ammo Input'!E761) + IF(VLOOKUP(B761, AmmoTypeFactors, 9, FALSE) = ""Wood"", 'Ammo Input'!H761) + IF(B761 = ""Stick bomb"", 'Ammo Input'!E761)) * N761 / 'Ingredient stats'!$C$12 / 1000)"),0)</f>
        <v>0</v>
      </c>
      <c r="S765">
        <v>0</v>
      </c>
      <c r="T765">
        <v>0</v>
      </c>
      <c r="U765">
        <f>IF(VLOOKUP(B765,AmmoTypeFactors,9,FALSE)="Plasteel",ROUNDUP(('Ammo Input'!H765*MAX(IF('Ammo Input'!J765&gt;0,'Ammo Input'!J765,1)*N765/1000/'Ingredient stats'!$C$4)),0),0)</f>
        <v>0</v>
      </c>
      <c r="V765">
        <f>IFERROR(__xludf.DUMMYFUNCTION("ROUNDUP(IF(ISBLANK(VLOOKUP(B761,AmmoTypeFactors,16,False)),1,VLOOKUP(B761,AmmoTypeFactors,16,False)) * (IFS(REGEXMATCH(B761, ""EMP""), 'Ammo Input'!M761 * N761 / 'Ingredient stats'!$C$5, REGEXMATCH(B761, ""Charge""), (U761^0.75), true, 0) + (IF(VLOOKUP(B7"&amp;"61, AmmoTypeFactors, 10, false), 2,0) + IF('Ammo Input'!P761, 2,0) + IF('Ammo Input'!Q761,MIN(ROUNDUP(0.2*('Ammo Input'!H761/1000)*'Ammo Input'!O761,0),20),0))))"),0)</f>
        <v>0</v>
      </c>
      <c r="W765">
        <v>0</v>
      </c>
      <c r="X765">
        <v>0</v>
      </c>
      <c r="Y765">
        <v>0</v>
      </c>
      <c r="Z765">
        <v>0</v>
      </c>
      <c r="AA765">
        <v>0</v>
      </c>
      <c r="AB765" s="30">
        <f>IF(B765="Sling Bullet (Stone)",ROUNDUP(D765*0.02*E765/'Ingredient stats'!$C$8,0),0)</f>
        <v>0</v>
      </c>
      <c r="AC765" t="str">
        <f t="shared" si="44"/>
        <v>None</v>
      </c>
      <c r="AD765" t="str">
        <f>IF(OR(B765="Buck",B765="Bird",B765="Charge (Scatter)"),'Ammo Input'!J765,"None")</f>
        <v>None</v>
      </c>
      <c r="AE765" t="str">
        <f>_xlfn.IFS(ISTEXT(Calcs!N765),Calcs!N765,Calcs!N765&lt;=40,Calcs!N765,Calcs!N765&gt;41,"40")</f>
        <v>None</v>
      </c>
      <c r="AF765" t="str">
        <f>_xlfn.IFS(ISTEXT(Calcs!O765),Calcs!O765,Calcs!O765&lt;=80,Calcs!O765,Calcs!O765&gt;=81,"80")</f>
        <v>None</v>
      </c>
      <c r="AG765" s="25">
        <f t="shared" si="45"/>
        <v>1</v>
      </c>
      <c r="AH765" s="25">
        <f t="shared" si="46"/>
        <v>0.15</v>
      </c>
      <c r="AI765" s="25">
        <f t="shared" si="47"/>
        <v>1</v>
      </c>
    </row>
    <row r="766" ht="14.4" spans="1:35">
      <c r="A766" s="24" t="str">
        <f>'Ammo Input'!A766</f>
        <v>Finger Spike</v>
      </c>
      <c r="B766" t="str">
        <f>'Ammo Input'!B766</f>
        <v>FMJ</v>
      </c>
      <c r="C766">
        <f>ROUNDUP(('Ammo Input'!C766*(MAX('Ammo Input'!D766,'Ammo Input'!F766)*0.5)^2*PI())*3/1000000,2)</f>
        <v>0</v>
      </c>
      <c r="D766">
        <f>ROUNDUP(('Ammo Input'!E766+'Ammo Input'!H766*IF('Ammo Input'!J766&lt;&gt;"",MAX('Ammo Input'!J766,1),1))/1000,3)</f>
        <v>0.006</v>
      </c>
      <c r="E766" t="e">
        <f>MIN(5000,MAX(25,CEILING(Calcs!L766,_xlfn.IFS(Calcs!L766&lt;100,25,Calcs!L766&lt;250,50,Calcs!L766&lt;1000,250,Calcs!L766&gt;=1000,1000))))</f>
        <v>#DIV/0!</v>
      </c>
      <c r="F766">
        <f>ROUNDUP('Ammo Input'!G766^(3/4),0)</f>
        <v>70</v>
      </c>
      <c r="G766">
        <f>ROUND((0.5*((IF(OR(B766="HEAT",B766="HEDP"),'Ammo Input'!N766,'Ammo Input'!H766)/1000)*(IF(B766="HEAT",9000,IF(B766="HEDP",1500,'Ammo Input'!G766))^2))),0)</f>
        <v>211</v>
      </c>
      <c r="H766" s="25" t="str">
        <f>CONCATENATE(IF((B766="Foam")+(B766="Smoke"),"-",ROUND(Calcs!D766,0))," ",VLOOKUP(B766,AmmoTypeFactors,5,FALSE))</f>
        <v>8 Bullet</v>
      </c>
      <c r="I766" s="25" t="str">
        <f>IF(Calcs!E766=0,"None",CONCATENATE(ROUND(Calcs!E766,0)," ",VLOOKUP(B766,AmmoTypeFactors,6,FALSE)))</f>
        <v>None</v>
      </c>
      <c r="J766">
        <f>MROUND(2.42*'Ammo Input'!M766^(1/3)*VLOOKUP(B766,AmmoTypeFactors,3,FALSE),0.5)</f>
        <v>0</v>
      </c>
      <c r="K766" s="25" t="str">
        <f>IF(VLOOKUP(B766,AmmoTypeFactors,12,FALSE),MROUND(J766/3,0.5),"None")</f>
        <v>None</v>
      </c>
      <c r="L766" s="25">
        <f>IF(VLOOKUP(B766,AmmoTypeFactors,8,FALSE),"None",ROUNDUP(IF(Calcs!I766&gt;0,Calcs!I766,Calcs!H766),3))</f>
        <v>4.22</v>
      </c>
      <c r="M766" s="25">
        <f>IF(VLOOKUP(B766,AmmoTypeFactors,8,FALSE),"None",'Ammo Input'!L766)</f>
        <v>3.85</v>
      </c>
      <c r="N766">
        <f>'Ammo Input'!O766</f>
        <v>0</v>
      </c>
      <c r="O766" t="e">
        <f>ROUND((P766*0.0036+SUMPRODUCT(Q766:AB766,VLOOKUP($Q$1:$AB$1,IngredientStats,2,FALSE)))/N766*IF('Ammo Input'!R766,0.5,1),2)</f>
        <v>#VALUE!</v>
      </c>
      <c r="P766" t="e">
        <f>(SUMPRODUCT(Q766:AB766,VLOOKUP($Q$1:$AB$1,IngredientStats,4,FALSE))*VLOOKUP(B766,AmmoTypeFactors,14,FALSE)*IF('Ammo Input'!R766,1.1,1))</f>
        <v>#VALUE!</v>
      </c>
      <c r="Q766">
        <f>IFERROR(__xludf.DUMMYFUNCTION("((IF(NOT(OR(REGEXMATCH(B762, ""Arrow""), B762 = ""Javelin"", B762 = ""Stick bomb"")), ROUNDUP(('Ammo Input'!E762 / 1000) * N762)) + IF(VLOOKUP(B762, AmmoTypeFactors, 9, FALSE) = ""Steel"", ROUNDUP(('Ammo Input'!H762 -'Ammo Input'!M762) * MAX(IF('Ammo Inpu"&amp;"t'!J762 &gt; 0, 'Ammo Input'!J762, 1), 1) * N762 / 1000))) / 'Ingredient stats'!$C$2) * IF(ISBLANK(VLOOKUP(B762,AmmoTypeFactors,15,False)),1,VLOOKUP(B762,AmmoTypeFactors,15,False))"),0)</f>
        <v>0</v>
      </c>
      <c r="R766">
        <f>IFERROR(__xludf.DUMMYFUNCTION("ROUNDUP((IF(REGEXMATCH(B762, ""Arrow"") + (B762 = ""Javelin""), 'Ammo Input'!E762) + IF(VLOOKUP(B762, AmmoTypeFactors, 9, FALSE) = ""Wood"", 'Ammo Input'!H762) + IF(B762 = ""Stick bomb"", 'Ammo Input'!E762)) * N762 / 'Ingredient stats'!$C$12 / 1000)"),0)</f>
        <v>0</v>
      </c>
      <c r="S766">
        <v>0</v>
      </c>
      <c r="T766">
        <v>0</v>
      </c>
      <c r="U766">
        <f>IF(VLOOKUP(B766,AmmoTypeFactors,9,FALSE)="Plasteel",ROUNDUP(('Ammo Input'!H766*MAX(IF('Ammo Input'!J766&gt;0,'Ammo Input'!J766,1)*N766/1000/'Ingredient stats'!$C$4)),0),0)</f>
        <v>0</v>
      </c>
      <c r="V766">
        <f>IFERROR(__xludf.DUMMYFUNCTION("ROUNDUP(IF(ISBLANK(VLOOKUP(B762,AmmoTypeFactors,16,False)),1,VLOOKUP(B762,AmmoTypeFactors,16,False)) * (IFS(REGEXMATCH(B762, ""EMP""), 'Ammo Input'!M762 * N762 / 'Ingredient stats'!$C$5, REGEXMATCH(B762, ""Charge""), (U762^0.75), true, 0) + (IF(VLOOKUP(B7"&amp;"62, AmmoTypeFactors, 10, false), 2,0) + IF('Ammo Input'!P762, 2,0) + IF('Ammo Input'!Q762,MIN(ROUNDUP(0.2*('Ammo Input'!H762/1000)*'Ammo Input'!O762,0),20),0))))"),0)</f>
        <v>0</v>
      </c>
      <c r="W766">
        <v>0</v>
      </c>
      <c r="X766">
        <v>0</v>
      </c>
      <c r="Y766">
        <v>0</v>
      </c>
      <c r="Z766">
        <v>0</v>
      </c>
      <c r="AA766">
        <v>0</v>
      </c>
      <c r="AB766" s="30">
        <f>IF(B766="Sling Bullet (Stone)",ROUNDUP(D766*0.02*E766/'Ingredient stats'!$C$8,0),0)</f>
        <v>0</v>
      </c>
      <c r="AC766" t="str">
        <f t="shared" si="44"/>
        <v>None</v>
      </c>
      <c r="AD766" t="str">
        <f>IF(OR(B766="Buck",B766="Bird",B766="Charge (Scatter)"),'Ammo Input'!J766,"None")</f>
        <v>None</v>
      </c>
      <c r="AE766" t="str">
        <f>_xlfn.IFS(ISTEXT(Calcs!N766),Calcs!N766,Calcs!N766&lt;=40,Calcs!N766,Calcs!N766&gt;41,"40")</f>
        <v>None</v>
      </c>
      <c r="AF766" t="str">
        <f>_xlfn.IFS(ISTEXT(Calcs!O766),Calcs!O766,Calcs!O766&lt;=80,Calcs!O766,Calcs!O766&gt;=81,"80")</f>
        <v>None</v>
      </c>
      <c r="AG766" s="25">
        <f t="shared" si="45"/>
        <v>1</v>
      </c>
      <c r="AH766" s="25">
        <f t="shared" si="46"/>
        <v>1.16</v>
      </c>
      <c r="AI766" s="25">
        <f t="shared" si="47"/>
        <v>1</v>
      </c>
    </row>
    <row r="767" ht="14.4" spans="1:35">
      <c r="A767" s="24" t="str">
        <f>'Ammo Input'!A767</f>
        <v>Tough Spike</v>
      </c>
      <c r="B767" t="str">
        <f>'Ammo Input'!B767</f>
        <v>FMJ</v>
      </c>
      <c r="C767">
        <f>ROUNDUP(('Ammo Input'!C767*(MAX('Ammo Input'!D767,'Ammo Input'!F767)*0.5)^2*PI())*3/1000000,2)</f>
        <v>0</v>
      </c>
      <c r="D767">
        <f>ROUNDUP(('Ammo Input'!E767+'Ammo Input'!H767*IF('Ammo Input'!J767&lt;&gt;"",MAX('Ammo Input'!J767,1),1))/1000,3)</f>
        <v>0.011</v>
      </c>
      <c r="E767" t="e">
        <f>MIN(5000,MAX(25,CEILING(Calcs!L767,_xlfn.IFS(Calcs!L767&lt;100,25,Calcs!L767&lt;250,50,Calcs!L767&lt;1000,250,Calcs!L767&gt;=1000,1000))))</f>
        <v>#DIV/0!</v>
      </c>
      <c r="F767">
        <f>ROUNDUP('Ammo Input'!G767^(3/4),0)</f>
        <v>70</v>
      </c>
      <c r="G767">
        <f>ROUND((0.5*((IF(OR(B767="HEAT",B767="HEDP"),'Ammo Input'!N767,'Ammo Input'!H767)/1000)*(IF(B767="HEAT",9000,IF(B767="HEDP",1500,'Ammo Input'!G767))^2))),0)</f>
        <v>410</v>
      </c>
      <c r="H767" s="25" t="str">
        <f>CONCATENATE(IF((B767="Foam")+(B767="Smoke"),"-",ROUND(Calcs!D767,0))," ",VLOOKUP(B767,AmmoTypeFactors,5,FALSE))</f>
        <v>11 Bullet</v>
      </c>
      <c r="I767" s="25" t="str">
        <f>IF(Calcs!E767=0,"None",CONCATENATE(ROUND(Calcs!E767,0)," ",VLOOKUP(B767,AmmoTypeFactors,6,FALSE)))</f>
        <v>None</v>
      </c>
      <c r="J767">
        <f>MROUND(2.42*'Ammo Input'!M767^(1/3)*VLOOKUP(B767,AmmoTypeFactors,3,FALSE),0.5)</f>
        <v>0</v>
      </c>
      <c r="K767" s="25" t="str">
        <f>IF(VLOOKUP(B767,AmmoTypeFactors,12,FALSE),MROUND(J767/3,0.5),"None")</f>
        <v>None</v>
      </c>
      <c r="L767" s="25">
        <f>IF(VLOOKUP(B767,AmmoTypeFactors,8,FALSE),"None",ROUNDUP(IF(Calcs!I767&gt;0,Calcs!I767,Calcs!H767),3))</f>
        <v>8.2</v>
      </c>
      <c r="M767" s="25">
        <f>IF(VLOOKUP(B767,AmmoTypeFactors,8,FALSE),"None",'Ammo Input'!L767)</f>
        <v>7.5</v>
      </c>
      <c r="N767">
        <f>'Ammo Input'!O767</f>
        <v>0</v>
      </c>
      <c r="O767" t="e">
        <f>ROUND((P767*0.0036+SUMPRODUCT(Q767:AB767,VLOOKUP($Q$1:$AB$1,IngredientStats,2,FALSE)))/N767*IF('Ammo Input'!R767,0.5,1),2)</f>
        <v>#VALUE!</v>
      </c>
      <c r="P767" t="e">
        <f>(SUMPRODUCT(Q767:AB767,VLOOKUP($Q$1:$AB$1,IngredientStats,4,FALSE))*VLOOKUP(B767,AmmoTypeFactors,14,FALSE)*IF('Ammo Input'!R767,1.1,1))</f>
        <v>#VALUE!</v>
      </c>
      <c r="Q767">
        <f>IFERROR(__xludf.DUMMYFUNCTION("((IF(NOT(OR(REGEXMATCH(B763, ""Arrow""), B763 = ""Javelin"", B763 = ""Stick bomb"")), ROUNDUP(('Ammo Input'!E763 / 1000) * N763)) + IF(VLOOKUP(B763, AmmoTypeFactors, 9, FALSE) = ""Steel"", ROUNDUP(('Ammo Input'!H763 -'Ammo Input'!M763) * MAX(IF('Ammo Inpu"&amp;"t'!J763 &gt; 0, 'Ammo Input'!J763, 1), 1) * N763 / 1000))) / 'Ingredient stats'!$C$2) * IF(ISBLANK(VLOOKUP(B763,AmmoTypeFactors,15,False)),1,VLOOKUP(B763,AmmoTypeFactors,15,False))"),0)</f>
        <v>0</v>
      </c>
      <c r="R767">
        <f>IFERROR(__xludf.DUMMYFUNCTION("ROUNDUP((IF(REGEXMATCH(B763, ""Arrow"") + (B763 = ""Javelin""), 'Ammo Input'!E763) + IF(VLOOKUP(B763, AmmoTypeFactors, 9, FALSE) = ""Wood"", 'Ammo Input'!H763) + IF(B763 = ""Stick bomb"", 'Ammo Input'!E763)) * N763 / 'Ingredient stats'!$C$12 / 1000)"),0)</f>
        <v>0</v>
      </c>
      <c r="S767">
        <v>0</v>
      </c>
      <c r="T767">
        <v>0</v>
      </c>
      <c r="U767">
        <f>IF(VLOOKUP(B767,AmmoTypeFactors,9,FALSE)="Plasteel",ROUNDUP(('Ammo Input'!H767*MAX(IF('Ammo Input'!J767&gt;0,'Ammo Input'!J767,1)*N767/1000/'Ingredient stats'!$C$4)),0),0)</f>
        <v>0</v>
      </c>
      <c r="V767">
        <f>IFERROR(__xludf.DUMMYFUNCTION("ROUNDUP(IF(ISBLANK(VLOOKUP(B763,AmmoTypeFactors,16,False)),1,VLOOKUP(B763,AmmoTypeFactors,16,False)) * (IFS(REGEXMATCH(B763, ""EMP""), 'Ammo Input'!M763 * N763 / 'Ingredient stats'!$C$5, REGEXMATCH(B763, ""Charge""), (U763^0.75), true, 0) + (IF(VLOOKUP(B7"&amp;"63, AmmoTypeFactors, 10, false), 2,0) + IF('Ammo Input'!P763, 2,0) + IF('Ammo Input'!Q763,MIN(ROUNDUP(0.2*('Ammo Input'!H763/1000)*'Ammo Input'!O763,0),20),0))))"),0)</f>
        <v>0</v>
      </c>
      <c r="W767">
        <v>0</v>
      </c>
      <c r="X767">
        <v>0</v>
      </c>
      <c r="Y767">
        <v>0</v>
      </c>
      <c r="Z767">
        <v>0</v>
      </c>
      <c r="AA767">
        <v>0</v>
      </c>
      <c r="AB767" s="30">
        <f>IF(B767="Sling Bullet (Stone)",ROUNDUP(D767*0.02*E767/'Ingredient stats'!$C$8,0),0)</f>
        <v>0</v>
      </c>
      <c r="AC767" t="str">
        <f t="shared" si="44"/>
        <v>None</v>
      </c>
      <c r="AD767" t="str">
        <f>IF(OR(B767="Buck",B767="Bird",B767="Charge (Scatter)"),'Ammo Input'!J767,"None")</f>
        <v>None</v>
      </c>
      <c r="AE767" t="str">
        <f>_xlfn.IFS(ISTEXT(Calcs!N767),Calcs!N767,Calcs!N767&lt;=40,Calcs!N767,Calcs!N767&gt;41,"40")</f>
        <v>None</v>
      </c>
      <c r="AF767" t="str">
        <f>_xlfn.IFS(ISTEXT(Calcs!O767),Calcs!O767,Calcs!O767&lt;=80,Calcs!O767,Calcs!O767&gt;=81,"80")</f>
        <v>None</v>
      </c>
      <c r="AG767" s="25">
        <f t="shared" si="45"/>
        <v>1</v>
      </c>
      <c r="AH767" s="25">
        <f t="shared" si="46"/>
        <v>1.16</v>
      </c>
      <c r="AI767" s="25">
        <f t="shared" si="47"/>
        <v>1</v>
      </c>
    </row>
    <row r="768" ht="14.4" spans="1:35">
      <c r="A768" s="24" t="str">
        <f>'Ammo Input'!A768</f>
        <v>Gorehulk Spike</v>
      </c>
      <c r="B768" t="str">
        <f>'Ammo Input'!B768</f>
        <v>FMJ</v>
      </c>
      <c r="C768">
        <f>ROUNDUP(('Ammo Input'!C768*(MAX('Ammo Input'!D768,'Ammo Input'!F768)*0.5)^2*PI())*3/1000000,2)</f>
        <v>0</v>
      </c>
      <c r="D768">
        <f>ROUNDUP(('Ammo Input'!E768+'Ammo Input'!H768*IF('Ammo Input'!J768&lt;&gt;"",MAX('Ammo Input'!J768,1),1))/1000,3)</f>
        <v>0.02</v>
      </c>
      <c r="E768" t="e">
        <f>MIN(5000,MAX(25,CEILING(Calcs!L768,_xlfn.IFS(Calcs!L768&lt;100,25,Calcs!L768&lt;250,50,Calcs!L768&lt;1000,250,Calcs!L768&gt;=1000,1000))))</f>
        <v>#DIV/0!</v>
      </c>
      <c r="F768">
        <f>ROUNDUP('Ammo Input'!G768^(3/4),0)</f>
        <v>70</v>
      </c>
      <c r="G768">
        <f>ROUND((0.5*((IF(OR(B768="HEAT",B768="HEDP"),'Ammo Input'!N768,'Ammo Input'!H768)/1000)*(IF(B768="HEAT",9000,IF(B768="HEDP",1500,'Ammo Input'!G768))^2))),0)</f>
        <v>808</v>
      </c>
      <c r="H768" s="25" t="str">
        <f>CONCATENATE(IF((B768="Foam")+(B768="Smoke"),"-",ROUND(Calcs!D768,0))," ",VLOOKUP(B768,AmmoTypeFactors,5,FALSE))</f>
        <v>15 Bullet</v>
      </c>
      <c r="I768" s="25" t="str">
        <f>IF(Calcs!E768=0,"None",CONCATENATE(ROUND(Calcs!E768,0)," ",VLOOKUP(B768,AmmoTypeFactors,6,FALSE)))</f>
        <v>None</v>
      </c>
      <c r="J768">
        <f>MROUND(2.42*'Ammo Input'!M768^(1/3)*VLOOKUP(B768,AmmoTypeFactors,3,FALSE),0.5)</f>
        <v>0</v>
      </c>
      <c r="K768" s="25" t="str">
        <f>IF(VLOOKUP(B768,AmmoTypeFactors,12,FALSE),MROUND(J768/3,0.5),"None")</f>
        <v>None</v>
      </c>
      <c r="L768" s="25">
        <f>IF(VLOOKUP(B768,AmmoTypeFactors,8,FALSE),"None",ROUNDUP(IF(Calcs!I768&gt;0,Calcs!I768,Calcs!H768),3))</f>
        <v>16.16</v>
      </c>
      <c r="M768" s="25">
        <f>IF(VLOOKUP(B768,AmmoTypeFactors,8,FALSE),"None",'Ammo Input'!L768)</f>
        <v>14.75</v>
      </c>
      <c r="N768">
        <f>'Ammo Input'!O768</f>
        <v>0</v>
      </c>
      <c r="O768" t="e">
        <f>ROUND((P768*0.0036+SUMPRODUCT(Q768:AB768,VLOOKUP($Q$1:$AB$1,IngredientStats,2,FALSE)))/N768*IF('Ammo Input'!R768,0.5,1),2)</f>
        <v>#VALUE!</v>
      </c>
      <c r="P768" t="e">
        <f>(SUMPRODUCT(Q768:AB768,VLOOKUP($Q$1:$AB$1,IngredientStats,4,FALSE))*VLOOKUP(B768,AmmoTypeFactors,14,FALSE)*IF('Ammo Input'!R768,1.1,1))</f>
        <v>#VALUE!</v>
      </c>
      <c r="Q768">
        <f>IFERROR(__xludf.DUMMYFUNCTION("((IF(NOT(OR(REGEXMATCH(B764, ""Arrow""), B764 = ""Javelin"", B764 = ""Stick bomb"")), ROUNDUP(('Ammo Input'!E764 / 1000) * N764)) + IF(VLOOKUP(B764, AmmoTypeFactors, 9, FALSE) = ""Steel"", ROUNDUP(('Ammo Input'!H764 -'Ammo Input'!M764) * MAX(IF('Ammo Inpu"&amp;"t'!J764 &gt; 0, 'Ammo Input'!J764, 1), 1) * N764 / 1000))) / 'Ingredient stats'!$C$2) * IF(ISBLANK(VLOOKUP(B764,AmmoTypeFactors,15,False)),1,VLOOKUP(B764,AmmoTypeFactors,15,False))"),0)</f>
        <v>0</v>
      </c>
      <c r="R768">
        <f>IFERROR(__xludf.DUMMYFUNCTION("ROUNDUP((IF(REGEXMATCH(B764, ""Arrow"") + (B764 = ""Javelin""), 'Ammo Input'!E764) + IF(VLOOKUP(B764, AmmoTypeFactors, 9, FALSE) = ""Wood"", 'Ammo Input'!H764) + IF(B764 = ""Stick bomb"", 'Ammo Input'!E764)) * N764 / 'Ingredient stats'!$C$12 / 1000)"),0)</f>
        <v>0</v>
      </c>
      <c r="S768">
        <v>0</v>
      </c>
      <c r="T768">
        <v>0</v>
      </c>
      <c r="U768">
        <f>IF(VLOOKUP(B768,AmmoTypeFactors,9,FALSE)="Plasteel",ROUNDUP(('Ammo Input'!H768*MAX(IF('Ammo Input'!J768&gt;0,'Ammo Input'!J768,1)*N768/1000/'Ingredient stats'!$C$4)),0),0)</f>
        <v>0</v>
      </c>
      <c r="V768">
        <f>IFERROR(__xludf.DUMMYFUNCTION("ROUNDUP(IF(ISBLANK(VLOOKUP(B764,AmmoTypeFactors,16,False)),1,VLOOKUP(B764,AmmoTypeFactors,16,False)) * (IFS(REGEXMATCH(B764, ""EMP""), 'Ammo Input'!M764 * N764 / 'Ingredient stats'!$C$5, REGEXMATCH(B764, ""Charge""), (U764^0.75), true, 0) + (IF(VLOOKUP(B7"&amp;"64, AmmoTypeFactors, 10, false), 2,0) + IF('Ammo Input'!P764, 2,0) + IF('Ammo Input'!Q764,MIN(ROUNDUP(0.2*('Ammo Input'!H764/1000)*'Ammo Input'!O764,0),20),0))))"),0)</f>
        <v>0</v>
      </c>
      <c r="W768">
        <v>0</v>
      </c>
      <c r="X768">
        <v>0</v>
      </c>
      <c r="Y768">
        <v>0</v>
      </c>
      <c r="Z768">
        <v>0</v>
      </c>
      <c r="AA768">
        <v>0</v>
      </c>
      <c r="AB768" s="30">
        <f>IF(B768="Sling Bullet (Stone)",ROUNDUP(D768*0.02*E768/'Ingredient stats'!$C$8,0),0)</f>
        <v>0</v>
      </c>
      <c r="AC768" t="str">
        <f t="shared" si="44"/>
        <v>None</v>
      </c>
      <c r="AD768" t="str">
        <f>IF(OR(B768="Buck",B768="Bird",B768="Charge (Scatter)"),'Ammo Input'!J768,"None")</f>
        <v>None</v>
      </c>
      <c r="AE768" t="str">
        <f>_xlfn.IFS(ISTEXT(Calcs!N768),Calcs!N768,Calcs!N768&lt;=40,Calcs!N768,Calcs!N768&gt;41,"40")</f>
        <v>None</v>
      </c>
      <c r="AF768" t="str">
        <f>_xlfn.IFS(ISTEXT(Calcs!O768),Calcs!O768,Calcs!O768&lt;=80,Calcs!O768,Calcs!O768&gt;=81,"80")</f>
        <v>None</v>
      </c>
      <c r="AG768" s="25">
        <f t="shared" si="45"/>
        <v>1</v>
      </c>
      <c r="AH768" s="25">
        <f t="shared" si="46"/>
        <v>1.16</v>
      </c>
      <c r="AI768" s="25">
        <f t="shared" si="47"/>
        <v>1</v>
      </c>
    </row>
    <row r="769" ht="14.4" spans="1:35">
      <c r="A769" s="24" t="str">
        <f>'Ammo Input'!A769</f>
        <v>Nail (Slow)</v>
      </c>
      <c r="B769" t="str">
        <f>'Ammo Input'!B769</f>
        <v>FMJ</v>
      </c>
      <c r="C769">
        <f>ROUNDUP(('Ammo Input'!C769*(MAX('Ammo Input'!D769,'Ammo Input'!F769)*0.5)^2*PI())*3/1000000,2)</f>
        <v>0.01</v>
      </c>
      <c r="D769">
        <f>ROUNDUP(('Ammo Input'!E769+'Ammo Input'!H769*IF('Ammo Input'!J769&lt;&gt;"",MAX('Ammo Input'!J769,1),1))/1000,3)</f>
        <v>0.004</v>
      </c>
      <c r="E769">
        <f>MIN(5000,MAX(25,CEILING(Calcs!L769,_xlfn.IFS(Calcs!L769&lt;100,25,Calcs!L769&lt;250,50,Calcs!L769&lt;1000,250,Calcs!L769&gt;=1000,1000))))</f>
        <v>5000</v>
      </c>
      <c r="F769">
        <f>ROUNDUP('Ammo Input'!G769^(3/4),0)</f>
        <v>17</v>
      </c>
      <c r="G769">
        <f>ROUND((0.5*((IF(OR(B769="HEAT",B769="HEDP"),'Ammo Input'!N769,'Ammo Input'!H769)/1000)*(IF(B769="HEAT",9000,IF(B769="HEDP",1500,'Ammo Input'!G769))^2))),0)</f>
        <v>3</v>
      </c>
      <c r="H769" s="25" t="str">
        <f>CONCATENATE(IF((B769="Foam")+(B769="Smoke"),"-",ROUND(Calcs!D769,0))," ",VLOOKUP(B769,AmmoTypeFactors,5,FALSE))</f>
        <v>1 Bullet</v>
      </c>
      <c r="I769" s="25" t="str">
        <f>IF(Calcs!E769=0,"None",CONCATENATE(ROUND(Calcs!E769,0)," ",VLOOKUP(B769,AmmoTypeFactors,6,FALSE)))</f>
        <v>None</v>
      </c>
      <c r="J769">
        <f>MROUND(2.42*'Ammo Input'!M769^(1/3)*VLOOKUP(B769,AmmoTypeFactors,3,FALSE),0.5)</f>
        <v>0</v>
      </c>
      <c r="K769" s="25" t="str">
        <f>IF(VLOOKUP(B769,AmmoTypeFactors,12,FALSE),MROUND(J769/3,0.5),"None")</f>
        <v>None</v>
      </c>
      <c r="L769" s="25">
        <f>IF(VLOOKUP(B769,AmmoTypeFactors,8,FALSE),"None",ROUNDUP(IF(Calcs!I769&gt;0,Calcs!I769,Calcs!H769),3))</f>
        <v>0.06</v>
      </c>
      <c r="M769" s="34">
        <f>IF(VLOOKUP(B769,AmmoTypeFactors,8,FALSE),"None",'Ammo Input'!L769)</f>
        <v>0.2</v>
      </c>
      <c r="N769">
        <f>'Ammo Input'!O769</f>
        <v>500</v>
      </c>
      <c r="O769" t="e">
        <f>ROUND((P769*0.0036+SUMPRODUCT(Q769:AB769,VLOOKUP($Q$1:$AB$1,IngredientStats,2,FALSE)))/N769*IF('Ammo Input'!R769,0.5,1),2)</f>
        <v>#VALUE!</v>
      </c>
      <c r="P769" t="e">
        <f>(SUMPRODUCT(Q769:AB769,VLOOKUP($Q$1:$AB$1,IngredientStats,4,FALSE))*VLOOKUP(B769,AmmoTypeFactors,14,FALSE)*IF('Ammo Input'!R769,1.1,1))</f>
        <v>#VALUE!</v>
      </c>
      <c r="Q769">
        <f>IFERROR(__xludf.DUMMYFUNCTION("((IF(NOT(OR(REGEXMATCH(B765, ""Arrow""), B765 = ""Javelin"", B765 = ""Stick bomb"")), ROUNDUP(('Ammo Input'!E765 / 1000) * N765)) + IF(VLOOKUP(B765, AmmoTypeFactors, 9, FALSE) = ""Steel"", ROUNDUP(('Ammo Input'!H765 -'Ammo Input'!M765) * MAX(IF('Ammo Inpu"&amp;"t'!J765 &gt; 0, 'Ammo Input'!J765, 1), 1) * N765 / 1000))) / 'Ingredient stats'!$C$2) * IF(ISBLANK(VLOOKUP(B765,AmmoTypeFactors,15,False)),1,VLOOKUP(B765,AmmoTypeFactors,15,False))"),4)</f>
        <v>4</v>
      </c>
      <c r="R769">
        <f>IFERROR(__xludf.DUMMYFUNCTION("ROUNDUP((IF(REGEXMATCH(B765, ""Arrow"") + (B765 = ""Javelin""), 'Ammo Input'!E765) + IF(VLOOKUP(B765, AmmoTypeFactors, 9, FALSE) = ""Wood"", 'Ammo Input'!H765) + IF(B765 = ""Stick bomb"", 'Ammo Input'!E765)) * N765 / 'Ingredient stats'!$C$12 / 1000)"),0)</f>
        <v>0</v>
      </c>
      <c r="S769">
        <v>0</v>
      </c>
      <c r="T769">
        <v>0</v>
      </c>
      <c r="U769">
        <f>IF(VLOOKUP(B769,AmmoTypeFactors,9,FALSE)="Plasteel",ROUNDUP(('Ammo Input'!H769*MAX(IF('Ammo Input'!J769&gt;0,'Ammo Input'!J769,1)*N769/1000/'Ingredient stats'!$C$4)),0),0)</f>
        <v>0</v>
      </c>
      <c r="V769">
        <f>IFERROR(__xludf.DUMMYFUNCTION("ROUNDUP(IF(ISBLANK(VLOOKUP(B765,AmmoTypeFactors,16,False)),1,VLOOKUP(B765,AmmoTypeFactors,16,False)) * (IFS(REGEXMATCH(B765, ""EMP""), 'Ammo Input'!M765 * N765 / 'Ingredient stats'!$C$5, REGEXMATCH(B765, ""Charge""), (U765^0.75), true, 0) + (IF(VLOOKUP(B7"&amp;"65, AmmoTypeFactors, 10, false), 2,0) + IF('Ammo Input'!P765, 2,0) + IF('Ammo Input'!Q765,MIN(ROUNDUP(0.2*('Ammo Input'!H765/1000)*'Ammo Input'!O765,0),20),0))))"),0)</f>
        <v>0</v>
      </c>
      <c r="W769">
        <v>0</v>
      </c>
      <c r="X769">
        <v>0</v>
      </c>
      <c r="Y769">
        <v>0</v>
      </c>
      <c r="Z769">
        <v>0</v>
      </c>
      <c r="AA769">
        <v>0</v>
      </c>
      <c r="AB769" s="30">
        <f>IF(B769="Sling Bullet (Stone)",ROUNDUP(D769*0.02*E769/'Ingredient stats'!$C$8,0),0)</f>
        <v>0</v>
      </c>
      <c r="AC769" t="str">
        <f t="shared" si="44"/>
        <v>None</v>
      </c>
      <c r="AD769" t="str">
        <f>IF(OR(B769="Buck",B769="Bird",B769="Charge (Scatter)"),'Ammo Input'!J769,"None")</f>
        <v>None</v>
      </c>
      <c r="AE769" t="str">
        <f>_xlfn.IFS(ISTEXT(Calcs!N769),Calcs!N769,Calcs!N769&lt;=40,Calcs!N769,Calcs!N769&gt;41,"40")</f>
        <v>None</v>
      </c>
      <c r="AF769" t="str">
        <f>_xlfn.IFS(ISTEXT(Calcs!O769),Calcs!O769,Calcs!O769&lt;=80,Calcs!O769,Calcs!O769&gt;=81,"80")</f>
        <v>None</v>
      </c>
      <c r="AG769" s="25">
        <f t="shared" si="45"/>
        <v>1</v>
      </c>
      <c r="AH769" s="25">
        <f t="shared" si="46"/>
        <v>0.28</v>
      </c>
      <c r="AI769" s="25">
        <f t="shared" si="47"/>
        <v>1</v>
      </c>
    </row>
    <row r="770" ht="14.4" spans="1:35">
      <c r="A770" s="24" t="str">
        <f>'Ammo Input'!A770</f>
        <v>Nail (Fast)</v>
      </c>
      <c r="B770" t="str">
        <f>'Ammo Input'!B770</f>
        <v>FMJ</v>
      </c>
      <c r="C770">
        <f>ROUNDUP(('Ammo Input'!C770*(MAX('Ammo Input'!D770,'Ammo Input'!F770)*0.5)^2*PI())*3/1000000,2)</f>
        <v>0.01</v>
      </c>
      <c r="D770">
        <f>ROUNDUP(('Ammo Input'!E770+'Ammo Input'!H770*IF('Ammo Input'!J770&lt;&gt;"",MAX('Ammo Input'!J770,1),1))/1000,3)</f>
        <v>0.004</v>
      </c>
      <c r="E770">
        <f>MIN(5000,MAX(25,CEILING(Calcs!L770,_xlfn.IFS(Calcs!L770&lt;100,25,Calcs!L770&lt;250,50,Calcs!L770&lt;1000,250,Calcs!L770&gt;=1000,1000))))</f>
        <v>5000</v>
      </c>
      <c r="F770">
        <f>ROUNDUP('Ammo Input'!G770^(3/4),0)</f>
        <v>45</v>
      </c>
      <c r="G770">
        <f>ROUND((0.5*((IF(OR(B770="HEAT",B770="HEDP"),'Ammo Input'!N770,'Ammo Input'!H770)/1000)*(IF(B770="HEAT",9000,IF(B770="HEDP",1500,'Ammo Input'!G770))^2))),0)</f>
        <v>41</v>
      </c>
      <c r="H770" s="25" t="str">
        <f>CONCATENATE(IF((B770="Foam")+(B770="Smoke"),"-",ROUND(Calcs!D770,0))," ",VLOOKUP(B770,AmmoTypeFactors,5,FALSE))</f>
        <v>3 Bullet</v>
      </c>
      <c r="I770" s="25" t="str">
        <f>IF(Calcs!E770=0,"None",CONCATENATE(ROUND(Calcs!E770,0)," ",VLOOKUP(B770,AmmoTypeFactors,6,FALSE)))</f>
        <v>None</v>
      </c>
      <c r="J770">
        <f>MROUND(2.42*'Ammo Input'!M770^(1/3)*VLOOKUP(B770,AmmoTypeFactors,3,FALSE),0.5)</f>
        <v>0</v>
      </c>
      <c r="K770" s="25" t="str">
        <f>IF(VLOOKUP(B770,AmmoTypeFactors,12,FALSE),MROUND(J770/3,0.5),"None")</f>
        <v>None</v>
      </c>
      <c r="L770" s="25">
        <f>IF(VLOOKUP(B770,AmmoTypeFactors,8,FALSE),"None",ROUNDUP(IF(Calcs!I770&gt;0,Calcs!I770,Calcs!H770),3))</f>
        <v>0.82</v>
      </c>
      <c r="M770" s="34">
        <f>IF(VLOOKUP(B770,AmmoTypeFactors,8,FALSE),"None",'Ammo Input'!L770)</f>
        <v>3</v>
      </c>
      <c r="N770">
        <f>'Ammo Input'!O770</f>
        <v>500</v>
      </c>
      <c r="O770" t="e">
        <f>ROUND((P770*0.0036+SUMPRODUCT(Q770:AB770,VLOOKUP($Q$1:$AB$1,IngredientStats,2,FALSE)))/N770*IF('Ammo Input'!R770,0.5,1),2)</f>
        <v>#VALUE!</v>
      </c>
      <c r="P770" t="e">
        <f>(SUMPRODUCT(Q770:AB770,VLOOKUP($Q$1:$AB$1,IngredientStats,4,FALSE))*VLOOKUP(B770,AmmoTypeFactors,14,FALSE)*IF('Ammo Input'!R770,1.1,1))</f>
        <v>#VALUE!</v>
      </c>
      <c r="Q770">
        <f>IFERROR(__xludf.DUMMYFUNCTION("((IF(NOT(OR(REGEXMATCH(B766, ""Arrow""), B766 = ""Javelin"", B766 = ""Stick bomb"")), ROUNDUP(('Ammo Input'!E766 / 1000) * N766)) + IF(VLOOKUP(B766, AmmoTypeFactors, 9, FALSE) = ""Steel"", ROUNDUP(('Ammo Input'!H766 -'Ammo Input'!M766) * MAX(IF('Ammo Inpu"&amp;"t'!J766 &gt; 0, 'Ammo Input'!J766, 1), 1) * N766 / 1000))) / 'Ingredient stats'!$C$2) * IF(ISBLANK(VLOOKUP(B766,AmmoTypeFactors,15,False)),1,VLOOKUP(B766,AmmoTypeFactors,15,False))"),4)</f>
        <v>4</v>
      </c>
      <c r="R770">
        <f>IFERROR(__xludf.DUMMYFUNCTION("ROUNDUP((IF(REGEXMATCH(B766, ""Arrow"") + (B766 = ""Javelin""), 'Ammo Input'!E766) + IF(VLOOKUP(B766, AmmoTypeFactors, 9, FALSE) = ""Wood"", 'Ammo Input'!H766) + IF(B766 = ""Stick bomb"", 'Ammo Input'!E766)) * N766 / 'Ingredient stats'!$C$12 / 1000)"),0)</f>
        <v>0</v>
      </c>
      <c r="S770">
        <v>0</v>
      </c>
      <c r="T770">
        <v>0</v>
      </c>
      <c r="U770">
        <f>IF(VLOOKUP(B770,AmmoTypeFactors,9,FALSE)="Plasteel",ROUNDUP(('Ammo Input'!H770*MAX(IF('Ammo Input'!J770&gt;0,'Ammo Input'!J770,1)*N770/1000/'Ingredient stats'!$C$4)),0),0)</f>
        <v>0</v>
      </c>
      <c r="V770">
        <f>IFERROR(__xludf.DUMMYFUNCTION("ROUNDUP(IF(ISBLANK(VLOOKUP(B766,AmmoTypeFactors,16,False)),1,VLOOKUP(B766,AmmoTypeFactors,16,False)) * (IFS(REGEXMATCH(B766, ""EMP""), 'Ammo Input'!M766 * N766 / 'Ingredient stats'!$C$5, REGEXMATCH(B766, ""Charge""), (U766^0.75), true, 0) + (IF(VLOOKUP(B7"&amp;"66, AmmoTypeFactors, 10, false), 2,0) + IF('Ammo Input'!P766, 2,0) + IF('Ammo Input'!Q766,MIN(ROUNDUP(0.2*('Ammo Input'!H766/1000)*'Ammo Input'!O766,0),20),0))))"),0)</f>
        <v>0</v>
      </c>
      <c r="W770">
        <v>0</v>
      </c>
      <c r="X770">
        <v>0</v>
      </c>
      <c r="Y770">
        <v>0</v>
      </c>
      <c r="Z770">
        <v>0</v>
      </c>
      <c r="AA770">
        <v>0</v>
      </c>
      <c r="AB770" s="30">
        <f>IF(B770="Sling Bullet (Stone)",ROUNDUP(D770*0.02*E770/'Ingredient stats'!$C$8,0),0)</f>
        <v>0</v>
      </c>
      <c r="AC770" t="str">
        <f t="shared" si="44"/>
        <v>None</v>
      </c>
      <c r="AD770" t="str">
        <f>IF(OR(B770="Buck",B770="Bird",B770="Charge (Scatter)"),'Ammo Input'!J770,"None")</f>
        <v>None</v>
      </c>
      <c r="AE770" t="str">
        <f>_xlfn.IFS(ISTEXT(Calcs!N770),Calcs!N770,Calcs!N770&lt;=40,Calcs!N770,Calcs!N770&gt;41,"40")</f>
        <v>None</v>
      </c>
      <c r="AF770" t="str">
        <f>_xlfn.IFS(ISTEXT(Calcs!O770),Calcs!O770,Calcs!O770&lt;=80,Calcs!O770,Calcs!O770&gt;=81,"80")</f>
        <v>None</v>
      </c>
      <c r="AG770" s="25">
        <f t="shared" si="45"/>
        <v>1</v>
      </c>
      <c r="AH770" s="25">
        <f t="shared" si="46"/>
        <v>0.75</v>
      </c>
      <c r="AI770" s="25">
        <f t="shared" si="47"/>
        <v>1</v>
      </c>
    </row>
    <row r="771" ht="14.4" spans="8:13">
      <c r="H771" s="25"/>
      <c r="I771" s="25"/>
      <c r="K771" s="25"/>
      <c r="L771" s="25"/>
      <c r="M771" s="25"/>
    </row>
    <row r="772" ht="14.4" spans="8:13">
      <c r="H772" s="25"/>
      <c r="I772" s="25"/>
      <c r="K772" s="25"/>
      <c r="L772" s="25"/>
      <c r="M772" s="25"/>
    </row>
    <row r="773" ht="14.4" spans="8:13">
      <c r="H773" s="25"/>
      <c r="I773" s="25"/>
      <c r="K773" s="25"/>
      <c r="L773" s="25"/>
      <c r="M773" s="25"/>
    </row>
    <row r="774" ht="14.4" spans="8:13">
      <c r="H774" s="25"/>
      <c r="I774" s="25"/>
      <c r="K774" s="25"/>
      <c r="L774" s="25"/>
      <c r="M774" s="25"/>
    </row>
    <row r="775" ht="14.4" spans="8:13">
      <c r="H775" s="25"/>
      <c r="I775" s="25"/>
      <c r="K775" s="25"/>
      <c r="L775" s="25"/>
      <c r="M775" s="25"/>
    </row>
    <row r="776" ht="14.4" spans="8:13">
      <c r="H776" s="25"/>
      <c r="I776" s="25"/>
      <c r="K776" s="25"/>
      <c r="L776" s="25"/>
      <c r="M776" s="25"/>
    </row>
    <row r="777" ht="14.4" spans="8:13">
      <c r="H777" s="25"/>
      <c r="I777" s="25"/>
      <c r="K777" s="25"/>
      <c r="L777" s="25"/>
      <c r="M777" s="25"/>
    </row>
    <row r="778" ht="14.4" spans="8:13">
      <c r="H778" s="25"/>
      <c r="I778" s="25"/>
      <c r="K778" s="25"/>
      <c r="L778" s="25"/>
      <c r="M778" s="25"/>
    </row>
    <row r="779" ht="14.4" spans="8:13">
      <c r="H779" s="25"/>
      <c r="I779" s="25"/>
      <c r="K779" s="25"/>
      <c r="L779" s="25"/>
      <c r="M779" s="25"/>
    </row>
    <row r="780" ht="14.4" spans="8:13">
      <c r="H780" s="25"/>
      <c r="I780" s="25"/>
      <c r="K780" s="25"/>
      <c r="L780" s="25"/>
      <c r="M780" s="25"/>
    </row>
    <row r="781" ht="14.4" spans="8:13">
      <c r="H781" s="25"/>
      <c r="I781" s="25"/>
      <c r="K781" s="25"/>
      <c r="L781" s="25"/>
      <c r="M781" s="25"/>
    </row>
    <row r="782" ht="14.4" spans="8:13">
      <c r="H782" s="25"/>
      <c r="I782" s="25"/>
      <c r="K782" s="25"/>
      <c r="L782" s="25"/>
      <c r="M782" s="25"/>
    </row>
    <row r="783" ht="14.4" spans="8:13">
      <c r="H783" s="25"/>
      <c r="I783" s="25"/>
      <c r="K783" s="25"/>
      <c r="L783" s="25"/>
      <c r="M783" s="25"/>
    </row>
    <row r="784" ht="14.4" spans="8:13">
      <c r="H784" s="25"/>
      <c r="I784" s="25"/>
      <c r="K784" s="25"/>
      <c r="L784" s="25"/>
      <c r="M784" s="25"/>
    </row>
    <row r="785" ht="14.4" spans="8:13">
      <c r="H785" s="25"/>
      <c r="I785" s="25"/>
      <c r="K785" s="25"/>
      <c r="L785" s="25"/>
      <c r="M785" s="25"/>
    </row>
    <row r="786" ht="14.4" spans="8:13">
      <c r="H786" s="25"/>
      <c r="I786" s="25"/>
      <c r="K786" s="25"/>
      <c r="L786" s="25"/>
      <c r="M786" s="25"/>
    </row>
    <row r="787" ht="14.4" spans="8:13">
      <c r="H787" s="25"/>
      <c r="I787" s="25"/>
      <c r="K787" s="25"/>
      <c r="L787" s="25"/>
      <c r="M787" s="25"/>
    </row>
    <row r="788" ht="14.4" spans="8:13">
      <c r="H788" s="25"/>
      <c r="I788" s="25"/>
      <c r="K788" s="25"/>
      <c r="L788" s="25"/>
      <c r="M788" s="25"/>
    </row>
    <row r="789" ht="14.4" spans="8:13">
      <c r="H789" s="25"/>
      <c r="I789" s="25"/>
      <c r="K789" s="25"/>
      <c r="L789" s="25"/>
      <c r="M789" s="25"/>
    </row>
    <row r="790" ht="14.4" spans="8:13">
      <c r="H790" s="25"/>
      <c r="I790" s="25"/>
      <c r="K790" s="25"/>
      <c r="L790" s="25"/>
      <c r="M790" s="25"/>
    </row>
    <row r="791" ht="14.4" spans="8:13">
      <c r="H791" s="25"/>
      <c r="I791" s="25"/>
      <c r="K791" s="25"/>
      <c r="L791" s="25"/>
      <c r="M791" s="25"/>
    </row>
    <row r="792" ht="14.4" spans="8:13">
      <c r="H792" s="25"/>
      <c r="I792" s="25"/>
      <c r="K792" s="25"/>
      <c r="L792" s="25"/>
      <c r="M792" s="25"/>
    </row>
    <row r="793" ht="14.4" spans="8:13">
      <c r="H793" s="25"/>
      <c r="I793" s="25"/>
      <c r="K793" s="25"/>
      <c r="L793" s="25"/>
      <c r="M793" s="25"/>
    </row>
    <row r="794" ht="14.4" spans="8:13">
      <c r="H794" s="25"/>
      <c r="I794" s="25"/>
      <c r="K794" s="25"/>
      <c r="L794" s="25"/>
      <c r="M794" s="25"/>
    </row>
    <row r="795" ht="14.4" spans="8:13">
      <c r="H795" s="25"/>
      <c r="I795" s="25"/>
      <c r="K795" s="25"/>
      <c r="L795" s="25"/>
      <c r="M795" s="25"/>
    </row>
    <row r="796" ht="14.4" spans="8:13">
      <c r="H796" s="25"/>
      <c r="I796" s="25"/>
      <c r="K796" s="25"/>
      <c r="L796" s="25"/>
      <c r="M796" s="25"/>
    </row>
    <row r="797" ht="14.4" spans="8:13">
      <c r="H797" s="25"/>
      <c r="I797" s="25"/>
      <c r="K797" s="25"/>
      <c r="L797" s="25"/>
      <c r="M797" s="25"/>
    </row>
    <row r="798" ht="14.4" spans="8:13">
      <c r="H798" s="25"/>
      <c r="I798" s="25"/>
      <c r="K798" s="25"/>
      <c r="L798" s="25"/>
      <c r="M798" s="25"/>
    </row>
    <row r="799" ht="14.4" spans="8:13">
      <c r="H799" s="25"/>
      <c r="I799" s="25"/>
      <c r="K799" s="25"/>
      <c r="L799" s="25"/>
      <c r="M799" s="25"/>
    </row>
    <row r="800" ht="14.4" spans="8:13">
      <c r="H800" s="25"/>
      <c r="I800" s="25"/>
      <c r="K800" s="25"/>
      <c r="L800" s="25"/>
      <c r="M800" s="25"/>
    </row>
    <row r="801" ht="14.4" spans="8:13">
      <c r="H801" s="25"/>
      <c r="I801" s="25"/>
      <c r="K801" s="25"/>
      <c r="L801" s="25"/>
      <c r="M801" s="25"/>
    </row>
    <row r="802" ht="14.4" spans="8:13">
      <c r="H802" s="25"/>
      <c r="I802" s="25"/>
      <c r="K802" s="25"/>
      <c r="L802" s="25"/>
      <c r="M802" s="25"/>
    </row>
    <row r="803" ht="14.4" spans="8:13">
      <c r="H803" s="25"/>
      <c r="I803" s="25"/>
      <c r="K803" s="25"/>
      <c r="L803" s="25"/>
      <c r="M803" s="25"/>
    </row>
    <row r="804" ht="14.4" spans="8:13">
      <c r="H804" s="25"/>
      <c r="I804" s="25"/>
      <c r="K804" s="25"/>
      <c r="L804" s="25"/>
      <c r="M804" s="25"/>
    </row>
    <row r="805" ht="14.4" spans="8:13">
      <c r="H805" s="25"/>
      <c r="I805" s="25"/>
      <c r="K805" s="25"/>
      <c r="L805" s="25"/>
      <c r="M805" s="25"/>
    </row>
    <row r="806" ht="14.4" spans="8:13">
      <c r="H806" s="25"/>
      <c r="I806" s="25"/>
      <c r="K806" s="25"/>
      <c r="L806" s="25"/>
      <c r="M806" s="25"/>
    </row>
    <row r="807" ht="14.4" spans="8:13">
      <c r="H807" s="25"/>
      <c r="I807" s="25"/>
      <c r="K807" s="25"/>
      <c r="L807" s="25"/>
      <c r="M807" s="25"/>
    </row>
    <row r="808" ht="14.4" spans="8:13">
      <c r="H808" s="25"/>
      <c r="I808" s="25"/>
      <c r="K808" s="25"/>
      <c r="L808" s="25"/>
      <c r="M808" s="25"/>
    </row>
    <row r="809" ht="14.4" spans="8:13">
      <c r="H809" s="25"/>
      <c r="I809" s="25"/>
      <c r="K809" s="25"/>
      <c r="L809" s="25"/>
      <c r="M809" s="25"/>
    </row>
    <row r="810" ht="14.4" spans="8:13">
      <c r="H810" s="25"/>
      <c r="I810" s="25"/>
      <c r="K810" s="25"/>
      <c r="L810" s="25"/>
      <c r="M810" s="25"/>
    </row>
    <row r="811" ht="14.4" spans="8:13">
      <c r="H811" s="25"/>
      <c r="I811" s="25"/>
      <c r="K811" s="25"/>
      <c r="L811" s="25"/>
      <c r="M811" s="25"/>
    </row>
    <row r="812" ht="14.4" spans="8:13">
      <c r="H812" s="25"/>
      <c r="I812" s="25"/>
      <c r="K812" s="25"/>
      <c r="L812" s="25"/>
      <c r="M812" s="25"/>
    </row>
    <row r="813" ht="14.4" spans="8:13">
      <c r="H813" s="25"/>
      <c r="I813" s="25"/>
      <c r="K813" s="25"/>
      <c r="L813" s="25"/>
      <c r="M813" s="25"/>
    </row>
    <row r="814" ht="14.4" spans="8:13">
      <c r="H814" s="25"/>
      <c r="I814" s="25"/>
      <c r="K814" s="25"/>
      <c r="L814" s="25"/>
      <c r="M814" s="25"/>
    </row>
    <row r="815" ht="14.4" spans="8:13">
      <c r="H815" s="25"/>
      <c r="I815" s="25"/>
      <c r="K815" s="25"/>
      <c r="L815" s="25"/>
      <c r="M815" s="25"/>
    </row>
    <row r="816" ht="14.4" spans="8:13">
      <c r="H816" s="25"/>
      <c r="I816" s="25"/>
      <c r="K816" s="25"/>
      <c r="L816" s="25"/>
      <c r="M816" s="25"/>
    </row>
    <row r="817" ht="14.4" spans="8:13">
      <c r="H817" s="25"/>
      <c r="I817" s="25"/>
      <c r="K817" s="25"/>
      <c r="L817" s="25"/>
      <c r="M817" s="25"/>
    </row>
    <row r="818" ht="14.4" spans="8:13">
      <c r="H818" s="25"/>
      <c r="I818" s="25"/>
      <c r="K818" s="25"/>
      <c r="L818" s="25"/>
      <c r="M818" s="25"/>
    </row>
    <row r="819" ht="14.4" spans="8:13">
      <c r="H819" s="25"/>
      <c r="I819" s="25"/>
      <c r="K819" s="25"/>
      <c r="L819" s="25"/>
      <c r="M819" s="25"/>
    </row>
    <row r="820" ht="14.4" spans="8:13">
      <c r="H820" s="25"/>
      <c r="I820" s="25"/>
      <c r="K820" s="25"/>
      <c r="L820" s="25"/>
      <c r="M820" s="25"/>
    </row>
    <row r="821" ht="14.4" spans="8:13">
      <c r="H821" s="25"/>
      <c r="I821" s="25"/>
      <c r="K821" s="25"/>
      <c r="L821" s="25"/>
      <c r="M821" s="25"/>
    </row>
    <row r="822" ht="14.4" spans="8:13">
      <c r="H822" s="25"/>
      <c r="I822" s="25"/>
      <c r="K822" s="25"/>
      <c r="L822" s="25"/>
      <c r="M822" s="25"/>
    </row>
    <row r="823" ht="14.4" spans="8:13">
      <c r="H823" s="25"/>
      <c r="I823" s="25"/>
      <c r="K823" s="25"/>
      <c r="L823" s="25"/>
      <c r="M823" s="25"/>
    </row>
    <row r="824" ht="14.4" spans="8:13">
      <c r="H824" s="25"/>
      <c r="I824" s="25"/>
      <c r="K824" s="25"/>
      <c r="L824" s="25"/>
      <c r="M824" s="25"/>
    </row>
    <row r="825" ht="14.4" spans="8:13">
      <c r="H825" s="25"/>
      <c r="I825" s="25"/>
      <c r="K825" s="25"/>
      <c r="L825" s="25"/>
      <c r="M825" s="25"/>
    </row>
    <row r="826" ht="14.4" spans="8:13">
      <c r="H826" s="25"/>
      <c r="I826" s="25"/>
      <c r="K826" s="25"/>
      <c r="L826" s="25"/>
      <c r="M826" s="25"/>
    </row>
    <row r="827" ht="14.4" spans="8:13">
      <c r="H827" s="25"/>
      <c r="I827" s="25"/>
      <c r="K827" s="25"/>
      <c r="L827" s="25"/>
      <c r="M827" s="25"/>
    </row>
    <row r="828" ht="14.4" spans="8:13">
      <c r="H828" s="25"/>
      <c r="I828" s="25"/>
      <c r="K828" s="25"/>
      <c r="L828" s="25"/>
      <c r="M828" s="25"/>
    </row>
    <row r="829" ht="14.4" spans="8:13">
      <c r="H829" s="25"/>
      <c r="I829" s="25"/>
      <c r="K829" s="25"/>
      <c r="L829" s="25"/>
      <c r="M829" s="25"/>
    </row>
    <row r="830" ht="14.4" spans="8:13">
      <c r="H830" s="25"/>
      <c r="I830" s="25"/>
      <c r="K830" s="25"/>
      <c r="L830" s="25"/>
      <c r="M830" s="25"/>
    </row>
    <row r="831" ht="14.4" spans="8:13">
      <c r="H831" s="25"/>
      <c r="I831" s="25"/>
      <c r="K831" s="25"/>
      <c r="L831" s="25"/>
      <c r="M831" s="25"/>
    </row>
    <row r="832" ht="14.4" spans="8:13">
      <c r="H832" s="25"/>
      <c r="I832" s="25"/>
      <c r="K832" s="25"/>
      <c r="L832" s="25"/>
      <c r="M832" s="25"/>
    </row>
    <row r="833" ht="14.4" spans="8:13">
      <c r="H833" s="25"/>
      <c r="I833" s="25"/>
      <c r="K833" s="25"/>
      <c r="L833" s="25"/>
      <c r="M833" s="25"/>
    </row>
    <row r="834" ht="14.4" spans="8:13">
      <c r="H834" s="25"/>
      <c r="I834" s="25"/>
      <c r="K834" s="25"/>
      <c r="L834" s="25"/>
      <c r="M834" s="25"/>
    </row>
    <row r="835" ht="14.4" spans="8:13">
      <c r="H835" s="25"/>
      <c r="I835" s="25"/>
      <c r="K835" s="25"/>
      <c r="L835" s="25"/>
      <c r="M835" s="25"/>
    </row>
    <row r="836" ht="14.4" spans="8:13">
      <c r="H836" s="25"/>
      <c r="I836" s="25"/>
      <c r="K836" s="25"/>
      <c r="L836" s="25"/>
      <c r="M836" s="25"/>
    </row>
    <row r="837" ht="14.4" spans="8:13">
      <c r="H837" s="25"/>
      <c r="I837" s="25"/>
      <c r="K837" s="25"/>
      <c r="L837" s="25"/>
      <c r="M837" s="25"/>
    </row>
    <row r="838" ht="14.4" spans="8:13">
      <c r="H838" s="25"/>
      <c r="I838" s="25"/>
      <c r="K838" s="25"/>
      <c r="L838" s="25"/>
      <c r="M838" s="25"/>
    </row>
    <row r="839" ht="14.4" spans="8:13">
      <c r="H839" s="25"/>
      <c r="I839" s="25"/>
      <c r="K839" s="25"/>
      <c r="L839" s="25"/>
      <c r="M839" s="25"/>
    </row>
    <row r="840" ht="14.4" spans="8:13">
      <c r="H840" s="25"/>
      <c r="I840" s="25"/>
      <c r="K840" s="25"/>
      <c r="L840" s="25"/>
      <c r="M840" s="25"/>
    </row>
    <row r="841" ht="14.4" spans="8:13">
      <c r="H841" s="25"/>
      <c r="I841" s="25"/>
      <c r="K841" s="25"/>
      <c r="L841" s="25"/>
      <c r="M841" s="25"/>
    </row>
    <row r="842" ht="14.4" spans="8:13">
      <c r="H842" s="25"/>
      <c r="I842" s="25"/>
      <c r="K842" s="25"/>
      <c r="L842" s="25"/>
      <c r="M842" s="25"/>
    </row>
    <row r="843" ht="14.4" spans="8:13">
      <c r="H843" s="25"/>
      <c r="I843" s="25"/>
      <c r="K843" s="25"/>
      <c r="L843" s="25"/>
      <c r="M843" s="25"/>
    </row>
    <row r="844" ht="14.4" spans="8:13">
      <c r="H844" s="25"/>
      <c r="I844" s="25"/>
      <c r="K844" s="25"/>
      <c r="L844" s="25"/>
      <c r="M844" s="25"/>
    </row>
    <row r="845" ht="14.4" spans="8:13">
      <c r="H845" s="25"/>
      <c r="I845" s="25"/>
      <c r="K845" s="25"/>
      <c r="L845" s="25"/>
      <c r="M845" s="25"/>
    </row>
    <row r="846" ht="14.4" spans="8:13">
      <c r="H846" s="25"/>
      <c r="I846" s="25"/>
      <c r="K846" s="25"/>
      <c r="L846" s="25"/>
      <c r="M846" s="25"/>
    </row>
    <row r="847" ht="14.4" spans="8:13">
      <c r="H847" s="25"/>
      <c r="I847" s="25"/>
      <c r="K847" s="25"/>
      <c r="L847" s="25"/>
      <c r="M847" s="25"/>
    </row>
    <row r="848" ht="14.4" spans="8:13">
      <c r="H848" s="25"/>
      <c r="I848" s="25"/>
      <c r="K848" s="25"/>
      <c r="L848" s="25"/>
      <c r="M848" s="25"/>
    </row>
    <row r="849" ht="14.4" spans="8:13">
      <c r="H849" s="25"/>
      <c r="I849" s="25"/>
      <c r="K849" s="25"/>
      <c r="L849" s="25"/>
      <c r="M849" s="25"/>
    </row>
    <row r="850" ht="14.4" spans="8:13">
      <c r="H850" s="25"/>
      <c r="I850" s="25"/>
      <c r="K850" s="25"/>
      <c r="L850" s="25"/>
      <c r="M850" s="25"/>
    </row>
    <row r="851" ht="14.4" spans="8:13">
      <c r="H851" s="25"/>
      <c r="I851" s="25"/>
      <c r="K851" s="25"/>
      <c r="L851" s="25"/>
      <c r="M851" s="25"/>
    </row>
    <row r="852" ht="14.4" spans="8:13">
      <c r="H852" s="25"/>
      <c r="I852" s="25"/>
      <c r="K852" s="25"/>
      <c r="L852" s="25"/>
      <c r="M852" s="25"/>
    </row>
    <row r="853" ht="14.4" spans="8:13">
      <c r="H853" s="25"/>
      <c r="I853" s="25"/>
      <c r="K853" s="25"/>
      <c r="L853" s="25"/>
      <c r="M853" s="25"/>
    </row>
    <row r="854" ht="14.4" spans="8:13">
      <c r="H854" s="25"/>
      <c r="I854" s="25"/>
      <c r="K854" s="25"/>
      <c r="L854" s="25"/>
      <c r="M854" s="25"/>
    </row>
    <row r="855" ht="14.4" spans="8:13">
      <c r="H855" s="25"/>
      <c r="I855" s="25"/>
      <c r="K855" s="25"/>
      <c r="L855" s="25"/>
      <c r="M855" s="25"/>
    </row>
    <row r="856" ht="14.4" spans="8:13">
      <c r="H856" s="25"/>
      <c r="I856" s="25"/>
      <c r="K856" s="25"/>
      <c r="L856" s="25"/>
      <c r="M856" s="25"/>
    </row>
    <row r="857" ht="14.4" spans="8:13">
      <c r="H857" s="25"/>
      <c r="I857" s="25"/>
      <c r="K857" s="25"/>
      <c r="L857" s="25"/>
      <c r="M857" s="25"/>
    </row>
    <row r="858" ht="14.4" spans="8:13">
      <c r="H858" s="25"/>
      <c r="I858" s="25"/>
      <c r="K858" s="25"/>
      <c r="L858" s="25"/>
      <c r="M858" s="25"/>
    </row>
    <row r="859" ht="14.4" spans="8:13">
      <c r="H859" s="25"/>
      <c r="I859" s="25"/>
      <c r="K859" s="25"/>
      <c r="L859" s="25"/>
      <c r="M859" s="25"/>
    </row>
    <row r="860" ht="14.4" spans="8:13">
      <c r="H860" s="25"/>
      <c r="I860" s="25"/>
      <c r="K860" s="25"/>
      <c r="L860" s="25"/>
      <c r="M860" s="25"/>
    </row>
    <row r="861" ht="14.4" spans="8:13">
      <c r="H861" s="25"/>
      <c r="I861" s="25"/>
      <c r="K861" s="25"/>
      <c r="L861" s="25"/>
      <c r="M861" s="25"/>
    </row>
    <row r="862" ht="14.4" spans="8:13">
      <c r="H862" s="25"/>
      <c r="I862" s="25"/>
      <c r="K862" s="25"/>
      <c r="L862" s="25"/>
      <c r="M862" s="25"/>
    </row>
    <row r="863" ht="14.4" spans="8:13">
      <c r="H863" s="25"/>
      <c r="I863" s="25"/>
      <c r="K863" s="25"/>
      <c r="L863" s="25"/>
      <c r="M863" s="25"/>
    </row>
    <row r="864" ht="14.4" spans="8:13">
      <c r="H864" s="25"/>
      <c r="I864" s="25"/>
      <c r="K864" s="25"/>
      <c r="L864" s="25"/>
      <c r="M864" s="25"/>
    </row>
    <row r="865" ht="14.4" spans="8:13">
      <c r="H865" s="25"/>
      <c r="I865" s="25"/>
      <c r="K865" s="25"/>
      <c r="L865" s="25"/>
      <c r="M865" s="25"/>
    </row>
    <row r="866" ht="14.4" spans="8:13">
      <c r="H866" s="25"/>
      <c r="I866" s="25"/>
      <c r="K866" s="25"/>
      <c r="L866" s="25"/>
      <c r="M866" s="25"/>
    </row>
    <row r="867" ht="14.4" spans="8:13">
      <c r="H867" s="25"/>
      <c r="I867" s="25"/>
      <c r="K867" s="25"/>
      <c r="L867" s="25"/>
      <c r="M867" s="25"/>
    </row>
    <row r="868" ht="14.4" spans="8:13">
      <c r="H868" s="25"/>
      <c r="I868" s="25"/>
      <c r="K868" s="25"/>
      <c r="L868" s="25"/>
      <c r="M868" s="25"/>
    </row>
    <row r="869" ht="14.4" spans="8:13">
      <c r="H869" s="25"/>
      <c r="I869" s="25"/>
      <c r="K869" s="25"/>
      <c r="L869" s="25"/>
      <c r="M869" s="25"/>
    </row>
    <row r="870" ht="14.4" spans="8:13">
      <c r="H870" s="25"/>
      <c r="I870" s="25"/>
      <c r="K870" s="25"/>
      <c r="L870" s="25"/>
      <c r="M870" s="25"/>
    </row>
    <row r="871" ht="14.4" spans="8:13">
      <c r="H871" s="25"/>
      <c r="I871" s="25"/>
      <c r="K871" s="25"/>
      <c r="L871" s="25"/>
      <c r="M871" s="25"/>
    </row>
    <row r="872" ht="14.4" spans="8:13">
      <c r="H872" s="25"/>
      <c r="I872" s="25"/>
      <c r="K872" s="25"/>
      <c r="L872" s="25"/>
      <c r="M872" s="25"/>
    </row>
    <row r="873" ht="14.4" spans="8:13">
      <c r="H873" s="25"/>
      <c r="I873" s="25"/>
      <c r="K873" s="25"/>
      <c r="L873" s="25"/>
      <c r="M873" s="25"/>
    </row>
    <row r="874" ht="14.4" spans="8:13">
      <c r="H874" s="25"/>
      <c r="I874" s="25"/>
      <c r="K874" s="25"/>
      <c r="L874" s="25"/>
      <c r="M874" s="25"/>
    </row>
    <row r="875" ht="14.4" spans="8:13">
      <c r="H875" s="25"/>
      <c r="I875" s="25"/>
      <c r="K875" s="25"/>
      <c r="L875" s="25"/>
      <c r="M875" s="25"/>
    </row>
    <row r="876" ht="14.4" spans="8:13">
      <c r="H876" s="25"/>
      <c r="I876" s="25"/>
      <c r="K876" s="25"/>
      <c r="L876" s="25"/>
      <c r="M876" s="25"/>
    </row>
    <row r="877" ht="14.4" spans="8:13">
      <c r="H877" s="25"/>
      <c r="I877" s="25"/>
      <c r="K877" s="25"/>
      <c r="L877" s="25"/>
      <c r="M877" s="25"/>
    </row>
    <row r="878" ht="14.4" spans="8:13">
      <c r="H878" s="25"/>
      <c r="I878" s="25"/>
      <c r="K878" s="25"/>
      <c r="L878" s="25"/>
      <c r="M878" s="25"/>
    </row>
    <row r="879" ht="14.4" spans="8:13">
      <c r="H879" s="25"/>
      <c r="I879" s="25"/>
      <c r="K879" s="25"/>
      <c r="L879" s="25"/>
      <c r="M879" s="25"/>
    </row>
    <row r="880" ht="14.4" spans="8:13">
      <c r="H880" s="25"/>
      <c r="I880" s="25"/>
      <c r="K880" s="25"/>
      <c r="L880" s="25"/>
      <c r="M880" s="25"/>
    </row>
    <row r="881" ht="14.4" spans="8:13">
      <c r="H881" s="25"/>
      <c r="I881" s="25"/>
      <c r="K881" s="25"/>
      <c r="L881" s="25"/>
      <c r="M881" s="25"/>
    </row>
    <row r="882" ht="14.4" spans="8:13">
      <c r="H882" s="25"/>
      <c r="I882" s="25"/>
      <c r="K882" s="25"/>
      <c r="L882" s="25"/>
      <c r="M882" s="25"/>
    </row>
    <row r="883" ht="14.4" spans="8:13">
      <c r="H883" s="25"/>
      <c r="I883" s="25"/>
      <c r="K883" s="25"/>
      <c r="L883" s="25"/>
      <c r="M883" s="25"/>
    </row>
    <row r="884" ht="14.4" spans="8:13">
      <c r="H884" s="25"/>
      <c r="I884" s="25"/>
      <c r="K884" s="25"/>
      <c r="L884" s="25"/>
      <c r="M884" s="25"/>
    </row>
    <row r="885" ht="14.4" spans="8:13">
      <c r="H885" s="25"/>
      <c r="I885" s="25"/>
      <c r="K885" s="25"/>
      <c r="L885" s="25"/>
      <c r="M885" s="25"/>
    </row>
    <row r="886" ht="14.4" spans="8:13">
      <c r="H886" s="25"/>
      <c r="I886" s="25"/>
      <c r="K886" s="25"/>
      <c r="L886" s="25"/>
      <c r="M886" s="25"/>
    </row>
    <row r="887" ht="14.4" spans="8:13">
      <c r="H887" s="25"/>
      <c r="I887" s="25"/>
      <c r="K887" s="25"/>
      <c r="L887" s="25"/>
      <c r="M887" s="25"/>
    </row>
    <row r="888" ht="14.4" spans="8:13">
      <c r="H888" s="25"/>
      <c r="I888" s="25"/>
      <c r="K888" s="25"/>
      <c r="L888" s="25"/>
      <c r="M888" s="25"/>
    </row>
    <row r="889" ht="14.4" spans="8:13">
      <c r="H889" s="25"/>
      <c r="I889" s="25"/>
      <c r="K889" s="25"/>
      <c r="L889" s="25"/>
      <c r="M889" s="25"/>
    </row>
    <row r="890" ht="14.4" spans="8:13">
      <c r="H890" s="25"/>
      <c r="I890" s="25"/>
      <c r="K890" s="25"/>
      <c r="L890" s="25"/>
      <c r="M890" s="25"/>
    </row>
    <row r="891" ht="14.4" spans="8:13">
      <c r="H891" s="25"/>
      <c r="I891" s="25"/>
      <c r="K891" s="25"/>
      <c r="L891" s="25"/>
      <c r="M891" s="25"/>
    </row>
    <row r="892" ht="14.4" spans="8:13">
      <c r="H892" s="25"/>
      <c r="I892" s="25"/>
      <c r="K892" s="25"/>
      <c r="L892" s="25"/>
      <c r="M892" s="25"/>
    </row>
    <row r="893" ht="14.4" spans="8:13">
      <c r="H893" s="25"/>
      <c r="I893" s="25"/>
      <c r="K893" s="25"/>
      <c r="L893" s="25"/>
      <c r="M893" s="25"/>
    </row>
    <row r="894" ht="14.4" spans="8:13">
      <c r="H894" s="25"/>
      <c r="I894" s="25"/>
      <c r="K894" s="25"/>
      <c r="L894" s="25"/>
      <c r="M894" s="25"/>
    </row>
    <row r="895" ht="14.4" spans="8:13">
      <c r="H895" s="25"/>
      <c r="I895" s="25"/>
      <c r="K895" s="25"/>
      <c r="L895" s="25"/>
      <c r="M895" s="25"/>
    </row>
    <row r="896" ht="14.4" spans="8:13">
      <c r="H896" s="25"/>
      <c r="I896" s="25"/>
      <c r="K896" s="25"/>
      <c r="L896" s="25"/>
      <c r="M896" s="25"/>
    </row>
    <row r="897" ht="14.4" spans="8:13">
      <c r="H897" s="25"/>
      <c r="I897" s="25"/>
      <c r="K897" s="25"/>
      <c r="L897" s="25"/>
      <c r="M897" s="25"/>
    </row>
    <row r="898" ht="14.4" spans="8:13">
      <c r="H898" s="25"/>
      <c r="I898" s="25"/>
      <c r="K898" s="25"/>
      <c r="L898" s="25"/>
      <c r="M898" s="25"/>
    </row>
    <row r="899" ht="14.4" spans="8:13">
      <c r="H899" s="25"/>
      <c r="I899" s="25"/>
      <c r="K899" s="25"/>
      <c r="L899" s="25"/>
      <c r="M899" s="25"/>
    </row>
    <row r="900" ht="14.4" spans="8:13">
      <c r="H900" s="25"/>
      <c r="I900" s="25"/>
      <c r="K900" s="25"/>
      <c r="L900" s="25"/>
      <c r="M900" s="25"/>
    </row>
    <row r="901" ht="14.4" spans="8:13">
      <c r="H901" s="25"/>
      <c r="I901" s="25"/>
      <c r="K901" s="25"/>
      <c r="L901" s="25"/>
      <c r="M901" s="25"/>
    </row>
    <row r="902" ht="14.4" spans="8:13">
      <c r="H902" s="25"/>
      <c r="I902" s="25"/>
      <c r="K902" s="25"/>
      <c r="L902" s="25"/>
      <c r="M902" s="25"/>
    </row>
    <row r="903" ht="14.4" spans="8:13">
      <c r="H903" s="25"/>
      <c r="I903" s="25"/>
      <c r="K903" s="25"/>
      <c r="L903" s="25"/>
      <c r="M903" s="25"/>
    </row>
    <row r="904" ht="14.4" spans="8:13">
      <c r="H904" s="25"/>
      <c r="I904" s="25"/>
      <c r="K904" s="25"/>
      <c r="L904" s="25"/>
      <c r="M904" s="25"/>
    </row>
    <row r="905" ht="14.4" spans="8:13">
      <c r="H905" s="25"/>
      <c r="I905" s="25"/>
      <c r="K905" s="25"/>
      <c r="L905" s="25"/>
      <c r="M905" s="25"/>
    </row>
    <row r="906" ht="14.4" spans="8:13">
      <c r="H906" s="25"/>
      <c r="I906" s="25"/>
      <c r="K906" s="25"/>
      <c r="L906" s="25"/>
      <c r="M906" s="25"/>
    </row>
    <row r="907" ht="14.4" spans="8:13">
      <c r="H907" s="25"/>
      <c r="I907" s="25"/>
      <c r="K907" s="25"/>
      <c r="L907" s="25"/>
      <c r="M907" s="25"/>
    </row>
    <row r="908" ht="14.4" spans="8:13">
      <c r="H908" s="25"/>
      <c r="I908" s="25"/>
      <c r="K908" s="25"/>
      <c r="L908" s="25"/>
      <c r="M908" s="25"/>
    </row>
    <row r="909" ht="14.4" spans="8:13">
      <c r="H909" s="25"/>
      <c r="I909" s="25"/>
      <c r="K909" s="25"/>
      <c r="L909" s="25"/>
      <c r="M909" s="25"/>
    </row>
    <row r="910" ht="14.4" spans="8:13">
      <c r="H910" s="25"/>
      <c r="I910" s="25"/>
      <c r="K910" s="25"/>
      <c r="L910" s="25"/>
      <c r="M910" s="25"/>
    </row>
    <row r="911" ht="14.4" spans="8:13">
      <c r="H911" s="25"/>
      <c r="I911" s="25"/>
      <c r="K911" s="25"/>
      <c r="L911" s="25"/>
      <c r="M911" s="25"/>
    </row>
    <row r="912" ht="14.4" spans="8:13">
      <c r="H912" s="25"/>
      <c r="I912" s="25"/>
      <c r="K912" s="25"/>
      <c r="L912" s="25"/>
      <c r="M912" s="25"/>
    </row>
    <row r="913" ht="14.4" spans="8:13">
      <c r="H913" s="25"/>
      <c r="I913" s="25"/>
      <c r="K913" s="25"/>
      <c r="L913" s="25"/>
      <c r="M913" s="25"/>
    </row>
    <row r="914" ht="14.4" spans="8:13">
      <c r="H914" s="25"/>
      <c r="I914" s="25"/>
      <c r="K914" s="25"/>
      <c r="L914" s="25"/>
      <c r="M914" s="25"/>
    </row>
    <row r="915" ht="14.4" spans="8:13">
      <c r="H915" s="25"/>
      <c r="I915" s="25"/>
      <c r="K915" s="25"/>
      <c r="L915" s="25"/>
      <c r="M915" s="25"/>
    </row>
    <row r="916" ht="14.4" spans="8:13">
      <c r="H916" s="25"/>
      <c r="I916" s="25"/>
      <c r="K916" s="25"/>
      <c r="L916" s="25"/>
      <c r="M916" s="25"/>
    </row>
    <row r="917" ht="14.4" spans="8:13">
      <c r="H917" s="25"/>
      <c r="I917" s="25"/>
      <c r="K917" s="25"/>
      <c r="L917" s="25"/>
      <c r="M917" s="25"/>
    </row>
    <row r="918" ht="14.4" spans="8:13">
      <c r="H918" s="25"/>
      <c r="I918" s="25"/>
      <c r="K918" s="25"/>
      <c r="L918" s="25"/>
      <c r="M918" s="25"/>
    </row>
    <row r="919" ht="14.4" spans="8:13">
      <c r="H919" s="25"/>
      <c r="I919" s="25"/>
      <c r="K919" s="25"/>
      <c r="L919" s="25"/>
      <c r="M919" s="25"/>
    </row>
    <row r="920" ht="14.4" spans="8:13">
      <c r="H920" s="25"/>
      <c r="I920" s="25"/>
      <c r="K920" s="25"/>
      <c r="L920" s="25"/>
      <c r="M920" s="25"/>
    </row>
    <row r="921" ht="14.4" spans="8:13">
      <c r="H921" s="25"/>
      <c r="I921" s="25"/>
      <c r="K921" s="25"/>
      <c r="L921" s="25"/>
      <c r="M921" s="25"/>
    </row>
    <row r="922" ht="14.4" spans="8:13">
      <c r="H922" s="25"/>
      <c r="I922" s="25"/>
      <c r="K922" s="25"/>
      <c r="L922" s="25"/>
      <c r="M922" s="25"/>
    </row>
    <row r="923" ht="14.4" spans="8:13">
      <c r="H923" s="25"/>
      <c r="I923" s="25"/>
      <c r="K923" s="25"/>
      <c r="L923" s="25"/>
      <c r="M923" s="25"/>
    </row>
    <row r="924" ht="14.4" spans="8:13">
      <c r="H924" s="25"/>
      <c r="I924" s="25"/>
      <c r="K924" s="25"/>
      <c r="L924" s="25"/>
      <c r="M924" s="25"/>
    </row>
    <row r="925" ht="14.4" spans="8:13">
      <c r="H925" s="25"/>
      <c r="I925" s="25"/>
      <c r="K925" s="25"/>
      <c r="L925" s="25"/>
      <c r="M925" s="25"/>
    </row>
    <row r="926" ht="14.4" spans="8:13">
      <c r="H926" s="25"/>
      <c r="I926" s="25"/>
      <c r="K926" s="25"/>
      <c r="L926" s="25"/>
      <c r="M926" s="25"/>
    </row>
    <row r="927" ht="14.4" spans="8:13">
      <c r="H927" s="25"/>
      <c r="I927" s="25"/>
      <c r="K927" s="25"/>
      <c r="L927" s="25"/>
      <c r="M927" s="25"/>
    </row>
    <row r="928" ht="14.4" spans="8:13">
      <c r="H928" s="25"/>
      <c r="I928" s="25"/>
      <c r="K928" s="25"/>
      <c r="L928" s="25"/>
      <c r="M928" s="25"/>
    </row>
    <row r="929" ht="14.4" spans="8:13">
      <c r="H929" s="25"/>
      <c r="I929" s="25"/>
      <c r="K929" s="25"/>
      <c r="L929" s="25"/>
      <c r="M929" s="25"/>
    </row>
    <row r="930" ht="14.4" spans="8:13">
      <c r="H930" s="25"/>
      <c r="I930" s="25"/>
      <c r="K930" s="25"/>
      <c r="L930" s="25"/>
      <c r="M930" s="25"/>
    </row>
    <row r="931" ht="14.4" spans="8:13">
      <c r="H931" s="25"/>
      <c r="I931" s="25"/>
      <c r="K931" s="25"/>
      <c r="L931" s="25"/>
      <c r="M931" s="25"/>
    </row>
    <row r="932" ht="14.4" spans="8:13">
      <c r="H932" s="25"/>
      <c r="I932" s="25"/>
      <c r="K932" s="25"/>
      <c r="L932" s="25"/>
      <c r="M932" s="25"/>
    </row>
    <row r="933" ht="14.4" spans="8:13">
      <c r="H933" s="25"/>
      <c r="I933" s="25"/>
      <c r="K933" s="25"/>
      <c r="L933" s="25"/>
      <c r="M933" s="25"/>
    </row>
    <row r="934" ht="14.4" spans="8:13">
      <c r="H934" s="25"/>
      <c r="I934" s="25"/>
      <c r="K934" s="25"/>
      <c r="L934" s="25"/>
      <c r="M934" s="25"/>
    </row>
    <row r="935" ht="14.4" spans="8:13">
      <c r="H935" s="25"/>
      <c r="I935" s="25"/>
      <c r="K935" s="25"/>
      <c r="L935" s="25"/>
      <c r="M935" s="25"/>
    </row>
    <row r="936" ht="14.4" spans="8:13">
      <c r="H936" s="25"/>
      <c r="I936" s="25"/>
      <c r="K936" s="25"/>
      <c r="L936" s="25"/>
      <c r="M936" s="25"/>
    </row>
    <row r="937" ht="14.4" spans="8:13">
      <c r="H937" s="25"/>
      <c r="I937" s="25"/>
      <c r="K937" s="25"/>
      <c r="L937" s="25"/>
      <c r="M937" s="25"/>
    </row>
    <row r="938" ht="14.4" spans="8:13">
      <c r="H938" s="25"/>
      <c r="I938" s="25"/>
      <c r="K938" s="25"/>
      <c r="L938" s="25"/>
      <c r="M938" s="25"/>
    </row>
    <row r="939" ht="14.4" spans="8:13">
      <c r="H939" s="25"/>
      <c r="I939" s="25"/>
      <c r="K939" s="25"/>
      <c r="L939" s="25"/>
      <c r="M939" s="25"/>
    </row>
    <row r="940" ht="14.4" spans="8:13">
      <c r="H940" s="25"/>
      <c r="I940" s="25"/>
      <c r="K940" s="25"/>
      <c r="L940" s="25"/>
      <c r="M940" s="25"/>
    </row>
    <row r="941" ht="14.4" spans="8:13">
      <c r="H941" s="25"/>
      <c r="I941" s="25"/>
      <c r="K941" s="25"/>
      <c r="L941" s="25"/>
      <c r="M941" s="25"/>
    </row>
    <row r="942" ht="14.4" spans="8:13">
      <c r="H942" s="25"/>
      <c r="I942" s="25"/>
      <c r="K942" s="25"/>
      <c r="L942" s="25"/>
      <c r="M942" s="25"/>
    </row>
    <row r="943" ht="14.4" spans="8:13">
      <c r="H943" s="25"/>
      <c r="I943" s="25"/>
      <c r="K943" s="25"/>
      <c r="L943" s="25"/>
      <c r="M943" s="25"/>
    </row>
    <row r="944" ht="14.4" spans="8:13">
      <c r="H944" s="25"/>
      <c r="I944" s="25"/>
      <c r="K944" s="25"/>
      <c r="L944" s="25"/>
      <c r="M944" s="25"/>
    </row>
    <row r="945" ht="14.4" spans="8:13">
      <c r="H945" s="25"/>
      <c r="I945" s="25"/>
      <c r="K945" s="25"/>
      <c r="L945" s="25"/>
      <c r="M945" s="25"/>
    </row>
    <row r="946" ht="14.4" spans="8:13">
      <c r="H946" s="25"/>
      <c r="I946" s="25"/>
      <c r="K946" s="25"/>
      <c r="L946" s="25"/>
      <c r="M946" s="25"/>
    </row>
    <row r="947" ht="14.4" spans="8:13">
      <c r="H947" s="25"/>
      <c r="I947" s="25"/>
      <c r="K947" s="25"/>
      <c r="L947" s="25"/>
      <c r="M947" s="25"/>
    </row>
    <row r="948" ht="14.4" spans="8:13">
      <c r="H948" s="25"/>
      <c r="I948" s="25"/>
      <c r="K948" s="25"/>
      <c r="L948" s="25"/>
      <c r="M948" s="25"/>
    </row>
    <row r="949" ht="14.4" spans="8:13">
      <c r="H949" s="25"/>
      <c r="I949" s="25"/>
      <c r="K949" s="25"/>
      <c r="L949" s="25"/>
      <c r="M949" s="25"/>
    </row>
    <row r="950" ht="14.4" spans="8:13">
      <c r="H950" s="25"/>
      <c r="I950" s="25"/>
      <c r="K950" s="25"/>
      <c r="L950" s="25"/>
      <c r="M950" s="25"/>
    </row>
    <row r="951" ht="14.4" spans="8:13">
      <c r="H951" s="25"/>
      <c r="I951" s="25"/>
      <c r="K951" s="25"/>
      <c r="L951" s="25"/>
      <c r="M951" s="25"/>
    </row>
    <row r="952" ht="14.4" spans="8:13">
      <c r="H952" s="25"/>
      <c r="I952" s="25"/>
      <c r="K952" s="25"/>
      <c r="L952" s="25"/>
      <c r="M952" s="25"/>
    </row>
    <row r="953" ht="14.4" spans="8:13">
      <c r="H953" s="25"/>
      <c r="I953" s="25"/>
      <c r="K953" s="25"/>
      <c r="L953" s="25"/>
      <c r="M953" s="25"/>
    </row>
    <row r="954" ht="14.4" spans="8:13">
      <c r="H954" s="25"/>
      <c r="I954" s="25"/>
      <c r="K954" s="25"/>
      <c r="L954" s="25"/>
      <c r="M954" s="25"/>
    </row>
    <row r="955" ht="14.4" spans="8:13">
      <c r="H955" s="25"/>
      <c r="I955" s="25"/>
      <c r="K955" s="25"/>
      <c r="L955" s="25"/>
      <c r="M955" s="25"/>
    </row>
    <row r="956" ht="14.4" spans="8:13">
      <c r="H956" s="25"/>
      <c r="I956" s="25"/>
      <c r="K956" s="25"/>
      <c r="L956" s="25"/>
      <c r="M956" s="25"/>
    </row>
    <row r="957" ht="14.4" spans="8:13">
      <c r="H957" s="25"/>
      <c r="I957" s="25"/>
      <c r="K957" s="25"/>
      <c r="L957" s="25"/>
      <c r="M957" s="25"/>
    </row>
    <row r="958" ht="14.4" spans="8:13">
      <c r="H958" s="25"/>
      <c r="I958" s="25"/>
      <c r="K958" s="25"/>
      <c r="L958" s="25"/>
      <c r="M958" s="25"/>
    </row>
    <row r="959" ht="14.4" spans="8:13">
      <c r="H959" s="25"/>
      <c r="I959" s="25"/>
      <c r="K959" s="25"/>
      <c r="L959" s="25"/>
      <c r="M959" s="25"/>
    </row>
    <row r="960" ht="14.4" spans="8:13">
      <c r="H960" s="25"/>
      <c r="I960" s="25"/>
      <c r="K960" s="25"/>
      <c r="L960" s="25"/>
      <c r="M960" s="25"/>
    </row>
    <row r="961" ht="14.4" spans="8:13">
      <c r="H961" s="25"/>
      <c r="I961" s="25"/>
      <c r="K961" s="25"/>
      <c r="L961" s="25"/>
      <c r="M961" s="25"/>
    </row>
    <row r="962" ht="14.4" spans="8:13">
      <c r="H962" s="25"/>
      <c r="I962" s="25"/>
      <c r="K962" s="25"/>
      <c r="L962" s="25"/>
      <c r="M962" s="25"/>
    </row>
    <row r="963" ht="14.4" spans="8:13">
      <c r="H963" s="25"/>
      <c r="I963" s="25"/>
      <c r="K963" s="25"/>
      <c r="L963" s="25"/>
      <c r="M963" s="25"/>
    </row>
    <row r="964" ht="14.4" spans="8:13">
      <c r="H964" s="25"/>
      <c r="I964" s="25"/>
      <c r="K964" s="25"/>
      <c r="L964" s="25"/>
      <c r="M964" s="25"/>
    </row>
    <row r="965" ht="14.4" spans="8:13">
      <c r="H965" s="25"/>
      <c r="I965" s="25"/>
      <c r="K965" s="25"/>
      <c r="L965" s="25"/>
      <c r="M965" s="25"/>
    </row>
    <row r="966" ht="14.4" spans="8:13">
      <c r="H966" s="25"/>
      <c r="I966" s="25"/>
      <c r="K966" s="25"/>
      <c r="L966" s="25"/>
      <c r="M966" s="25"/>
    </row>
    <row r="967" ht="14.4" spans="8:13">
      <c r="H967" s="25"/>
      <c r="I967" s="25"/>
      <c r="K967" s="25"/>
      <c r="L967" s="25"/>
      <c r="M967" s="25"/>
    </row>
    <row r="968" ht="14.4" spans="8:13">
      <c r="H968" s="25"/>
      <c r="I968" s="25"/>
      <c r="K968" s="25"/>
      <c r="L968" s="25"/>
      <c r="M968" s="25"/>
    </row>
    <row r="969" ht="14.4" spans="8:13">
      <c r="H969" s="25"/>
      <c r="I969" s="25"/>
      <c r="K969" s="25"/>
      <c r="L969" s="25"/>
      <c r="M969" s="25"/>
    </row>
    <row r="970" ht="14.4" spans="8:13">
      <c r="H970" s="25"/>
      <c r="I970" s="25"/>
      <c r="K970" s="25"/>
      <c r="L970" s="25"/>
      <c r="M970" s="25"/>
    </row>
    <row r="971" ht="14.4" spans="8:13">
      <c r="H971" s="25"/>
      <c r="I971" s="25"/>
      <c r="K971" s="25"/>
      <c r="L971" s="25"/>
      <c r="M971" s="25"/>
    </row>
    <row r="972" ht="14.4" spans="8:13">
      <c r="H972" s="25"/>
      <c r="I972" s="25"/>
      <c r="K972" s="25"/>
      <c r="L972" s="25"/>
      <c r="M972" s="25"/>
    </row>
    <row r="973" ht="14.4" spans="8:13">
      <c r="H973" s="25"/>
      <c r="I973" s="25"/>
      <c r="K973" s="25"/>
      <c r="L973" s="25"/>
      <c r="M973" s="25"/>
    </row>
    <row r="974" ht="14.4" spans="8:13">
      <c r="H974" s="25"/>
      <c r="I974" s="25"/>
      <c r="K974" s="25"/>
      <c r="L974" s="25"/>
      <c r="M974" s="25"/>
    </row>
    <row r="975" ht="14.4" spans="8:13">
      <c r="H975" s="25"/>
      <c r="I975" s="25"/>
      <c r="K975" s="25"/>
      <c r="L975" s="25"/>
      <c r="M975" s="25"/>
    </row>
    <row r="976" ht="14.4" spans="8:13">
      <c r="H976" s="25"/>
      <c r="I976" s="25"/>
      <c r="K976" s="25"/>
      <c r="L976" s="25"/>
      <c r="M976" s="25"/>
    </row>
    <row r="977" ht="14.4" spans="8:13">
      <c r="H977" s="25"/>
      <c r="I977" s="25"/>
      <c r="K977" s="25"/>
      <c r="L977" s="25"/>
      <c r="M977" s="25"/>
    </row>
    <row r="978" ht="14.4" spans="8:13">
      <c r="H978" s="25"/>
      <c r="I978" s="25"/>
      <c r="K978" s="25"/>
      <c r="L978" s="25"/>
      <c r="M978" s="25"/>
    </row>
    <row r="979" ht="14.4" spans="8:13">
      <c r="H979" s="25"/>
      <c r="I979" s="25"/>
      <c r="K979" s="25"/>
      <c r="L979" s="25"/>
      <c r="M979" s="25"/>
    </row>
    <row r="980" ht="14.4" spans="8:13">
      <c r="H980" s="25"/>
      <c r="I980" s="25"/>
      <c r="K980" s="25"/>
      <c r="L980" s="25"/>
      <c r="M980" s="25"/>
    </row>
    <row r="981" ht="14.4" spans="8:13">
      <c r="H981" s="25"/>
      <c r="I981" s="25"/>
      <c r="K981" s="25"/>
      <c r="L981" s="25"/>
      <c r="M981" s="25"/>
    </row>
    <row r="982" ht="14.4" spans="8:13">
      <c r="H982" s="25"/>
      <c r="I982" s="25"/>
      <c r="K982" s="25"/>
      <c r="L982" s="25"/>
      <c r="M982" s="25"/>
    </row>
    <row r="983" ht="14.4" spans="8:13">
      <c r="H983" s="25"/>
      <c r="I983" s="25"/>
      <c r="K983" s="25"/>
      <c r="L983" s="25"/>
      <c r="M983" s="25"/>
    </row>
    <row r="984" ht="14.4" spans="8:13">
      <c r="H984" s="25"/>
      <c r="I984" s="25"/>
      <c r="K984" s="25"/>
      <c r="L984" s="25"/>
      <c r="M984" s="25"/>
    </row>
    <row r="985" ht="14.4" spans="8:13">
      <c r="H985" s="25"/>
      <c r="I985" s="25"/>
      <c r="K985" s="25"/>
      <c r="L985" s="25"/>
      <c r="M985" s="25"/>
    </row>
    <row r="986" ht="14.4" spans="8:13">
      <c r="H986" s="25"/>
      <c r="I986" s="25"/>
      <c r="K986" s="25"/>
      <c r="L986" s="25"/>
      <c r="M986" s="25"/>
    </row>
    <row r="987" ht="14.4" spans="8:13">
      <c r="H987" s="25"/>
      <c r="I987" s="25"/>
      <c r="K987" s="25"/>
      <c r="L987" s="25"/>
      <c r="M987" s="25"/>
    </row>
    <row r="988" ht="14.4" spans="8:13">
      <c r="H988" s="25"/>
      <c r="I988" s="25"/>
      <c r="K988" s="25"/>
      <c r="L988" s="25"/>
      <c r="M988" s="25"/>
    </row>
    <row r="989" ht="14.4" spans="8:13">
      <c r="H989" s="25"/>
      <c r="I989" s="25"/>
      <c r="K989" s="25"/>
      <c r="L989" s="25"/>
      <c r="M989" s="25"/>
    </row>
    <row r="990" ht="14.4" spans="8:13">
      <c r="H990" s="25"/>
      <c r="I990" s="25"/>
      <c r="K990" s="25"/>
      <c r="L990" s="25"/>
      <c r="M990" s="25"/>
    </row>
    <row r="991" ht="14.4" spans="8:13">
      <c r="H991" s="25"/>
      <c r="I991" s="25"/>
      <c r="K991" s="25"/>
      <c r="L991" s="25"/>
      <c r="M991" s="25"/>
    </row>
    <row r="992" ht="14.4" spans="8:13">
      <c r="H992" s="25"/>
      <c r="I992" s="25"/>
      <c r="K992" s="25"/>
      <c r="L992" s="25"/>
      <c r="M992" s="25"/>
    </row>
    <row r="993" ht="14.4" spans="8:13">
      <c r="H993" s="25"/>
      <c r="I993" s="25"/>
      <c r="K993" s="25"/>
      <c r="L993" s="25"/>
      <c r="M993" s="25"/>
    </row>
    <row r="994" ht="14.4" spans="8:13">
      <c r="H994" s="25"/>
      <c r="I994" s="25"/>
      <c r="K994" s="25"/>
      <c r="L994" s="25"/>
      <c r="M994" s="25"/>
    </row>
    <row r="995" ht="14.4" spans="8:13">
      <c r="H995" s="25"/>
      <c r="I995" s="25"/>
      <c r="K995" s="25"/>
      <c r="L995" s="25"/>
      <c r="M995" s="25"/>
    </row>
    <row r="996" ht="14.4" spans="8:13">
      <c r="H996" s="25"/>
      <c r="I996" s="25"/>
      <c r="K996" s="25"/>
      <c r="L996" s="25"/>
      <c r="M996" s="25"/>
    </row>
    <row r="997" ht="14.4" spans="8:13">
      <c r="H997" s="25"/>
      <c r="I997" s="25"/>
      <c r="K997" s="25"/>
      <c r="L997" s="25"/>
      <c r="M997" s="25"/>
    </row>
    <row r="998" ht="14.4" spans="8:13">
      <c r="H998" s="25"/>
      <c r="I998" s="25"/>
      <c r="K998" s="25"/>
      <c r="L998" s="25"/>
      <c r="M998" s="25"/>
    </row>
    <row r="999" ht="14.4" spans="8:13">
      <c r="H999" s="25"/>
      <c r="I999" s="25"/>
      <c r="K999" s="25"/>
      <c r="L999" s="25"/>
      <c r="M999" s="25"/>
    </row>
    <row r="1000" ht="14.4" spans="8:13">
      <c r="H1000" s="25"/>
      <c r="I1000" s="25"/>
      <c r="K1000" s="25"/>
      <c r="L1000" s="25"/>
      <c r="M1000" s="25"/>
    </row>
    <row r="1001" ht="14.4" spans="8:13">
      <c r="H1001" s="25"/>
      <c r="I1001" s="25"/>
      <c r="K1001" s="25"/>
      <c r="L1001" s="25"/>
      <c r="M1001" s="25"/>
    </row>
    <row r="1002" ht="14.4" spans="8:13">
      <c r="H1002" s="25"/>
      <c r="I1002" s="25"/>
      <c r="K1002" s="25"/>
      <c r="L1002" s="25"/>
      <c r="M1002" s="25"/>
    </row>
    <row r="1003" ht="14.4" spans="8:13">
      <c r="H1003" s="25"/>
      <c r="I1003" s="25"/>
      <c r="K1003" s="25"/>
      <c r="L1003" s="25"/>
      <c r="M1003" s="25"/>
    </row>
    <row r="1004" ht="14.4" spans="8:13">
      <c r="H1004" s="25"/>
      <c r="I1004" s="25"/>
      <c r="K1004" s="25"/>
      <c r="L1004" s="25"/>
      <c r="M1004" s="25"/>
    </row>
    <row r="1005" ht="14.4" spans="8:13">
      <c r="H1005" s="25"/>
      <c r="I1005" s="25"/>
      <c r="K1005" s="25"/>
      <c r="L1005" s="25"/>
      <c r="M1005" s="25"/>
    </row>
    <row r="1006" ht="14.4" spans="8:13">
      <c r="H1006" s="25"/>
      <c r="I1006" s="25"/>
      <c r="K1006" s="25"/>
      <c r="L1006" s="25"/>
      <c r="M1006" s="25"/>
    </row>
    <row r="1007" ht="14.4" spans="8:13">
      <c r="H1007" s="25"/>
      <c r="I1007" s="25"/>
      <c r="K1007" s="25"/>
      <c r="L1007" s="25"/>
      <c r="M1007" s="25"/>
    </row>
    <row r="1008" ht="14.4" spans="8:13">
      <c r="H1008" s="25"/>
      <c r="I1008" s="25"/>
      <c r="K1008" s="25"/>
      <c r="L1008" s="25"/>
      <c r="M1008" s="25"/>
    </row>
    <row r="1009" ht="14.4" spans="8:13">
      <c r="H1009" s="25"/>
      <c r="I1009" s="25"/>
      <c r="K1009" s="25"/>
      <c r="L1009" s="25"/>
      <c r="M1009" s="25"/>
    </row>
    <row r="1010" ht="14.4" spans="8:13">
      <c r="H1010" s="25"/>
      <c r="I1010" s="25"/>
      <c r="K1010" s="25"/>
      <c r="L1010" s="25"/>
      <c r="M1010" s="25"/>
    </row>
    <row r="1011" ht="14.4" spans="8:13">
      <c r="H1011" s="25"/>
      <c r="I1011" s="25"/>
      <c r="K1011" s="25"/>
      <c r="L1011" s="25"/>
      <c r="M1011" s="25"/>
    </row>
    <row r="1012" ht="14.4" spans="8:13">
      <c r="H1012" s="25"/>
      <c r="I1012" s="25"/>
      <c r="K1012" s="25"/>
      <c r="L1012" s="25"/>
      <c r="M1012" s="25"/>
    </row>
    <row r="1013" ht="14.4" spans="8:13">
      <c r="H1013" s="25"/>
      <c r="I1013" s="25"/>
      <c r="K1013" s="25"/>
      <c r="L1013" s="25"/>
      <c r="M1013" s="25"/>
    </row>
    <row r="1014" ht="14.4" spans="8:13">
      <c r="H1014" s="25"/>
      <c r="I1014" s="25"/>
      <c r="K1014" s="25"/>
      <c r="L1014" s="25"/>
      <c r="M1014" s="25"/>
    </row>
    <row r="1015" ht="14.4" spans="8:13">
      <c r="H1015" s="25"/>
      <c r="I1015" s="25"/>
      <c r="K1015" s="25"/>
      <c r="L1015" s="25"/>
      <c r="M1015" s="25"/>
    </row>
    <row r="1016" ht="14.4" spans="8:13">
      <c r="H1016" s="25"/>
      <c r="I1016" s="25"/>
      <c r="K1016" s="25"/>
      <c r="L1016" s="25"/>
      <c r="M1016" s="25"/>
    </row>
    <row r="1017" ht="14.4" spans="8:13">
      <c r="H1017" s="25"/>
      <c r="I1017" s="25"/>
      <c r="K1017" s="25"/>
      <c r="L1017" s="25"/>
      <c r="M1017" s="25"/>
    </row>
    <row r="1018" ht="14.4" spans="8:13">
      <c r="H1018" s="25"/>
      <c r="I1018" s="25"/>
      <c r="K1018" s="25"/>
      <c r="L1018" s="25"/>
      <c r="M1018" s="25"/>
    </row>
    <row r="1019" ht="14.4" spans="8:13">
      <c r="H1019" s="25"/>
      <c r="I1019" s="25"/>
      <c r="K1019" s="25"/>
      <c r="L1019" s="25"/>
      <c r="M1019" s="25"/>
    </row>
    <row r="1020" ht="14.4" spans="8:13">
      <c r="H1020" s="25"/>
      <c r="I1020" s="25"/>
      <c r="K1020" s="25"/>
      <c r="L1020" s="25"/>
      <c r="M1020" s="25"/>
    </row>
    <row r="1021" ht="14.4" spans="8:13">
      <c r="H1021" s="25"/>
      <c r="I1021" s="25"/>
      <c r="K1021" s="25"/>
      <c r="L1021" s="25"/>
      <c r="M1021" s="25"/>
    </row>
    <row r="1022" ht="14.4" spans="8:13">
      <c r="H1022" s="25"/>
      <c r="I1022" s="25"/>
      <c r="K1022" s="25"/>
      <c r="L1022" s="25"/>
      <c r="M1022" s="25"/>
    </row>
    <row r="1023" ht="14.4" spans="8:13">
      <c r="H1023" s="25"/>
      <c r="I1023" s="25"/>
      <c r="K1023" s="25"/>
      <c r="L1023" s="25"/>
      <c r="M1023" s="25"/>
    </row>
    <row r="1024" ht="14.4" spans="8:13">
      <c r="H1024" s="25"/>
      <c r="I1024" s="25"/>
      <c r="K1024" s="25"/>
      <c r="L1024" s="25"/>
      <c r="M1024" s="25"/>
    </row>
    <row r="1025" ht="14.4" spans="8:13">
      <c r="H1025" s="25"/>
      <c r="I1025" s="25"/>
      <c r="K1025" s="25"/>
      <c r="L1025" s="25"/>
      <c r="M1025" s="25"/>
    </row>
    <row r="1026" ht="14.4" spans="8:13">
      <c r="H1026" s="25"/>
      <c r="I1026" s="25"/>
      <c r="K1026" s="25"/>
      <c r="L1026" s="25"/>
      <c r="M1026" s="25"/>
    </row>
    <row r="1027" ht="14.4" spans="8:13">
      <c r="H1027" s="25"/>
      <c r="I1027" s="25"/>
      <c r="K1027" s="25"/>
      <c r="L1027" s="25"/>
      <c r="M1027" s="25"/>
    </row>
    <row r="1028" ht="14.4" spans="8:13">
      <c r="H1028" s="25"/>
      <c r="I1028" s="25"/>
      <c r="K1028" s="25"/>
      <c r="L1028" s="25"/>
      <c r="M1028" s="25"/>
    </row>
    <row r="1029" ht="14.4" spans="8:13">
      <c r="H1029" s="25"/>
      <c r="I1029" s="25"/>
      <c r="K1029" s="25"/>
      <c r="L1029" s="25"/>
      <c r="M1029" s="25"/>
    </row>
    <row r="1030" ht="14.4" spans="8:13">
      <c r="H1030" s="25"/>
      <c r="I1030" s="25"/>
      <c r="K1030" s="25"/>
      <c r="L1030" s="25"/>
      <c r="M1030" s="25"/>
    </row>
    <row r="1031" ht="14.4" spans="8:13">
      <c r="H1031" s="25"/>
      <c r="I1031" s="25"/>
      <c r="K1031" s="25"/>
      <c r="L1031" s="25"/>
      <c r="M1031" s="25"/>
    </row>
    <row r="1032" ht="14.4" spans="8:13">
      <c r="H1032" s="25"/>
      <c r="I1032" s="25"/>
      <c r="K1032" s="25"/>
      <c r="L1032" s="25"/>
      <c r="M1032" s="25"/>
    </row>
    <row r="1033" ht="14.4" spans="8:13">
      <c r="H1033" s="25"/>
      <c r="I1033" s="25"/>
      <c r="K1033" s="25"/>
      <c r="L1033" s="25"/>
      <c r="M1033" s="25"/>
    </row>
    <row r="1034" ht="14.4" spans="8:13">
      <c r="H1034" s="25"/>
      <c r="I1034" s="25"/>
      <c r="K1034" s="25"/>
      <c r="L1034" s="25"/>
      <c r="M1034" s="25"/>
    </row>
    <row r="1035" ht="14.4" spans="8:13">
      <c r="H1035" s="25"/>
      <c r="I1035" s="25"/>
      <c r="K1035" s="25"/>
      <c r="L1035" s="25"/>
      <c r="M1035" s="25"/>
    </row>
    <row r="1036" ht="14.4" spans="8:13">
      <c r="H1036" s="25"/>
      <c r="I1036" s="25"/>
      <c r="K1036" s="25"/>
      <c r="L1036" s="25"/>
      <c r="M1036" s="25"/>
    </row>
    <row r="1037" ht="14.4" spans="8:13">
      <c r="H1037" s="25"/>
      <c r="I1037" s="25"/>
      <c r="K1037" s="25"/>
      <c r="L1037" s="25"/>
      <c r="M1037" s="25"/>
    </row>
    <row r="1038" ht="14.4" spans="8:13">
      <c r="H1038" s="25"/>
      <c r="I1038" s="25"/>
      <c r="K1038" s="25"/>
      <c r="L1038" s="25"/>
      <c r="M1038" s="25"/>
    </row>
    <row r="1039" ht="14.4" spans="8:13">
      <c r="H1039" s="25"/>
      <c r="I1039" s="25"/>
      <c r="K1039" s="25"/>
      <c r="L1039" s="25"/>
      <c r="M1039" s="25"/>
    </row>
    <row r="1040" ht="14.4" spans="8:13">
      <c r="H1040" s="25"/>
      <c r="I1040" s="25"/>
      <c r="K1040" s="25"/>
      <c r="L1040" s="25"/>
      <c r="M1040" s="25"/>
    </row>
    <row r="1041" ht="14.4" spans="8:13">
      <c r="H1041" s="25"/>
      <c r="I1041" s="25"/>
      <c r="K1041" s="25"/>
      <c r="L1041" s="25"/>
      <c r="M1041" s="25"/>
    </row>
    <row r="1042" ht="14.4" spans="8:13">
      <c r="H1042" s="25"/>
      <c r="I1042" s="25"/>
      <c r="K1042" s="25"/>
      <c r="L1042" s="25"/>
      <c r="M1042" s="25"/>
    </row>
    <row r="1043" ht="14.4" spans="8:13">
      <c r="H1043" s="25"/>
      <c r="I1043" s="25"/>
      <c r="K1043" s="25"/>
      <c r="L1043" s="25"/>
      <c r="M1043" s="25"/>
    </row>
    <row r="1044" ht="14.4" spans="8:13">
      <c r="H1044" s="25"/>
      <c r="I1044" s="25"/>
      <c r="K1044" s="25"/>
      <c r="L1044" s="25"/>
      <c r="M1044" s="25"/>
    </row>
    <row r="1045" ht="14.4" spans="8:13">
      <c r="H1045" s="25"/>
      <c r="I1045" s="25"/>
      <c r="K1045" s="25"/>
      <c r="L1045" s="25"/>
      <c r="M1045" s="25"/>
    </row>
    <row r="1046" ht="14.4" spans="8:13">
      <c r="H1046" s="25"/>
      <c r="I1046" s="25"/>
      <c r="K1046" s="25"/>
      <c r="L1046" s="25"/>
      <c r="M1046" s="25"/>
    </row>
    <row r="1047" ht="14.4" spans="8:13">
      <c r="H1047" s="25"/>
      <c r="I1047" s="25"/>
      <c r="K1047" s="25"/>
      <c r="L1047" s="25"/>
      <c r="M1047" s="25"/>
    </row>
    <row r="1048" ht="14.4" spans="8:13">
      <c r="H1048" s="25"/>
      <c r="I1048" s="25"/>
      <c r="K1048" s="25"/>
      <c r="L1048" s="25"/>
      <c r="M1048" s="25"/>
    </row>
    <row r="1049" ht="14.4" spans="8:13">
      <c r="H1049" s="25"/>
      <c r="I1049" s="25"/>
      <c r="K1049" s="25"/>
      <c r="L1049" s="25"/>
      <c r="M1049" s="25"/>
    </row>
    <row r="1050" ht="14.4" spans="8:13">
      <c r="H1050" s="25"/>
      <c r="I1050" s="25"/>
      <c r="K1050" s="25"/>
      <c r="L1050" s="25"/>
      <c r="M1050" s="25"/>
    </row>
    <row r="1051" ht="14.4" spans="8:13">
      <c r="H1051" s="25"/>
      <c r="I1051" s="25"/>
      <c r="K1051" s="25"/>
      <c r="L1051" s="25"/>
      <c r="M1051" s="25"/>
    </row>
    <row r="1052" ht="14.4" spans="8:13">
      <c r="H1052" s="25"/>
      <c r="I1052" s="25"/>
      <c r="K1052" s="25"/>
      <c r="L1052" s="25"/>
      <c r="M1052" s="25"/>
    </row>
    <row r="1053" ht="14.4" spans="8:13">
      <c r="H1053" s="25"/>
      <c r="I1053" s="25"/>
      <c r="K1053" s="25"/>
      <c r="L1053" s="25"/>
      <c r="M1053" s="25"/>
    </row>
    <row r="1054" ht="14.4" spans="8:13">
      <c r="H1054" s="25"/>
      <c r="I1054" s="25"/>
      <c r="K1054" s="25"/>
      <c r="L1054" s="25"/>
      <c r="M1054" s="25"/>
    </row>
    <row r="1055" ht="14.4" spans="8:13">
      <c r="H1055" s="25"/>
      <c r="I1055" s="25"/>
      <c r="K1055" s="25"/>
      <c r="L1055" s="25"/>
      <c r="M1055" s="25"/>
    </row>
    <row r="1056" ht="14.4" spans="8:13">
      <c r="H1056" s="25"/>
      <c r="I1056" s="25"/>
      <c r="K1056" s="25"/>
      <c r="L1056" s="25"/>
      <c r="M1056" s="25"/>
    </row>
    <row r="1057" ht="14.4" spans="8:13">
      <c r="H1057" s="25"/>
      <c r="I1057" s="25"/>
      <c r="K1057" s="25"/>
      <c r="L1057" s="25"/>
      <c r="M1057" s="25"/>
    </row>
    <row r="1058" ht="14.4" spans="8:13">
      <c r="H1058" s="25"/>
      <c r="I1058" s="25"/>
      <c r="K1058" s="25"/>
      <c r="L1058" s="25"/>
      <c r="M1058" s="25"/>
    </row>
    <row r="1059" ht="14.4" spans="8:13">
      <c r="H1059" s="25"/>
      <c r="I1059" s="25"/>
      <c r="K1059" s="25"/>
      <c r="L1059" s="25"/>
      <c r="M1059" s="25"/>
    </row>
    <row r="1060" ht="14.4" spans="8:13">
      <c r="H1060" s="25"/>
      <c r="I1060" s="25"/>
      <c r="K1060" s="25"/>
      <c r="L1060" s="25"/>
      <c r="M1060" s="25"/>
    </row>
    <row r="1061" ht="14.4" spans="8:13">
      <c r="H1061" s="25"/>
      <c r="I1061" s="25"/>
      <c r="K1061" s="25"/>
      <c r="L1061" s="25"/>
      <c r="M1061" s="25"/>
    </row>
    <row r="1062" ht="14.4" spans="8:13">
      <c r="H1062" s="25"/>
      <c r="I1062" s="25"/>
      <c r="K1062" s="25"/>
      <c r="L1062" s="25"/>
      <c r="M1062" s="25"/>
    </row>
    <row r="1063" ht="14.4" spans="8:13">
      <c r="H1063" s="25"/>
      <c r="I1063" s="25"/>
      <c r="K1063" s="25"/>
      <c r="L1063" s="25"/>
      <c r="M1063" s="25"/>
    </row>
    <row r="1064" ht="14.4" spans="8:13">
      <c r="H1064" s="25"/>
      <c r="I1064" s="25"/>
      <c r="K1064" s="25"/>
      <c r="L1064" s="25"/>
      <c r="M1064" s="25"/>
    </row>
    <row r="1065" ht="14.4" spans="8:13">
      <c r="H1065" s="25"/>
      <c r="I1065" s="25"/>
      <c r="K1065" s="25"/>
      <c r="L1065" s="25"/>
      <c r="M1065" s="25"/>
    </row>
    <row r="1066" ht="14.4" spans="8:13">
      <c r="H1066" s="25"/>
      <c r="I1066" s="25"/>
      <c r="K1066" s="25"/>
      <c r="L1066" s="25"/>
      <c r="M1066" s="25"/>
    </row>
    <row r="1067" ht="14.4" spans="8:13">
      <c r="H1067" s="25"/>
      <c r="I1067" s="25"/>
      <c r="K1067" s="25"/>
      <c r="L1067" s="25"/>
      <c r="M1067" s="25"/>
    </row>
    <row r="1068" ht="14.4" spans="8:13">
      <c r="H1068" s="25"/>
      <c r="I1068" s="25"/>
      <c r="K1068" s="25"/>
      <c r="L1068" s="25"/>
      <c r="M1068" s="25"/>
    </row>
    <row r="1069" ht="14.4" spans="8:13">
      <c r="H1069" s="25"/>
      <c r="I1069" s="25"/>
      <c r="K1069" s="25"/>
      <c r="L1069" s="25"/>
      <c r="M1069" s="25"/>
    </row>
    <row r="1070" ht="14.4" spans="8:13">
      <c r="H1070" s="25"/>
      <c r="I1070" s="25"/>
      <c r="K1070" s="25"/>
      <c r="L1070" s="25"/>
      <c r="M1070" s="25"/>
    </row>
    <row r="1071" ht="14.4" spans="8:13">
      <c r="H1071" s="25"/>
      <c r="I1071" s="25"/>
      <c r="K1071" s="25"/>
      <c r="L1071" s="25"/>
      <c r="M1071" s="25"/>
    </row>
    <row r="1072" ht="14.4" spans="8:13">
      <c r="H1072" s="25"/>
      <c r="I1072" s="25"/>
      <c r="K1072" s="25"/>
      <c r="L1072" s="25"/>
      <c r="M1072" s="25"/>
    </row>
    <row r="1073" ht="14.4" spans="8:13">
      <c r="H1073" s="25"/>
      <c r="I1073" s="25"/>
      <c r="K1073" s="25"/>
      <c r="L1073" s="25"/>
      <c r="M1073" s="25"/>
    </row>
    <row r="1074" ht="14.4" spans="8:13">
      <c r="H1074" s="25"/>
      <c r="I1074" s="25"/>
      <c r="K1074" s="25"/>
      <c r="L1074" s="25"/>
      <c r="M1074" s="25"/>
    </row>
    <row r="1075" ht="14.4" spans="8:13">
      <c r="H1075" s="25"/>
      <c r="I1075" s="25"/>
      <c r="K1075" s="25"/>
      <c r="L1075" s="25"/>
      <c r="M1075" s="25"/>
    </row>
    <row r="1076" ht="14.4" spans="8:13">
      <c r="H1076" s="25"/>
      <c r="I1076" s="25"/>
      <c r="K1076" s="25"/>
      <c r="L1076" s="25"/>
      <c r="M1076" s="25"/>
    </row>
    <row r="1077" ht="14.4" spans="8:13">
      <c r="H1077" s="25"/>
      <c r="I1077" s="25"/>
      <c r="K1077" s="25"/>
      <c r="L1077" s="25"/>
      <c r="M1077" s="25"/>
    </row>
    <row r="1078" ht="14.4" spans="8:13">
      <c r="H1078" s="25"/>
      <c r="I1078" s="25"/>
      <c r="K1078" s="25"/>
      <c r="L1078" s="25"/>
      <c r="M1078" s="25"/>
    </row>
    <row r="1079" ht="14.4" spans="8:13">
      <c r="H1079" s="25"/>
      <c r="I1079" s="25"/>
      <c r="K1079" s="25"/>
      <c r="L1079" s="25"/>
      <c r="M1079" s="25"/>
    </row>
    <row r="1080" ht="14.4" spans="8:13">
      <c r="H1080" s="25"/>
      <c r="I1080" s="25"/>
      <c r="K1080" s="25"/>
      <c r="L1080" s="25"/>
      <c r="M1080" s="25"/>
    </row>
    <row r="1081" ht="14.4" spans="8:13">
      <c r="H1081" s="25"/>
      <c r="I1081" s="25"/>
      <c r="K1081" s="25"/>
      <c r="L1081" s="25"/>
      <c r="M1081" s="25"/>
    </row>
    <row r="1082" ht="14.4" spans="8:13">
      <c r="H1082" s="25"/>
      <c r="I1082" s="25"/>
      <c r="K1082" s="25"/>
      <c r="L1082" s="25"/>
      <c r="M1082" s="25"/>
    </row>
    <row r="1083" ht="14.4" spans="8:13">
      <c r="H1083" s="25"/>
      <c r="I1083" s="25"/>
      <c r="K1083" s="25"/>
      <c r="L1083" s="25"/>
      <c r="M1083" s="25"/>
    </row>
    <row r="1084" ht="14.4" spans="8:13">
      <c r="H1084" s="25"/>
      <c r="I1084" s="25"/>
      <c r="K1084" s="25"/>
      <c r="L1084" s="25"/>
      <c r="M1084" s="25"/>
    </row>
    <row r="1085" ht="14.4" spans="8:13">
      <c r="H1085" s="25"/>
      <c r="I1085" s="25"/>
      <c r="K1085" s="25"/>
      <c r="L1085" s="25"/>
      <c r="M1085" s="25"/>
    </row>
    <row r="1086" ht="14.4" spans="8:13">
      <c r="H1086" s="25"/>
      <c r="I1086" s="25"/>
      <c r="K1086" s="25"/>
      <c r="L1086" s="25"/>
      <c r="M1086" s="25"/>
    </row>
    <row r="1087" ht="14.4" spans="8:13">
      <c r="H1087" s="25"/>
      <c r="I1087" s="25"/>
      <c r="K1087" s="25"/>
      <c r="L1087" s="25"/>
      <c r="M1087" s="25"/>
    </row>
    <row r="1088" ht="14.4" spans="8:13">
      <c r="H1088" s="25"/>
      <c r="I1088" s="25"/>
      <c r="K1088" s="25"/>
      <c r="L1088" s="25"/>
      <c r="M1088" s="25"/>
    </row>
    <row r="1089" ht="14.4" spans="8:13">
      <c r="H1089" s="25"/>
      <c r="I1089" s="25"/>
      <c r="K1089" s="25"/>
      <c r="L1089" s="25"/>
      <c r="M1089" s="25"/>
    </row>
    <row r="1090" ht="14.4" spans="8:13">
      <c r="H1090" s="25"/>
      <c r="I1090" s="25"/>
      <c r="K1090" s="25"/>
      <c r="L1090" s="25"/>
      <c r="M1090" s="25"/>
    </row>
    <row r="1091" ht="14.4" spans="8:13">
      <c r="H1091" s="25"/>
      <c r="I1091" s="25"/>
      <c r="K1091" s="25"/>
      <c r="L1091" s="25"/>
      <c r="M1091" s="25"/>
    </row>
    <row r="1092" ht="14.4" spans="8:13">
      <c r="H1092" s="25"/>
      <c r="I1092" s="25"/>
      <c r="K1092" s="25"/>
      <c r="L1092" s="25"/>
      <c r="M1092" s="25"/>
    </row>
    <row r="1093" ht="14.4" spans="8:13">
      <c r="H1093" s="25"/>
      <c r="I1093" s="25"/>
      <c r="K1093" s="25"/>
      <c r="L1093" s="25"/>
      <c r="M1093" s="25"/>
    </row>
    <row r="1094" ht="14.4" spans="8:13">
      <c r="H1094" s="25"/>
      <c r="I1094" s="25"/>
      <c r="K1094" s="25"/>
      <c r="L1094" s="25"/>
      <c r="M1094" s="25"/>
    </row>
    <row r="1095" ht="14.4" spans="8:13">
      <c r="H1095" s="25"/>
      <c r="I1095" s="25"/>
      <c r="K1095" s="25"/>
      <c r="L1095" s="25"/>
      <c r="M1095" s="25"/>
    </row>
    <row r="1096" ht="14.4" spans="8:13">
      <c r="H1096" s="25"/>
      <c r="I1096" s="25"/>
      <c r="K1096" s="25"/>
      <c r="L1096" s="25"/>
      <c r="M1096" s="25"/>
    </row>
    <row r="1097" ht="14.4" spans="8:13">
      <c r="H1097" s="25"/>
      <c r="I1097" s="25"/>
      <c r="K1097" s="25"/>
      <c r="L1097" s="25"/>
      <c r="M1097" s="25"/>
    </row>
    <row r="1098" ht="14.4" spans="8:13">
      <c r="H1098" s="25"/>
      <c r="I1098" s="25"/>
      <c r="K1098" s="25"/>
      <c r="L1098" s="25"/>
      <c r="M1098" s="25"/>
    </row>
    <row r="1099" ht="14.4" spans="8:13">
      <c r="H1099" s="25"/>
      <c r="I1099" s="25"/>
      <c r="K1099" s="25"/>
      <c r="L1099" s="25"/>
      <c r="M1099" s="25"/>
    </row>
    <row r="1100" ht="14.4" spans="8:13">
      <c r="H1100" s="25"/>
      <c r="I1100" s="25"/>
      <c r="K1100" s="25"/>
      <c r="L1100" s="25"/>
      <c r="M1100" s="25"/>
    </row>
    <row r="1101" ht="14.4" spans="8:13">
      <c r="H1101" s="25"/>
      <c r="I1101" s="25"/>
      <c r="K1101" s="25"/>
      <c r="L1101" s="25"/>
      <c r="M1101" s="25"/>
    </row>
    <row r="1102" ht="14.4" spans="8:13">
      <c r="H1102" s="25"/>
      <c r="I1102" s="25"/>
      <c r="K1102" s="25"/>
      <c r="L1102" s="25"/>
      <c r="M1102" s="25"/>
    </row>
    <row r="1103" ht="14.4" spans="8:13">
      <c r="H1103" s="25"/>
      <c r="I1103" s="25"/>
      <c r="K1103" s="25"/>
      <c r="L1103" s="25"/>
      <c r="M1103" s="25"/>
    </row>
    <row r="1104" ht="14.4" spans="8:13">
      <c r="H1104" s="25"/>
      <c r="I1104" s="25"/>
      <c r="K1104" s="25"/>
      <c r="L1104" s="25"/>
      <c r="M1104" s="25"/>
    </row>
    <row r="1105" ht="14.4" spans="8:13">
      <c r="H1105" s="25"/>
      <c r="I1105" s="25"/>
      <c r="K1105" s="25"/>
      <c r="L1105" s="25"/>
      <c r="M1105" s="25"/>
    </row>
    <row r="1106" ht="14.4" spans="8:13">
      <c r="H1106" s="25"/>
      <c r="I1106" s="25"/>
      <c r="K1106" s="25"/>
      <c r="L1106" s="25"/>
      <c r="M1106" s="25"/>
    </row>
    <row r="1107" ht="14.4" spans="8:13">
      <c r="H1107" s="25"/>
      <c r="I1107" s="25"/>
      <c r="K1107" s="25"/>
      <c r="L1107" s="25"/>
      <c r="M1107" s="25"/>
    </row>
    <row r="1108" ht="14.4" spans="8:13">
      <c r="H1108" s="25"/>
      <c r="I1108" s="25"/>
      <c r="K1108" s="25"/>
      <c r="L1108" s="25"/>
      <c r="M1108" s="25"/>
    </row>
    <row r="1109" ht="14.4" spans="8:13">
      <c r="H1109" s="25"/>
      <c r="I1109" s="25"/>
      <c r="K1109" s="25"/>
      <c r="L1109" s="25"/>
      <c r="M1109" s="25"/>
    </row>
    <row r="1110" ht="14.4" spans="8:13">
      <c r="H1110" s="25"/>
      <c r="I1110" s="25"/>
      <c r="K1110" s="25"/>
      <c r="L1110" s="25"/>
      <c r="M1110" s="25"/>
    </row>
    <row r="1111" ht="14.4" spans="8:13">
      <c r="H1111" s="25"/>
      <c r="I1111" s="25"/>
      <c r="K1111" s="25"/>
      <c r="L1111" s="25"/>
      <c r="M1111" s="25"/>
    </row>
    <row r="1112" ht="14.4" spans="8:13">
      <c r="H1112" s="25"/>
      <c r="I1112" s="25"/>
      <c r="K1112" s="25"/>
      <c r="L1112" s="25"/>
      <c r="M1112" s="25"/>
    </row>
    <row r="1113" ht="14.4" spans="8:13">
      <c r="H1113" s="25"/>
      <c r="I1113" s="25"/>
      <c r="K1113" s="25"/>
      <c r="L1113" s="25"/>
      <c r="M1113" s="25"/>
    </row>
    <row r="1114" ht="14.4" spans="8:13">
      <c r="H1114" s="25"/>
      <c r="I1114" s="25"/>
      <c r="K1114" s="25"/>
      <c r="L1114" s="25"/>
      <c r="M1114" s="25"/>
    </row>
    <row r="1115" ht="14.4" spans="8:13">
      <c r="H1115" s="25"/>
      <c r="I1115" s="25"/>
      <c r="K1115" s="25"/>
      <c r="L1115" s="25"/>
      <c r="M1115" s="25"/>
    </row>
    <row r="1116" ht="14.4" spans="8:13">
      <c r="H1116" s="25"/>
      <c r="I1116" s="25"/>
      <c r="K1116" s="25"/>
      <c r="L1116" s="25"/>
      <c r="M1116" s="25"/>
    </row>
    <row r="1117" ht="14.4" spans="8:13">
      <c r="H1117" s="25"/>
      <c r="I1117" s="25"/>
      <c r="K1117" s="25"/>
      <c r="L1117" s="25"/>
      <c r="M1117" s="25"/>
    </row>
    <row r="1118" ht="14.4" spans="8:13">
      <c r="H1118" s="25"/>
      <c r="I1118" s="25"/>
      <c r="K1118" s="25"/>
      <c r="L1118" s="25"/>
      <c r="M1118" s="25"/>
    </row>
    <row r="1119" ht="14.4" spans="8:13">
      <c r="H1119" s="25"/>
      <c r="I1119" s="25"/>
      <c r="K1119" s="25"/>
      <c r="L1119" s="25"/>
      <c r="M1119" s="25"/>
    </row>
    <row r="1120" ht="14.4" spans="8:13">
      <c r="H1120" s="25"/>
      <c r="I1120" s="25"/>
      <c r="K1120" s="25"/>
      <c r="L1120" s="25"/>
      <c r="M1120" s="25"/>
    </row>
    <row r="1121" ht="14.4" spans="8:13">
      <c r="H1121" s="25"/>
      <c r="I1121" s="25"/>
      <c r="K1121" s="25"/>
      <c r="L1121" s="25"/>
      <c r="M1121" s="25"/>
    </row>
    <row r="1122" ht="14.4" spans="8:13">
      <c r="H1122" s="25"/>
      <c r="I1122" s="25"/>
      <c r="K1122" s="25"/>
      <c r="L1122" s="25"/>
      <c r="M1122" s="25"/>
    </row>
    <row r="1123" ht="14.4" spans="8:13">
      <c r="H1123" s="25"/>
      <c r="I1123" s="25"/>
      <c r="K1123" s="25"/>
      <c r="L1123" s="25"/>
      <c r="M1123" s="25"/>
    </row>
    <row r="1124" ht="14.4" spans="8:13">
      <c r="H1124" s="25"/>
      <c r="I1124" s="25"/>
      <c r="K1124" s="25"/>
      <c r="L1124" s="25"/>
      <c r="M1124" s="25"/>
    </row>
    <row r="1125" ht="14.4" spans="8:13">
      <c r="H1125" s="25"/>
      <c r="I1125" s="25"/>
      <c r="K1125" s="25"/>
      <c r="L1125" s="25"/>
      <c r="M1125" s="25"/>
    </row>
    <row r="1126" ht="14.4" spans="8:13">
      <c r="H1126" s="25"/>
      <c r="I1126" s="25"/>
      <c r="K1126" s="25"/>
      <c r="L1126" s="25"/>
      <c r="M1126" s="25"/>
    </row>
    <row r="1127" ht="14.4" spans="8:13">
      <c r="H1127" s="25"/>
      <c r="I1127" s="25"/>
      <c r="K1127" s="25"/>
      <c r="L1127" s="25"/>
      <c r="M1127" s="25"/>
    </row>
    <row r="1128" ht="14.4" spans="8:13">
      <c r="H1128" s="25"/>
      <c r="I1128" s="25"/>
      <c r="K1128" s="25"/>
      <c r="L1128" s="25"/>
      <c r="M1128" s="25"/>
    </row>
    <row r="1129" ht="14.4" spans="8:13">
      <c r="H1129" s="25"/>
      <c r="I1129" s="25"/>
      <c r="K1129" s="25"/>
      <c r="L1129" s="25"/>
      <c r="M1129" s="25"/>
    </row>
    <row r="1130" ht="14.4" spans="8:13">
      <c r="H1130" s="25"/>
      <c r="I1130" s="25"/>
      <c r="K1130" s="25"/>
      <c r="L1130" s="25"/>
      <c r="M1130" s="25"/>
    </row>
    <row r="1131" ht="14.4" spans="8:13">
      <c r="H1131" s="25"/>
      <c r="I1131" s="25"/>
      <c r="K1131" s="25"/>
      <c r="L1131" s="25"/>
      <c r="M1131" s="25"/>
    </row>
    <row r="1132" ht="14.4" spans="8:13">
      <c r="H1132" s="25"/>
      <c r="I1132" s="25"/>
      <c r="K1132" s="25"/>
      <c r="L1132" s="25"/>
      <c r="M1132" s="25"/>
    </row>
    <row r="1133" ht="14.4" spans="8:13">
      <c r="H1133" s="25"/>
      <c r="I1133" s="25"/>
      <c r="K1133" s="25"/>
      <c r="L1133" s="25"/>
      <c r="M1133" s="25"/>
    </row>
    <row r="1134" ht="14.4" spans="8:13">
      <c r="H1134" s="25"/>
      <c r="I1134" s="25"/>
      <c r="K1134" s="25"/>
      <c r="L1134" s="25"/>
      <c r="M1134" s="25"/>
    </row>
    <row r="1135" ht="14.4" spans="8:13">
      <c r="H1135" s="25"/>
      <c r="I1135" s="25"/>
      <c r="K1135" s="25"/>
      <c r="L1135" s="25"/>
      <c r="M1135" s="25"/>
    </row>
    <row r="1136" ht="14.4" spans="8:13">
      <c r="H1136" s="25"/>
      <c r="I1136" s="25"/>
      <c r="K1136" s="25"/>
      <c r="L1136" s="25"/>
      <c r="M1136" s="25"/>
    </row>
    <row r="1137" ht="14.4" spans="8:13">
      <c r="H1137" s="25"/>
      <c r="I1137" s="25"/>
      <c r="K1137" s="25"/>
      <c r="L1137" s="25"/>
      <c r="M1137" s="25"/>
    </row>
    <row r="1138" ht="14.4" spans="8:13">
      <c r="H1138" s="25"/>
      <c r="I1138" s="25"/>
      <c r="K1138" s="25"/>
      <c r="L1138" s="25"/>
      <c r="M1138" s="25"/>
    </row>
    <row r="1139" ht="14.4" spans="8:13">
      <c r="H1139" s="25"/>
      <c r="I1139" s="25"/>
      <c r="K1139" s="25"/>
      <c r="L1139" s="25"/>
      <c r="M1139" s="25"/>
    </row>
    <row r="1140" ht="14.4" spans="8:13">
      <c r="H1140" s="25"/>
      <c r="I1140" s="25"/>
      <c r="K1140" s="25"/>
      <c r="L1140" s="25"/>
      <c r="M1140" s="25"/>
    </row>
    <row r="1141" ht="14.4" spans="8:13">
      <c r="H1141" s="25"/>
      <c r="I1141" s="25"/>
      <c r="K1141" s="25"/>
      <c r="L1141" s="25"/>
      <c r="M1141" s="25"/>
    </row>
    <row r="1142" ht="14.4" spans="8:13">
      <c r="H1142" s="25"/>
      <c r="I1142" s="25"/>
      <c r="K1142" s="25"/>
      <c r="L1142" s="25"/>
      <c r="M1142" s="25"/>
    </row>
    <row r="1143" ht="14.4" spans="8:13">
      <c r="H1143" s="25"/>
      <c r="I1143" s="25"/>
      <c r="K1143" s="25"/>
      <c r="L1143" s="25"/>
      <c r="M1143" s="25"/>
    </row>
    <row r="1144" ht="14.4" spans="8:13">
      <c r="H1144" s="25"/>
      <c r="I1144" s="25"/>
      <c r="K1144" s="25"/>
      <c r="L1144" s="25"/>
      <c r="M1144" s="25"/>
    </row>
    <row r="1145" ht="14.4" spans="8:13">
      <c r="H1145" s="25"/>
      <c r="I1145" s="25"/>
      <c r="K1145" s="25"/>
      <c r="L1145" s="25"/>
      <c r="M1145" s="25"/>
    </row>
    <row r="1146" ht="14.4" spans="8:13">
      <c r="H1146" s="25"/>
      <c r="I1146" s="25"/>
      <c r="K1146" s="25"/>
      <c r="L1146" s="25"/>
      <c r="M1146" s="25"/>
    </row>
    <row r="1147" ht="14.4" spans="8:13">
      <c r="H1147" s="25"/>
      <c r="I1147" s="25"/>
      <c r="K1147" s="25"/>
      <c r="L1147" s="25"/>
      <c r="M1147" s="25"/>
    </row>
    <row r="1148" ht="14.4" spans="8:13">
      <c r="H1148" s="25"/>
      <c r="I1148" s="25"/>
      <c r="K1148" s="25"/>
      <c r="L1148" s="25"/>
      <c r="M1148" s="25"/>
    </row>
    <row r="1149" ht="14.4" spans="8:13">
      <c r="H1149" s="25"/>
      <c r="I1149" s="25"/>
      <c r="K1149" s="25"/>
      <c r="L1149" s="25"/>
      <c r="M1149" s="25"/>
    </row>
    <row r="1150" ht="14.4" spans="8:13">
      <c r="H1150" s="25"/>
      <c r="I1150" s="25"/>
      <c r="K1150" s="25"/>
      <c r="L1150" s="25"/>
      <c r="M1150" s="25"/>
    </row>
    <row r="1151" ht="14.4" spans="8:13">
      <c r="H1151" s="25"/>
      <c r="I1151" s="25"/>
      <c r="K1151" s="25"/>
      <c r="L1151" s="25"/>
      <c r="M1151" s="25"/>
    </row>
    <row r="1152" ht="14.4" spans="8:13">
      <c r="H1152" s="25"/>
      <c r="I1152" s="25"/>
      <c r="K1152" s="25"/>
      <c r="L1152" s="25"/>
      <c r="M1152" s="25"/>
    </row>
    <row r="1153" ht="14.4" spans="8:13">
      <c r="H1153" s="25"/>
      <c r="I1153" s="25"/>
      <c r="K1153" s="25"/>
      <c r="L1153" s="25"/>
      <c r="M1153" s="25"/>
    </row>
    <row r="1154" ht="14.4" spans="8:13">
      <c r="H1154" s="25"/>
      <c r="I1154" s="25"/>
      <c r="K1154" s="25"/>
      <c r="L1154" s="25"/>
      <c r="M1154" s="25"/>
    </row>
    <row r="1155" ht="14.4" spans="8:13">
      <c r="H1155" s="25"/>
      <c r="I1155" s="25"/>
      <c r="K1155" s="25"/>
      <c r="L1155" s="25"/>
      <c r="M1155" s="25"/>
    </row>
    <row r="1156" ht="14.4" spans="8:13">
      <c r="H1156" s="25"/>
      <c r="I1156" s="25"/>
      <c r="K1156" s="25"/>
      <c r="L1156" s="25"/>
      <c r="M1156" s="25"/>
    </row>
    <row r="1157" ht="14.4" spans="8:13">
      <c r="H1157" s="25"/>
      <c r="I1157" s="25"/>
      <c r="K1157" s="25"/>
      <c r="L1157" s="25"/>
      <c r="M1157" s="25"/>
    </row>
    <row r="1158" ht="14.4" spans="8:13">
      <c r="H1158" s="25"/>
      <c r="I1158" s="25"/>
      <c r="K1158" s="25"/>
      <c r="L1158" s="25"/>
      <c r="M1158" s="25"/>
    </row>
    <row r="1159" ht="14.4" spans="8:13">
      <c r="H1159" s="25"/>
      <c r="I1159" s="25"/>
      <c r="K1159" s="25"/>
      <c r="L1159" s="25"/>
      <c r="M1159" s="25"/>
    </row>
    <row r="1160" ht="14.4" spans="8:13">
      <c r="H1160" s="25"/>
      <c r="I1160" s="25"/>
      <c r="K1160" s="25"/>
      <c r="L1160" s="25"/>
      <c r="M1160" s="25"/>
    </row>
    <row r="1161" ht="14.4" spans="8:13">
      <c r="H1161" s="25"/>
      <c r="I1161" s="25"/>
      <c r="K1161" s="25"/>
      <c r="L1161" s="25"/>
      <c r="M1161" s="25"/>
    </row>
    <row r="1162" ht="14.4" spans="8:13">
      <c r="H1162" s="25"/>
      <c r="I1162" s="25"/>
      <c r="K1162" s="25"/>
      <c r="L1162" s="25"/>
      <c r="M1162" s="25"/>
    </row>
    <row r="1163" ht="14.4" spans="8:13">
      <c r="H1163" s="25"/>
      <c r="I1163" s="25"/>
      <c r="K1163" s="25"/>
      <c r="L1163" s="25"/>
      <c r="M1163" s="25"/>
    </row>
    <row r="1164" ht="14.4" spans="8:13">
      <c r="H1164" s="25"/>
      <c r="I1164" s="25"/>
      <c r="K1164" s="25"/>
      <c r="L1164" s="25"/>
      <c r="M1164" s="25"/>
    </row>
    <row r="1165" ht="14.4" spans="8:13">
      <c r="H1165" s="25"/>
      <c r="I1165" s="25"/>
      <c r="K1165" s="25"/>
      <c r="L1165" s="25"/>
      <c r="M1165" s="25"/>
    </row>
    <row r="1166" ht="14.4" spans="8:13">
      <c r="H1166" s="25"/>
      <c r="I1166" s="25"/>
      <c r="K1166" s="25"/>
      <c r="L1166" s="25"/>
      <c r="M1166" s="25"/>
    </row>
    <row r="1167" ht="14.4" spans="8:13">
      <c r="H1167" s="25"/>
      <c r="I1167" s="25"/>
      <c r="K1167" s="25"/>
      <c r="L1167" s="25"/>
      <c r="M1167" s="25"/>
    </row>
    <row r="1168" ht="14.4" spans="8:13">
      <c r="H1168" s="25"/>
      <c r="I1168" s="25"/>
      <c r="K1168" s="25"/>
      <c r="L1168" s="25"/>
      <c r="M1168" s="25"/>
    </row>
    <row r="1169" ht="14.4" spans="8:13">
      <c r="H1169" s="25"/>
      <c r="I1169" s="25"/>
      <c r="K1169" s="25"/>
      <c r="L1169" s="25"/>
      <c r="M1169" s="25"/>
    </row>
    <row r="1170" ht="14.4" spans="8:13">
      <c r="H1170" s="25"/>
      <c r="I1170" s="25"/>
      <c r="K1170" s="25"/>
      <c r="L1170" s="25"/>
      <c r="M1170" s="25"/>
    </row>
    <row r="1171" ht="14.4" spans="8:13">
      <c r="H1171" s="25"/>
      <c r="I1171" s="25"/>
      <c r="K1171" s="25"/>
      <c r="L1171" s="25"/>
      <c r="M1171" s="25"/>
    </row>
    <row r="1172" ht="14.4" spans="8:13">
      <c r="H1172" s="25"/>
      <c r="I1172" s="25"/>
      <c r="K1172" s="25"/>
      <c r="L1172" s="25"/>
      <c r="M1172" s="25"/>
    </row>
    <row r="1173" ht="14.4" spans="8:13">
      <c r="H1173" s="25"/>
      <c r="I1173" s="25"/>
      <c r="K1173" s="25"/>
      <c r="L1173" s="25"/>
      <c r="M1173" s="25"/>
    </row>
    <row r="1174" ht="14.4" spans="8:13">
      <c r="H1174" s="25"/>
      <c r="I1174" s="25"/>
      <c r="K1174" s="25"/>
      <c r="L1174" s="25"/>
      <c r="M1174" s="25"/>
    </row>
    <row r="1175" ht="14.4" spans="8:13">
      <c r="H1175" s="25"/>
      <c r="I1175" s="25"/>
      <c r="K1175" s="25"/>
      <c r="L1175" s="25"/>
      <c r="M1175" s="25"/>
    </row>
    <row r="1176" ht="14.4" spans="8:13">
      <c r="H1176" s="25"/>
      <c r="I1176" s="25"/>
      <c r="K1176" s="25"/>
      <c r="L1176" s="25"/>
      <c r="M1176" s="25"/>
    </row>
    <row r="1177" ht="14.4" spans="8:13">
      <c r="H1177" s="25"/>
      <c r="I1177" s="25"/>
      <c r="K1177" s="25"/>
      <c r="L1177" s="25"/>
      <c r="M1177" s="25"/>
    </row>
    <row r="1178" ht="14.4" spans="8:13">
      <c r="H1178" s="25"/>
      <c r="I1178" s="25"/>
      <c r="K1178" s="25"/>
      <c r="L1178" s="25"/>
      <c r="M1178" s="25"/>
    </row>
    <row r="1179" ht="14.4" spans="8:13">
      <c r="H1179" s="25"/>
      <c r="I1179" s="25"/>
      <c r="K1179" s="25"/>
      <c r="L1179" s="25"/>
      <c r="M1179" s="25"/>
    </row>
    <row r="1180" ht="14.4" spans="8:13">
      <c r="H1180" s="25"/>
      <c r="I1180" s="25"/>
      <c r="K1180" s="25"/>
      <c r="L1180" s="25"/>
      <c r="M1180" s="25"/>
    </row>
    <row r="1181" ht="14.4" spans="8:13">
      <c r="H1181" s="25"/>
      <c r="I1181" s="25"/>
      <c r="K1181" s="25"/>
      <c r="L1181" s="25"/>
      <c r="M1181" s="25"/>
    </row>
    <row r="1182" ht="14.4" spans="8:13">
      <c r="H1182" s="25"/>
      <c r="I1182" s="25"/>
      <c r="K1182" s="25"/>
      <c r="L1182" s="25"/>
      <c r="M1182" s="25"/>
    </row>
    <row r="1183" ht="14.4" spans="8:13">
      <c r="H1183" s="25"/>
      <c r="I1183" s="25"/>
      <c r="K1183" s="25"/>
      <c r="L1183" s="25"/>
      <c r="M1183" s="25"/>
    </row>
    <row r="1184" ht="14.4" spans="8:13">
      <c r="H1184" s="25"/>
      <c r="I1184" s="25"/>
      <c r="K1184" s="25"/>
      <c r="L1184" s="25"/>
      <c r="M1184" s="25"/>
    </row>
    <row r="1185" ht="14.4" spans="8:13">
      <c r="H1185" s="25"/>
      <c r="I1185" s="25"/>
      <c r="K1185" s="25"/>
      <c r="L1185" s="25"/>
      <c r="M1185" s="25"/>
    </row>
    <row r="1186" ht="14.4" spans="8:13">
      <c r="H1186" s="25"/>
      <c r="I1186" s="25"/>
      <c r="K1186" s="25"/>
      <c r="L1186" s="25"/>
      <c r="M1186" s="25"/>
    </row>
    <row r="1187" ht="14.4" spans="8:13">
      <c r="H1187" s="25"/>
      <c r="I1187" s="25"/>
      <c r="K1187" s="25"/>
      <c r="L1187" s="25"/>
      <c r="M1187" s="25"/>
    </row>
    <row r="1188" ht="14.4" spans="8:13">
      <c r="H1188" s="25"/>
      <c r="I1188" s="25"/>
      <c r="K1188" s="25"/>
      <c r="L1188" s="25"/>
      <c r="M1188" s="25"/>
    </row>
    <row r="1189" ht="14.4" spans="8:13">
      <c r="H1189" s="25"/>
      <c r="I1189" s="25"/>
      <c r="K1189" s="25"/>
      <c r="L1189" s="25"/>
      <c r="M1189" s="25"/>
    </row>
    <row r="1190" ht="14.4" spans="8:13">
      <c r="H1190" s="25"/>
      <c r="I1190" s="25"/>
      <c r="K1190" s="25"/>
      <c r="L1190" s="25"/>
      <c r="M1190" s="25"/>
    </row>
    <row r="1191" ht="14.4" spans="8:13">
      <c r="H1191" s="25"/>
      <c r="I1191" s="25"/>
      <c r="K1191" s="25"/>
      <c r="L1191" s="25"/>
      <c r="M1191" s="25"/>
    </row>
    <row r="1192" ht="14.4" spans="8:13">
      <c r="H1192" s="25"/>
      <c r="I1192" s="25"/>
      <c r="K1192" s="25"/>
      <c r="L1192" s="25"/>
      <c r="M1192" s="25"/>
    </row>
    <row r="1193" ht="14.4" spans="8:13">
      <c r="H1193" s="25"/>
      <c r="I1193" s="25"/>
      <c r="K1193" s="25"/>
      <c r="L1193" s="25"/>
      <c r="M1193" s="25"/>
    </row>
    <row r="1194" ht="14.4" spans="8:13">
      <c r="H1194" s="25"/>
      <c r="I1194" s="25"/>
      <c r="K1194" s="25"/>
      <c r="L1194" s="25"/>
      <c r="M1194" s="25"/>
    </row>
    <row r="1195" ht="14.4" spans="8:13">
      <c r="H1195" s="25"/>
      <c r="I1195" s="25"/>
      <c r="K1195" s="25"/>
      <c r="L1195" s="25"/>
      <c r="M1195" s="25"/>
    </row>
    <row r="1196" ht="14.4" spans="8:13">
      <c r="H1196" s="25"/>
      <c r="I1196" s="25"/>
      <c r="K1196" s="25"/>
      <c r="L1196" s="25"/>
      <c r="M1196" s="25"/>
    </row>
    <row r="1197" ht="14.4" spans="8:13">
      <c r="H1197" s="25"/>
      <c r="I1197" s="25"/>
      <c r="K1197" s="25"/>
      <c r="L1197" s="25"/>
      <c r="M1197" s="25"/>
    </row>
    <row r="1198" ht="14.4" spans="8:13">
      <c r="H1198" s="25"/>
      <c r="I1198" s="25"/>
      <c r="K1198" s="25"/>
      <c r="L1198" s="25"/>
      <c r="M1198" s="25"/>
    </row>
    <row r="1199" ht="14.4" spans="8:13">
      <c r="H1199" s="25"/>
      <c r="I1199" s="25"/>
      <c r="K1199" s="25"/>
      <c r="L1199" s="25"/>
      <c r="M1199" s="25"/>
    </row>
    <row r="1200" ht="14.4" spans="8:13">
      <c r="H1200" s="25"/>
      <c r="I1200" s="25"/>
      <c r="K1200" s="25"/>
      <c r="L1200" s="25"/>
      <c r="M1200" s="25"/>
    </row>
    <row r="1201" ht="14.4" spans="8:13">
      <c r="H1201" s="25"/>
      <c r="I1201" s="25"/>
      <c r="K1201" s="25"/>
      <c r="L1201" s="25"/>
      <c r="M1201" s="25"/>
    </row>
    <row r="1202" ht="14.4" spans="8:13">
      <c r="H1202" s="25"/>
      <c r="I1202" s="25"/>
      <c r="K1202" s="25"/>
      <c r="L1202" s="25"/>
      <c r="M1202" s="25"/>
    </row>
    <row r="1203" ht="14.4" spans="8:13">
      <c r="H1203" s="25"/>
      <c r="I1203" s="25"/>
      <c r="K1203" s="25"/>
      <c r="L1203" s="25"/>
      <c r="M1203" s="25"/>
    </row>
    <row r="1204" ht="14.4" spans="8:13">
      <c r="H1204" s="25"/>
      <c r="I1204" s="25"/>
      <c r="K1204" s="25"/>
      <c r="L1204" s="25"/>
      <c r="M1204" s="25"/>
    </row>
    <row r="1205" ht="14.4" spans="8:13">
      <c r="H1205" s="25"/>
      <c r="I1205" s="25"/>
      <c r="K1205" s="25"/>
      <c r="L1205" s="25"/>
      <c r="M1205" s="25"/>
    </row>
    <row r="1206" ht="14.4" spans="8:13">
      <c r="H1206" s="25"/>
      <c r="I1206" s="25"/>
      <c r="K1206" s="25"/>
      <c r="L1206" s="25"/>
      <c r="M1206" s="25"/>
    </row>
    <row r="1207" ht="14.4" spans="8:13">
      <c r="H1207" s="25"/>
      <c r="I1207" s="25"/>
      <c r="K1207" s="25"/>
      <c r="L1207" s="25"/>
      <c r="M1207" s="25"/>
    </row>
    <row r="1208" ht="14.4" spans="8:13">
      <c r="H1208" s="25"/>
      <c r="I1208" s="25"/>
      <c r="K1208" s="25"/>
      <c r="L1208" s="25"/>
      <c r="M1208" s="25"/>
    </row>
    <row r="1209" ht="14.4" spans="8:13">
      <c r="H1209" s="25"/>
      <c r="I1209" s="25"/>
      <c r="K1209" s="25"/>
      <c r="L1209" s="25"/>
      <c r="M1209" s="25"/>
    </row>
    <row r="1210" ht="14.4" spans="8:13">
      <c r="H1210" s="25"/>
      <c r="I1210" s="25"/>
      <c r="K1210" s="25"/>
      <c r="L1210" s="25"/>
      <c r="M1210" s="25"/>
    </row>
    <row r="1211" ht="14.4" spans="8:13">
      <c r="H1211" s="25"/>
      <c r="I1211" s="25"/>
      <c r="K1211" s="25"/>
      <c r="L1211" s="25"/>
      <c r="M1211" s="25"/>
    </row>
    <row r="1212" ht="14.4" spans="8:13">
      <c r="H1212" s="25"/>
      <c r="I1212" s="25"/>
      <c r="K1212" s="25"/>
      <c r="L1212" s="25"/>
      <c r="M1212" s="25"/>
    </row>
    <row r="1213" ht="14.4" spans="8:13">
      <c r="H1213" s="25"/>
      <c r="I1213" s="25"/>
      <c r="K1213" s="25"/>
      <c r="L1213" s="25"/>
      <c r="M1213" s="25"/>
    </row>
    <row r="1214" ht="14.4" spans="8:13">
      <c r="H1214" s="25"/>
      <c r="I1214" s="25"/>
      <c r="K1214" s="25"/>
      <c r="L1214" s="25"/>
      <c r="M1214" s="25"/>
    </row>
    <row r="1215" ht="14.4" spans="8:13">
      <c r="H1215" s="25"/>
      <c r="I1215" s="25"/>
      <c r="K1215" s="25"/>
      <c r="L1215" s="25"/>
      <c r="M1215" s="25"/>
    </row>
    <row r="1216" ht="14.4" spans="8:13">
      <c r="H1216" s="25"/>
      <c r="I1216" s="25"/>
      <c r="K1216" s="25"/>
      <c r="L1216" s="25"/>
      <c r="M1216" s="25"/>
    </row>
    <row r="1217" ht="14.4" spans="8:13">
      <c r="H1217" s="25"/>
      <c r="I1217" s="25"/>
      <c r="K1217" s="25"/>
      <c r="L1217" s="25"/>
      <c r="M1217" s="25"/>
    </row>
    <row r="1218" ht="14.4" spans="8:13">
      <c r="H1218" s="25"/>
      <c r="I1218" s="25"/>
      <c r="K1218" s="25"/>
      <c r="L1218" s="25"/>
      <c r="M1218" s="25"/>
    </row>
    <row r="1219" ht="14.4" spans="8:13">
      <c r="H1219" s="25"/>
      <c r="I1219" s="25"/>
      <c r="K1219" s="25"/>
      <c r="L1219" s="25"/>
      <c r="M1219" s="25"/>
    </row>
    <row r="1220" ht="14.4" spans="8:13">
      <c r="H1220" s="25"/>
      <c r="I1220" s="25"/>
      <c r="K1220" s="25"/>
      <c r="L1220" s="25"/>
      <c r="M1220" s="25"/>
    </row>
    <row r="1221" ht="14.4" spans="8:13">
      <c r="H1221" s="25"/>
      <c r="I1221" s="25"/>
      <c r="K1221" s="25"/>
      <c r="L1221" s="25"/>
      <c r="M1221" s="25"/>
    </row>
    <row r="1222" ht="14.4" spans="8:13">
      <c r="H1222" s="25"/>
      <c r="I1222" s="25"/>
      <c r="K1222" s="25"/>
      <c r="L1222" s="25"/>
      <c r="M1222" s="25"/>
    </row>
    <row r="1223" ht="14.4" spans="8:13">
      <c r="H1223" s="25"/>
      <c r="I1223" s="25"/>
      <c r="K1223" s="25"/>
      <c r="L1223" s="25"/>
      <c r="M1223" s="25"/>
    </row>
    <row r="1224" ht="14.4" spans="8:13">
      <c r="H1224" s="25"/>
      <c r="I1224" s="25"/>
      <c r="K1224" s="25"/>
      <c r="L1224" s="25"/>
      <c r="M1224" s="25"/>
    </row>
    <row r="1225" ht="14.4" spans="8:13">
      <c r="H1225" s="25"/>
      <c r="I1225" s="25"/>
      <c r="K1225" s="25"/>
      <c r="L1225" s="25"/>
      <c r="M1225" s="25"/>
    </row>
    <row r="1226" ht="14.4" spans="8:13">
      <c r="H1226" s="25"/>
      <c r="I1226" s="25"/>
      <c r="K1226" s="25"/>
      <c r="L1226" s="25"/>
      <c r="M1226" s="25"/>
    </row>
    <row r="1227" ht="14.4" spans="8:13">
      <c r="H1227" s="25"/>
      <c r="I1227" s="25"/>
      <c r="K1227" s="25"/>
      <c r="L1227" s="25"/>
      <c r="M1227" s="25"/>
    </row>
    <row r="1228" ht="14.4" spans="8:13">
      <c r="H1228" s="25"/>
      <c r="I1228" s="25"/>
      <c r="K1228" s="25"/>
      <c r="L1228" s="25"/>
      <c r="M1228" s="25"/>
    </row>
    <row r="1229" ht="14.4" spans="8:13">
      <c r="H1229" s="25"/>
      <c r="I1229" s="25"/>
      <c r="K1229" s="25"/>
      <c r="L1229" s="25"/>
      <c r="M1229" s="25"/>
    </row>
    <row r="1230" ht="14.4" spans="8:13">
      <c r="H1230" s="25"/>
      <c r="I1230" s="25"/>
      <c r="K1230" s="25"/>
      <c r="L1230" s="25"/>
      <c r="M1230" s="25"/>
    </row>
    <row r="1231" ht="14.4" spans="8:13">
      <c r="H1231" s="25"/>
      <c r="I1231" s="25"/>
      <c r="K1231" s="25"/>
      <c r="L1231" s="25"/>
      <c r="M1231" s="25"/>
    </row>
    <row r="1232" ht="14.4" spans="8:13">
      <c r="H1232" s="25"/>
      <c r="I1232" s="25"/>
      <c r="K1232" s="25"/>
      <c r="L1232" s="25"/>
      <c r="M1232" s="25"/>
    </row>
    <row r="1233" ht="14.4" spans="8:13">
      <c r="H1233" s="25"/>
      <c r="I1233" s="25"/>
      <c r="K1233" s="25"/>
      <c r="L1233" s="25"/>
      <c r="M1233" s="25"/>
    </row>
    <row r="1234" ht="14.4" spans="8:13">
      <c r="H1234" s="25"/>
      <c r="I1234" s="25"/>
      <c r="K1234" s="25"/>
      <c r="L1234" s="25"/>
      <c r="M1234" s="25"/>
    </row>
    <row r="1235" ht="14.4" spans="8:13">
      <c r="H1235" s="25"/>
      <c r="I1235" s="25"/>
      <c r="K1235" s="25"/>
      <c r="L1235" s="25"/>
      <c r="M1235" s="25"/>
    </row>
    <row r="1236" ht="14.4" spans="8:13">
      <c r="H1236" s="25"/>
      <c r="I1236" s="25"/>
      <c r="K1236" s="25"/>
      <c r="L1236" s="25"/>
      <c r="M1236" s="25"/>
    </row>
    <row r="1237" ht="14.4" spans="8:13">
      <c r="H1237" s="25"/>
      <c r="I1237" s="25"/>
      <c r="K1237" s="25"/>
      <c r="L1237" s="25"/>
      <c r="M1237" s="25"/>
    </row>
    <row r="1238" ht="14.4" spans="8:13">
      <c r="H1238" s="25"/>
      <c r="I1238" s="25"/>
      <c r="K1238" s="25"/>
      <c r="L1238" s="25"/>
      <c r="M1238" s="25"/>
    </row>
    <row r="1239" ht="14.4" spans="8:13">
      <c r="H1239" s="25"/>
      <c r="I1239" s="25"/>
      <c r="K1239" s="25"/>
      <c r="L1239" s="25"/>
      <c r="M1239" s="25"/>
    </row>
    <row r="1240" ht="14.4" spans="8:13">
      <c r="H1240" s="25"/>
      <c r="I1240" s="25"/>
      <c r="K1240" s="25"/>
      <c r="L1240" s="25"/>
      <c r="M1240" s="25"/>
    </row>
    <row r="1241" ht="14.4" spans="8:13">
      <c r="H1241" s="25"/>
      <c r="I1241" s="25"/>
      <c r="K1241" s="25"/>
      <c r="L1241" s="25"/>
      <c r="M1241" s="25"/>
    </row>
    <row r="1242" ht="14.4" spans="8:13">
      <c r="H1242" s="25"/>
      <c r="I1242" s="25"/>
      <c r="K1242" s="25"/>
      <c r="L1242" s="25"/>
      <c r="M1242" s="25"/>
    </row>
    <row r="1243" ht="14.4" spans="8:13">
      <c r="H1243" s="25"/>
      <c r="I1243" s="25"/>
      <c r="K1243" s="25"/>
      <c r="L1243" s="25"/>
      <c r="M1243" s="25"/>
    </row>
    <row r="1244" ht="14.4" spans="8:13">
      <c r="H1244" s="25"/>
      <c r="I1244" s="25"/>
      <c r="K1244" s="25"/>
      <c r="L1244" s="25"/>
      <c r="M1244" s="25"/>
    </row>
    <row r="1245" ht="14.4" spans="8:13">
      <c r="H1245" s="25"/>
      <c r="I1245" s="25"/>
      <c r="K1245" s="25"/>
      <c r="L1245" s="25"/>
      <c r="M1245" s="25"/>
    </row>
    <row r="1246" ht="14.4" spans="8:13">
      <c r="H1246" s="25"/>
      <c r="I1246" s="25"/>
      <c r="K1246" s="25"/>
      <c r="L1246" s="25"/>
      <c r="M1246" s="25"/>
    </row>
    <row r="1247" ht="14.4" spans="8:13">
      <c r="H1247" s="25"/>
      <c r="I1247" s="25"/>
      <c r="K1247" s="25"/>
      <c r="L1247" s="25"/>
      <c r="M1247" s="25"/>
    </row>
    <row r="1248" ht="14.4" spans="8:13">
      <c r="H1248" s="25"/>
      <c r="I1248" s="25"/>
      <c r="K1248" s="25"/>
      <c r="L1248" s="25"/>
      <c r="M1248" s="25"/>
    </row>
    <row r="1249" ht="14.4" spans="8:13">
      <c r="H1249" s="25"/>
      <c r="I1249" s="25"/>
      <c r="K1249" s="25"/>
      <c r="L1249" s="25"/>
      <c r="M1249" s="25"/>
    </row>
    <row r="1250" ht="14.4" spans="8:13">
      <c r="H1250" s="25"/>
      <c r="I1250" s="25"/>
      <c r="K1250" s="25"/>
      <c r="L1250" s="25"/>
      <c r="M1250" s="25"/>
    </row>
    <row r="1251" ht="14.4" spans="8:13">
      <c r="H1251" s="25"/>
      <c r="I1251" s="25"/>
      <c r="K1251" s="25"/>
      <c r="L1251" s="25"/>
      <c r="M1251" s="25"/>
    </row>
    <row r="1252" ht="14.4" spans="8:13">
      <c r="H1252" s="25"/>
      <c r="I1252" s="25"/>
      <c r="K1252" s="25"/>
      <c r="L1252" s="25"/>
      <c r="M1252" s="25"/>
    </row>
    <row r="1253" ht="14.4" spans="8:13">
      <c r="H1253" s="25"/>
      <c r="I1253" s="25"/>
      <c r="K1253" s="25"/>
      <c r="L1253" s="25"/>
      <c r="M1253" s="25"/>
    </row>
    <row r="1254" ht="14.4" spans="8:13">
      <c r="H1254" s="25"/>
      <c r="I1254" s="25"/>
      <c r="K1254" s="25"/>
      <c r="L1254" s="25"/>
      <c r="M1254" s="25"/>
    </row>
    <row r="1255" ht="14.4" spans="8:13">
      <c r="H1255" s="25"/>
      <c r="I1255" s="25"/>
      <c r="K1255" s="25"/>
      <c r="L1255" s="25"/>
      <c r="M1255" s="25"/>
    </row>
    <row r="1256" ht="14.4" spans="8:13">
      <c r="H1256" s="25"/>
      <c r="I1256" s="25"/>
      <c r="K1256" s="25"/>
      <c r="L1256" s="25"/>
      <c r="M1256" s="25"/>
    </row>
    <row r="1257" ht="14.4" spans="8:13">
      <c r="H1257" s="25"/>
      <c r="I1257" s="25"/>
      <c r="K1257" s="25"/>
      <c r="L1257" s="25"/>
      <c r="M1257" s="25"/>
    </row>
    <row r="1258" ht="14.4" spans="8:13">
      <c r="H1258" s="25"/>
      <c r="I1258" s="25"/>
      <c r="K1258" s="25"/>
      <c r="L1258" s="25"/>
      <c r="M1258" s="25"/>
    </row>
    <row r="1259" ht="14.4" spans="8:13">
      <c r="H1259" s="25"/>
      <c r="I1259" s="25"/>
      <c r="K1259" s="25"/>
      <c r="L1259" s="25"/>
      <c r="M1259" s="25"/>
    </row>
    <row r="1260" ht="14.4" spans="8:13">
      <c r="H1260" s="25"/>
      <c r="I1260" s="25"/>
      <c r="K1260" s="25"/>
      <c r="L1260" s="25"/>
      <c r="M1260" s="25"/>
    </row>
    <row r="1261" ht="14.4" spans="8:13">
      <c r="H1261" s="25"/>
      <c r="I1261" s="25"/>
      <c r="K1261" s="25"/>
      <c r="L1261" s="25"/>
      <c r="M1261" s="25"/>
    </row>
    <row r="1262" ht="14.4" spans="8:13">
      <c r="H1262" s="25"/>
      <c r="I1262" s="25"/>
      <c r="K1262" s="25"/>
      <c r="L1262" s="25"/>
      <c r="M1262" s="25"/>
    </row>
    <row r="1263" ht="14.4" spans="8:13">
      <c r="H1263" s="25"/>
      <c r="I1263" s="25"/>
      <c r="K1263" s="25"/>
      <c r="L1263" s="25"/>
      <c r="M1263" s="25"/>
    </row>
    <row r="1264" ht="14.4" spans="8:13">
      <c r="H1264" s="25"/>
      <c r="I1264" s="25"/>
      <c r="K1264" s="25"/>
      <c r="L1264" s="25"/>
      <c r="M1264" s="25"/>
    </row>
    <row r="1265" ht="14.4" spans="8:13">
      <c r="H1265" s="25"/>
      <c r="I1265" s="25"/>
      <c r="K1265" s="25"/>
      <c r="L1265" s="25"/>
      <c r="M1265" s="25"/>
    </row>
    <row r="1266" ht="14.4" spans="8:13">
      <c r="H1266" s="25"/>
      <c r="I1266" s="25"/>
      <c r="K1266" s="25"/>
      <c r="L1266" s="25"/>
      <c r="M1266" s="25"/>
    </row>
    <row r="1267" ht="14.4" spans="8:13">
      <c r="H1267" s="25"/>
      <c r="I1267" s="25"/>
      <c r="K1267" s="25"/>
      <c r="L1267" s="25"/>
      <c r="M1267" s="25"/>
    </row>
    <row r="1268" ht="14.4" spans="8:13">
      <c r="H1268" s="25"/>
      <c r="I1268" s="25"/>
      <c r="K1268" s="25"/>
      <c r="L1268" s="25"/>
      <c r="M1268" s="25"/>
    </row>
    <row r="1269" ht="14.4" spans="8:13">
      <c r="H1269" s="25"/>
      <c r="I1269" s="25"/>
      <c r="K1269" s="25"/>
      <c r="L1269" s="25"/>
      <c r="M1269" s="25"/>
    </row>
    <row r="1270" ht="14.4" spans="8:13">
      <c r="H1270" s="25"/>
      <c r="I1270" s="25"/>
      <c r="K1270" s="25"/>
      <c r="L1270" s="25"/>
      <c r="M1270" s="25"/>
    </row>
    <row r="1271" ht="14.4" spans="8:13">
      <c r="H1271" s="25"/>
      <c r="I1271" s="25"/>
      <c r="K1271" s="25"/>
      <c r="L1271" s="25"/>
      <c r="M1271" s="25"/>
    </row>
    <row r="1272" ht="14.4" spans="8:13">
      <c r="H1272" s="25"/>
      <c r="I1272" s="25"/>
      <c r="K1272" s="25"/>
      <c r="L1272" s="25"/>
      <c r="M1272" s="25"/>
    </row>
    <row r="1273" ht="14.4" spans="8:13">
      <c r="H1273" s="25"/>
      <c r="I1273" s="25"/>
      <c r="K1273" s="25"/>
      <c r="L1273" s="25"/>
      <c r="M1273" s="25"/>
    </row>
    <row r="1274" ht="14.4" spans="8:13">
      <c r="H1274" s="25"/>
      <c r="I1274" s="25"/>
      <c r="K1274" s="25"/>
      <c r="L1274" s="25"/>
      <c r="M1274" s="25"/>
    </row>
    <row r="1275" ht="14.4" spans="8:13">
      <c r="H1275" s="25"/>
      <c r="I1275" s="25"/>
      <c r="K1275" s="25"/>
      <c r="L1275" s="25"/>
      <c r="M1275" s="25"/>
    </row>
    <row r="1276" ht="14.4" spans="8:13">
      <c r="H1276" s="25"/>
      <c r="I1276" s="25"/>
      <c r="K1276" s="25"/>
      <c r="L1276" s="25"/>
      <c r="M1276" s="25"/>
    </row>
    <row r="1277" ht="14.4" spans="8:13">
      <c r="H1277" s="25"/>
      <c r="I1277" s="25"/>
      <c r="K1277" s="25"/>
      <c r="L1277" s="25"/>
      <c r="M1277" s="25"/>
    </row>
    <row r="1278" ht="14.4" spans="8:13">
      <c r="H1278" s="25"/>
      <c r="I1278" s="25"/>
      <c r="K1278" s="25"/>
      <c r="L1278" s="25"/>
      <c r="M1278" s="25"/>
    </row>
    <row r="1279" ht="14.4" spans="8:13">
      <c r="H1279" s="25"/>
      <c r="I1279" s="25"/>
      <c r="K1279" s="25"/>
      <c r="L1279" s="25"/>
      <c r="M1279" s="25"/>
    </row>
    <row r="1280" ht="14.4" spans="8:13">
      <c r="H1280" s="25"/>
      <c r="I1280" s="25"/>
      <c r="K1280" s="25"/>
      <c r="L1280" s="25"/>
      <c r="M1280" s="25"/>
    </row>
    <row r="1281" ht="14.4" spans="8:13">
      <c r="H1281" s="25"/>
      <c r="I1281" s="25"/>
      <c r="K1281" s="25"/>
      <c r="L1281" s="25"/>
      <c r="M1281" s="25"/>
    </row>
    <row r="1282" ht="14.4" spans="8:13">
      <c r="H1282" s="25"/>
      <c r="I1282" s="25"/>
      <c r="K1282" s="25"/>
      <c r="L1282" s="25"/>
      <c r="M1282" s="25"/>
    </row>
    <row r="1283" ht="14.4" spans="8:13">
      <c r="H1283" s="25"/>
      <c r="I1283" s="25"/>
      <c r="K1283" s="25"/>
      <c r="L1283" s="25"/>
      <c r="M1283" s="25"/>
    </row>
    <row r="1284" ht="14.4" spans="8:13">
      <c r="H1284" s="25"/>
      <c r="I1284" s="25"/>
      <c r="K1284" s="25"/>
      <c r="L1284" s="25"/>
      <c r="M1284" s="25"/>
    </row>
    <row r="1285" ht="14.4" spans="8:13">
      <c r="H1285" s="25"/>
      <c r="I1285" s="25"/>
      <c r="K1285" s="25"/>
      <c r="L1285" s="25"/>
      <c r="M1285" s="25"/>
    </row>
    <row r="1286" ht="14.4" spans="8:13">
      <c r="H1286" s="25"/>
      <c r="I1286" s="25"/>
      <c r="K1286" s="25"/>
      <c r="L1286" s="25"/>
      <c r="M1286" s="25"/>
    </row>
    <row r="1287" ht="14.4" spans="8:13">
      <c r="H1287" s="25"/>
      <c r="I1287" s="25"/>
      <c r="K1287" s="25"/>
      <c r="L1287" s="25"/>
      <c r="M1287" s="25"/>
    </row>
    <row r="1288" ht="14.4" spans="8:13">
      <c r="H1288" s="25"/>
      <c r="I1288" s="25"/>
      <c r="K1288" s="25"/>
      <c r="L1288" s="25"/>
      <c r="M1288" s="25"/>
    </row>
    <row r="1289" ht="14.4" spans="8:13">
      <c r="H1289" s="25"/>
      <c r="I1289" s="25"/>
      <c r="K1289" s="25"/>
      <c r="L1289" s="25"/>
      <c r="M1289" s="25"/>
    </row>
    <row r="1290" ht="14.4" spans="8:13">
      <c r="H1290" s="25"/>
      <c r="I1290" s="25"/>
      <c r="K1290" s="25"/>
      <c r="L1290" s="25"/>
      <c r="M1290" s="25"/>
    </row>
    <row r="1291" ht="14.4" spans="8:13">
      <c r="H1291" s="25"/>
      <c r="I1291" s="25"/>
      <c r="K1291" s="25"/>
      <c r="L1291" s="25"/>
      <c r="M1291" s="25"/>
    </row>
    <row r="1292" ht="14.4" spans="8:13">
      <c r="H1292" s="25"/>
      <c r="I1292" s="25"/>
      <c r="K1292" s="25"/>
      <c r="L1292" s="25"/>
      <c r="M1292" s="25"/>
    </row>
    <row r="1293" ht="14.4" spans="8:13">
      <c r="H1293" s="25"/>
      <c r="I1293" s="25"/>
      <c r="K1293" s="25"/>
      <c r="L1293" s="25"/>
      <c r="M1293" s="25"/>
    </row>
    <row r="1294" ht="14.4" spans="8:13">
      <c r="H1294" s="25"/>
      <c r="I1294" s="25"/>
      <c r="K1294" s="25"/>
      <c r="L1294" s="25"/>
      <c r="M1294" s="25"/>
    </row>
    <row r="1295" ht="14.4" spans="8:13">
      <c r="H1295" s="25"/>
      <c r="I1295" s="25"/>
      <c r="K1295" s="25"/>
      <c r="L1295" s="25"/>
      <c r="M1295" s="25"/>
    </row>
    <row r="1296" ht="14.4" spans="8:13">
      <c r="H1296" s="25"/>
      <c r="I1296" s="25"/>
      <c r="K1296" s="25"/>
      <c r="L1296" s="25"/>
      <c r="M1296" s="25"/>
    </row>
    <row r="1297" ht="14.4" spans="8:13">
      <c r="H1297" s="25"/>
      <c r="I1297" s="25"/>
      <c r="K1297" s="25"/>
      <c r="L1297" s="25"/>
      <c r="M1297" s="25"/>
    </row>
    <row r="1298" ht="14.4" spans="8:13">
      <c r="H1298" s="25"/>
      <c r="I1298" s="25"/>
      <c r="K1298" s="25"/>
      <c r="L1298" s="25"/>
      <c r="M1298" s="25"/>
    </row>
    <row r="1299" ht="14.4" spans="8:13">
      <c r="H1299" s="25"/>
      <c r="I1299" s="25"/>
      <c r="K1299" s="25"/>
      <c r="L1299" s="25"/>
      <c r="M1299" s="25"/>
    </row>
    <row r="1300" ht="14.4" spans="8:13">
      <c r="H1300" s="25"/>
      <c r="I1300" s="25"/>
      <c r="K1300" s="25"/>
      <c r="L1300" s="25"/>
      <c r="M1300" s="25"/>
    </row>
    <row r="1301" ht="14.4" spans="8:13">
      <c r="H1301" s="25"/>
      <c r="I1301" s="25"/>
      <c r="K1301" s="25"/>
      <c r="L1301" s="25"/>
      <c r="M1301" s="25"/>
    </row>
    <row r="1302" ht="14.4" spans="8:13">
      <c r="H1302" s="25"/>
      <c r="I1302" s="25"/>
      <c r="K1302" s="25"/>
      <c r="L1302" s="25"/>
      <c r="M1302" s="25"/>
    </row>
    <row r="1303" ht="14.4" spans="8:13">
      <c r="H1303" s="25"/>
      <c r="I1303" s="25"/>
      <c r="K1303" s="25"/>
      <c r="L1303" s="25"/>
      <c r="M1303" s="25"/>
    </row>
    <row r="1304" ht="14.4" spans="8:13">
      <c r="H1304" s="25"/>
      <c r="I1304" s="25"/>
      <c r="K1304" s="25"/>
      <c r="L1304" s="25"/>
      <c r="M1304" s="25"/>
    </row>
    <row r="1305" ht="14.4" spans="8:13">
      <c r="H1305" s="25"/>
      <c r="I1305" s="25"/>
      <c r="K1305" s="25"/>
      <c r="L1305" s="25"/>
      <c r="M1305" s="25"/>
    </row>
    <row r="1306" ht="14.4" spans="8:13">
      <c r="H1306" s="25"/>
      <c r="I1306" s="25"/>
      <c r="K1306" s="25"/>
      <c r="L1306" s="25"/>
      <c r="M1306" s="25"/>
    </row>
    <row r="1307" ht="14.4" spans="8:13">
      <c r="H1307" s="25"/>
      <c r="I1307" s="25"/>
      <c r="K1307" s="25"/>
      <c r="L1307" s="25"/>
      <c r="M1307" s="25"/>
    </row>
    <row r="1308" ht="14.4" spans="8:13">
      <c r="H1308" s="25"/>
      <c r="I1308" s="25"/>
      <c r="K1308" s="25"/>
      <c r="L1308" s="25"/>
      <c r="M1308" s="25"/>
    </row>
    <row r="1309" ht="14.4" spans="8:13">
      <c r="H1309" s="25"/>
      <c r="I1309" s="25"/>
      <c r="K1309" s="25"/>
      <c r="L1309" s="25"/>
      <c r="M1309" s="25"/>
    </row>
    <row r="1310" ht="14.4" spans="8:13">
      <c r="H1310" s="25"/>
      <c r="I1310" s="25"/>
      <c r="K1310" s="25"/>
      <c r="L1310" s="25"/>
      <c r="M1310" s="25"/>
    </row>
    <row r="1311" ht="14.4" spans="8:13">
      <c r="H1311" s="25"/>
      <c r="I1311" s="25"/>
      <c r="K1311" s="25"/>
      <c r="L1311" s="25"/>
      <c r="M1311" s="25"/>
    </row>
    <row r="1312" ht="14.4" spans="8:13">
      <c r="H1312" s="25"/>
      <c r="I1312" s="25"/>
      <c r="K1312" s="25"/>
      <c r="L1312" s="25"/>
      <c r="M1312" s="25"/>
    </row>
    <row r="1313" ht="14.4" spans="8:13">
      <c r="H1313" s="25"/>
      <c r="I1313" s="25"/>
      <c r="K1313" s="25"/>
      <c r="L1313" s="25"/>
      <c r="M1313" s="25"/>
    </row>
    <row r="1314" ht="14.4" spans="8:13">
      <c r="H1314" s="25"/>
      <c r="I1314" s="25"/>
      <c r="K1314" s="25"/>
      <c r="L1314" s="25"/>
      <c r="M1314" s="25"/>
    </row>
    <row r="1315" ht="14.4" spans="8:13">
      <c r="H1315" s="25"/>
      <c r="I1315" s="25"/>
      <c r="K1315" s="25"/>
      <c r="L1315" s="25"/>
      <c r="M1315" s="25"/>
    </row>
    <row r="1316" ht="14.4" spans="8:13">
      <c r="H1316" s="25"/>
      <c r="I1316" s="25"/>
      <c r="K1316" s="25"/>
      <c r="L1316" s="25"/>
      <c r="M1316" s="25"/>
    </row>
    <row r="1317" ht="14.4" spans="8:13">
      <c r="H1317" s="25"/>
      <c r="I1317" s="25"/>
      <c r="K1317" s="25"/>
      <c r="L1317" s="25"/>
      <c r="M1317" s="25"/>
    </row>
    <row r="1318" ht="14.4" spans="8:13">
      <c r="H1318" s="25"/>
      <c r="I1318" s="25"/>
      <c r="K1318" s="25"/>
      <c r="L1318" s="25"/>
      <c r="M1318" s="25"/>
    </row>
    <row r="1319" ht="14.4" spans="8:13">
      <c r="H1319" s="25"/>
      <c r="I1319" s="25"/>
      <c r="K1319" s="25"/>
      <c r="L1319" s="25"/>
      <c r="M1319" s="25"/>
    </row>
    <row r="1320" ht="14.4" spans="8:13">
      <c r="H1320" s="25"/>
      <c r="I1320" s="25"/>
      <c r="K1320" s="25"/>
      <c r="L1320" s="25"/>
      <c r="M1320" s="25"/>
    </row>
    <row r="1321" ht="14.4" spans="8:13">
      <c r="H1321" s="25"/>
      <c r="I1321" s="25"/>
      <c r="K1321" s="25"/>
      <c r="L1321" s="25"/>
      <c r="M1321" s="25"/>
    </row>
    <row r="1322" ht="14.4" spans="8:13">
      <c r="H1322" s="25"/>
      <c r="I1322" s="25"/>
      <c r="K1322" s="25"/>
      <c r="L1322" s="25"/>
      <c r="M1322" s="25"/>
    </row>
    <row r="1323" ht="14.4" spans="8:13">
      <c r="H1323" s="25"/>
      <c r="I1323" s="25"/>
      <c r="K1323" s="25"/>
      <c r="L1323" s="25"/>
      <c r="M1323" s="25"/>
    </row>
    <row r="1324" ht="14.4" spans="8:13">
      <c r="H1324" s="25"/>
      <c r="I1324" s="25"/>
      <c r="K1324" s="25"/>
      <c r="L1324" s="25"/>
      <c r="M1324" s="25"/>
    </row>
    <row r="1325" ht="14.4" spans="8:13">
      <c r="H1325" s="25"/>
      <c r="I1325" s="25"/>
      <c r="K1325" s="25"/>
      <c r="L1325" s="25"/>
      <c r="M1325" s="25"/>
    </row>
    <row r="1326" ht="14.4" spans="8:13">
      <c r="H1326" s="25"/>
      <c r="I1326" s="25"/>
      <c r="K1326" s="25"/>
      <c r="L1326" s="25"/>
      <c r="M1326" s="25"/>
    </row>
    <row r="1327" ht="14.4" spans="8:13">
      <c r="H1327" s="25"/>
      <c r="I1327" s="25"/>
      <c r="K1327" s="25"/>
      <c r="L1327" s="25"/>
      <c r="M1327" s="25"/>
    </row>
    <row r="1328" ht="14.4" spans="8:13">
      <c r="H1328" s="25"/>
      <c r="I1328" s="25"/>
      <c r="K1328" s="25"/>
      <c r="L1328" s="25"/>
      <c r="M1328" s="25"/>
    </row>
    <row r="1329" ht="14.4" spans="8:13">
      <c r="H1329" s="25"/>
      <c r="I1329" s="25"/>
      <c r="K1329" s="25"/>
      <c r="L1329" s="25"/>
      <c r="M1329" s="25"/>
    </row>
    <row r="1330" ht="14.4" spans="8:13">
      <c r="H1330" s="25"/>
      <c r="I1330" s="25"/>
      <c r="K1330" s="25"/>
      <c r="L1330" s="25"/>
      <c r="M1330" s="25"/>
    </row>
    <row r="1331" ht="14.4" spans="8:13">
      <c r="H1331" s="25"/>
      <c r="I1331" s="25"/>
      <c r="K1331" s="25"/>
      <c r="L1331" s="25"/>
      <c r="M1331" s="25"/>
    </row>
    <row r="1332" ht="14.4" spans="8:13">
      <c r="H1332" s="25"/>
      <c r="I1332" s="25"/>
      <c r="K1332" s="25"/>
      <c r="L1332" s="25"/>
      <c r="M1332" s="25"/>
    </row>
    <row r="1333" ht="14.4" spans="8:13">
      <c r="H1333" s="25"/>
      <c r="I1333" s="25"/>
      <c r="K1333" s="25"/>
      <c r="L1333" s="25"/>
      <c r="M1333" s="25"/>
    </row>
    <row r="1334" ht="14.4" spans="8:13">
      <c r="H1334" s="25"/>
      <c r="I1334" s="25"/>
      <c r="K1334" s="25"/>
      <c r="L1334" s="25"/>
      <c r="M1334" s="25"/>
    </row>
    <row r="1335" ht="14.4" spans="8:13">
      <c r="H1335" s="25"/>
      <c r="I1335" s="25"/>
      <c r="K1335" s="25"/>
      <c r="L1335" s="25"/>
      <c r="M1335" s="25"/>
    </row>
    <row r="1336" ht="14.4" spans="8:13">
      <c r="H1336" s="25"/>
      <c r="I1336" s="25"/>
      <c r="K1336" s="25"/>
      <c r="L1336" s="25"/>
      <c r="M1336" s="25"/>
    </row>
    <row r="1337" ht="14.4" spans="8:13">
      <c r="H1337" s="25"/>
      <c r="I1337" s="25"/>
      <c r="K1337" s="25"/>
      <c r="L1337" s="25"/>
      <c r="M1337" s="25"/>
    </row>
    <row r="1338" ht="14.4" spans="8:13">
      <c r="H1338" s="25"/>
      <c r="I1338" s="25"/>
      <c r="K1338" s="25"/>
      <c r="L1338" s="25"/>
      <c r="M1338" s="25"/>
    </row>
    <row r="1339" ht="14.4" spans="8:13">
      <c r="H1339" s="25"/>
      <c r="I1339" s="25"/>
      <c r="K1339" s="25"/>
      <c r="L1339" s="25"/>
      <c r="M1339" s="25"/>
    </row>
    <row r="1340" ht="14.4" spans="8:13">
      <c r="H1340" s="25"/>
      <c r="I1340" s="25"/>
      <c r="K1340" s="25"/>
      <c r="L1340" s="25"/>
      <c r="M1340" s="25"/>
    </row>
    <row r="1341" ht="14.4" spans="8:13">
      <c r="H1341" s="25"/>
      <c r="I1341" s="25"/>
      <c r="K1341" s="25"/>
      <c r="L1341" s="25"/>
      <c r="M1341" s="25"/>
    </row>
    <row r="1342" ht="14.4" spans="8:13">
      <c r="H1342" s="25"/>
      <c r="I1342" s="25"/>
      <c r="K1342" s="25"/>
      <c r="L1342" s="25"/>
      <c r="M1342" s="25"/>
    </row>
    <row r="1343" ht="14.4" spans="8:13">
      <c r="H1343" s="25"/>
      <c r="I1343" s="25"/>
      <c r="K1343" s="25"/>
      <c r="L1343" s="25"/>
      <c r="M1343" s="25"/>
    </row>
    <row r="1344" ht="14.4" spans="8:13">
      <c r="H1344" s="25"/>
      <c r="I1344" s="25"/>
      <c r="K1344" s="25"/>
      <c r="L1344" s="25"/>
      <c r="M1344" s="25"/>
    </row>
    <row r="1345" ht="14.4" spans="8:13">
      <c r="H1345" s="25"/>
      <c r="I1345" s="25"/>
      <c r="K1345" s="25"/>
      <c r="L1345" s="25"/>
      <c r="M1345" s="25"/>
    </row>
    <row r="1346" ht="14.4" spans="8:13">
      <c r="H1346" s="25"/>
      <c r="I1346" s="25"/>
      <c r="K1346" s="25"/>
      <c r="L1346" s="25"/>
      <c r="M1346" s="25"/>
    </row>
    <row r="1347" ht="14.4" spans="8:13">
      <c r="H1347" s="25"/>
      <c r="I1347" s="25"/>
      <c r="K1347" s="25"/>
      <c r="L1347" s="25"/>
      <c r="M1347" s="25"/>
    </row>
    <row r="1348" ht="14.4" spans="8:13">
      <c r="H1348" s="25"/>
      <c r="I1348" s="25"/>
      <c r="K1348" s="25"/>
      <c r="L1348" s="25"/>
      <c r="M1348" s="25"/>
    </row>
    <row r="1349" ht="14.4" spans="8:13">
      <c r="H1349" s="25"/>
      <c r="I1349" s="25"/>
      <c r="K1349" s="25"/>
      <c r="L1349" s="25"/>
      <c r="M1349" s="25"/>
    </row>
    <row r="1350" ht="14.4" spans="8:13">
      <c r="H1350" s="25"/>
      <c r="I1350" s="25"/>
      <c r="K1350" s="25"/>
      <c r="L1350" s="25"/>
      <c r="M1350" s="25"/>
    </row>
    <row r="1351" ht="14.4" spans="8:13">
      <c r="H1351" s="25"/>
      <c r="I1351" s="25"/>
      <c r="K1351" s="25"/>
      <c r="L1351" s="25"/>
      <c r="M1351" s="25"/>
    </row>
    <row r="1352" ht="14.4" spans="8:13">
      <c r="H1352" s="25"/>
      <c r="I1352" s="25"/>
      <c r="K1352" s="25"/>
      <c r="L1352" s="25"/>
      <c r="M1352" s="25"/>
    </row>
    <row r="1353" ht="14.4" spans="8:13">
      <c r="H1353" s="25"/>
      <c r="I1353" s="25"/>
      <c r="K1353" s="25"/>
      <c r="L1353" s="25"/>
      <c r="M1353" s="25"/>
    </row>
    <row r="1354" ht="14.4" spans="8:13">
      <c r="H1354" s="25"/>
      <c r="I1354" s="25"/>
      <c r="K1354" s="25"/>
      <c r="L1354" s="25"/>
      <c r="M1354" s="25"/>
    </row>
    <row r="1355" ht="14.4" spans="8:13">
      <c r="H1355" s="25"/>
      <c r="I1355" s="25"/>
      <c r="K1355" s="25"/>
      <c r="L1355" s="25"/>
      <c r="M1355" s="25"/>
    </row>
    <row r="1356" ht="14.4" spans="8:13">
      <c r="H1356" s="25"/>
      <c r="I1356" s="25"/>
      <c r="K1356" s="25"/>
      <c r="L1356" s="25"/>
      <c r="M1356" s="25"/>
    </row>
    <row r="1357" ht="14.4" spans="8:13">
      <c r="H1357" s="25"/>
      <c r="I1357" s="25"/>
      <c r="K1357" s="25"/>
      <c r="L1357" s="25"/>
      <c r="M1357" s="25"/>
    </row>
    <row r="1358" ht="14.4" spans="8:13">
      <c r="H1358" s="25"/>
      <c r="I1358" s="25"/>
      <c r="K1358" s="25"/>
      <c r="L1358" s="25"/>
      <c r="M1358" s="25"/>
    </row>
    <row r="1359" ht="14.4" spans="8:13">
      <c r="H1359" s="25"/>
      <c r="I1359" s="25"/>
      <c r="K1359" s="25"/>
      <c r="L1359" s="25"/>
      <c r="M1359" s="25"/>
    </row>
    <row r="1360" ht="14.4" spans="8:13">
      <c r="H1360" s="25"/>
      <c r="I1360" s="25"/>
      <c r="K1360" s="25"/>
      <c r="L1360" s="25"/>
      <c r="M1360" s="25"/>
    </row>
    <row r="1361" ht="14.4" spans="8:13">
      <c r="H1361" s="25"/>
      <c r="I1361" s="25"/>
      <c r="K1361" s="25"/>
      <c r="L1361" s="25"/>
      <c r="M1361" s="25"/>
    </row>
    <row r="1362" ht="14.4" spans="8:13">
      <c r="H1362" s="25"/>
      <c r="I1362" s="25"/>
      <c r="K1362" s="25"/>
      <c r="L1362" s="25"/>
      <c r="M1362" s="25"/>
    </row>
    <row r="1363" ht="14.4" spans="8:13">
      <c r="H1363" s="25"/>
      <c r="I1363" s="25"/>
      <c r="K1363" s="25"/>
      <c r="L1363" s="25"/>
      <c r="M1363" s="25"/>
    </row>
    <row r="1364" ht="14.4" spans="8:13">
      <c r="H1364" s="25"/>
      <c r="I1364" s="25"/>
      <c r="K1364" s="25"/>
      <c r="L1364" s="25"/>
      <c r="M1364" s="25"/>
    </row>
    <row r="1365" ht="14.4" spans="8:13">
      <c r="H1365" s="25"/>
      <c r="I1365" s="25"/>
      <c r="K1365" s="25"/>
      <c r="L1365" s="25"/>
      <c r="M1365" s="25"/>
    </row>
    <row r="1366" ht="14.4" spans="8:13">
      <c r="H1366" s="25"/>
      <c r="I1366" s="25"/>
      <c r="K1366" s="25"/>
      <c r="L1366" s="25"/>
      <c r="M1366" s="25"/>
    </row>
    <row r="1367" ht="14.4" spans="8:13">
      <c r="H1367" s="25"/>
      <c r="I1367" s="25"/>
      <c r="K1367" s="25"/>
      <c r="L1367" s="25"/>
      <c r="M1367" s="25"/>
    </row>
    <row r="1368" ht="14.4" spans="8:13">
      <c r="H1368" s="25"/>
      <c r="I1368" s="25"/>
      <c r="K1368" s="25"/>
      <c r="L1368" s="25"/>
      <c r="M1368" s="25"/>
    </row>
    <row r="1369" ht="14.4" spans="8:13">
      <c r="H1369" s="25"/>
      <c r="I1369" s="25"/>
      <c r="K1369" s="25"/>
      <c r="L1369" s="25"/>
      <c r="M1369" s="25"/>
    </row>
    <row r="1370" ht="14.4" spans="8:13">
      <c r="H1370" s="25"/>
      <c r="I1370" s="25"/>
      <c r="K1370" s="25"/>
      <c r="L1370" s="25"/>
      <c r="M1370" s="25"/>
    </row>
    <row r="1371" ht="14.4" spans="8:13">
      <c r="H1371" s="25"/>
      <c r="I1371" s="25"/>
      <c r="K1371" s="25"/>
      <c r="L1371" s="25"/>
      <c r="M1371" s="25"/>
    </row>
    <row r="1372" ht="14.4" spans="8:13">
      <c r="H1372" s="25"/>
      <c r="I1372" s="25"/>
      <c r="K1372" s="25"/>
      <c r="L1372" s="25"/>
      <c r="M1372" s="25"/>
    </row>
    <row r="1373" ht="14.4" spans="8:13">
      <c r="H1373" s="25"/>
      <c r="I1373" s="25"/>
      <c r="K1373" s="25"/>
      <c r="L1373" s="25"/>
      <c r="M1373" s="25"/>
    </row>
    <row r="1374" ht="14.4" spans="8:13">
      <c r="H1374" s="25"/>
      <c r="I1374" s="25"/>
      <c r="K1374" s="25"/>
      <c r="L1374" s="25"/>
      <c r="M1374" s="25"/>
    </row>
    <row r="1375" ht="14.4" spans="8:13">
      <c r="H1375" s="25"/>
      <c r="I1375" s="25"/>
      <c r="K1375" s="25"/>
      <c r="L1375" s="25"/>
      <c r="M1375" s="25"/>
    </row>
    <row r="1376" ht="14.4" spans="8:13">
      <c r="H1376" s="25"/>
      <c r="I1376" s="25"/>
      <c r="K1376" s="25"/>
      <c r="L1376" s="25"/>
      <c r="M1376" s="25"/>
    </row>
    <row r="1377" ht="14.4" spans="8:13">
      <c r="H1377" s="25"/>
      <c r="I1377" s="25"/>
      <c r="K1377" s="25"/>
      <c r="L1377" s="25"/>
      <c r="M1377" s="25"/>
    </row>
    <row r="1378" ht="14.4" spans="8:13">
      <c r="H1378" s="25"/>
      <c r="I1378" s="25"/>
      <c r="K1378" s="25"/>
      <c r="L1378" s="25"/>
      <c r="M1378" s="25"/>
    </row>
    <row r="1379" ht="14.4" spans="8:13">
      <c r="H1379" s="25"/>
      <c r="I1379" s="25"/>
      <c r="K1379" s="25"/>
      <c r="L1379" s="25"/>
      <c r="M1379" s="25"/>
    </row>
    <row r="1380" ht="14.4" spans="8:13">
      <c r="H1380" s="25"/>
      <c r="I1380" s="25"/>
      <c r="K1380" s="25"/>
      <c r="L1380" s="25"/>
      <c r="M1380" s="25"/>
    </row>
    <row r="1381" ht="14.4" spans="8:13">
      <c r="H1381" s="25"/>
      <c r="I1381" s="25"/>
      <c r="K1381" s="25"/>
      <c r="L1381" s="25"/>
      <c r="M1381" s="25"/>
    </row>
    <row r="1382" ht="14.4" spans="8:13">
      <c r="H1382" s="25"/>
      <c r="I1382" s="25"/>
      <c r="K1382" s="25"/>
      <c r="L1382" s="25"/>
      <c r="M1382" s="25"/>
    </row>
    <row r="1383" ht="14.4" spans="8:13">
      <c r="H1383" s="25"/>
      <c r="I1383" s="25"/>
      <c r="K1383" s="25"/>
      <c r="L1383" s="25"/>
      <c r="M1383" s="25"/>
    </row>
    <row r="1384" ht="14.4" spans="8:13">
      <c r="H1384" s="25"/>
      <c r="I1384" s="25"/>
      <c r="K1384" s="25"/>
      <c r="L1384" s="25"/>
      <c r="M1384" s="25"/>
    </row>
    <row r="1385" ht="14.4" spans="8:13">
      <c r="H1385" s="25"/>
      <c r="I1385" s="25"/>
      <c r="K1385" s="25"/>
      <c r="L1385" s="25"/>
      <c r="M1385" s="25"/>
    </row>
    <row r="1386" ht="14.4" spans="8:13">
      <c r="H1386" s="25"/>
      <c r="I1386" s="25"/>
      <c r="K1386" s="25"/>
      <c r="L1386" s="25"/>
      <c r="M1386" s="25"/>
    </row>
    <row r="1387" ht="14.4" spans="8:13">
      <c r="H1387" s="25"/>
      <c r="I1387" s="25"/>
      <c r="K1387" s="25"/>
      <c r="L1387" s="25"/>
      <c r="M1387" s="25"/>
    </row>
    <row r="1388" ht="14.4" spans="8:13">
      <c r="H1388" s="25"/>
      <c r="I1388" s="25"/>
      <c r="K1388" s="25"/>
      <c r="L1388" s="25"/>
      <c r="M1388" s="25"/>
    </row>
    <row r="1389" ht="14.4" spans="8:13">
      <c r="H1389" s="25"/>
      <c r="I1389" s="25"/>
      <c r="K1389" s="25"/>
      <c r="L1389" s="25"/>
      <c r="M1389" s="25"/>
    </row>
    <row r="1390" ht="14.4" spans="8:13">
      <c r="H1390" s="25"/>
      <c r="I1390" s="25"/>
      <c r="K1390" s="25"/>
      <c r="L1390" s="25"/>
      <c r="M1390" s="25"/>
    </row>
    <row r="1391" ht="14.4" spans="8:13">
      <c r="H1391" s="25"/>
      <c r="I1391" s="25"/>
      <c r="K1391" s="25"/>
      <c r="L1391" s="25"/>
      <c r="M1391" s="25"/>
    </row>
    <row r="1392" ht="14.4" spans="8:13">
      <c r="H1392" s="25"/>
      <c r="I1392" s="25"/>
      <c r="K1392" s="25"/>
      <c r="L1392" s="25"/>
      <c r="M1392" s="25"/>
    </row>
    <row r="1393" ht="14.4" spans="8:13">
      <c r="H1393" s="25"/>
      <c r="I1393" s="25"/>
      <c r="K1393" s="25"/>
      <c r="L1393" s="25"/>
      <c r="M1393" s="25"/>
    </row>
    <row r="1394" ht="14.4" spans="8:13">
      <c r="H1394" s="25"/>
      <c r="I1394" s="25"/>
      <c r="K1394" s="25"/>
      <c r="L1394" s="25"/>
      <c r="M1394" s="25"/>
    </row>
    <row r="1395" ht="14.4" spans="8:13">
      <c r="H1395" s="25"/>
      <c r="I1395" s="25"/>
      <c r="K1395" s="25"/>
      <c r="L1395" s="25"/>
      <c r="M1395" s="25"/>
    </row>
    <row r="1396" ht="14.4" spans="8:13">
      <c r="H1396" s="25"/>
      <c r="I1396" s="25"/>
      <c r="K1396" s="25"/>
      <c r="L1396" s="25"/>
      <c r="M1396" s="25"/>
    </row>
    <row r="1397" ht="14.4" spans="8:13">
      <c r="H1397" s="25"/>
      <c r="I1397" s="25"/>
      <c r="K1397" s="25"/>
      <c r="L1397" s="25"/>
      <c r="M1397" s="25"/>
    </row>
    <row r="1398" ht="14.4" spans="8:13">
      <c r="H1398" s="25"/>
      <c r="I1398" s="25"/>
      <c r="K1398" s="25"/>
      <c r="L1398" s="25"/>
      <c r="M1398" s="25"/>
    </row>
    <row r="1399" ht="14.4" spans="8:13">
      <c r="H1399" s="25"/>
      <c r="I1399" s="25"/>
      <c r="K1399" s="25"/>
      <c r="L1399" s="25"/>
      <c r="M1399" s="25"/>
    </row>
    <row r="1400" ht="14.4" spans="8:13">
      <c r="H1400" s="25"/>
      <c r="I1400" s="25"/>
      <c r="K1400" s="25"/>
      <c r="L1400" s="25"/>
      <c r="M1400" s="25"/>
    </row>
    <row r="1401" ht="14.4" spans="8:13">
      <c r="H1401" s="25"/>
      <c r="I1401" s="25"/>
      <c r="K1401" s="25"/>
      <c r="L1401" s="25"/>
      <c r="M1401" s="25"/>
    </row>
    <row r="1402" ht="14.4" spans="8:13">
      <c r="H1402" s="25"/>
      <c r="I1402" s="25"/>
      <c r="K1402" s="25"/>
      <c r="L1402" s="25"/>
      <c r="M1402" s="25"/>
    </row>
    <row r="1403" ht="14.4" spans="8:13">
      <c r="H1403" s="25"/>
      <c r="I1403" s="25"/>
      <c r="K1403" s="25"/>
      <c r="L1403" s="25"/>
      <c r="M1403" s="25"/>
    </row>
    <row r="1404" ht="14.4" spans="8:13">
      <c r="H1404" s="25"/>
      <c r="I1404" s="25"/>
      <c r="K1404" s="25"/>
      <c r="L1404" s="25"/>
      <c r="M1404" s="25"/>
    </row>
    <row r="1405" ht="14.4" spans="8:13">
      <c r="H1405" s="25"/>
      <c r="I1405" s="25"/>
      <c r="K1405" s="25"/>
      <c r="L1405" s="25"/>
      <c r="M1405" s="25"/>
    </row>
    <row r="1406" ht="14.4" spans="8:13">
      <c r="H1406" s="25"/>
      <c r="I1406" s="25"/>
      <c r="K1406" s="25"/>
      <c r="L1406" s="25"/>
      <c r="M1406" s="25"/>
    </row>
    <row r="1407" ht="14.4" spans="8:13">
      <c r="H1407" s="25"/>
      <c r="I1407" s="25"/>
      <c r="K1407" s="25"/>
      <c r="L1407" s="25"/>
      <c r="M1407" s="25"/>
    </row>
    <row r="1408" ht="14.4" spans="8:13">
      <c r="H1408" s="25"/>
      <c r="I1408" s="25"/>
      <c r="K1408" s="25"/>
      <c r="L1408" s="25"/>
      <c r="M1408" s="25"/>
    </row>
    <row r="1409" ht="14.4" spans="8:13">
      <c r="H1409" s="25"/>
      <c r="I1409" s="25"/>
      <c r="K1409" s="25"/>
      <c r="L1409" s="25"/>
      <c r="M1409" s="25"/>
    </row>
    <row r="1410" ht="14.4" spans="8:13">
      <c r="H1410" s="25"/>
      <c r="I1410" s="25"/>
      <c r="K1410" s="25"/>
      <c r="L1410" s="25"/>
      <c r="M1410" s="25"/>
    </row>
    <row r="1411" ht="14.4" spans="8:13">
      <c r="H1411" s="25"/>
      <c r="I1411" s="25"/>
      <c r="K1411" s="25"/>
      <c r="L1411" s="25"/>
      <c r="M1411" s="25"/>
    </row>
    <row r="1412" ht="14.4" spans="8:13">
      <c r="H1412" s="25"/>
      <c r="I1412" s="25"/>
      <c r="K1412" s="25"/>
      <c r="L1412" s="25"/>
      <c r="M1412" s="25"/>
    </row>
    <row r="1413" ht="14.4" spans="8:13">
      <c r="H1413" s="25"/>
      <c r="I1413" s="25"/>
      <c r="K1413" s="25"/>
      <c r="L1413" s="25"/>
      <c r="M1413" s="25"/>
    </row>
    <row r="1414" ht="14.4" spans="8:13">
      <c r="H1414" s="25"/>
      <c r="I1414" s="25"/>
      <c r="K1414" s="25"/>
      <c r="L1414" s="25"/>
      <c r="M1414" s="25"/>
    </row>
    <row r="1415" ht="14.4" spans="8:13">
      <c r="H1415" s="25"/>
      <c r="I1415" s="25"/>
      <c r="K1415" s="25"/>
      <c r="L1415" s="25"/>
      <c r="M1415" s="25"/>
    </row>
    <row r="1416" ht="14.4" spans="8:13">
      <c r="H1416" s="25"/>
      <c r="I1416" s="25"/>
      <c r="K1416" s="25"/>
      <c r="L1416" s="25"/>
      <c r="M1416" s="25"/>
    </row>
    <row r="1417" ht="14.4" spans="8:13">
      <c r="H1417" s="25"/>
      <c r="I1417" s="25"/>
      <c r="K1417" s="25"/>
      <c r="L1417" s="25"/>
      <c r="M1417" s="25"/>
    </row>
    <row r="1418" ht="14.4" spans="8:13">
      <c r="H1418" s="25"/>
      <c r="I1418" s="25"/>
      <c r="K1418" s="25"/>
      <c r="L1418" s="25"/>
      <c r="M1418" s="25"/>
    </row>
    <row r="1419" ht="14.4" spans="8:13">
      <c r="H1419" s="25"/>
      <c r="I1419" s="25"/>
      <c r="K1419" s="25"/>
      <c r="L1419" s="25"/>
      <c r="M1419" s="25"/>
    </row>
    <row r="1420" ht="14.4" spans="8:13">
      <c r="H1420" s="25"/>
      <c r="I1420" s="25"/>
      <c r="K1420" s="25"/>
      <c r="L1420" s="25"/>
      <c r="M1420" s="25"/>
    </row>
    <row r="1421" ht="14.4" spans="8:13">
      <c r="H1421" s="25"/>
      <c r="I1421" s="25"/>
      <c r="K1421" s="25"/>
      <c r="L1421" s="25"/>
      <c r="M1421" s="25"/>
    </row>
    <row r="1422" ht="14.4" spans="8:13">
      <c r="H1422" s="25"/>
      <c r="I1422" s="25"/>
      <c r="K1422" s="25"/>
      <c r="L1422" s="25"/>
      <c r="M1422" s="25"/>
    </row>
    <row r="1423" ht="14.4" spans="8:13">
      <c r="H1423" s="25"/>
      <c r="I1423" s="25"/>
      <c r="K1423" s="25"/>
      <c r="L1423" s="25"/>
      <c r="M1423" s="25"/>
    </row>
    <row r="1424" ht="14.4" spans="8:13">
      <c r="H1424" s="25"/>
      <c r="I1424" s="25"/>
      <c r="K1424" s="25"/>
      <c r="L1424" s="25"/>
      <c r="M1424" s="25"/>
    </row>
    <row r="1425" ht="14.4" spans="8:13">
      <c r="H1425" s="25"/>
      <c r="I1425" s="25"/>
      <c r="K1425" s="25"/>
      <c r="L1425" s="25"/>
      <c r="M1425" s="25"/>
    </row>
    <row r="1426" ht="14.4" spans="8:13">
      <c r="H1426" s="25"/>
      <c r="I1426" s="25"/>
      <c r="K1426" s="25"/>
      <c r="L1426" s="25"/>
      <c r="M1426" s="25"/>
    </row>
    <row r="1427" ht="14.4" spans="8:13">
      <c r="H1427" s="25"/>
      <c r="I1427" s="25"/>
      <c r="K1427" s="25"/>
      <c r="L1427" s="25"/>
      <c r="M1427" s="25"/>
    </row>
    <row r="1428" ht="14.4" spans="8:13">
      <c r="H1428" s="25"/>
      <c r="I1428" s="25"/>
      <c r="K1428" s="25"/>
      <c r="L1428" s="25"/>
      <c r="M1428" s="25"/>
    </row>
    <row r="1429" ht="14.4" spans="8:13">
      <c r="H1429" s="25"/>
      <c r="I1429" s="25"/>
      <c r="K1429" s="25"/>
      <c r="L1429" s="25"/>
      <c r="M1429" s="25"/>
    </row>
    <row r="1430" ht="14.4" spans="8:13">
      <c r="H1430" s="25"/>
      <c r="I1430" s="25"/>
      <c r="K1430" s="25"/>
      <c r="L1430" s="25"/>
      <c r="M1430" s="25"/>
    </row>
    <row r="1431" ht="14.4" spans="8:13">
      <c r="H1431" s="25"/>
      <c r="I1431" s="25"/>
      <c r="K1431" s="25"/>
      <c r="L1431" s="25"/>
      <c r="M1431" s="25"/>
    </row>
    <row r="1432" ht="14.4" spans="8:13">
      <c r="H1432" s="25"/>
      <c r="I1432" s="25"/>
      <c r="K1432" s="25"/>
      <c r="L1432" s="25"/>
      <c r="M1432" s="25"/>
    </row>
    <row r="1433" ht="14.4" spans="8:13">
      <c r="H1433" s="25"/>
      <c r="I1433" s="25"/>
      <c r="K1433" s="25"/>
      <c r="L1433" s="25"/>
      <c r="M1433" s="25"/>
    </row>
    <row r="1434" ht="14.4" spans="8:13">
      <c r="H1434" s="25"/>
      <c r="I1434" s="25"/>
      <c r="K1434" s="25"/>
      <c r="L1434" s="25"/>
      <c r="M1434" s="25"/>
    </row>
    <row r="1435" ht="14.4" spans="8:13">
      <c r="H1435" s="25"/>
      <c r="I1435" s="25"/>
      <c r="K1435" s="25"/>
      <c r="L1435" s="25"/>
      <c r="M1435" s="25"/>
    </row>
    <row r="1436" ht="14.4" spans="8:13">
      <c r="H1436" s="25"/>
      <c r="I1436" s="25"/>
      <c r="K1436" s="25"/>
      <c r="L1436" s="25"/>
      <c r="M1436" s="25"/>
    </row>
    <row r="1437" ht="14.4" spans="8:13">
      <c r="H1437" s="25"/>
      <c r="I1437" s="25"/>
      <c r="K1437" s="25"/>
      <c r="L1437" s="25"/>
      <c r="M1437" s="25"/>
    </row>
    <row r="1438" ht="14.4" spans="8:13">
      <c r="H1438" s="25"/>
      <c r="I1438" s="25"/>
      <c r="K1438" s="25"/>
      <c r="L1438" s="25"/>
      <c r="M1438" s="25"/>
    </row>
    <row r="1439" ht="14.4" spans="8:13">
      <c r="H1439" s="25"/>
      <c r="I1439" s="25"/>
      <c r="K1439" s="25"/>
      <c r="L1439" s="25"/>
      <c r="M1439" s="25"/>
    </row>
    <row r="1440" ht="14.4" spans="8:13">
      <c r="H1440" s="25"/>
      <c r="I1440" s="25"/>
      <c r="K1440" s="25"/>
      <c r="L1440" s="25"/>
      <c r="M1440" s="25"/>
    </row>
    <row r="1441" ht="14.4" spans="8:13">
      <c r="H1441" s="25"/>
      <c r="I1441" s="25"/>
      <c r="K1441" s="25"/>
      <c r="L1441" s="25"/>
      <c r="M1441" s="25"/>
    </row>
    <row r="1442" ht="14.4" spans="8:13">
      <c r="H1442" s="25"/>
      <c r="I1442" s="25"/>
      <c r="K1442" s="25"/>
      <c r="L1442" s="25"/>
      <c r="M1442" s="25"/>
    </row>
    <row r="1443" ht="14.4" spans="8:13">
      <c r="H1443" s="25"/>
      <c r="I1443" s="25"/>
      <c r="K1443" s="25"/>
      <c r="L1443" s="25"/>
      <c r="M1443" s="25"/>
    </row>
    <row r="1444" ht="14.4" spans="8:13">
      <c r="H1444" s="25"/>
      <c r="I1444" s="25"/>
      <c r="K1444" s="25"/>
      <c r="L1444" s="25"/>
      <c r="M1444" s="25"/>
    </row>
    <row r="1445" ht="14.4" spans="8:13">
      <c r="H1445" s="25"/>
      <c r="I1445" s="25"/>
      <c r="K1445" s="25"/>
      <c r="L1445" s="25"/>
      <c r="M1445" s="25"/>
    </row>
    <row r="1446" ht="14.4" spans="8:13">
      <c r="H1446" s="25"/>
      <c r="I1446" s="25"/>
      <c r="K1446" s="25"/>
      <c r="L1446" s="25"/>
      <c r="M1446" s="25"/>
    </row>
    <row r="1447" ht="14.4" spans="8:13">
      <c r="H1447" s="25"/>
      <c r="I1447" s="25"/>
      <c r="K1447" s="25"/>
      <c r="L1447" s="25"/>
      <c r="M1447" s="25"/>
    </row>
    <row r="1448" ht="14.4" spans="8:13">
      <c r="H1448" s="25"/>
      <c r="I1448" s="25"/>
      <c r="K1448" s="25"/>
      <c r="L1448" s="25"/>
      <c r="M1448" s="25"/>
    </row>
    <row r="1449" ht="14.4" spans="8:13">
      <c r="H1449" s="25"/>
      <c r="I1449" s="25"/>
      <c r="K1449" s="25"/>
      <c r="L1449" s="25"/>
      <c r="M1449" s="25"/>
    </row>
    <row r="1450" ht="14.4" spans="8:13">
      <c r="H1450" s="25"/>
      <c r="I1450" s="25"/>
      <c r="K1450" s="25"/>
      <c r="L1450" s="25"/>
      <c r="M1450" s="25"/>
    </row>
    <row r="1451" ht="14.4" spans="8:13">
      <c r="H1451" s="25"/>
      <c r="I1451" s="25"/>
      <c r="K1451" s="25"/>
      <c r="L1451" s="25"/>
      <c r="M1451" s="25"/>
    </row>
    <row r="1452" ht="14.4" spans="8:13">
      <c r="H1452" s="25"/>
      <c r="I1452" s="25"/>
      <c r="K1452" s="25"/>
      <c r="L1452" s="25"/>
      <c r="M1452" s="25"/>
    </row>
    <row r="1453" ht="14.4" spans="8:13">
      <c r="H1453" s="25"/>
      <c r="I1453" s="25"/>
      <c r="K1453" s="25"/>
      <c r="L1453" s="25"/>
      <c r="M1453" s="25"/>
    </row>
    <row r="1454" ht="14.4" spans="8:13">
      <c r="H1454" s="25"/>
      <c r="I1454" s="25"/>
      <c r="K1454" s="25"/>
      <c r="L1454" s="25"/>
      <c r="M1454" s="25"/>
    </row>
    <row r="1455" ht="14.4" spans="8:13">
      <c r="H1455" s="25"/>
      <c r="I1455" s="25"/>
      <c r="K1455" s="25"/>
      <c r="L1455" s="25"/>
      <c r="M1455" s="25"/>
    </row>
    <row r="1456" ht="14.4" spans="8:13">
      <c r="H1456" s="25"/>
      <c r="I1456" s="25"/>
      <c r="K1456" s="25"/>
      <c r="L1456" s="25"/>
      <c r="M1456" s="25"/>
    </row>
    <row r="1457" ht="14.4" spans="8:13">
      <c r="H1457" s="25"/>
      <c r="I1457" s="25"/>
      <c r="K1457" s="25"/>
      <c r="L1457" s="25"/>
      <c r="M1457" s="25"/>
    </row>
    <row r="1458" ht="14.4" spans="8:13">
      <c r="H1458" s="25"/>
      <c r="I1458" s="25"/>
      <c r="K1458" s="25"/>
      <c r="L1458" s="25"/>
      <c r="M1458" s="25"/>
    </row>
    <row r="1459" ht="14.4" spans="8:13">
      <c r="H1459" s="25"/>
      <c r="I1459" s="25"/>
      <c r="K1459" s="25"/>
      <c r="L1459" s="25"/>
      <c r="M1459" s="25"/>
    </row>
    <row r="1460" ht="14.4" spans="8:13">
      <c r="H1460" s="25"/>
      <c r="I1460" s="25"/>
      <c r="K1460" s="25"/>
      <c r="L1460" s="25"/>
      <c r="M1460" s="25"/>
    </row>
    <row r="1461" ht="14.4" spans="8:13">
      <c r="H1461" s="25"/>
      <c r="I1461" s="25"/>
      <c r="K1461" s="25"/>
      <c r="L1461" s="25"/>
      <c r="M1461" s="25"/>
    </row>
    <row r="1462" ht="14.4" spans="8:13">
      <c r="H1462" s="25"/>
      <c r="I1462" s="25"/>
      <c r="K1462" s="25"/>
      <c r="L1462" s="25"/>
      <c r="M1462" s="25"/>
    </row>
    <row r="1463" ht="14.4" spans="8:13">
      <c r="H1463" s="25"/>
      <c r="I1463" s="25"/>
      <c r="K1463" s="25"/>
      <c r="L1463" s="25"/>
      <c r="M1463" s="25"/>
    </row>
    <row r="1464" ht="14.4" spans="8:13">
      <c r="H1464" s="25"/>
      <c r="I1464" s="25"/>
      <c r="K1464" s="25"/>
      <c r="L1464" s="25"/>
      <c r="M1464" s="25"/>
    </row>
    <row r="1465" ht="14.4" spans="8:13">
      <c r="H1465" s="25"/>
      <c r="I1465" s="25"/>
      <c r="K1465" s="25"/>
      <c r="L1465" s="25"/>
      <c r="M1465" s="25"/>
    </row>
    <row r="1466" ht="14.4" spans="8:13">
      <c r="H1466" s="25"/>
      <c r="I1466" s="25"/>
      <c r="K1466" s="25"/>
      <c r="L1466" s="25"/>
      <c r="M1466" s="25"/>
    </row>
    <row r="1467" ht="14.4" spans="8:13">
      <c r="H1467" s="25"/>
      <c r="I1467" s="25"/>
      <c r="K1467" s="25"/>
      <c r="L1467" s="25"/>
      <c r="M1467" s="25"/>
    </row>
    <row r="1468" ht="14.4" spans="8:13">
      <c r="H1468" s="25"/>
      <c r="I1468" s="25"/>
      <c r="K1468" s="25"/>
      <c r="L1468" s="25"/>
      <c r="M1468" s="25"/>
    </row>
    <row r="1469" ht="14.4" spans="8:13">
      <c r="H1469" s="25"/>
      <c r="I1469" s="25"/>
      <c r="K1469" s="25"/>
      <c r="L1469" s="25"/>
      <c r="M1469" s="25"/>
    </row>
    <row r="1470" ht="14.4" spans="8:13">
      <c r="H1470" s="25"/>
      <c r="I1470" s="25"/>
      <c r="K1470" s="25"/>
      <c r="L1470" s="25"/>
      <c r="M1470" s="25"/>
    </row>
    <row r="1471" ht="14.4" spans="8:13">
      <c r="H1471" s="25"/>
      <c r="I1471" s="25"/>
      <c r="K1471" s="25"/>
      <c r="L1471" s="25"/>
      <c r="M1471" s="25"/>
    </row>
    <row r="1472" ht="14.4" spans="8:13">
      <c r="H1472" s="25"/>
      <c r="I1472" s="25"/>
      <c r="K1472" s="25"/>
      <c r="L1472" s="25"/>
      <c r="M1472" s="25"/>
    </row>
    <row r="1473" ht="14.4" spans="8:13">
      <c r="H1473" s="25"/>
      <c r="I1473" s="25"/>
      <c r="K1473" s="25"/>
      <c r="L1473" s="25"/>
      <c r="M1473" s="25"/>
    </row>
    <row r="1474" ht="14.4" spans="8:13">
      <c r="H1474" s="25"/>
      <c r="I1474" s="25"/>
      <c r="K1474" s="25"/>
      <c r="L1474" s="25"/>
      <c r="M1474" s="25"/>
    </row>
    <row r="1475" ht="14.4" spans="8:13">
      <c r="H1475" s="25"/>
      <c r="I1475" s="25"/>
      <c r="K1475" s="25"/>
      <c r="L1475" s="25"/>
      <c r="M1475" s="25"/>
    </row>
    <row r="1476" ht="14.4" spans="8:13">
      <c r="H1476" s="25"/>
      <c r="I1476" s="25"/>
      <c r="K1476" s="25"/>
      <c r="L1476" s="25"/>
      <c r="M1476" s="25"/>
    </row>
    <row r="1477" ht="14.4" spans="8:13">
      <c r="H1477" s="25"/>
      <c r="I1477" s="25"/>
      <c r="K1477" s="25"/>
      <c r="L1477" s="25"/>
      <c r="M1477" s="25"/>
    </row>
    <row r="1478" ht="14.4" spans="8:13">
      <c r="H1478" s="25"/>
      <c r="I1478" s="25"/>
      <c r="K1478" s="25"/>
      <c r="L1478" s="25"/>
      <c r="M1478" s="25"/>
    </row>
    <row r="1479" ht="14.4" spans="8:13">
      <c r="H1479" s="25"/>
      <c r="I1479" s="25"/>
      <c r="K1479" s="25"/>
      <c r="L1479" s="25"/>
      <c r="M1479" s="25"/>
    </row>
    <row r="1480" ht="14.4" spans="8:13">
      <c r="H1480" s="25"/>
      <c r="I1480" s="25"/>
      <c r="K1480" s="25"/>
      <c r="L1480" s="25"/>
      <c r="M1480" s="25"/>
    </row>
    <row r="1481" ht="14.4" spans="8:13">
      <c r="H1481" s="25"/>
      <c r="I1481" s="25"/>
      <c r="K1481" s="25"/>
      <c r="L1481" s="25"/>
      <c r="M1481" s="25"/>
    </row>
    <row r="1482" ht="14.4" spans="8:13">
      <c r="H1482" s="25"/>
      <c r="I1482" s="25"/>
      <c r="K1482" s="25"/>
      <c r="L1482" s="25"/>
      <c r="M1482" s="25"/>
    </row>
    <row r="1483" ht="14.4" spans="8:13">
      <c r="H1483" s="25"/>
      <c r="I1483" s="25"/>
      <c r="K1483" s="25"/>
      <c r="L1483" s="25"/>
      <c r="M1483" s="25"/>
    </row>
    <row r="1484" ht="14.4" spans="8:13">
      <c r="H1484" s="25"/>
      <c r="I1484" s="25"/>
      <c r="K1484" s="25"/>
      <c r="L1484" s="25"/>
      <c r="M1484" s="25"/>
    </row>
    <row r="1485" ht="14.4" spans="8:13">
      <c r="H1485" s="25"/>
      <c r="I1485" s="25"/>
      <c r="K1485" s="25"/>
      <c r="L1485" s="25"/>
      <c r="M1485" s="25"/>
    </row>
    <row r="1486" ht="14.4" spans="8:13">
      <c r="H1486" s="25"/>
      <c r="I1486" s="25"/>
      <c r="K1486" s="25"/>
      <c r="L1486" s="25"/>
      <c r="M1486" s="25"/>
    </row>
    <row r="1487" ht="14.4" spans="8:13">
      <c r="H1487" s="25"/>
      <c r="I1487" s="25"/>
      <c r="K1487" s="25"/>
      <c r="L1487" s="25"/>
      <c r="M1487" s="25"/>
    </row>
    <row r="1488" ht="14.4" spans="8:13">
      <c r="H1488" s="25"/>
      <c r="I1488" s="25"/>
      <c r="K1488" s="25"/>
      <c r="L1488" s="25"/>
      <c r="M1488" s="25"/>
    </row>
    <row r="1489" ht="14.4" spans="8:13">
      <c r="H1489" s="25"/>
      <c r="I1489" s="25"/>
      <c r="K1489" s="25"/>
      <c r="L1489" s="25"/>
      <c r="M1489" s="25"/>
    </row>
    <row r="1490" ht="14.4" spans="8:13">
      <c r="H1490" s="25"/>
      <c r="I1490" s="25"/>
      <c r="K1490" s="25"/>
      <c r="L1490" s="25"/>
      <c r="M1490" s="25"/>
    </row>
    <row r="1491" ht="14.4" spans="8:13">
      <c r="H1491" s="25"/>
      <c r="I1491" s="25"/>
      <c r="K1491" s="25"/>
      <c r="L1491" s="25"/>
      <c r="M1491" s="25"/>
    </row>
    <row r="1492" ht="14.4" spans="8:13">
      <c r="H1492" s="25"/>
      <c r="I1492" s="25"/>
      <c r="K1492" s="25"/>
      <c r="L1492" s="25"/>
      <c r="M1492" s="25"/>
    </row>
    <row r="1493" ht="14.4" spans="8:13">
      <c r="H1493" s="25"/>
      <c r="I1493" s="25"/>
      <c r="K1493" s="25"/>
      <c r="L1493" s="25"/>
      <c r="M1493" s="25"/>
    </row>
    <row r="1494" ht="14.4" spans="8:13">
      <c r="H1494" s="25"/>
      <c r="I1494" s="25"/>
      <c r="K1494" s="25"/>
      <c r="L1494" s="25"/>
      <c r="M1494" s="25"/>
    </row>
    <row r="1495" ht="14.4" spans="8:13">
      <c r="H1495" s="25"/>
      <c r="I1495" s="25"/>
      <c r="K1495" s="25"/>
      <c r="L1495" s="25"/>
      <c r="M1495" s="25"/>
    </row>
    <row r="1496" ht="14.4" spans="8:13">
      <c r="H1496" s="25"/>
      <c r="I1496" s="25"/>
      <c r="K1496" s="25"/>
      <c r="L1496" s="25"/>
      <c r="M1496" s="25"/>
    </row>
    <row r="1497" ht="14.4" spans="8:13">
      <c r="H1497" s="25"/>
      <c r="I1497" s="25"/>
      <c r="K1497" s="25"/>
      <c r="L1497" s="25"/>
      <c r="M1497" s="25"/>
    </row>
    <row r="1498" ht="14.4" spans="8:13">
      <c r="H1498" s="25"/>
      <c r="I1498" s="25"/>
      <c r="K1498" s="25"/>
      <c r="L1498" s="25"/>
      <c r="M1498" s="25"/>
    </row>
    <row r="1499" ht="14.4" spans="8:13">
      <c r="H1499" s="25"/>
      <c r="I1499" s="25"/>
      <c r="K1499" s="25"/>
      <c r="L1499" s="25"/>
      <c r="M1499" s="25"/>
    </row>
    <row r="1500" ht="14.4" spans="8:13">
      <c r="H1500" s="25"/>
      <c r="I1500" s="25"/>
      <c r="K1500" s="25"/>
      <c r="L1500" s="25"/>
      <c r="M1500" s="25"/>
    </row>
    <row r="1501" ht="14.4" spans="8:13">
      <c r="H1501" s="25"/>
      <c r="I1501" s="25"/>
      <c r="K1501" s="25"/>
      <c r="L1501" s="25"/>
      <c r="M1501" s="25"/>
    </row>
    <row r="1502" ht="14.4" spans="8:13">
      <c r="H1502" s="25"/>
      <c r="I1502" s="25"/>
      <c r="K1502" s="25"/>
      <c r="L1502" s="25"/>
      <c r="M1502" s="25"/>
    </row>
    <row r="1503" ht="14.4" spans="8:13">
      <c r="H1503" s="25"/>
      <c r="I1503" s="25"/>
      <c r="K1503" s="25"/>
      <c r="L1503" s="25"/>
      <c r="M1503" s="25"/>
    </row>
    <row r="1504" ht="14.4" spans="8:13">
      <c r="H1504" s="25"/>
      <c r="I1504" s="25"/>
      <c r="K1504" s="25"/>
      <c r="L1504" s="25"/>
      <c r="M1504" s="25"/>
    </row>
    <row r="1505" ht="14.4" spans="8:13">
      <c r="H1505" s="25"/>
      <c r="I1505" s="25"/>
      <c r="K1505" s="25"/>
      <c r="L1505" s="25"/>
      <c r="M1505" s="25"/>
    </row>
    <row r="1506" ht="14.4" spans="8:13">
      <c r="H1506" s="25"/>
      <c r="I1506" s="25"/>
      <c r="K1506" s="25"/>
      <c r="L1506" s="25"/>
      <c r="M1506" s="25"/>
    </row>
    <row r="1507" ht="14.4" spans="8:13">
      <c r="H1507" s="25"/>
      <c r="I1507" s="25"/>
      <c r="K1507" s="25"/>
      <c r="L1507" s="25"/>
      <c r="M1507" s="25"/>
    </row>
    <row r="1508" ht="14.4" spans="8:13">
      <c r="H1508" s="25"/>
      <c r="I1508" s="25"/>
      <c r="K1508" s="25"/>
      <c r="L1508" s="25"/>
      <c r="M1508" s="25"/>
    </row>
    <row r="1509" ht="14.4" spans="8:13">
      <c r="H1509" s="25"/>
      <c r="I1509" s="25"/>
      <c r="K1509" s="25"/>
      <c r="L1509" s="25"/>
      <c r="M1509" s="25"/>
    </row>
    <row r="1510" ht="14.4" spans="8:13">
      <c r="H1510" s="25"/>
      <c r="I1510" s="25"/>
      <c r="K1510" s="25"/>
      <c r="L1510" s="25"/>
      <c r="M1510" s="25"/>
    </row>
    <row r="1511" ht="14.4" spans="8:13">
      <c r="H1511" s="25"/>
      <c r="I1511" s="25"/>
      <c r="K1511" s="25"/>
      <c r="L1511" s="25"/>
      <c r="M1511" s="25"/>
    </row>
    <row r="1512" ht="14.4" spans="8:13">
      <c r="H1512" s="25"/>
      <c r="I1512" s="25"/>
      <c r="K1512" s="25"/>
      <c r="L1512" s="25"/>
      <c r="M1512" s="25"/>
    </row>
    <row r="1513" ht="14.4" spans="8:13">
      <c r="H1513" s="25"/>
      <c r="I1513" s="25"/>
      <c r="K1513" s="25"/>
      <c r="L1513" s="25"/>
      <c r="M1513" s="25"/>
    </row>
    <row r="1514" ht="14.4" spans="8:13">
      <c r="H1514" s="25"/>
      <c r="I1514" s="25"/>
      <c r="K1514" s="25"/>
      <c r="L1514" s="25"/>
      <c r="M1514" s="25"/>
    </row>
    <row r="1515" ht="14.4" spans="8:13">
      <c r="H1515" s="25"/>
      <c r="I1515" s="25"/>
      <c r="K1515" s="25"/>
      <c r="L1515" s="25"/>
      <c r="M1515" s="25"/>
    </row>
    <row r="1516" ht="14.4" spans="8:13">
      <c r="H1516" s="25"/>
      <c r="I1516" s="25"/>
      <c r="K1516" s="25"/>
      <c r="L1516" s="25"/>
      <c r="M1516" s="25"/>
    </row>
    <row r="1517" ht="14.4" spans="8:13">
      <c r="H1517" s="25"/>
      <c r="I1517" s="25"/>
      <c r="K1517" s="25"/>
      <c r="L1517" s="25"/>
      <c r="M1517" s="25"/>
    </row>
    <row r="1518" ht="14.4" spans="8:13">
      <c r="H1518" s="25"/>
      <c r="I1518" s="25"/>
      <c r="K1518" s="25"/>
      <c r="L1518" s="25"/>
      <c r="M1518" s="25"/>
    </row>
    <row r="1519" ht="14.4" spans="8:13">
      <c r="H1519" s="25"/>
      <c r="I1519" s="25"/>
      <c r="K1519" s="25"/>
      <c r="L1519" s="25"/>
      <c r="M1519" s="25"/>
    </row>
    <row r="1520" ht="14.4" spans="8:13">
      <c r="H1520" s="25"/>
      <c r="I1520" s="25"/>
      <c r="K1520" s="25"/>
      <c r="L1520" s="25"/>
      <c r="M1520" s="25"/>
    </row>
    <row r="1521" ht="14.4" spans="8:13">
      <c r="H1521" s="25"/>
      <c r="I1521" s="25"/>
      <c r="K1521" s="25"/>
      <c r="L1521" s="25"/>
      <c r="M1521" s="25"/>
    </row>
    <row r="1522" ht="14.4" spans="8:13">
      <c r="H1522" s="25"/>
      <c r="I1522" s="25"/>
      <c r="K1522" s="25"/>
      <c r="L1522" s="25"/>
      <c r="M1522" s="25"/>
    </row>
    <row r="1523" ht="14.4" spans="8:13">
      <c r="H1523" s="25"/>
      <c r="I1523" s="25"/>
      <c r="K1523" s="25"/>
      <c r="L1523" s="25"/>
      <c r="M1523" s="25"/>
    </row>
    <row r="1524" ht="14.4" spans="8:13">
      <c r="H1524" s="25"/>
      <c r="I1524" s="25"/>
      <c r="K1524" s="25"/>
      <c r="L1524" s="25"/>
      <c r="M1524" s="25"/>
    </row>
    <row r="1525" ht="14.4" spans="8:13">
      <c r="H1525" s="25"/>
      <c r="I1525" s="25"/>
      <c r="K1525" s="25"/>
      <c r="L1525" s="25"/>
      <c r="M1525" s="25"/>
    </row>
    <row r="1526" ht="14.4" spans="8:13">
      <c r="H1526" s="25"/>
      <c r="I1526" s="25"/>
      <c r="K1526" s="25"/>
      <c r="L1526" s="25"/>
      <c r="M1526" s="25"/>
    </row>
    <row r="1527" ht="14.4" spans="8:13">
      <c r="H1527" s="25"/>
      <c r="I1527" s="25"/>
      <c r="K1527" s="25"/>
      <c r="L1527" s="25"/>
      <c r="M1527" s="25"/>
    </row>
    <row r="1528" ht="14.4" spans="8:13">
      <c r="H1528" s="25"/>
      <c r="I1528" s="25"/>
      <c r="K1528" s="25"/>
      <c r="L1528" s="25"/>
      <c r="M1528" s="25"/>
    </row>
    <row r="1529" ht="14.4" spans="8:13">
      <c r="H1529" s="25"/>
      <c r="I1529" s="25"/>
      <c r="K1529" s="25"/>
      <c r="L1529" s="25"/>
      <c r="M1529" s="25"/>
    </row>
    <row r="1530" ht="14.4" spans="8:13">
      <c r="H1530" s="25"/>
      <c r="I1530" s="25"/>
      <c r="K1530" s="25"/>
      <c r="L1530" s="25"/>
      <c r="M1530" s="25"/>
    </row>
    <row r="1531" ht="14.4" spans="8:13">
      <c r="H1531" s="25"/>
      <c r="I1531" s="25"/>
      <c r="K1531" s="25"/>
      <c r="L1531" s="25"/>
      <c r="M1531" s="25"/>
    </row>
    <row r="1532" ht="14.4" spans="8:13">
      <c r="H1532" s="25"/>
      <c r="I1532" s="25"/>
      <c r="K1532" s="25"/>
      <c r="L1532" s="25"/>
      <c r="M1532" s="25"/>
    </row>
    <row r="1533" ht="14.4" spans="8:13">
      <c r="H1533" s="25"/>
      <c r="I1533" s="25"/>
      <c r="K1533" s="25"/>
      <c r="L1533" s="25"/>
      <c r="M1533" s="25"/>
    </row>
    <row r="1534" ht="14.4" spans="8:13">
      <c r="H1534" s="25"/>
      <c r="I1534" s="25"/>
      <c r="K1534" s="25"/>
      <c r="L1534" s="25"/>
      <c r="M1534" s="25"/>
    </row>
    <row r="1535" ht="14.4" spans="8:13">
      <c r="H1535" s="25"/>
      <c r="I1535" s="25"/>
      <c r="K1535" s="25"/>
      <c r="L1535" s="25"/>
      <c r="M1535" s="25"/>
    </row>
    <row r="1536" ht="14.4" spans="8:13">
      <c r="H1536" s="25"/>
      <c r="I1536" s="25"/>
      <c r="K1536" s="25"/>
      <c r="L1536" s="25"/>
      <c r="M1536" s="25"/>
    </row>
    <row r="1537" ht="14.4" spans="8:13">
      <c r="H1537" s="25"/>
      <c r="I1537" s="25"/>
      <c r="K1537" s="25"/>
      <c r="L1537" s="25"/>
      <c r="M1537" s="25"/>
    </row>
    <row r="1538" ht="14.4" spans="8:13">
      <c r="H1538" s="25"/>
      <c r="I1538" s="25"/>
      <c r="K1538" s="25"/>
      <c r="L1538" s="25"/>
      <c r="M1538" s="25"/>
    </row>
    <row r="1539" ht="14.4" spans="8:13">
      <c r="H1539" s="25"/>
      <c r="I1539" s="25"/>
      <c r="K1539" s="25"/>
      <c r="L1539" s="25"/>
      <c r="M1539" s="25"/>
    </row>
    <row r="1540" ht="14.4" spans="8:13">
      <c r="H1540" s="25"/>
      <c r="I1540" s="25"/>
      <c r="K1540" s="25"/>
      <c r="L1540" s="25"/>
      <c r="M1540" s="25"/>
    </row>
    <row r="1541" ht="14.4" spans="8:13">
      <c r="H1541" s="25"/>
      <c r="I1541" s="25"/>
      <c r="K1541" s="25"/>
      <c r="L1541" s="25"/>
      <c r="M1541" s="25"/>
    </row>
    <row r="1542" ht="14.4" spans="8:13">
      <c r="H1542" s="25"/>
      <c r="I1542" s="25"/>
      <c r="K1542" s="25"/>
      <c r="L1542" s="25"/>
      <c r="M1542" s="25"/>
    </row>
    <row r="1543" ht="14.4" spans="8:13">
      <c r="H1543" s="25"/>
      <c r="I1543" s="25"/>
      <c r="K1543" s="25"/>
      <c r="L1543" s="25"/>
      <c r="M1543" s="25"/>
    </row>
    <row r="1544" ht="14.4" spans="8:13">
      <c r="H1544" s="25"/>
      <c r="I1544" s="25"/>
      <c r="K1544" s="25"/>
      <c r="L1544" s="25"/>
      <c r="M1544" s="25"/>
    </row>
    <row r="1545" ht="14.4" spans="8:13">
      <c r="H1545" s="25"/>
      <c r="I1545" s="25"/>
      <c r="K1545" s="25"/>
      <c r="L1545" s="25"/>
      <c r="M1545" s="25"/>
    </row>
    <row r="1546" ht="14.4" spans="8:13">
      <c r="H1546" s="25"/>
      <c r="I1546" s="25"/>
      <c r="K1546" s="25"/>
      <c r="L1546" s="25"/>
      <c r="M1546" s="25"/>
    </row>
    <row r="1547" ht="14.4" spans="8:13">
      <c r="H1547" s="25"/>
      <c r="I1547" s="25"/>
      <c r="K1547" s="25"/>
      <c r="L1547" s="25"/>
      <c r="M1547" s="25"/>
    </row>
    <row r="1548" ht="14.4" spans="8:13">
      <c r="H1548" s="25"/>
      <c r="I1548" s="25"/>
      <c r="K1548" s="25"/>
      <c r="L1548" s="25"/>
      <c r="M1548" s="25"/>
    </row>
    <row r="1549" ht="14.4" spans="8:13">
      <c r="H1549" s="25"/>
      <c r="I1549" s="25"/>
      <c r="K1549" s="25"/>
      <c r="L1549" s="25"/>
      <c r="M1549" s="25"/>
    </row>
    <row r="1550" ht="14.4" spans="8:13">
      <c r="H1550" s="25"/>
      <c r="I1550" s="25"/>
      <c r="K1550" s="25"/>
      <c r="L1550" s="25"/>
      <c r="M1550" s="25"/>
    </row>
    <row r="1551" ht="14.4" spans="8:13">
      <c r="H1551" s="25"/>
      <c r="I1551" s="25"/>
      <c r="K1551" s="25"/>
      <c r="L1551" s="25"/>
      <c r="M1551" s="25"/>
    </row>
    <row r="1552" ht="14.4" spans="8:13">
      <c r="H1552" s="25"/>
      <c r="I1552" s="25"/>
      <c r="K1552" s="25"/>
      <c r="L1552" s="25"/>
      <c r="M1552" s="25"/>
    </row>
    <row r="1553" ht="14.4" spans="8:13">
      <c r="H1553" s="25"/>
      <c r="I1553" s="25"/>
      <c r="K1553" s="25"/>
      <c r="L1553" s="25"/>
      <c r="M1553" s="25"/>
    </row>
    <row r="1554" ht="14.4" spans="8:13">
      <c r="H1554" s="25"/>
      <c r="I1554" s="25"/>
      <c r="K1554" s="25"/>
      <c r="L1554" s="25"/>
      <c r="M1554" s="25"/>
    </row>
    <row r="1555" ht="14.4" spans="8:13">
      <c r="H1555" s="25"/>
      <c r="I1555" s="25"/>
      <c r="K1555" s="25"/>
      <c r="L1555" s="25"/>
      <c r="M1555" s="25"/>
    </row>
    <row r="1556" ht="14.4" spans="8:13">
      <c r="H1556" s="25"/>
      <c r="I1556" s="25"/>
      <c r="K1556" s="25"/>
      <c r="L1556" s="25"/>
      <c r="M1556" s="25"/>
    </row>
    <row r="1557" ht="14.4" spans="8:13">
      <c r="H1557" s="25"/>
      <c r="I1557" s="25"/>
      <c r="K1557" s="25"/>
      <c r="L1557" s="25"/>
      <c r="M1557" s="25"/>
    </row>
    <row r="1558" ht="14.4" spans="8:13">
      <c r="H1558" s="25"/>
      <c r="I1558" s="25"/>
      <c r="K1558" s="25"/>
      <c r="L1558" s="25"/>
      <c r="M1558" s="25"/>
    </row>
    <row r="1559" ht="14.4" spans="8:13">
      <c r="H1559" s="25"/>
      <c r="I1559" s="25"/>
      <c r="K1559" s="25"/>
      <c r="L1559" s="25"/>
      <c r="M1559" s="25"/>
    </row>
    <row r="1560" ht="14.4" spans="8:13">
      <c r="H1560" s="25"/>
      <c r="I1560" s="25"/>
      <c r="K1560" s="25"/>
      <c r="L1560" s="25"/>
      <c r="M1560" s="25"/>
    </row>
    <row r="1561" ht="14.4" spans="8:13">
      <c r="H1561" s="25"/>
      <c r="I1561" s="25"/>
      <c r="K1561" s="25"/>
      <c r="L1561" s="25"/>
      <c r="M1561" s="25"/>
    </row>
    <row r="1562" ht="14.4" spans="8:13">
      <c r="H1562" s="25"/>
      <c r="I1562" s="25"/>
      <c r="K1562" s="25"/>
      <c r="L1562" s="25"/>
      <c r="M1562" s="25"/>
    </row>
    <row r="1563" ht="14.4" spans="8:13">
      <c r="H1563" s="25"/>
      <c r="I1563" s="25"/>
      <c r="K1563" s="25"/>
      <c r="L1563" s="25"/>
      <c r="M1563" s="25"/>
    </row>
    <row r="1564" ht="14.4" spans="8:13">
      <c r="H1564" s="25"/>
      <c r="I1564" s="25"/>
      <c r="K1564" s="25"/>
      <c r="L1564" s="25"/>
      <c r="M1564" s="25"/>
    </row>
    <row r="1565" ht="14.4" spans="8:13">
      <c r="H1565" s="25"/>
      <c r="I1565" s="25"/>
      <c r="K1565" s="25"/>
      <c r="L1565" s="25"/>
      <c r="M1565" s="25"/>
    </row>
    <row r="1566" ht="14.4" spans="8:13">
      <c r="H1566" s="25"/>
      <c r="I1566" s="25"/>
      <c r="K1566" s="25"/>
      <c r="L1566" s="25"/>
      <c r="M1566" s="25"/>
    </row>
    <row r="1567" ht="14.4" spans="8:13">
      <c r="H1567" s="25"/>
      <c r="I1567" s="25"/>
      <c r="K1567" s="25"/>
      <c r="L1567" s="25"/>
      <c r="M1567" s="25"/>
    </row>
    <row r="1568" ht="14.4" spans="8:13">
      <c r="H1568" s="25"/>
      <c r="I1568" s="25"/>
      <c r="K1568" s="25"/>
      <c r="L1568" s="25"/>
      <c r="M1568" s="25"/>
    </row>
    <row r="1569" ht="14.4" spans="8:13">
      <c r="H1569" s="25"/>
      <c r="I1569" s="25"/>
      <c r="K1569" s="25"/>
      <c r="L1569" s="25"/>
      <c r="M1569" s="25"/>
    </row>
    <row r="1570" ht="14.4" spans="8:13">
      <c r="H1570" s="25"/>
      <c r="I1570" s="25"/>
      <c r="K1570" s="25"/>
      <c r="L1570" s="25"/>
      <c r="M1570" s="25"/>
    </row>
    <row r="1571" ht="14.4" spans="8:13">
      <c r="H1571" s="25"/>
      <c r="I1571" s="25"/>
      <c r="K1571" s="25"/>
      <c r="L1571" s="25"/>
      <c r="M1571" s="25"/>
    </row>
    <row r="1572" ht="14.4" spans="8:13">
      <c r="H1572" s="25"/>
      <c r="I1572" s="25"/>
      <c r="K1572" s="25"/>
      <c r="L1572" s="25"/>
      <c r="M1572" s="25"/>
    </row>
    <row r="1573" ht="14.4" spans="8:13">
      <c r="H1573" s="25"/>
      <c r="I1573" s="25"/>
      <c r="K1573" s="25"/>
      <c r="L1573" s="25"/>
      <c r="M1573" s="25"/>
    </row>
    <row r="1574" ht="14.4" spans="8:13">
      <c r="H1574" s="25"/>
      <c r="I1574" s="25"/>
      <c r="K1574" s="25"/>
      <c r="L1574" s="25"/>
      <c r="M1574" s="25"/>
    </row>
    <row r="1575" ht="14.4" spans="8:13">
      <c r="H1575" s="25"/>
      <c r="I1575" s="25"/>
      <c r="K1575" s="25"/>
      <c r="L1575" s="25"/>
      <c r="M1575" s="25"/>
    </row>
    <row r="1576" ht="14.4" spans="8:13">
      <c r="H1576" s="25"/>
      <c r="I1576" s="25"/>
      <c r="K1576" s="25"/>
      <c r="L1576" s="25"/>
      <c r="M1576" s="25"/>
    </row>
    <row r="1577" ht="14.4" spans="8:13">
      <c r="H1577" s="25"/>
      <c r="I1577" s="25"/>
      <c r="K1577" s="25"/>
      <c r="L1577" s="25"/>
      <c r="M1577" s="25"/>
    </row>
    <row r="1578" ht="14.4" spans="8:13">
      <c r="H1578" s="25"/>
      <c r="I1578" s="25"/>
      <c r="K1578" s="25"/>
      <c r="L1578" s="25"/>
      <c r="M1578" s="25"/>
    </row>
    <row r="1579" ht="14.4" spans="8:13">
      <c r="H1579" s="25"/>
      <c r="I1579" s="25"/>
      <c r="K1579" s="25"/>
      <c r="L1579" s="25"/>
      <c r="M1579" s="25"/>
    </row>
    <row r="1580" ht="14.4" spans="8:13">
      <c r="H1580" s="25"/>
      <c r="I1580" s="25"/>
      <c r="K1580" s="25"/>
      <c r="L1580" s="25"/>
      <c r="M1580" s="25"/>
    </row>
    <row r="1581" ht="14.4" spans="8:13">
      <c r="H1581" s="25"/>
      <c r="I1581" s="25"/>
      <c r="K1581" s="25"/>
      <c r="L1581" s="25"/>
      <c r="M1581" s="25"/>
    </row>
    <row r="1582" ht="14.4" spans="8:13">
      <c r="H1582" s="25"/>
      <c r="I1582" s="25"/>
      <c r="K1582" s="25"/>
      <c r="L1582" s="25"/>
      <c r="M1582" s="25"/>
    </row>
    <row r="1583" ht="14.4" spans="8:13">
      <c r="H1583" s="25"/>
      <c r="I1583" s="25"/>
      <c r="K1583" s="25"/>
      <c r="L1583" s="25"/>
      <c r="M1583" s="25"/>
    </row>
    <row r="1584" ht="14.4" spans="8:13">
      <c r="H1584" s="25"/>
      <c r="I1584" s="25"/>
      <c r="K1584" s="25"/>
      <c r="L1584" s="25"/>
      <c r="M1584" s="25"/>
    </row>
    <row r="1585" ht="14.4" spans="8:13">
      <c r="H1585" s="25"/>
      <c r="I1585" s="25"/>
      <c r="K1585" s="25"/>
      <c r="L1585" s="25"/>
      <c r="M1585" s="25"/>
    </row>
    <row r="1586" ht="14.4" spans="8:13">
      <c r="H1586" s="25"/>
      <c r="I1586" s="25"/>
      <c r="K1586" s="25"/>
      <c r="L1586" s="25"/>
      <c r="M1586" s="25"/>
    </row>
    <row r="1587" customHeight="1" spans="8:13">
      <c r="H1587" s="25"/>
      <c r="I1587" s="25"/>
      <c r="K1587" s="25"/>
      <c r="L1587" s="25"/>
      <c r="M1587" s="25"/>
    </row>
    <row r="1588" customHeight="1" spans="8:13">
      <c r="H1588" s="25"/>
      <c r="I1588" s="25"/>
      <c r="K1588" s="25"/>
      <c r="L1588" s="25"/>
      <c r="M1588" s="25"/>
    </row>
    <row r="1589" customHeight="1" spans="8:13">
      <c r="H1589" s="25"/>
      <c r="I1589" s="25"/>
      <c r="K1589" s="25"/>
      <c r="L1589" s="25"/>
      <c r="M1589" s="25"/>
    </row>
    <row r="1590" customHeight="1" spans="8:13">
      <c r="H1590" s="25"/>
      <c r="I1590" s="25"/>
      <c r="K1590" s="25"/>
      <c r="L1590" s="25"/>
      <c r="M1590" s="25"/>
    </row>
  </sheetData>
  <conditionalFormatting sqref="N185:N188">
    <cfRule type="expression" dxfId="0" priority="1">
      <formula>$E185&lt;$N185</formula>
    </cfRule>
  </conditionalFormatting>
  <conditionalFormatting sqref="N3:N49 N51:N91 N93:N184 N189:N219 N221:N337 N339:N569 N571:N602 N604:N666 N668:N702 N704:N711 N713:N759 N761:N1590">
    <cfRule type="expression" dxfId="0" priority="2">
      <formula>$E3&lt;$N3</formula>
    </cfRule>
  </conditionalFormatting>
  <dataValidations count="1">
    <dataValidation type="list" allowBlank="1" sqref="B2 B50:AI50 B92:AI92 B220:AI220 B338:AI338 B570:AI570 B603:AI603 B667:AI667 B703:V703 X703:AI703 B712:AI712" showDropDown="1">
      <formula1>#REF!</formula1>
    </dataValidation>
  </dataValidation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XFD1594"/>
  <sheetViews>
    <sheetView zoomScale="80" zoomScaleNormal="80" workbookViewId="0">
      <pane xSplit="2" ySplit="1" topLeftCell="C178" activePane="bottomRight" state="frozen"/>
      <selection/>
      <selection pane="topRight"/>
      <selection pane="bottomLeft"/>
      <selection pane="bottomRight" activeCell="D190" sqref="D190"/>
    </sheetView>
  </sheetViews>
  <sheetFormatPr defaultColWidth="14.4259259259259" defaultRowHeight="15" customHeight="1"/>
  <cols>
    <col min="1" max="1" width="21.5740740740741" customWidth="1"/>
    <col min="2" max="2" width="20.1388888888889" customWidth="1"/>
    <col min="3" max="3" width="12.287037037037" customWidth="1"/>
    <col min="4" max="5" width="12.8611111111111" customWidth="1"/>
    <col min="6" max="6" width="15.5740740740741" customWidth="1"/>
    <col min="7" max="7" width="12.8611111111111" customWidth="1"/>
    <col min="8" max="8" width="14.287037037037" customWidth="1"/>
    <col min="9" max="9" width="16.712962962963" customWidth="1"/>
  </cols>
  <sheetData>
    <row r="1" ht="30" customHeight="1" spans="1:29">
      <c r="A1" s="4" t="str">
        <f>'Ammo Input'!A1</f>
        <v>Caliber</v>
      </c>
      <c r="B1" s="4" t="str">
        <f>'Ammo Input'!B1</f>
        <v>Ammo Type</v>
      </c>
      <c r="C1" s="4" t="s">
        <v>339</v>
      </c>
      <c r="D1" s="4" t="s">
        <v>340</v>
      </c>
      <c r="E1" s="4" t="s">
        <v>341</v>
      </c>
      <c r="F1" s="4" t="s">
        <v>342</v>
      </c>
      <c r="G1" s="4" t="s">
        <v>343</v>
      </c>
      <c r="H1" s="4" t="s">
        <v>344</v>
      </c>
      <c r="I1" s="4" t="s">
        <v>345</v>
      </c>
      <c r="J1" s="4" t="s">
        <v>346</v>
      </c>
      <c r="K1" s="4" t="s">
        <v>347</v>
      </c>
      <c r="L1" s="4" t="s">
        <v>348</v>
      </c>
      <c r="M1" s="4" t="s">
        <v>349</v>
      </c>
      <c r="N1" s="4" t="s">
        <v>350</v>
      </c>
      <c r="O1" s="4" t="s">
        <v>351</v>
      </c>
      <c r="P1" s="4" t="s">
        <v>352</v>
      </c>
      <c r="Q1" s="4"/>
      <c r="R1" s="4"/>
      <c r="S1" s="4"/>
      <c r="T1" s="4"/>
      <c r="U1" s="4"/>
      <c r="V1" s="4"/>
      <c r="W1" s="4"/>
      <c r="X1" s="4"/>
      <c r="Y1" s="4"/>
      <c r="Z1" s="4"/>
      <c r="AA1" s="4"/>
      <c r="AB1" s="4"/>
      <c r="AC1" s="4"/>
    </row>
    <row r="2" ht="14.4" spans="1:16">
      <c r="A2" s="14" t="s">
        <v>18</v>
      </c>
      <c r="B2" s="15"/>
      <c r="C2" s="15"/>
      <c r="D2" s="15"/>
      <c r="E2" s="15"/>
      <c r="F2" s="15"/>
      <c r="G2" s="15"/>
      <c r="H2" s="15"/>
      <c r="I2" s="15"/>
      <c r="J2" s="15"/>
      <c r="K2" s="15"/>
      <c r="L2" s="15"/>
      <c r="M2" s="15"/>
      <c r="N2" s="15"/>
      <c r="O2" s="15"/>
      <c r="P2" s="15"/>
    </row>
    <row r="3" ht="14.4" spans="1:16">
      <c r="A3" t="str">
        <f>'Ammo Input'!A3</f>
        <v>10x18mm Charged</v>
      </c>
      <c r="B3" s="2" t="s">
        <v>20</v>
      </c>
      <c r="C3">
        <f>(0.579*('Ammo Stats'!G3*IF(OR(B3="HEAT",B3="HEDP"),10,'Ammo Input'!F3)*VLOOKUP(B3,AmmoTypeFactors,7,FALSE))^(0.346))^IF(B3="HEDP",2.1,1)/IF(B3="HEDP",50,1)</f>
        <v>14.6142829720117</v>
      </c>
      <c r="D3" s="16">
        <f>IF(VLOOKUP(B3,AmmoTypeFactors,8,FALSE),J3,C3)*VLOOKUP('Ammo Input'!B3,AmmoTypeFactors,2,FALSE)</f>
        <v>14.6142829720117</v>
      </c>
      <c r="E3" s="16">
        <f>IF(OR(VLOOKUP(B3,AmmoTypeFactors,6,FALSE)="Bomb",VLOOKUP(B3,AmmoTypeFactors,6,FALSE)="Thermobaric"),J3*VLOOKUP(B3,AmmoTypeFactors,4,FALSE),IF(VLOOKUP(B3,AmmoTypeFactors,11,FALSE),P3,C3*VLOOKUP(B3,AmmoTypeFactors,4,FALSE)))</f>
        <v>4.38428489160351</v>
      </c>
      <c r="F3" s="16">
        <f>'Ammo Stats'!G3/0.005</f>
        <v>225600</v>
      </c>
      <c r="G3" s="16">
        <f>(IF(B3="HEAT",10,'Ammo Input'!F3)*VLOOKUP(B3,AmmoTypeFactors,7,FALSE)*0.5)^2*PI()/100</f>
        <v>0.785398163397448</v>
      </c>
      <c r="H3" s="10">
        <f t="shared" ref="H3:H49" si="0">F3/10000</f>
        <v>22.56</v>
      </c>
      <c r="I3" s="10">
        <f>IF(B3&lt;&gt;"Arrow (Flaming)",39493.49*'Ammo Input'!M3^0.6/1000,0)</f>
        <v>0</v>
      </c>
      <c r="J3">
        <f t="shared" ref="J3:J49" si="1">I3*10/3</f>
        <v>0</v>
      </c>
      <c r="K3">
        <f t="shared" ref="K3:K49" si="2">ROUND(F3^(1/3)/10,0)</f>
        <v>6</v>
      </c>
      <c r="L3">
        <f>200000/('Ammo Stats'!C3*(MAX('Ammo Input'!D3,'Ammo Input'!F3)*0.5)^2*PI())</f>
        <v>176838.825657661</v>
      </c>
      <c r="M3">
        <f>IF(B3="Frag",1,('Ammo Input'!M3/1.33)/('Ammo Input'!H3/1000))</f>
        <v>0</v>
      </c>
      <c r="N3" t="s">
        <v>353</v>
      </c>
      <c r="O3" t="s">
        <v>353</v>
      </c>
      <c r="P3" s="3">
        <f>(39493.49*(IF((VLOOKUP(B3,AmmoTypeFactors,6,FALSE)="Bomb_Secondary"),1.33,1)*('Ammo Input'!H3*0.35)/1000)^0.6/1000)*10/3*VLOOKUP(B3,AmmoTypeFactors,4,FALSE)</f>
        <v>1.5749882741188</v>
      </c>
    </row>
    <row r="4" ht="14.4" spans="1:16">
      <c r="A4" t="str">
        <f>'Ammo Input'!A4</f>
        <v>10x18mm Charged</v>
      </c>
      <c r="B4" s="1" t="str">
        <f>'Ammo Input'!B4</f>
        <v>Charge (Concentrated)</v>
      </c>
      <c r="C4">
        <f>(0.579*('Ammo Stats'!G4*IF(OR(B4="HEAT",B4="HEDP"),10,'Ammo Input'!F4)*VLOOKUP(B4,AmmoTypeFactors,7,FALSE))^(0.346))^IF(B4="HEDP",2.1,1)/IF(B4="HEDP",50,1)</f>
        <v>11.4979690081489</v>
      </c>
      <c r="D4" s="16">
        <f>IF(VLOOKUP(B4,AmmoTypeFactors,8,FALSE),J4,C4)*VLOOKUP('Ammo Input'!B4,AmmoTypeFactors,2,FALSE)</f>
        <v>11.4979690081489</v>
      </c>
      <c r="E4" s="16">
        <f>IF(OR(VLOOKUP(B4,AmmoTypeFactors,6,FALSE)="Bomb",VLOOKUP(B4,AmmoTypeFactors,6,FALSE)="Thermobaric"),J4*VLOOKUP(B4,AmmoTypeFactors,4,FALSE),IF(VLOOKUP(B4,AmmoTypeFactors,11,FALSE),P4,C4*VLOOKUP(B4,AmmoTypeFactors,4,FALSE)))</f>
        <v>1.72469535122234</v>
      </c>
      <c r="F4" s="16">
        <f>'Ammo Stats'!G4/0.005</f>
        <v>225600</v>
      </c>
      <c r="G4" s="16">
        <f>(IF(B4="HEAT",10,'Ammo Input'!F4)*VLOOKUP(B4,AmmoTypeFactors,7,FALSE)*0.5)^2*PI()/100</f>
        <v>0.196349540849362</v>
      </c>
      <c r="H4" s="10">
        <f t="shared" si="0"/>
        <v>22.56</v>
      </c>
      <c r="I4" s="10">
        <f>IF(B4&lt;&gt;"Arrow (Flaming)",39493.49*'Ammo Input'!M4^0.6/1000,0)</f>
        <v>0</v>
      </c>
      <c r="J4">
        <f t="shared" si="1"/>
        <v>0</v>
      </c>
      <c r="K4">
        <f t="shared" si="2"/>
        <v>6</v>
      </c>
      <c r="L4">
        <f>200000/('Ammo Stats'!C4*(MAX('Ammo Input'!D4,'Ammo Input'!F4)*0.5)^2*PI())</f>
        <v>176838.825657661</v>
      </c>
      <c r="M4">
        <f>IF(B4="Frag",1,('Ammo Input'!M4/1.33)/('Ammo Input'!H4/1000))</f>
        <v>0</v>
      </c>
      <c r="N4" t="s">
        <v>353</v>
      </c>
      <c r="O4" t="s">
        <v>353</v>
      </c>
      <c r="P4" s="3">
        <f>(39493.49*(IF((VLOOKUP(B4,AmmoTypeFactors,6,FALSE)="Bomb_Secondary"),1.33,1)*('Ammo Input'!H4*0.35)/1000)^0.6/1000)*10/3*VLOOKUP(B4,AmmoTypeFactors,4,FALSE)</f>
        <v>0.787494137059402</v>
      </c>
    </row>
    <row r="5" ht="14.4" spans="1:16">
      <c r="A5" t="str">
        <f>'Ammo Input'!A5</f>
        <v>10x18mm Charged</v>
      </c>
      <c r="B5" s="1" t="str">
        <f>'Ammo Input'!B5</f>
        <v>Charge (Ion)</v>
      </c>
      <c r="C5">
        <f>(0.579*('Ammo Stats'!G5*IF(OR(B5="HEAT",B5="HEDP"),10,'Ammo Input'!F5)*VLOOKUP(B5,AmmoTypeFactors,7,FALSE))^(0.346))^IF(B5="HEDP",2.1,1)/IF(B5="HEDP",50,1)</f>
        <v>11.4979690081489</v>
      </c>
      <c r="D5" s="16">
        <f>IF(VLOOKUP(B5,AmmoTypeFactors,8,FALSE),J5,C5)*VLOOKUP('Ammo Input'!B5,AmmoTypeFactors,2,FALSE)</f>
        <v>11.4979690081489</v>
      </c>
      <c r="E5" s="16">
        <f>IF(OR(VLOOKUP(B5,AmmoTypeFactors,6,FALSE)="Bomb",VLOOKUP(B5,AmmoTypeFactors,6,FALSE)="Thermobaric"),J5*VLOOKUP(B5,AmmoTypeFactors,4,FALSE),IF(VLOOKUP(B5,AmmoTypeFactors,11,FALSE),P5,C5*VLOOKUP(B5,AmmoTypeFactors,4,FALSE)))</f>
        <v>6.89878140488935</v>
      </c>
      <c r="F5" s="16">
        <f>'Ammo Stats'!G5/0.005</f>
        <v>225600</v>
      </c>
      <c r="G5" s="16">
        <f>(IF(B5="HEAT",10,'Ammo Input'!F5)*VLOOKUP(B5,AmmoTypeFactors,7,FALSE)*0.5)^2*PI()/100</f>
        <v>0.196349540849362</v>
      </c>
      <c r="H5" s="10">
        <f t="shared" si="0"/>
        <v>22.56</v>
      </c>
      <c r="I5" s="10">
        <f>IF(B5&lt;&gt;"Arrow (Flaming)",39493.49*'Ammo Input'!M5^0.6/1000,0)</f>
        <v>0</v>
      </c>
      <c r="J5">
        <f t="shared" si="1"/>
        <v>0</v>
      </c>
      <c r="K5">
        <f t="shared" si="2"/>
        <v>6</v>
      </c>
      <c r="L5">
        <f>200000/('Ammo Stats'!C5*(MAX('Ammo Input'!D5,'Ammo Input'!F5)*0.5)^2*PI())</f>
        <v>176838.825657661</v>
      </c>
      <c r="M5">
        <f>IF(B5="Frag",1,('Ammo Input'!M5/1.33)/('Ammo Input'!H5/1000))</f>
        <v>0</v>
      </c>
      <c r="N5" t="s">
        <v>353</v>
      </c>
      <c r="O5" t="s">
        <v>353</v>
      </c>
      <c r="P5" s="3">
        <f>(39493.49*(IF((VLOOKUP(B5,AmmoTypeFactors,6,FALSE)="Bomb_Secondary"),1.33,1)*('Ammo Input'!H5*0.35)/1000)^0.6/1000)*10/3*VLOOKUP(B5,AmmoTypeFactors,4,FALSE)</f>
        <v>2.65458316525905</v>
      </c>
    </row>
    <row r="6" ht="14.4" spans="1:16">
      <c r="A6" t="str">
        <f>'Ammo Input'!A6</f>
        <v>5x35mm Charged</v>
      </c>
      <c r="B6" s="1" t="str">
        <f>'Ammo Input'!B6</f>
        <v>Charge (Concentrated)</v>
      </c>
      <c r="C6">
        <f>(0.579*('Ammo Stats'!G6*IF(OR(B6="HEAT",B6="HEDP"),10,'Ammo Input'!F6)*VLOOKUP(B6,AmmoTypeFactors,7,FALSE))^(0.346))^IF(B6="HEDP",2.1,1)/IF(B6="HEDP",50,1)</f>
        <v>14.2564062072525</v>
      </c>
      <c r="D6" s="16">
        <f>IF(VLOOKUP(B6,AmmoTypeFactors,8,FALSE),J6,C6)*VLOOKUP('Ammo Input'!B6,AmmoTypeFactors,2,FALSE)</f>
        <v>14.2564062072525</v>
      </c>
      <c r="E6" s="16">
        <f>IF(OR(VLOOKUP(B6,AmmoTypeFactors,6,FALSE)="Bomb",VLOOKUP(B6,AmmoTypeFactors,6,FALSE)="Thermobaric"),J6*VLOOKUP(B6,AmmoTypeFactors,4,FALSE),IF(VLOOKUP(B6,AmmoTypeFactors,11,FALSE),P6,C6*VLOOKUP(B6,AmmoTypeFactors,4,FALSE)))</f>
        <v>2.13846093108788</v>
      </c>
      <c r="F6" s="16">
        <f>'Ammo Stats'!G6/0.005</f>
        <v>600000</v>
      </c>
      <c r="G6" s="16">
        <f>(IF(B6="HEAT",10,'Ammo Input'!F6)*VLOOKUP(B6,AmmoTypeFactors,7,FALSE)*0.5)^2*PI()/100</f>
        <v>0.0962112750161874</v>
      </c>
      <c r="H6" s="10">
        <f t="shared" si="0"/>
        <v>60</v>
      </c>
      <c r="I6" s="10">
        <f>IF(B6&lt;&gt;"Arrow (Flaming)",39493.49*'Ammo Input'!M6^0.6/1000,0)</f>
        <v>0</v>
      </c>
      <c r="J6">
        <f t="shared" si="1"/>
        <v>0</v>
      </c>
      <c r="K6">
        <f t="shared" si="2"/>
        <v>8</v>
      </c>
      <c r="L6">
        <f>200000/('Ammo Stats'!C6*(MAX('Ammo Input'!D6,'Ammo Input'!F6)*0.5)^2*PI())</f>
        <v>519689.610095985</v>
      </c>
      <c r="M6">
        <f>IF(B6="Frag",1,('Ammo Input'!M6/1.33)/('Ammo Input'!H6/1000))</f>
        <v>0</v>
      </c>
      <c r="N6" t="s">
        <v>353</v>
      </c>
      <c r="O6" t="s">
        <v>353</v>
      </c>
      <c r="P6" s="3">
        <f>(39493.49*(IF((VLOOKUP(B6,AmmoTypeFactors,6,FALSE)="Bomb_Secondary"),1.33,1)*('Ammo Input'!H6*0.35)/1000)^0.6/1000)*10/3*VLOOKUP(B6,AmmoTypeFactors,4,FALSE)</f>
        <v>0.579612948966232</v>
      </c>
    </row>
    <row r="7" ht="14.4" spans="1:16">
      <c r="A7" t="str">
        <f>'Ammo Input'!A7</f>
        <v>5x50mm caseless (LV)</v>
      </c>
      <c r="B7" s="1" t="str">
        <f>'Ammo Input'!B7</f>
        <v>Sabot</v>
      </c>
      <c r="C7">
        <f>(0.579*('Ammo Stats'!G7*IF(OR(B7="HEAT",B7="HEDP"),10,'Ammo Input'!F7)*VLOOKUP(B7,AmmoTypeFactors,7,FALSE))^(0.346))^IF(B7="HEDP",2.1,1)/IF(B7="HEDP",50,1)</f>
        <v>11.0761509606138</v>
      </c>
      <c r="D7" s="16">
        <f>IF(VLOOKUP(B7,AmmoTypeFactors,8,FALSE),J7,C7)*VLOOKUP('Ammo Input'!B7,AmmoTypeFactors,2,FALSE)</f>
        <v>7.75330567242968</v>
      </c>
      <c r="E7" s="16">
        <f>IF(OR(VLOOKUP(B7,AmmoTypeFactors,6,FALSE)="Bomb",VLOOKUP(B7,AmmoTypeFactors,6,FALSE)="Thermobaric"),J7*VLOOKUP(B7,AmmoTypeFactors,4,FALSE),IF(VLOOKUP(B7,AmmoTypeFactors,11,FALSE),P7,C7*VLOOKUP(B7,AmmoTypeFactors,4,FALSE)))</f>
        <v>0</v>
      </c>
      <c r="F7" s="16">
        <f>'Ammo Stats'!G7/0.005</f>
        <v>405000</v>
      </c>
      <c r="G7" s="16">
        <f>(IF(B7="HEAT",10,'Ammo Input'!F7)*VLOOKUP(B7,AmmoTypeFactors,7,FALSE)*0.5)^2*PI()/100</f>
        <v>0.0490873852123405</v>
      </c>
      <c r="H7" s="10">
        <f t="shared" si="0"/>
        <v>40.5</v>
      </c>
      <c r="I7" s="10">
        <f>IF(B7&lt;&gt;"Arrow (Flaming)",39493.49*'Ammo Input'!M7^0.6/1000,0)</f>
        <v>0</v>
      </c>
      <c r="J7">
        <f t="shared" si="1"/>
        <v>0</v>
      </c>
      <c r="K7">
        <f t="shared" si="2"/>
        <v>7</v>
      </c>
      <c r="L7">
        <f>200000/('Ammo Stats'!C7*(MAX('Ammo Input'!D7,'Ammo Input'!F7)*0.5)^2*PI())</f>
        <v>127323.954473516</v>
      </c>
      <c r="M7">
        <f>IF(B7="Frag",1,('Ammo Input'!M7/1.33)/('Ammo Input'!H7/1000))</f>
        <v>0</v>
      </c>
      <c r="N7" t="s">
        <v>353</v>
      </c>
      <c r="O7" t="s">
        <v>353</v>
      </c>
      <c r="P7" s="3">
        <f>(39493.49*(IF((VLOOKUP(B7,AmmoTypeFactors,6,FALSE)="Bomb_Secondary"),1.33,1)*('Ammo Input'!H7*0.35)/1000)^0.6/1000)*10/3*VLOOKUP(B7,AmmoTypeFactors,4,FALSE)</f>
        <v>0</v>
      </c>
    </row>
    <row r="8" ht="14.4" spans="1:16">
      <c r="A8" t="str">
        <f>'Ammo Input'!A8</f>
        <v>5x50mm caseless</v>
      </c>
      <c r="B8" s="1" t="str">
        <f>'Ammo Input'!B8</f>
        <v>Sabot</v>
      </c>
      <c r="C8">
        <f>(0.579*('Ammo Stats'!G8*IF(OR(B8="HEAT",B8="HEDP"),10,'Ammo Input'!F8)*VLOOKUP(B8,AmmoTypeFactors,7,FALSE))^(0.346))^IF(B8="HEDP",2.1,1)/IF(B8="HEDP",50,1)</f>
        <v>13.5934677839445</v>
      </c>
      <c r="D8" s="16">
        <f>IF(VLOOKUP(B8,AmmoTypeFactors,8,FALSE),J8,C8)*VLOOKUP('Ammo Input'!B8,AmmoTypeFactors,2,FALSE)</f>
        <v>9.51542744876116</v>
      </c>
      <c r="E8" s="16">
        <f>IF(OR(VLOOKUP(B8,AmmoTypeFactors,6,FALSE)="Bomb",VLOOKUP(B8,AmmoTypeFactors,6,FALSE)="Thermobaric"),J8*VLOOKUP(B8,AmmoTypeFactors,4,FALSE),IF(VLOOKUP(B8,AmmoTypeFactors,11,FALSE),P8,C8*VLOOKUP(B8,AmmoTypeFactors,4,FALSE)))</f>
        <v>0</v>
      </c>
      <c r="F8" s="16">
        <f>'Ammo Stats'!G8/0.005</f>
        <v>732000</v>
      </c>
      <c r="G8" s="16">
        <f>(IF(B8="HEAT",10,'Ammo Input'!F8)*VLOOKUP(B8,AmmoTypeFactors,7,FALSE)*0.5)^2*PI()/100</f>
        <v>0.0490873852123405</v>
      </c>
      <c r="H8" s="10">
        <f t="shared" si="0"/>
        <v>73.2</v>
      </c>
      <c r="I8" s="10">
        <f>IF(B8&lt;&gt;"Arrow (Flaming)",39493.49*'Ammo Input'!M8^0.6/1000,0)</f>
        <v>0</v>
      </c>
      <c r="J8">
        <f t="shared" si="1"/>
        <v>0</v>
      </c>
      <c r="K8">
        <f t="shared" si="2"/>
        <v>9</v>
      </c>
      <c r="L8">
        <f>200000/('Ammo Stats'!C8*(MAX('Ammo Input'!D8,'Ammo Input'!F8)*0.5)^2*PI())</f>
        <v>127323.954473516</v>
      </c>
      <c r="M8">
        <f>IF(B8="Frag",1,('Ammo Input'!M8/1.33)/('Ammo Input'!H8/1000))</f>
        <v>0</v>
      </c>
      <c r="N8" t="s">
        <v>353</v>
      </c>
      <c r="O8" t="s">
        <v>353</v>
      </c>
      <c r="P8" s="3">
        <f>(39493.49*(IF((VLOOKUP(B8,AmmoTypeFactors,6,FALSE)="Bomb_Secondary"),1.33,1)*('Ammo Input'!H8*0.35)/1000)^0.6/1000)*10/3*VLOOKUP(B8,AmmoTypeFactors,4,FALSE)</f>
        <v>0</v>
      </c>
    </row>
    <row r="9" ht="14.4" spans="1:16">
      <c r="A9" t="str">
        <f>'Ammo Input'!A9</f>
        <v>5x50mm caseless (HV/Toxic)</v>
      </c>
      <c r="B9" s="1" t="str">
        <f>'Ammo Input'!B9</f>
        <v>Sabot</v>
      </c>
      <c r="C9">
        <f>(0.579*('Ammo Stats'!G9*IF(OR(B9="HEAT",B9="HEDP"),10,'Ammo Input'!F9)*VLOOKUP(B9,AmmoTypeFactors,7,FALSE))^(0.346))^IF(B9="HEDP",2.1,1)/IF(B9="HEDP",50,1)</f>
        <v>15.7727783732587</v>
      </c>
      <c r="D9" s="16">
        <f>IF(VLOOKUP(B9,AmmoTypeFactors,8,FALSE),J9,C9)*VLOOKUP('Ammo Input'!B9,AmmoTypeFactors,2,FALSE)</f>
        <v>11.0409448612811</v>
      </c>
      <c r="E9" s="16">
        <f>IF(OR(VLOOKUP(B9,AmmoTypeFactors,6,FALSE)="Bomb",VLOOKUP(B9,AmmoTypeFactors,6,FALSE)="Thermobaric"),J9*VLOOKUP(B9,AmmoTypeFactors,4,FALSE),IF(VLOOKUP(B9,AmmoTypeFactors,11,FALSE),P9,C9*VLOOKUP(B9,AmmoTypeFactors,4,FALSE)))</f>
        <v>0</v>
      </c>
      <c r="F9" s="16">
        <f>'Ammo Stats'!G9/0.005</f>
        <v>1125000</v>
      </c>
      <c r="G9" s="16">
        <f>(IF(B9="HEAT",10,'Ammo Input'!F9)*VLOOKUP(B9,AmmoTypeFactors,7,FALSE)*0.5)^2*PI()/100</f>
        <v>0.0490873852123405</v>
      </c>
      <c r="H9" s="10">
        <f t="shared" si="0"/>
        <v>112.5</v>
      </c>
      <c r="I9" s="10">
        <f>IF(B9&lt;&gt;"Arrow (Flaming)",39493.49*'Ammo Input'!M9^0.6/1000,0)</f>
        <v>0</v>
      </c>
      <c r="J9">
        <f t="shared" si="1"/>
        <v>0</v>
      </c>
      <c r="K9">
        <f t="shared" si="2"/>
        <v>10</v>
      </c>
      <c r="L9">
        <f>200000/('Ammo Stats'!C9*(MAX('Ammo Input'!D9,'Ammo Input'!F9)*0.5)^2*PI())</f>
        <v>127323.954473516</v>
      </c>
      <c r="M9">
        <f>IF(B9="Frag",1,('Ammo Input'!M9/1.33)/('Ammo Input'!H9/1000))</f>
        <v>0</v>
      </c>
      <c r="N9" t="s">
        <v>353</v>
      </c>
      <c r="O9" t="s">
        <v>353</v>
      </c>
      <c r="P9" s="3">
        <f>(39493.49*(IF((VLOOKUP(B9,AmmoTypeFactors,6,FALSE)="Bomb_Secondary"),1.33,1)*('Ammo Input'!H9*0.35)/1000)^0.6/1000)*10/3*VLOOKUP(B9,AmmoTypeFactors,4,FALSE)</f>
        <v>0</v>
      </c>
    </row>
    <row r="10" ht="14.4" spans="1:16">
      <c r="A10" t="str">
        <f>'Ammo Input'!A10</f>
        <v>5x16mm Charged</v>
      </c>
      <c r="B10" s="1" t="str">
        <f>'Ammo Input'!B10</f>
        <v>Charge</v>
      </c>
      <c r="C10">
        <f>(0.579*('Ammo Stats'!G10*IF(OR(B10="HEAT",B10="HEDP"),10,'Ammo Input'!F10)*VLOOKUP(B10,AmmoTypeFactors,7,FALSE))^(0.346))^IF(B10="HEDP",2.1,1)/IF(B10="HEDP",50,1)</f>
        <v>8.91108171379601</v>
      </c>
      <c r="D10" s="16">
        <f>IF(VLOOKUP(B10,AmmoTypeFactors,8,FALSE),J10,C10)*VLOOKUP('Ammo Input'!B10,AmmoTypeFactors,2,FALSE)</f>
        <v>8.91108171379601</v>
      </c>
      <c r="E10" s="16">
        <f>IF(OR(VLOOKUP(B10,AmmoTypeFactors,6,FALSE)="Bomb",VLOOKUP(B10,AmmoTypeFactors,6,FALSE)="Thermobaric"),J10*VLOOKUP(B10,AmmoTypeFactors,4,FALSE),IF(VLOOKUP(B10,AmmoTypeFactors,11,FALSE),P10,C10*VLOOKUP(B10,AmmoTypeFactors,4,FALSE)))</f>
        <v>2.6733245141388</v>
      </c>
      <c r="F10" s="16">
        <f>'Ammo Stats'!G10/0.005</f>
        <v>108000</v>
      </c>
      <c r="G10" s="16">
        <f>(IF(B10="HEAT",10,'Ammo Input'!F10)*VLOOKUP(B10,AmmoTypeFactors,7,FALSE)*0.5)^2*PI()/100</f>
        <v>0.196349540849362</v>
      </c>
      <c r="H10" s="10">
        <f t="shared" si="0"/>
        <v>10.8</v>
      </c>
      <c r="I10" s="10">
        <f>IF(B10&lt;&gt;"Arrow (Flaming)",39493.49*'Ammo Input'!M10^0.6/1000,0)</f>
        <v>0</v>
      </c>
      <c r="J10">
        <f t="shared" si="1"/>
        <v>0</v>
      </c>
      <c r="K10">
        <f t="shared" si="2"/>
        <v>5</v>
      </c>
      <c r="L10">
        <f>200000/('Ammo Stats'!C10*(MAX('Ammo Input'!D10,'Ammo Input'!F10)*0.5)^2*PI())</f>
        <v>519689.610095985</v>
      </c>
      <c r="M10">
        <f>IF(B10="Frag",1,('Ammo Input'!M10/1.33)/('Ammo Input'!H10/1000))</f>
        <v>0</v>
      </c>
      <c r="N10" t="s">
        <v>353</v>
      </c>
      <c r="O10" t="s">
        <v>353</v>
      </c>
      <c r="P10" s="3">
        <f>(39493.49*(IF((VLOOKUP(B10,AmmoTypeFactors,6,FALSE)="Bomb_Secondary"),1.33,1)*('Ammo Input'!H10*0.35)/1000)^0.6/1000)*10/3*VLOOKUP(B10,AmmoTypeFactors,4,FALSE)</f>
        <v>0.764803871347349</v>
      </c>
    </row>
    <row r="11" ht="14.4" spans="1:16">
      <c r="A11" t="str">
        <f>'Ammo Input'!A11</f>
        <v>6mm Railgun</v>
      </c>
      <c r="B11" s="1" t="str">
        <f>'Ammo Input'!B11</f>
        <v>Railgun (Sabot)</v>
      </c>
      <c r="C11">
        <f>(0.579*('Ammo Stats'!G11*IF(OR(B11="HEAT",B11="HEDP"),10,'Ammo Input'!F11)*VLOOKUP(B11,AmmoTypeFactors,7,FALSE))^(0.346))^IF(B11="HEDP",2.1,1)/IF(B11="HEDP",50,1)</f>
        <v>26.849572680196</v>
      </c>
      <c r="D11" s="16">
        <f>IF(VLOOKUP(B11,AmmoTypeFactors,8,FALSE),J11,C11)*VLOOKUP('Ammo Input'!B11,AmmoTypeFactors,2,FALSE)</f>
        <v>18.7947008761372</v>
      </c>
      <c r="E11" s="16">
        <f>IF(OR(VLOOKUP(B11,AmmoTypeFactors,6,FALSE)="Bomb",VLOOKUP(B11,AmmoTypeFactors,6,FALSE)="Thermobaric"),J11*VLOOKUP(B11,AmmoTypeFactors,4,FALSE),IF(VLOOKUP(B11,AmmoTypeFactors,11,FALSE),P11,C11*VLOOKUP(B11,AmmoTypeFactors,4,FALSE)))</f>
        <v>0</v>
      </c>
      <c r="F11" s="16">
        <f>'Ammo Stats'!G11/0.005</f>
        <v>2908000</v>
      </c>
      <c r="G11" s="16">
        <f>(IF(B11="HEAT",10,'Ammo Input'!F11)*VLOOKUP(B11,AmmoTypeFactors,7,FALSE)*0.5)^2*PI()/100</f>
        <v>0.159043128087983</v>
      </c>
      <c r="H11" s="10">
        <f t="shared" si="0"/>
        <v>290.8</v>
      </c>
      <c r="I11" s="10">
        <f>IF(B11&lt;&gt;"Arrow (Flaming)",39493.49*'Ammo Input'!M11^0.6/1000,0)</f>
        <v>0</v>
      </c>
      <c r="J11">
        <f t="shared" si="1"/>
        <v>0</v>
      </c>
      <c r="K11">
        <f t="shared" si="2"/>
        <v>14</v>
      </c>
      <c r="L11">
        <f>200000/('Ammo Stats'!C11*(MAX('Ammo Input'!D11,'Ammo Input'!F11)*0.5)^2*PI())</f>
        <v>707355.302630646</v>
      </c>
      <c r="M11">
        <f>IF(B11="Frag",1,('Ammo Input'!M11/1.33)/('Ammo Input'!H11/1000))</f>
        <v>0</v>
      </c>
      <c r="N11" t="s">
        <v>353</v>
      </c>
      <c r="O11" t="s">
        <v>353</v>
      </c>
      <c r="P11" s="3">
        <f>(39493.49*(IF((VLOOKUP(B11,AmmoTypeFactors,6,FALSE)="Bomb_Secondary"),1.33,1)*('Ammo Input'!H11*0.35)/1000)^0.6/1000)*10/3*VLOOKUP(B11,AmmoTypeFactors,4,FALSE)</f>
        <v>0</v>
      </c>
    </row>
    <row r="12" ht="14.4" spans="1:16">
      <c r="A12" t="str">
        <f>'Ammo Input'!A12</f>
        <v>6x18mm Charged</v>
      </c>
      <c r="B12" s="1" t="str">
        <f>'Ammo Input'!B12</f>
        <v>Charge</v>
      </c>
      <c r="C12">
        <f>(0.579*('Ammo Stats'!G12*IF(OR(B12="HEAT",B12="HEDP"),10,'Ammo Input'!F12)*VLOOKUP(B12,AmmoTypeFactors,7,FALSE))^(0.346))^IF(B12="HEDP",2.1,1)/IF(B12="HEDP",50,1)</f>
        <v>10.4846983503165</v>
      </c>
      <c r="D12" s="16">
        <f>IF(VLOOKUP(B12,AmmoTypeFactors,8,FALSE),J12,C12)*VLOOKUP('Ammo Input'!B12,AmmoTypeFactors,2,FALSE)</f>
        <v>10.4846983503165</v>
      </c>
      <c r="E12" s="16">
        <f>IF(OR(VLOOKUP(B12,AmmoTypeFactors,6,FALSE)="Bomb",VLOOKUP(B12,AmmoTypeFactors,6,FALSE)="Thermobaric"),J12*VLOOKUP(B12,AmmoTypeFactors,4,FALSE),IF(VLOOKUP(B12,AmmoTypeFactors,11,FALSE),P12,C12*VLOOKUP(B12,AmmoTypeFactors,4,FALSE)))</f>
        <v>3.14540950509496</v>
      </c>
      <c r="F12" s="16">
        <f>'Ammo Stats'!G12/0.005</f>
        <v>144000</v>
      </c>
      <c r="G12" s="16">
        <f>(IF(B12="HEAT",10,'Ammo Input'!F12)*VLOOKUP(B12,AmmoTypeFactors,7,FALSE)*0.5)^2*PI()/100</f>
        <v>0.282743338823081</v>
      </c>
      <c r="H12" s="10">
        <f t="shared" si="0"/>
        <v>14.4</v>
      </c>
      <c r="I12" s="10">
        <f>IF(B12&lt;&gt;"Arrow (Flaming)",39493.49*'Ammo Input'!M12^0.6/1000,0)</f>
        <v>0</v>
      </c>
      <c r="J12">
        <f t="shared" si="1"/>
        <v>0</v>
      </c>
      <c r="K12">
        <f t="shared" si="2"/>
        <v>5</v>
      </c>
      <c r="L12">
        <f>200000/('Ammo Stats'!C12*(MAX('Ammo Input'!D12,'Ammo Input'!F12)*0.5)^2*PI())</f>
        <v>707355.302630646</v>
      </c>
      <c r="M12">
        <f>IF(B12="Frag",1,('Ammo Input'!M12/1.33)/('Ammo Input'!H12/1000))</f>
        <v>0</v>
      </c>
      <c r="N12" t="s">
        <v>353</v>
      </c>
      <c r="O12" t="s">
        <v>353</v>
      </c>
      <c r="P12" s="3">
        <f>(39493.49*(IF((VLOOKUP(B12,AmmoTypeFactors,6,FALSE)="Bomb_Secondary"),1.33,1)*('Ammo Input'!H12*0.35)/1000)^0.6/1000)*10/3*VLOOKUP(B12,AmmoTypeFactors,4,FALSE)</f>
        <v>0.908894173950466</v>
      </c>
    </row>
    <row r="13" ht="14.4" spans="1:16">
      <c r="A13" t="str">
        <f>'Ammo Input'!A13</f>
        <v>6x18mm Charged</v>
      </c>
      <c r="B13" s="1" t="str">
        <f>'Ammo Input'!B13</f>
        <v>Charge (Concentrated)</v>
      </c>
      <c r="C13">
        <f>(0.579*('Ammo Stats'!G13*IF(OR(B13="HEAT",B13="HEDP"),10,'Ammo Input'!F13)*VLOOKUP(B13,AmmoTypeFactors,7,FALSE))^(0.346))^IF(B13="HEDP",2.1,1)/IF(B13="HEDP",50,1)</f>
        <v>8.24896691288954</v>
      </c>
      <c r="D13" s="16">
        <f>IF(VLOOKUP(B13,AmmoTypeFactors,8,FALSE),J13,C13)*VLOOKUP('Ammo Input'!B13,AmmoTypeFactors,2,FALSE)</f>
        <v>8.24896691288954</v>
      </c>
      <c r="E13" s="16">
        <f>IF(OR(VLOOKUP(B13,AmmoTypeFactors,6,FALSE)="Bomb",VLOOKUP(B13,AmmoTypeFactors,6,FALSE)="Thermobaric"),J13*VLOOKUP(B13,AmmoTypeFactors,4,FALSE),IF(VLOOKUP(B13,AmmoTypeFactors,11,FALSE),P13,C13*VLOOKUP(B13,AmmoTypeFactors,4,FALSE)))</f>
        <v>1.23734503693343</v>
      </c>
      <c r="F13" s="16">
        <f>'Ammo Stats'!G13/0.005</f>
        <v>144000</v>
      </c>
      <c r="G13" s="16">
        <f>(IF(B13="HEAT",10,'Ammo Input'!F13)*VLOOKUP(B13,AmmoTypeFactors,7,FALSE)*0.5)^2*PI()/100</f>
        <v>0.0706858347057703</v>
      </c>
      <c r="H13" s="10">
        <f t="shared" si="0"/>
        <v>14.4</v>
      </c>
      <c r="I13" s="10">
        <f>IF(B13&lt;&gt;"Arrow (Flaming)",39493.49*'Ammo Input'!M13^0.6/1000,0)</f>
        <v>0</v>
      </c>
      <c r="J13">
        <f t="shared" si="1"/>
        <v>0</v>
      </c>
      <c r="K13">
        <f t="shared" si="2"/>
        <v>5</v>
      </c>
      <c r="L13">
        <f>200000/('Ammo Stats'!C13*(MAX('Ammo Input'!D13,'Ammo Input'!F13)*0.5)^2*PI())</f>
        <v>707355.302630646</v>
      </c>
      <c r="M13">
        <f>IF(B13="Frag",1,('Ammo Input'!M13/1.33)/('Ammo Input'!H13/1000))</f>
        <v>0</v>
      </c>
      <c r="N13" t="s">
        <v>353</v>
      </c>
      <c r="O13" t="s">
        <v>353</v>
      </c>
      <c r="P13" s="3">
        <f>(39493.49*(IF((VLOOKUP(B13,AmmoTypeFactors,6,FALSE)="Bomb_Secondary"),1.33,1)*('Ammo Input'!H13*0.35)/1000)^0.6/1000)*10/3*VLOOKUP(B13,AmmoTypeFactors,4,FALSE)</f>
        <v>0.454447086975233</v>
      </c>
    </row>
    <row r="14" ht="14.4" spans="1:16">
      <c r="A14" t="str">
        <f>'Ammo Input'!A14</f>
        <v>6x18mm Charged</v>
      </c>
      <c r="B14" s="1" t="str">
        <f>'Ammo Input'!B14</f>
        <v>Charge (Ion)</v>
      </c>
      <c r="C14">
        <f>(0.579*('Ammo Stats'!G14*IF(OR(B14="HEAT",B14="HEDP"),10,'Ammo Input'!F14)*VLOOKUP(B14,AmmoTypeFactors,7,FALSE))^(0.346))^IF(B14="HEDP",2.1,1)/IF(B14="HEDP",50,1)</f>
        <v>8.24896691288954</v>
      </c>
      <c r="D14" s="16">
        <f>IF(VLOOKUP(B14,AmmoTypeFactors,8,FALSE),J14,C14)*VLOOKUP('Ammo Input'!B14,AmmoTypeFactors,2,FALSE)</f>
        <v>8.24896691288954</v>
      </c>
      <c r="E14" s="16">
        <f>IF(OR(VLOOKUP(B14,AmmoTypeFactors,6,FALSE)="Bomb",VLOOKUP(B14,AmmoTypeFactors,6,FALSE)="Thermobaric"),J14*VLOOKUP(B14,AmmoTypeFactors,4,FALSE),IF(VLOOKUP(B14,AmmoTypeFactors,11,FALSE),P14,C14*VLOOKUP(B14,AmmoTypeFactors,4,FALSE)))</f>
        <v>4.94938014773372</v>
      </c>
      <c r="F14" s="16">
        <f>'Ammo Stats'!G14/0.005</f>
        <v>144000</v>
      </c>
      <c r="G14" s="16">
        <f>(IF(B14="HEAT",10,'Ammo Input'!F14)*VLOOKUP(B14,AmmoTypeFactors,7,FALSE)*0.5)^2*PI()/100</f>
        <v>0.0706858347057703</v>
      </c>
      <c r="H14" s="10">
        <f t="shared" si="0"/>
        <v>14.4</v>
      </c>
      <c r="I14" s="10">
        <f>IF(B14&lt;&gt;"Arrow (Flaming)",39493.49*'Ammo Input'!M14^0.6/1000,0)</f>
        <v>0</v>
      </c>
      <c r="J14">
        <f t="shared" si="1"/>
        <v>0</v>
      </c>
      <c r="K14">
        <f t="shared" si="2"/>
        <v>5</v>
      </c>
      <c r="L14">
        <f>200000/('Ammo Stats'!C14*(MAX('Ammo Input'!D14,'Ammo Input'!F14)*0.5)^2*PI())</f>
        <v>707355.302630646</v>
      </c>
      <c r="M14">
        <f>IF(B14="Frag",1,('Ammo Input'!M14/1.33)/('Ammo Input'!H14/1000))</f>
        <v>0</v>
      </c>
      <c r="N14" t="s">
        <v>353</v>
      </c>
      <c r="O14" t="s">
        <v>353</v>
      </c>
      <c r="P14" s="3">
        <f>(39493.49*(IF((VLOOKUP(B14,AmmoTypeFactors,6,FALSE)="Bomb_Secondary"),1.33,1)*('Ammo Input'!H14*0.35)/1000)^0.6/1000)*10/3*VLOOKUP(B14,AmmoTypeFactors,4,FALSE)</f>
        <v>1.53190675309684</v>
      </c>
    </row>
    <row r="15" ht="14.4" spans="1:16">
      <c r="A15" t="str">
        <f>'Ammo Input'!A15</f>
        <v>6x22mm Charged</v>
      </c>
      <c r="B15" s="1" t="str">
        <f>'Ammo Input'!B15</f>
        <v>Charge</v>
      </c>
      <c r="C15">
        <f>(0.579*('Ammo Stats'!G15*IF(OR(B15="HEAT",B15="HEDP"),10,'Ammo Input'!F15)*VLOOKUP(B15,AmmoTypeFactors,7,FALSE))^(0.346))^IF(B15="HEDP",2.1,1)/IF(B15="HEDP",50,1)</f>
        <v>12.7942120931152</v>
      </c>
      <c r="D15" s="16">
        <f>IF(VLOOKUP(B15,AmmoTypeFactors,8,FALSE),J15,C15)*VLOOKUP('Ammo Input'!B15,AmmoTypeFactors,2,FALSE)</f>
        <v>12.7942120931152</v>
      </c>
      <c r="E15" s="16">
        <f>IF(OR(VLOOKUP(B15,AmmoTypeFactors,6,FALSE)="Bomb",VLOOKUP(B15,AmmoTypeFactors,6,FALSE)="Thermobaric"),J15*VLOOKUP(B15,AmmoTypeFactors,4,FALSE),IF(VLOOKUP(B15,AmmoTypeFactors,11,FALSE),P15,C15*VLOOKUP(B15,AmmoTypeFactors,4,FALSE)))</f>
        <v>3.83826362793457</v>
      </c>
      <c r="F15" s="16">
        <f>'Ammo Stats'!G15/0.005</f>
        <v>256000</v>
      </c>
      <c r="G15" s="16">
        <f>(IF(B15="HEAT",10,'Ammo Input'!F15)*VLOOKUP(B15,AmmoTypeFactors,7,FALSE)*0.5)^2*PI()/100</f>
        <v>0.282743338823081</v>
      </c>
      <c r="H15" s="10">
        <f t="shared" si="0"/>
        <v>25.6</v>
      </c>
      <c r="I15" s="10">
        <f>IF(B15&lt;&gt;"Arrow (Flaming)",39493.49*'Ammo Input'!M15^0.6/1000,0)</f>
        <v>0</v>
      </c>
      <c r="J15">
        <f t="shared" si="1"/>
        <v>0</v>
      </c>
      <c r="K15">
        <f t="shared" si="2"/>
        <v>6</v>
      </c>
      <c r="L15">
        <f>200000/('Ammo Stats'!C15*(MAX('Ammo Input'!D15,'Ammo Input'!F15)*0.5)^2*PI())</f>
        <v>707355.302630646</v>
      </c>
      <c r="M15">
        <f>IF(B15="Frag",1,('Ammo Input'!M15/1.33)/('Ammo Input'!H15/1000))</f>
        <v>0</v>
      </c>
      <c r="N15" t="s">
        <v>353</v>
      </c>
      <c r="O15" t="s">
        <v>353</v>
      </c>
      <c r="P15" s="3">
        <f>(39493.49*(IF((VLOOKUP(B15,AmmoTypeFactors,6,FALSE)="Bomb_Secondary"),1.33,1)*('Ammo Input'!H15*0.35)/1000)^0.6/1000)*10/3*VLOOKUP(B15,AmmoTypeFactors,4,FALSE)</f>
        <v>0.908894173950466</v>
      </c>
    </row>
    <row r="16" ht="14.4" spans="1:16">
      <c r="A16" t="str">
        <f>'Ammo Input'!A16</f>
        <v>6x24mm Charged</v>
      </c>
      <c r="B16" s="1" t="str">
        <f>'Ammo Input'!B16</f>
        <v>Charge</v>
      </c>
      <c r="C16">
        <f>(0.579*('Ammo Stats'!G16*IF(OR(B16="HEAT",B16="HEDP"),10,'Ammo Input'!F16)*VLOOKUP(B16,AmmoTypeFactors,7,FALSE))^(0.346))^IF(B16="HEDP",2.1,1)/IF(B16="HEDP",50,1)</f>
        <v>12.7942120931152</v>
      </c>
      <c r="D16" s="16">
        <f>IF(VLOOKUP(B16,AmmoTypeFactors,8,FALSE),J16,C16)*VLOOKUP('Ammo Input'!B16,AmmoTypeFactors,2,FALSE)</f>
        <v>12.7942120931152</v>
      </c>
      <c r="E16" s="16">
        <f>IF(OR(VLOOKUP(B16,AmmoTypeFactors,6,FALSE)="Bomb",VLOOKUP(B16,AmmoTypeFactors,6,FALSE)="Thermobaric"),J16*VLOOKUP(B16,AmmoTypeFactors,4,FALSE),IF(VLOOKUP(B16,AmmoTypeFactors,11,FALSE),P16,C16*VLOOKUP(B16,AmmoTypeFactors,4,FALSE)))</f>
        <v>3.83826362793457</v>
      </c>
      <c r="F16" s="16">
        <f>'Ammo Stats'!G16/0.005</f>
        <v>256000</v>
      </c>
      <c r="G16" s="16">
        <f>(IF(B16="HEAT",10,'Ammo Input'!F16)*VLOOKUP(B16,AmmoTypeFactors,7,FALSE)*0.5)^2*PI()/100</f>
        <v>0.282743338823081</v>
      </c>
      <c r="H16" s="10">
        <f t="shared" si="0"/>
        <v>25.6</v>
      </c>
      <c r="I16" s="10">
        <f>IF(B16&lt;&gt;"Arrow (Flaming)",39493.49*'Ammo Input'!M16^0.6/1000,0)</f>
        <v>0</v>
      </c>
      <c r="J16">
        <f t="shared" si="1"/>
        <v>0</v>
      </c>
      <c r="K16">
        <f t="shared" si="2"/>
        <v>6</v>
      </c>
      <c r="L16">
        <f>200000/('Ammo Stats'!C16*(MAX('Ammo Input'!D16,'Ammo Input'!F16)*0.5)^2*PI())</f>
        <v>707355.302630646</v>
      </c>
      <c r="M16">
        <f>IF(B16="Frag",1,('Ammo Input'!M16/1.33)/('Ammo Input'!H16/1000))</f>
        <v>0</v>
      </c>
      <c r="N16" t="s">
        <v>353</v>
      </c>
      <c r="O16" t="s">
        <v>353</v>
      </c>
      <c r="P16" s="3">
        <f>(39493.49*(IF((VLOOKUP(B16,AmmoTypeFactors,6,FALSE)="Bomb_Secondary"),1.33,1)*('Ammo Input'!H16*0.35)/1000)^0.6/1000)*10/3*VLOOKUP(B16,AmmoTypeFactors,4,FALSE)</f>
        <v>0.908894173950466</v>
      </c>
    </row>
    <row r="17" ht="14.4" spans="1:16">
      <c r="A17" t="str">
        <f>'Ammo Input'!A17</f>
        <v>6x24mm Charged</v>
      </c>
      <c r="B17" s="1" t="str">
        <f>'Ammo Input'!B17</f>
        <v>Charge (Concentrated)</v>
      </c>
      <c r="C17">
        <f>(0.579*('Ammo Stats'!G17*IF(OR(B17="HEAT",B17="HEDP"),10,'Ammo Input'!F17)*VLOOKUP(B17,AmmoTypeFactors,7,FALSE))^(0.346))^IF(B17="HEDP",2.1,1)/IF(B17="HEDP",50,1)</f>
        <v>10.0660055927515</v>
      </c>
      <c r="D17" s="16">
        <f>IF(VLOOKUP(B17,AmmoTypeFactors,8,FALSE),J17,C17)*VLOOKUP('Ammo Input'!B17,AmmoTypeFactors,2,FALSE)</f>
        <v>10.0660055927515</v>
      </c>
      <c r="E17" s="16">
        <f>IF(OR(VLOOKUP(B17,AmmoTypeFactors,6,FALSE)="Bomb",VLOOKUP(B17,AmmoTypeFactors,6,FALSE)="Thermobaric"),J17*VLOOKUP(B17,AmmoTypeFactors,4,FALSE),IF(VLOOKUP(B17,AmmoTypeFactors,11,FALSE),P17,C17*VLOOKUP(B17,AmmoTypeFactors,4,FALSE)))</f>
        <v>1.50990083891273</v>
      </c>
      <c r="F17" s="16">
        <f>'Ammo Stats'!G17/0.005</f>
        <v>256000</v>
      </c>
      <c r="G17" s="16">
        <f>(IF(B17="HEAT",10,'Ammo Input'!F17)*VLOOKUP(B17,AmmoTypeFactors,7,FALSE)*0.5)^2*PI()/100</f>
        <v>0.0706858347057703</v>
      </c>
      <c r="H17" s="10">
        <f t="shared" si="0"/>
        <v>25.6</v>
      </c>
      <c r="I17" s="10">
        <f>IF(B17&lt;&gt;"Arrow (Flaming)",39493.49*'Ammo Input'!M17^0.6/1000,0)</f>
        <v>0</v>
      </c>
      <c r="J17">
        <f t="shared" si="1"/>
        <v>0</v>
      </c>
      <c r="K17">
        <f t="shared" si="2"/>
        <v>6</v>
      </c>
      <c r="L17">
        <f>200000/('Ammo Stats'!C17*(MAX('Ammo Input'!D17,'Ammo Input'!F17)*0.5)^2*PI())</f>
        <v>707355.302630646</v>
      </c>
      <c r="M17">
        <f>IF(B17="Frag",1,('Ammo Input'!M17/1.33)/('Ammo Input'!H17/1000))</f>
        <v>0</v>
      </c>
      <c r="N17" t="s">
        <v>353</v>
      </c>
      <c r="O17" t="s">
        <v>353</v>
      </c>
      <c r="P17" s="3">
        <f>(39493.49*(IF((VLOOKUP(B17,AmmoTypeFactors,6,FALSE)="Bomb_Secondary"),1.33,1)*('Ammo Input'!H17*0.35)/1000)^0.6/1000)*10/3*VLOOKUP(B17,AmmoTypeFactors,4,FALSE)</f>
        <v>0.454447086975233</v>
      </c>
    </row>
    <row r="18" ht="14.4" spans="1:16">
      <c r="A18" t="str">
        <f>'Ammo Input'!A18</f>
        <v>6x24mm Charged</v>
      </c>
      <c r="B18" s="1" t="str">
        <f>'Ammo Input'!B18</f>
        <v>Charge (Ion)</v>
      </c>
      <c r="C18">
        <f>(0.579*('Ammo Stats'!G18*IF(OR(B18="HEAT",B18="HEDP"),10,'Ammo Input'!F18)*VLOOKUP(B18,AmmoTypeFactors,7,FALSE))^(0.346))^IF(B18="HEDP",2.1,1)/IF(B18="HEDP",50,1)</f>
        <v>10.0660055927515</v>
      </c>
      <c r="D18" s="16">
        <f>IF(VLOOKUP(B18,AmmoTypeFactors,8,FALSE),J18,C18)*VLOOKUP('Ammo Input'!B18,AmmoTypeFactors,2,FALSE)</f>
        <v>10.0660055927515</v>
      </c>
      <c r="E18" s="16">
        <f>IF(OR(VLOOKUP(B18,AmmoTypeFactors,6,FALSE)="Bomb",VLOOKUP(B18,AmmoTypeFactors,6,FALSE)="Thermobaric"),J18*VLOOKUP(B18,AmmoTypeFactors,4,FALSE),IF(VLOOKUP(B18,AmmoTypeFactors,11,FALSE),P18,C18*VLOOKUP(B18,AmmoTypeFactors,4,FALSE)))</f>
        <v>6.0396033556509</v>
      </c>
      <c r="F18" s="16">
        <f>'Ammo Stats'!G18/0.005</f>
        <v>256000</v>
      </c>
      <c r="G18" s="16">
        <f>(IF(B18="HEAT",10,'Ammo Input'!F18)*VLOOKUP(B18,AmmoTypeFactors,7,FALSE)*0.5)^2*PI()/100</f>
        <v>0.0706858347057703</v>
      </c>
      <c r="H18" s="10">
        <f t="shared" si="0"/>
        <v>25.6</v>
      </c>
      <c r="I18" s="10">
        <f>IF(B18&lt;&gt;"Arrow (Flaming)",39493.49*'Ammo Input'!M18^0.6/1000,0)</f>
        <v>0</v>
      </c>
      <c r="J18">
        <f t="shared" si="1"/>
        <v>0</v>
      </c>
      <c r="K18">
        <f t="shared" si="2"/>
        <v>6</v>
      </c>
      <c r="L18">
        <f>200000/('Ammo Stats'!C18*(MAX('Ammo Input'!D18,'Ammo Input'!F18)*0.5)^2*PI())</f>
        <v>707355.302630646</v>
      </c>
      <c r="M18">
        <f>IF(B18="Frag",1,('Ammo Input'!M18/1.33)/('Ammo Input'!H18/1000))</f>
        <v>0</v>
      </c>
      <c r="N18" t="s">
        <v>353</v>
      </c>
      <c r="O18" t="s">
        <v>353</v>
      </c>
      <c r="P18" s="3">
        <f>(39493.49*(IF((VLOOKUP(B18,AmmoTypeFactors,6,FALSE)="Bomb_Secondary"),1.33,1)*('Ammo Input'!H18*0.35)/1000)^0.6/1000)*10/3*VLOOKUP(B18,AmmoTypeFactors,4,FALSE)</f>
        <v>1.53190675309684</v>
      </c>
    </row>
    <row r="19" ht="14.4" spans="1:16">
      <c r="A19" t="str">
        <f>'Ammo Input'!A19</f>
        <v>8mm Railgun</v>
      </c>
      <c r="B19" s="1" t="str">
        <f>'Ammo Input'!B19</f>
        <v>Railgun (Sabot)</v>
      </c>
      <c r="C19">
        <f>(0.579*('Ammo Stats'!G19*IF(OR(B19="HEAT",B19="HEDP"),10,'Ammo Input'!F19)*VLOOKUP(B19,AmmoTypeFactors,7,FALSE))^(0.346))^IF(B19="HEDP",2.1,1)/IF(B19="HEDP",50,1)</f>
        <v>28.2537321668915</v>
      </c>
      <c r="D19" s="16">
        <f>IF(VLOOKUP(B19,AmmoTypeFactors,8,FALSE),J19,C19)*VLOOKUP('Ammo Input'!B19,AmmoTypeFactors,2,FALSE)</f>
        <v>19.777612516824</v>
      </c>
      <c r="E19" s="16">
        <f>IF(OR(VLOOKUP(B19,AmmoTypeFactors,6,FALSE)="Bomb",VLOOKUP(B19,AmmoTypeFactors,6,FALSE)="Thermobaric"),J19*VLOOKUP(B19,AmmoTypeFactors,4,FALSE),IF(VLOOKUP(B19,AmmoTypeFactors,11,FALSE),P19,C19*VLOOKUP(B19,AmmoTypeFactors,4,FALSE)))</f>
        <v>0</v>
      </c>
      <c r="F19" s="16">
        <f>'Ammo Stats'!G19/0.005</f>
        <v>2527200</v>
      </c>
      <c r="G19" s="16">
        <f>(IF(B19="HEAT",10,'Ammo Input'!F19)*VLOOKUP(B19,AmmoTypeFactors,7,FALSE)*0.5)^2*PI()/100</f>
        <v>0.282743338823081</v>
      </c>
      <c r="H19" s="10">
        <f t="shared" si="0"/>
        <v>252.72</v>
      </c>
      <c r="I19" s="10">
        <f>IF(B19&lt;&gt;"Arrow (Flaming)",39493.49*'Ammo Input'!M19^0.6/1000,0)</f>
        <v>0</v>
      </c>
      <c r="J19">
        <f t="shared" si="1"/>
        <v>0</v>
      </c>
      <c r="K19">
        <f t="shared" si="2"/>
        <v>14</v>
      </c>
      <c r="L19">
        <f>200000/('Ammo Stats'!C19*(MAX('Ammo Input'!D19,'Ammo Input'!F19)*0.5)^2*PI())</f>
        <v>397887.357729738</v>
      </c>
      <c r="M19">
        <f>IF(B19="Frag",1,('Ammo Input'!M19/1.33)/('Ammo Input'!H19/1000))</f>
        <v>0</v>
      </c>
      <c r="N19" t="s">
        <v>353</v>
      </c>
      <c r="O19" t="s">
        <v>353</v>
      </c>
      <c r="P19" s="3">
        <f>(39493.49*(IF((VLOOKUP(B19,AmmoTypeFactors,6,FALSE)="Bomb_Secondary"),1.33,1)*('Ammo Input'!H19*0.35)/1000)^0.6/1000)*10/3*VLOOKUP(B19,AmmoTypeFactors,4,FALSE)</f>
        <v>0</v>
      </c>
    </row>
    <row r="20" ht="14.4" spans="1:16">
      <c r="A20" t="str">
        <f>'Ammo Input'!A20</f>
        <v>8x35mm Charged</v>
      </c>
      <c r="B20" s="1" t="str">
        <f>'Ammo Input'!B20</f>
        <v>Charge</v>
      </c>
      <c r="C20">
        <f>(0.579*('Ammo Stats'!G20*IF(OR(B20="HEAT",B20="HEDP"),10,'Ammo Input'!F20)*VLOOKUP(B20,AmmoTypeFactors,7,FALSE))^(0.346))^IF(B20="HEDP",2.1,1)/IF(B20="HEDP",50,1)</f>
        <v>18.711021594433</v>
      </c>
      <c r="D20" s="16">
        <f>IF(VLOOKUP(B20,AmmoTypeFactors,8,FALSE),J20,C20)*VLOOKUP('Ammo Input'!B20,AmmoTypeFactors,2,FALSE)</f>
        <v>18.711021594433</v>
      </c>
      <c r="E20" s="16">
        <f>IF(OR(VLOOKUP(B20,AmmoTypeFactors,6,FALSE)="Bomb",VLOOKUP(B20,AmmoTypeFactors,6,FALSE)="Thermobaric"),J20*VLOOKUP(B20,AmmoTypeFactors,4,FALSE),IF(VLOOKUP(B20,AmmoTypeFactors,11,FALSE),P20,C20*VLOOKUP(B20,AmmoTypeFactors,4,FALSE)))</f>
        <v>5.6133064783299</v>
      </c>
      <c r="F20" s="16">
        <f>'Ammo Stats'!G20/0.005</f>
        <v>576000</v>
      </c>
      <c r="G20" s="16">
        <f>(IF(B20="HEAT",10,'Ammo Input'!F20)*VLOOKUP(B20,AmmoTypeFactors,7,FALSE)*0.5)^2*PI()/100</f>
        <v>0.502654824574367</v>
      </c>
      <c r="H20" s="10">
        <f t="shared" si="0"/>
        <v>57.6</v>
      </c>
      <c r="I20" s="10">
        <f>IF(B20&lt;&gt;"Arrow (Flaming)",39493.49*'Ammo Input'!M20^0.6/1000,0)</f>
        <v>0</v>
      </c>
      <c r="J20">
        <f t="shared" si="1"/>
        <v>0</v>
      </c>
      <c r="K20">
        <f t="shared" si="2"/>
        <v>8</v>
      </c>
      <c r="L20">
        <f>200000/('Ammo Stats'!C20*(MAX('Ammo Input'!D20,'Ammo Input'!F20)*0.5)^2*PI())</f>
        <v>127323.954473516</v>
      </c>
      <c r="M20">
        <f>IF(B20="Frag",1,('Ammo Input'!M20/1.33)/('Ammo Input'!H20/1000))</f>
        <v>0</v>
      </c>
      <c r="N20" t="s">
        <v>353</v>
      </c>
      <c r="O20" t="s">
        <v>353</v>
      </c>
      <c r="P20" s="3">
        <f>(39493.49*(IF((VLOOKUP(B20,AmmoTypeFactors,6,FALSE)="Bomb_Secondary"),1.33,1)*('Ammo Input'!H20*0.35)/1000)^0.6/1000)*10/3*VLOOKUP(B20,AmmoTypeFactors,4,FALSE)</f>
        <v>1.478505111983</v>
      </c>
    </row>
    <row r="21" ht="14.4" spans="1:16">
      <c r="A21" t="str">
        <f>'Ammo Input'!A21</f>
        <v>8x35mm Charged</v>
      </c>
      <c r="B21" s="1" t="str">
        <f>'Ammo Input'!B21</f>
        <v>Charge (Concentrated)</v>
      </c>
      <c r="C21">
        <f>(0.579*('Ammo Stats'!G21*IF(OR(B21="HEAT",B21="HEDP"),10,'Ammo Input'!F21)*VLOOKUP(B21,AmmoTypeFactors,7,FALSE))^(0.346))^IF(B21="HEDP",2.1,1)/IF(B21="HEDP",50,1)</f>
        <v>14.7211291046995</v>
      </c>
      <c r="D21" s="16">
        <f>IF(VLOOKUP(B21,AmmoTypeFactors,8,FALSE),J21,C21)*VLOOKUP('Ammo Input'!B21,AmmoTypeFactors,2,FALSE)</f>
        <v>14.7211291046995</v>
      </c>
      <c r="E21" s="16">
        <f>IF(OR(VLOOKUP(B21,AmmoTypeFactors,6,FALSE)="Bomb",VLOOKUP(B21,AmmoTypeFactors,6,FALSE)="Thermobaric"),J21*VLOOKUP(B21,AmmoTypeFactors,4,FALSE),IF(VLOOKUP(B21,AmmoTypeFactors,11,FALSE),P21,C21*VLOOKUP(B21,AmmoTypeFactors,4,FALSE)))</f>
        <v>2.20816936570492</v>
      </c>
      <c r="F21" s="16">
        <f>'Ammo Stats'!G21/0.005</f>
        <v>576000</v>
      </c>
      <c r="G21" s="16">
        <f>(IF(B21="HEAT",10,'Ammo Input'!F21)*VLOOKUP(B21,AmmoTypeFactors,7,FALSE)*0.5)^2*PI()/100</f>
        <v>0.125663706143592</v>
      </c>
      <c r="H21" s="10">
        <f t="shared" si="0"/>
        <v>57.6</v>
      </c>
      <c r="I21" s="10">
        <f>IF(B21&lt;&gt;"Arrow (Flaming)",39493.49*'Ammo Input'!M21^0.6/1000,0)</f>
        <v>0</v>
      </c>
      <c r="J21">
        <f t="shared" si="1"/>
        <v>0</v>
      </c>
      <c r="K21">
        <f t="shared" si="2"/>
        <v>8</v>
      </c>
      <c r="L21">
        <f>200000/('Ammo Stats'!C21*(MAX('Ammo Input'!D21,'Ammo Input'!F21)*0.5)^2*PI())</f>
        <v>127323.954473516</v>
      </c>
      <c r="M21">
        <f>IF(B21="Frag",1,('Ammo Input'!M21/1.33)/('Ammo Input'!H21/1000))</f>
        <v>0</v>
      </c>
      <c r="N21" t="s">
        <v>353</v>
      </c>
      <c r="O21" t="s">
        <v>353</v>
      </c>
      <c r="P21" s="3">
        <f>(39493.49*(IF((VLOOKUP(B21,AmmoTypeFactors,6,FALSE)="Bomb_Secondary"),1.33,1)*('Ammo Input'!H21*0.35)/1000)^0.6/1000)*10/3*VLOOKUP(B21,AmmoTypeFactors,4,FALSE)</f>
        <v>0.739252555991498</v>
      </c>
    </row>
    <row r="22" ht="14.4" spans="1:16">
      <c r="A22" t="str">
        <f>'Ammo Input'!A22</f>
        <v>8x35mm Charged</v>
      </c>
      <c r="B22" s="1" t="str">
        <f>'Ammo Input'!B22</f>
        <v>Charge (Ion)</v>
      </c>
      <c r="C22">
        <f>(0.579*('Ammo Stats'!G22*IF(OR(B22="HEAT",B22="HEDP"),10,'Ammo Input'!F22)*VLOOKUP(B22,AmmoTypeFactors,7,FALSE))^(0.346))^IF(B22="HEDP",2.1,1)/IF(B22="HEDP",50,1)</f>
        <v>14.7211291046995</v>
      </c>
      <c r="D22" s="16">
        <f>IF(VLOOKUP(B22,AmmoTypeFactors,8,FALSE),J22,C22)*VLOOKUP('Ammo Input'!B22,AmmoTypeFactors,2,FALSE)</f>
        <v>14.7211291046995</v>
      </c>
      <c r="E22" s="16">
        <f>IF(OR(VLOOKUP(B22,AmmoTypeFactors,6,FALSE)="Bomb",VLOOKUP(B22,AmmoTypeFactors,6,FALSE)="Thermobaric"),J22*VLOOKUP(B22,AmmoTypeFactors,4,FALSE),IF(VLOOKUP(B22,AmmoTypeFactors,11,FALSE),P22,C22*VLOOKUP(B22,AmmoTypeFactors,4,FALSE)))</f>
        <v>8.83267746281969</v>
      </c>
      <c r="F22" s="16">
        <f>'Ammo Stats'!G22/0.005</f>
        <v>576000</v>
      </c>
      <c r="G22" s="16">
        <f>(IF(B22="HEAT",10,'Ammo Input'!F22)*VLOOKUP(B22,AmmoTypeFactors,7,FALSE)*0.5)^2*PI()/100</f>
        <v>0.125663706143592</v>
      </c>
      <c r="H22" s="10">
        <f t="shared" si="0"/>
        <v>57.6</v>
      </c>
      <c r="I22" s="10">
        <f>IF(B22&lt;&gt;"Arrow (Flaming)",39493.49*'Ammo Input'!M22^0.6/1000,0)</f>
        <v>0</v>
      </c>
      <c r="J22">
        <f t="shared" si="1"/>
        <v>0</v>
      </c>
      <c r="K22">
        <f t="shared" si="2"/>
        <v>8</v>
      </c>
      <c r="L22">
        <f>200000/('Ammo Stats'!C22*(MAX('Ammo Input'!D22,'Ammo Input'!F22)*0.5)^2*PI())</f>
        <v>127323.954473516</v>
      </c>
      <c r="M22">
        <f>IF(B22="Frag",1,('Ammo Input'!M22/1.33)/('Ammo Input'!H22/1000))</f>
        <v>0</v>
      </c>
      <c r="N22" t="s">
        <v>353</v>
      </c>
      <c r="O22" t="s">
        <v>353</v>
      </c>
      <c r="P22" s="3">
        <f>(39493.49*(IF((VLOOKUP(B22,AmmoTypeFactors,6,FALSE)="Bomb_Secondary"),1.33,1)*('Ammo Input'!H22*0.35)/1000)^0.6/1000)*10/3*VLOOKUP(B22,AmmoTypeFactors,4,FALSE)</f>
        <v>2.49196444476097</v>
      </c>
    </row>
    <row r="23" ht="14.4" spans="1:16">
      <c r="A23" t="str">
        <f>'Ammo Input'!A23</f>
        <v>8x40mm Charged</v>
      </c>
      <c r="B23" s="1" t="str">
        <f>'Ammo Input'!B23</f>
        <v>Charge</v>
      </c>
      <c r="C23">
        <f>(0.579*('Ammo Stats'!G23*IF(OR(B23="HEAT",B23="HEDP"),10,'Ammo Input'!F23)*VLOOKUP(B23,AmmoTypeFactors,7,FALSE))^(0.346))^IF(B23="HEDP",2.1,1)/IF(B23="HEDP",50,1)</f>
        <v>21.8353033096235</v>
      </c>
      <c r="D23" s="16">
        <f>IF(VLOOKUP(B23,AmmoTypeFactors,8,FALSE),J23,C23)*VLOOKUP('Ammo Input'!B23,AmmoTypeFactors,2,FALSE)</f>
        <v>21.8353033096235</v>
      </c>
      <c r="E23" s="16">
        <f>IF(OR(VLOOKUP(B23,AmmoTypeFactors,6,FALSE)="Bomb",VLOOKUP(B23,AmmoTypeFactors,6,FALSE)="Thermobaric"),J23*VLOOKUP(B23,AmmoTypeFactors,4,FALSE),IF(VLOOKUP(B23,AmmoTypeFactors,11,FALSE),P23,C23*VLOOKUP(B23,AmmoTypeFactors,4,FALSE)))</f>
        <v>6.55059099288706</v>
      </c>
      <c r="F23" s="16">
        <f>'Ammo Stats'!G23/0.005</f>
        <v>900000</v>
      </c>
      <c r="G23" s="16">
        <f>(IF(B23="HEAT",10,'Ammo Input'!F23)*VLOOKUP(B23,AmmoTypeFactors,7,FALSE)*0.5)^2*PI()/100</f>
        <v>0.502654824574367</v>
      </c>
      <c r="H23" s="10">
        <f t="shared" si="0"/>
        <v>90</v>
      </c>
      <c r="I23" s="10">
        <f>IF(B23&lt;&gt;"Arrow (Flaming)",39493.49*'Ammo Input'!M23^0.6/1000,0)</f>
        <v>0</v>
      </c>
      <c r="J23">
        <f t="shared" si="1"/>
        <v>0</v>
      </c>
      <c r="K23">
        <f t="shared" si="2"/>
        <v>10</v>
      </c>
      <c r="L23">
        <f>200000/('Ammo Stats'!C23*(MAX('Ammo Input'!D23,'Ammo Input'!F23)*0.5)^2*PI())</f>
        <v>127323.954473516</v>
      </c>
      <c r="M23">
        <f>IF(B23="Frag",1,('Ammo Input'!M23/1.33)/('Ammo Input'!H23/1000))</f>
        <v>0</v>
      </c>
      <c r="N23" t="s">
        <v>353</v>
      </c>
      <c r="O23" t="s">
        <v>353</v>
      </c>
      <c r="P23" s="3">
        <f>(39493.49*(IF((VLOOKUP(B23,AmmoTypeFactors,6,FALSE)="Bomb_Secondary"),1.33,1)*('Ammo Input'!H23*0.35)/1000)^0.6/1000)*10/3*VLOOKUP(B23,AmmoTypeFactors,4,FALSE)</f>
        <v>1.478505111983</v>
      </c>
    </row>
    <row r="24" ht="14.4" spans="1:16">
      <c r="A24" t="str">
        <f>'Ammo Input'!A24</f>
        <v>8x50mm Charged</v>
      </c>
      <c r="B24" s="1" t="str">
        <f>'Ammo Input'!B24</f>
        <v>Charge</v>
      </c>
      <c r="C24">
        <f>(0.579*('Ammo Stats'!G24*IF(OR(B24="HEAT",B24="HEDP"),10,'Ammo Input'!F24)*VLOOKUP(B24,AmmoTypeFactors,7,FALSE))^(0.346))^IF(B24="HEDP",2.1,1)/IF(B24="HEDP",50,1)</f>
        <v>24.1205958445354</v>
      </c>
      <c r="D24" s="16">
        <f>IF(VLOOKUP(B24,AmmoTypeFactors,8,FALSE),J24,C24)*VLOOKUP('Ammo Input'!B24,AmmoTypeFactors,2,FALSE)</f>
        <v>24.1205958445354</v>
      </c>
      <c r="E24" s="16">
        <f>IF(OR(VLOOKUP(B24,AmmoTypeFactors,6,FALSE)="Bomb",VLOOKUP(B24,AmmoTypeFactors,6,FALSE)="Thermobaric"),J24*VLOOKUP(B24,AmmoTypeFactors,4,FALSE),IF(VLOOKUP(B24,AmmoTypeFactors,11,FALSE),P24,C24*VLOOKUP(B24,AmmoTypeFactors,4,FALSE)))</f>
        <v>7.23617875336061</v>
      </c>
      <c r="F24" s="16">
        <f>'Ammo Stats'!G24/0.005</f>
        <v>1200000</v>
      </c>
      <c r="G24" s="16">
        <f>(IF(B24="HEAT",10,'Ammo Input'!F24)*VLOOKUP(B24,AmmoTypeFactors,7,FALSE)*0.5)^2*PI()/100</f>
        <v>0.502654824574367</v>
      </c>
      <c r="H24" s="10">
        <f t="shared" si="0"/>
        <v>120</v>
      </c>
      <c r="I24" s="10">
        <f>IF(B24&lt;&gt;"Arrow (Flaming)",39493.49*'Ammo Input'!M24^0.6/1000,0)</f>
        <v>0</v>
      </c>
      <c r="J24">
        <f t="shared" si="1"/>
        <v>0</v>
      </c>
      <c r="K24">
        <f t="shared" si="2"/>
        <v>11</v>
      </c>
      <c r="L24">
        <f>200000/('Ammo Stats'!C24*(MAX('Ammo Input'!D24,'Ammo Input'!F24)*0.5)^2*PI())</f>
        <v>127323.954473516</v>
      </c>
      <c r="M24">
        <f>IF(B24="Frag",1,('Ammo Input'!M24/1.33)/('Ammo Input'!H24/1000))</f>
        <v>0</v>
      </c>
      <c r="N24" t="s">
        <v>353</v>
      </c>
      <c r="O24" t="s">
        <v>353</v>
      </c>
      <c r="P24" s="3">
        <f>(39493.49*(IF((VLOOKUP(B24,AmmoTypeFactors,6,FALSE)="Bomb_Secondary"),1.33,1)*('Ammo Input'!H24*0.35)/1000)^0.6/1000)*10/3*VLOOKUP(B24,AmmoTypeFactors,4,FALSE)</f>
        <v>1.75705789782413</v>
      </c>
    </row>
    <row r="25" ht="14.4" spans="1:16">
      <c r="A25" t="str">
        <f>'Ammo Input'!A25</f>
        <v>8x50mm Charged</v>
      </c>
      <c r="B25" s="1" t="str">
        <f>'Ammo Input'!B25</f>
        <v>Charge (Concentrated)</v>
      </c>
      <c r="C25">
        <f>(0.579*('Ammo Stats'!G25*IF(OR(B25="HEAT",B25="HEDP"),10,'Ammo Input'!F25)*VLOOKUP(B25,AmmoTypeFactors,7,FALSE))^(0.346))^IF(B25="HEDP",2.1,1)/IF(B25="HEDP",50,1)</f>
        <v>18.9771789700317</v>
      </c>
      <c r="D25" s="16">
        <f>IF(VLOOKUP(B25,AmmoTypeFactors,8,FALSE),J25,C25)*VLOOKUP('Ammo Input'!B25,AmmoTypeFactors,2,FALSE)</f>
        <v>18.9771789700317</v>
      </c>
      <c r="E25" s="16">
        <f>IF(OR(VLOOKUP(B25,AmmoTypeFactors,6,FALSE)="Bomb",VLOOKUP(B25,AmmoTypeFactors,6,FALSE)="Thermobaric"),J25*VLOOKUP(B25,AmmoTypeFactors,4,FALSE),IF(VLOOKUP(B25,AmmoTypeFactors,11,FALSE),P25,C25*VLOOKUP(B25,AmmoTypeFactors,4,FALSE)))</f>
        <v>2.84657684550476</v>
      </c>
      <c r="F25" s="16">
        <f>'Ammo Stats'!G25/0.005</f>
        <v>1200000</v>
      </c>
      <c r="G25" s="16">
        <f>(IF(B25="HEAT",10,'Ammo Input'!F25)*VLOOKUP(B25,AmmoTypeFactors,7,FALSE)*0.5)^2*PI()/100</f>
        <v>0.125663706143592</v>
      </c>
      <c r="H25" s="10">
        <f t="shared" si="0"/>
        <v>120</v>
      </c>
      <c r="I25" s="10">
        <f>IF(B25&lt;&gt;"Arrow (Flaming)",39493.49*'Ammo Input'!M25^0.6/1000,0)</f>
        <v>0</v>
      </c>
      <c r="J25">
        <f t="shared" si="1"/>
        <v>0</v>
      </c>
      <c r="K25">
        <f t="shared" si="2"/>
        <v>11</v>
      </c>
      <c r="L25">
        <f>200000/('Ammo Stats'!C25*(MAX('Ammo Input'!D25,'Ammo Input'!F25)*0.5)^2*PI())</f>
        <v>127323.954473516</v>
      </c>
      <c r="M25">
        <f>IF(B25="Frag",1,('Ammo Input'!M25/1.33)/('Ammo Input'!H25/1000))</f>
        <v>0</v>
      </c>
      <c r="N25" t="s">
        <v>353</v>
      </c>
      <c r="O25" t="s">
        <v>353</v>
      </c>
      <c r="P25" s="3">
        <f>(39493.49*(IF((VLOOKUP(B25,AmmoTypeFactors,6,FALSE)="Bomb_Secondary"),1.33,1)*('Ammo Input'!H25*0.35)/1000)^0.6/1000)*10/3*VLOOKUP(B25,AmmoTypeFactors,4,FALSE)</f>
        <v>0.878528948912063</v>
      </c>
    </row>
    <row r="26" ht="14.4" spans="1:16">
      <c r="A26" t="str">
        <f>'Ammo Input'!A26</f>
        <v>8x50mm Charged</v>
      </c>
      <c r="B26" s="1" t="str">
        <f>'Ammo Input'!B26</f>
        <v>Charge (Ion)</v>
      </c>
      <c r="C26">
        <f>(0.579*('Ammo Stats'!G26*IF(OR(B26="HEAT",B26="HEDP"),10,'Ammo Input'!F26)*VLOOKUP(B26,AmmoTypeFactors,7,FALSE))^(0.346))^IF(B26="HEDP",2.1,1)/IF(B26="HEDP",50,1)</f>
        <v>18.9771789700317</v>
      </c>
      <c r="D26" s="16">
        <f>IF(VLOOKUP(B26,AmmoTypeFactors,8,FALSE),J26,C26)*VLOOKUP('Ammo Input'!B26,AmmoTypeFactors,2,FALSE)</f>
        <v>18.9771789700317</v>
      </c>
      <c r="E26" s="16">
        <f>IF(OR(VLOOKUP(B26,AmmoTypeFactors,6,FALSE)="Bomb",VLOOKUP(B26,AmmoTypeFactors,6,FALSE)="Thermobaric"),J26*VLOOKUP(B26,AmmoTypeFactors,4,FALSE),IF(VLOOKUP(B26,AmmoTypeFactors,11,FALSE),P26,C26*VLOOKUP(B26,AmmoTypeFactors,4,FALSE)))</f>
        <v>11.386307382019</v>
      </c>
      <c r="F26" s="16">
        <f>'Ammo Stats'!G26/0.005</f>
        <v>1200000</v>
      </c>
      <c r="G26" s="16">
        <f>(IF(B26="HEAT",10,'Ammo Input'!F26)*VLOOKUP(B26,AmmoTypeFactors,7,FALSE)*0.5)^2*PI()/100</f>
        <v>0.125663706143592</v>
      </c>
      <c r="H26" s="10">
        <f t="shared" si="0"/>
        <v>120</v>
      </c>
      <c r="I26" s="10">
        <f>IF(B26&lt;&gt;"Arrow (Flaming)",39493.49*'Ammo Input'!M26^0.6/1000,0)</f>
        <v>0</v>
      </c>
      <c r="J26">
        <f t="shared" si="1"/>
        <v>0</v>
      </c>
      <c r="K26">
        <f t="shared" si="2"/>
        <v>11</v>
      </c>
      <c r="L26">
        <f>200000/('Ammo Stats'!C26*(MAX('Ammo Input'!D26,'Ammo Input'!F26)*0.5)^2*PI())</f>
        <v>127323.954473516</v>
      </c>
      <c r="M26">
        <f>IF(B26="Frag",1,('Ammo Input'!M26/1.33)/('Ammo Input'!H26/1000))</f>
        <v>0</v>
      </c>
      <c r="N26" t="s">
        <v>353</v>
      </c>
      <c r="O26" t="s">
        <v>353</v>
      </c>
      <c r="P26" s="3">
        <f>(39493.49*(IF((VLOOKUP(B26,AmmoTypeFactors,6,FALSE)="Bomb_Secondary"),1.33,1)*('Ammo Input'!H26*0.35)/1000)^0.6/1000)*10/3*VLOOKUP(B26,AmmoTypeFactors,4,FALSE)</f>
        <v>2.96145462959652</v>
      </c>
    </row>
    <row r="27" ht="14.4" spans="1:16">
      <c r="A27" t="str">
        <f>'Ammo Input'!A27</f>
        <v>12 Gauge Charged</v>
      </c>
      <c r="B27" s="1" t="str">
        <f>'Ammo Input'!B27</f>
        <v>Charge (Scatter)</v>
      </c>
      <c r="C27">
        <f>(0.579*('Ammo Stats'!G27*IF(OR(B27="HEAT",B27="HEDP"),10,'Ammo Input'!F27)*VLOOKUP(B27,AmmoTypeFactors,7,FALSE))^(0.346))^IF(B27="HEDP",2.1,1)/IF(B27="HEDP",50,1)</f>
        <v>9.84371948070772</v>
      </c>
      <c r="D27" s="16">
        <f>IF(VLOOKUP(B27,AmmoTypeFactors,8,FALSE),J27,C27)*VLOOKUP('Ammo Input'!B27,AmmoTypeFactors,2,FALSE)</f>
        <v>9.84371948070772</v>
      </c>
      <c r="E27" s="16">
        <f>IF(OR(VLOOKUP(B27,AmmoTypeFactors,6,FALSE)="Bomb",VLOOKUP(B27,AmmoTypeFactors,6,FALSE)="Thermobaric"),J27*VLOOKUP(B27,AmmoTypeFactors,4,FALSE),IF(VLOOKUP(B27,AmmoTypeFactors,11,FALSE),P27,C27*VLOOKUP(B27,AmmoTypeFactors,4,FALSE)))</f>
        <v>2.95311584421232</v>
      </c>
      <c r="F27" s="16">
        <f>'Ammo Stats'!G27/0.005</f>
        <v>144000</v>
      </c>
      <c r="G27" s="16">
        <f>(IF(B27="HEAT",10,'Ammo Input'!F27)*VLOOKUP(B27,AmmoTypeFactors,7,FALSE)*0.5)^2*PI()/100</f>
        <v>0.196349540849362</v>
      </c>
      <c r="H27" s="10">
        <f t="shared" si="0"/>
        <v>14.4</v>
      </c>
      <c r="I27" s="10">
        <f>IF(B27&lt;&gt;"Arrow (Flaming)",39493.49*'Ammo Input'!M27^0.6/1000,0)</f>
        <v>0</v>
      </c>
      <c r="J27">
        <f t="shared" si="1"/>
        <v>0</v>
      </c>
      <c r="K27">
        <f t="shared" si="2"/>
        <v>5</v>
      </c>
      <c r="L27">
        <f>200000/('Ammo Stats'!C27*(MAX('Ammo Input'!D27,'Ammo Input'!F27)*0.5)^2*PI())</f>
        <v>8768.86738798321</v>
      </c>
      <c r="M27">
        <f>IF(B27="Frag",1,('Ammo Input'!M27/1.33)/('Ammo Input'!H27/1000))</f>
        <v>0</v>
      </c>
      <c r="N27" t="s">
        <v>353</v>
      </c>
      <c r="O27" t="s">
        <v>353</v>
      </c>
      <c r="P27" s="3">
        <f>(39493.49*(IF((VLOOKUP(B27,AmmoTypeFactors,6,FALSE)="Bomb_Secondary"),1.33,1)*('Ammo Input'!H27*0.35)/1000)^0.6/1000)*10/3*VLOOKUP(B27,AmmoTypeFactors,4,FALSE)</f>
        <v>0.908894173950466</v>
      </c>
    </row>
    <row r="28" ht="14.4" spans="1:16">
      <c r="A28" t="str">
        <f>'Ammo Input'!A28</f>
        <v>12 Gauge Charged</v>
      </c>
      <c r="B28" s="1" t="str">
        <f>'Ammo Input'!B28</f>
        <v>Charge (Slug)</v>
      </c>
      <c r="C28">
        <f>(0.579*('Ammo Stats'!G28*IF(OR(B28="HEAT",B28="HEDP"),10,'Ammo Input'!F28)*VLOOKUP(B28,AmmoTypeFactors,7,FALSE))^(0.346))^IF(B28="HEDP",2.1,1)/IF(B28="HEDP",50,1)</f>
        <v>24.3787796832636</v>
      </c>
      <c r="D28" s="16">
        <f>IF(VLOOKUP(B28,AmmoTypeFactors,8,FALSE),J28,C28)*VLOOKUP('Ammo Input'!B28,AmmoTypeFactors,2,FALSE)</f>
        <v>24.3787796832636</v>
      </c>
      <c r="E28" s="16">
        <f>IF(OR(VLOOKUP(B28,AmmoTypeFactors,6,FALSE)="Bomb",VLOOKUP(B28,AmmoTypeFactors,6,FALSE)="Thermobaric"),J28*VLOOKUP(B28,AmmoTypeFactors,4,FALSE),IF(VLOOKUP(B28,AmmoTypeFactors,11,FALSE),P28,C28*VLOOKUP(B28,AmmoTypeFactors,4,FALSE)))</f>
        <v>14.6272678099581</v>
      </c>
      <c r="F28" s="16">
        <f>'Ammo Stats'!G28/0.005</f>
        <v>900000</v>
      </c>
      <c r="G28" s="16">
        <f>(IF(B28="HEAT",10,'Ammo Input'!F28)*VLOOKUP(B28,AmmoTypeFactors,7,FALSE)*0.5)^2*PI()/100</f>
        <v>0.950331777710912</v>
      </c>
      <c r="H28" s="10">
        <f t="shared" si="0"/>
        <v>90</v>
      </c>
      <c r="I28" s="10">
        <f>IF(B28&lt;&gt;"Arrow (Flaming)",39493.49*'Ammo Input'!M28^0.6/1000,0)</f>
        <v>0</v>
      </c>
      <c r="J28">
        <f t="shared" si="1"/>
        <v>0</v>
      </c>
      <c r="K28">
        <f t="shared" si="2"/>
        <v>10</v>
      </c>
      <c r="L28">
        <f>200000/('Ammo Stats'!C28*(MAX('Ammo Input'!D28,'Ammo Input'!F28)*0.5)^2*PI())</f>
        <v>8768.86738798321</v>
      </c>
      <c r="M28">
        <f>IF(B28="Frag",1,('Ammo Input'!M28/1.33)/('Ammo Input'!H28/1000))</f>
        <v>0</v>
      </c>
      <c r="N28" t="s">
        <v>353</v>
      </c>
      <c r="O28" t="s">
        <v>353</v>
      </c>
      <c r="P28" s="3">
        <f>(39493.49*(IF((VLOOKUP(B28,AmmoTypeFactors,6,FALSE)="Bomb_Secondary"),1.33,1)*('Ammo Input'!H28*0.35)/1000)^0.6/1000)*10/3*VLOOKUP(B28,AmmoTypeFactors,4,FALSE)</f>
        <v>5.45847500117637</v>
      </c>
    </row>
    <row r="29" ht="14.4" spans="1:16">
      <c r="A29" t="str">
        <f>'Ammo Input'!A29</f>
        <v>12 Gauge Charged</v>
      </c>
      <c r="B29" s="1" t="str">
        <f>'Ammo Input'!B29</f>
        <v>Charge (Ion Scatter)</v>
      </c>
      <c r="C29">
        <f>(0.579*('Ammo Stats'!G29*IF(OR(B29="HEAT",B29="HEDP"),10,'Ammo Input'!F29)*VLOOKUP(B29,AmmoTypeFactors,7,FALSE))^(0.346))^IF(B29="HEDP",2.1,1)/IF(B29="HEDP",50,1)</f>
        <v>7.74466881001614</v>
      </c>
      <c r="D29" s="16">
        <f>IF(VLOOKUP(B29,AmmoTypeFactors,8,FALSE),J29,C29)*VLOOKUP('Ammo Input'!B29,AmmoTypeFactors,2,FALSE)</f>
        <v>7.74466881001614</v>
      </c>
      <c r="E29" s="16">
        <f>IF(OR(VLOOKUP(B29,AmmoTypeFactors,6,FALSE)="Bomb",VLOOKUP(B29,AmmoTypeFactors,6,FALSE)="Thermobaric"),J29*VLOOKUP(B29,AmmoTypeFactors,4,FALSE),IF(VLOOKUP(B29,AmmoTypeFactors,11,FALSE),P29,C29*VLOOKUP(B29,AmmoTypeFactors,4,FALSE)))</f>
        <v>4.64680128600969</v>
      </c>
      <c r="F29" s="16">
        <f>'Ammo Stats'!G29/0.005</f>
        <v>144000</v>
      </c>
      <c r="G29" s="16">
        <f>(IF(B29="HEAT",10,'Ammo Input'!F29)*VLOOKUP(B29,AmmoTypeFactors,7,FALSE)*0.5)^2*PI()/100</f>
        <v>0.0490873852123405</v>
      </c>
      <c r="H29" s="10">
        <f t="shared" si="0"/>
        <v>14.4</v>
      </c>
      <c r="I29" s="10">
        <f>IF(B29&lt;&gt;"Arrow (Flaming)",39493.49*'Ammo Input'!M29^0.6/1000,0)</f>
        <v>0</v>
      </c>
      <c r="J29">
        <f t="shared" si="1"/>
        <v>0</v>
      </c>
      <c r="K29">
        <f t="shared" si="2"/>
        <v>5</v>
      </c>
      <c r="L29">
        <f>200000/('Ammo Stats'!C29*(MAX('Ammo Input'!D29,'Ammo Input'!F29)*0.5)^2*PI())</f>
        <v>8768.86738798321</v>
      </c>
      <c r="M29">
        <f>IF(B29="Frag",1,('Ammo Input'!M29/1.33)/('Ammo Input'!H29/1000))</f>
        <v>0</v>
      </c>
      <c r="N29" t="s">
        <v>353</v>
      </c>
      <c r="O29" t="s">
        <v>353</v>
      </c>
      <c r="P29" s="3">
        <f>(39493.49*(IF((VLOOKUP(B29,AmmoTypeFactors,6,FALSE)="Bomb_Secondary"),1.33,1)*('Ammo Input'!H29*0.35)/1000)^0.6/1000)*10/3*VLOOKUP(B29,AmmoTypeFactors,4,FALSE)</f>
        <v>1.53190675309684</v>
      </c>
    </row>
    <row r="30" ht="14.4" spans="1:16">
      <c r="A30" t="str">
        <f>'Ammo Input'!A30</f>
        <v>12mm Railgun</v>
      </c>
      <c r="B30" s="1" t="str">
        <f>'Ammo Input'!B30</f>
        <v>Railgun (Sabot)</v>
      </c>
      <c r="C30">
        <f>(0.579*('Ammo Stats'!G30*IF(OR(B30="HEAT",B30="HEDP"),10,'Ammo Input'!F30)*VLOOKUP(B30,AmmoTypeFactors,7,FALSE))^(0.346))^IF(B30="HEDP",2.1,1)/IF(B30="HEDP",50,1)</f>
        <v>103.840565309324</v>
      </c>
      <c r="D30" s="16">
        <f>IF(VLOOKUP(B30,AmmoTypeFactors,8,FALSE),J30,C30)*VLOOKUP('Ammo Input'!B30,AmmoTypeFactors,2,FALSE)</f>
        <v>72.6883957165267</v>
      </c>
      <c r="E30" s="16">
        <f>IF(OR(VLOOKUP(B30,AmmoTypeFactors,6,FALSE)="Bomb",VLOOKUP(B30,AmmoTypeFactors,6,FALSE)="Thermobaric"),J30*VLOOKUP(B30,AmmoTypeFactors,4,FALSE),IF(VLOOKUP(B30,AmmoTypeFactors,11,FALSE),P30,C30*VLOOKUP(B30,AmmoTypeFactors,4,FALSE)))</f>
        <v>0</v>
      </c>
      <c r="F30" s="16">
        <f>'Ammo Stats'!G30/0.005</f>
        <v>72500000</v>
      </c>
      <c r="G30" s="16">
        <f>(IF(B30="HEAT",10,'Ammo Input'!F30)*VLOOKUP(B30,AmmoTypeFactors,7,FALSE)*0.5)^2*PI()/100</f>
        <v>0.636172512351933</v>
      </c>
      <c r="H30" s="10">
        <f t="shared" si="0"/>
        <v>7250</v>
      </c>
      <c r="I30" s="10">
        <f>IF(B30&lt;&gt;"Arrow (Flaming)",39493.49*'Ammo Input'!M30^0.6/1000,0)</f>
        <v>0</v>
      </c>
      <c r="J30">
        <f t="shared" si="1"/>
        <v>0</v>
      </c>
      <c r="K30">
        <f t="shared" si="2"/>
        <v>42</v>
      </c>
      <c r="L30">
        <f>200000/('Ammo Stats'!C30*(MAX('Ammo Input'!D30,'Ammo Input'!F30)*0.5)^2*PI())</f>
        <v>44209.7064144154</v>
      </c>
      <c r="M30">
        <f>IF(B30="Frag",1,('Ammo Input'!M30/1.33)/('Ammo Input'!H30/1000))</f>
        <v>0</v>
      </c>
      <c r="N30" t="s">
        <v>353</v>
      </c>
      <c r="O30" t="s">
        <v>353</v>
      </c>
      <c r="P30" s="3">
        <f>(39493.49*(IF((VLOOKUP(B30,AmmoTypeFactors,6,FALSE)="Bomb_Secondary"),1.33,1)*('Ammo Input'!H30*0.35)/1000)^0.6/1000)*10/3*VLOOKUP(B30,AmmoTypeFactors,4,FALSE)</f>
        <v>0</v>
      </c>
    </row>
    <row r="31" ht="14.4" spans="1:16">
      <c r="A31" t="str">
        <f>'Ammo Input'!A31</f>
        <v>12x64mm Charged</v>
      </c>
      <c r="B31" s="1" t="str">
        <f>'Ammo Input'!B31</f>
        <v>Charge</v>
      </c>
      <c r="C31">
        <f>(0.579*('Ammo Stats'!G31*IF(OR(B31="HEAT",B31="HEDP"),10,'Ammo Input'!F31)*VLOOKUP(B31,AmmoTypeFactors,7,FALSE))^(0.346))^IF(B31="HEDP",2.1,1)/IF(B31="HEDP",50,1)</f>
        <v>39.1351920947359</v>
      </c>
      <c r="D31" s="16">
        <f>IF(VLOOKUP(B31,AmmoTypeFactors,8,FALSE),J31,C31)*VLOOKUP('Ammo Input'!B31,AmmoTypeFactors,2,FALSE)</f>
        <v>39.1351920947359</v>
      </c>
      <c r="E31" s="16">
        <f>IF(OR(VLOOKUP(B31,AmmoTypeFactors,6,FALSE)="Bomb",VLOOKUP(B31,AmmoTypeFactors,6,FALSE)="Thermobaric"),J31*VLOOKUP(B31,AmmoTypeFactors,4,FALSE),IF(VLOOKUP(B31,AmmoTypeFactors,11,FALSE),P31,C31*VLOOKUP(B31,AmmoTypeFactors,4,FALSE)))</f>
        <v>11.7405576284208</v>
      </c>
      <c r="F31" s="16">
        <f>'Ammo Stats'!G31/0.005</f>
        <v>3240000</v>
      </c>
      <c r="G31" s="16">
        <f>(IF(B31="HEAT",10,'Ammo Input'!F31)*VLOOKUP(B31,AmmoTypeFactors,7,FALSE)*0.5)^2*PI()/100</f>
        <v>1.13097335529233</v>
      </c>
      <c r="H31" s="10">
        <f t="shared" si="0"/>
        <v>324</v>
      </c>
      <c r="I31" s="10">
        <f>IF(B31&lt;&gt;"Arrow (Flaming)",39493.49*'Ammo Input'!M31^0.6/1000,0)</f>
        <v>0</v>
      </c>
      <c r="J31">
        <f t="shared" si="1"/>
        <v>0</v>
      </c>
      <c r="K31">
        <f t="shared" si="2"/>
        <v>15</v>
      </c>
      <c r="L31">
        <f>200000/('Ammo Stats'!C31*(MAX('Ammo Input'!D31,'Ammo Input'!F31)*0.5)^2*PI())</f>
        <v>25984.4805047992</v>
      </c>
      <c r="M31">
        <f>IF(B31="Frag",1,('Ammo Input'!M31/1.33)/('Ammo Input'!H31/1000))</f>
        <v>0</v>
      </c>
      <c r="N31" t="s">
        <v>353</v>
      </c>
      <c r="O31" t="s">
        <v>353</v>
      </c>
      <c r="P31" s="3">
        <f>(39493.49*(IF((VLOOKUP(B31,AmmoTypeFactors,6,FALSE)="Bomb_Secondary"),1.33,1)*('Ammo Input'!H31*0.35)/1000)^0.6/1000)*10/3*VLOOKUP(B31,AmmoTypeFactors,4,FALSE)</f>
        <v>3.61837287923978</v>
      </c>
    </row>
    <row r="32" ht="14.4" spans="1:16">
      <c r="A32" t="str">
        <f>'Ammo Input'!A32</f>
        <v>12x72mm Charged</v>
      </c>
      <c r="B32" s="1" t="str">
        <f>'Ammo Input'!B32</f>
        <v>Charge</v>
      </c>
      <c r="C32">
        <f>(0.579*('Ammo Stats'!G32*IF(OR(B32="HEAT",B32="HEDP"),10,'Ammo Input'!F32)*VLOOKUP(B32,AmmoTypeFactors,7,FALSE))^(0.346))^IF(B32="HEDP",2.1,1)/IF(B32="HEDP",50,1)</f>
        <v>39.1351920947359</v>
      </c>
      <c r="D32" s="16">
        <f>IF(VLOOKUP(B32,AmmoTypeFactors,8,FALSE),J32,C32)*VLOOKUP('Ammo Input'!B32,AmmoTypeFactors,2,FALSE)</f>
        <v>39.1351920947359</v>
      </c>
      <c r="E32" s="16">
        <f>IF(OR(VLOOKUP(B32,AmmoTypeFactors,6,FALSE)="Bomb",VLOOKUP(B32,AmmoTypeFactors,6,FALSE)="Thermobaric"),J32*VLOOKUP(B32,AmmoTypeFactors,4,FALSE),IF(VLOOKUP(B32,AmmoTypeFactors,11,FALSE),P32,C32*VLOOKUP(B32,AmmoTypeFactors,4,FALSE)))</f>
        <v>11.7405576284208</v>
      </c>
      <c r="F32" s="16">
        <f>'Ammo Stats'!G32/0.005</f>
        <v>3240000</v>
      </c>
      <c r="G32" s="16">
        <f>(IF(B32="HEAT",10,'Ammo Input'!F32)*VLOOKUP(B32,AmmoTypeFactors,7,FALSE)*0.5)^2*PI()/100</f>
        <v>1.13097335529233</v>
      </c>
      <c r="H32" s="10">
        <f t="shared" si="0"/>
        <v>324</v>
      </c>
      <c r="I32" s="10">
        <f>IF(B32&lt;&gt;"Arrow (Flaming)",39493.49*'Ammo Input'!M32^0.6/1000,0)</f>
        <v>0</v>
      </c>
      <c r="J32">
        <f t="shared" si="1"/>
        <v>0</v>
      </c>
      <c r="K32">
        <f t="shared" si="2"/>
        <v>15</v>
      </c>
      <c r="L32">
        <f>200000/('Ammo Stats'!C32*(MAX('Ammo Input'!D32,'Ammo Input'!F32)*0.5)^2*PI())</f>
        <v>25984.4805047992</v>
      </c>
      <c r="M32">
        <f>IF(B32="Frag",1,('Ammo Input'!M32/1.33)/('Ammo Input'!H32/1000))</f>
        <v>0</v>
      </c>
      <c r="N32" t="s">
        <v>353</v>
      </c>
      <c r="O32" t="s">
        <v>353</v>
      </c>
      <c r="P32" s="3">
        <f>(39493.49*(IF((VLOOKUP(B32,AmmoTypeFactors,6,FALSE)="Bomb_Secondary"),1.33,1)*('Ammo Input'!H32*0.35)/1000)^0.6/1000)*10/3*VLOOKUP(B32,AmmoTypeFactors,4,FALSE)</f>
        <v>3.61837287923978</v>
      </c>
    </row>
    <row r="33" ht="14.4" spans="1:16">
      <c r="A33" t="str">
        <f>'Ammo Input'!A33</f>
        <v>12x72mm Charged</v>
      </c>
      <c r="B33" s="1" t="str">
        <f>'Ammo Input'!B33</f>
        <v>Charge (Concentrated)</v>
      </c>
      <c r="C33">
        <f>(0.579*('Ammo Stats'!G33*IF(OR(B33="HEAT",B33="HEDP"),10,'Ammo Input'!F33)*VLOOKUP(B33,AmmoTypeFactors,7,FALSE))^(0.346))^IF(B33="HEDP",2.1,1)/IF(B33="HEDP",50,1)</f>
        <v>30.790099431836</v>
      </c>
      <c r="D33" s="16">
        <f>IF(VLOOKUP(B33,AmmoTypeFactors,8,FALSE),J33,C33)*VLOOKUP('Ammo Input'!B33,AmmoTypeFactors,2,FALSE)</f>
        <v>30.790099431836</v>
      </c>
      <c r="E33" s="16">
        <f>IF(OR(VLOOKUP(B33,AmmoTypeFactors,6,FALSE)="Bomb",VLOOKUP(B33,AmmoTypeFactors,6,FALSE)="Thermobaric"),J33*VLOOKUP(B33,AmmoTypeFactors,4,FALSE),IF(VLOOKUP(B33,AmmoTypeFactors,11,FALSE),P33,C33*VLOOKUP(B33,AmmoTypeFactors,4,FALSE)))</f>
        <v>4.6185149147754</v>
      </c>
      <c r="F33" s="16">
        <f>'Ammo Stats'!G33/0.005</f>
        <v>3240000</v>
      </c>
      <c r="G33" s="16">
        <f>(IF(B33="HEAT",10,'Ammo Input'!F33)*VLOOKUP(B33,AmmoTypeFactors,7,FALSE)*0.5)^2*PI()/100</f>
        <v>0.282743338823081</v>
      </c>
      <c r="H33" s="10">
        <f t="shared" si="0"/>
        <v>324</v>
      </c>
      <c r="I33" s="10">
        <f>IF(B33&lt;&gt;"Arrow (Flaming)",39493.49*'Ammo Input'!M33^0.6/1000,0)</f>
        <v>0</v>
      </c>
      <c r="J33">
        <f t="shared" si="1"/>
        <v>0</v>
      </c>
      <c r="K33">
        <f t="shared" si="2"/>
        <v>15</v>
      </c>
      <c r="L33">
        <f>200000/('Ammo Stats'!C33*(MAX('Ammo Input'!D33,'Ammo Input'!F33)*0.5)^2*PI())</f>
        <v>25984.4805047992</v>
      </c>
      <c r="M33">
        <f>IF(B33="Frag",1,('Ammo Input'!M33/1.33)/('Ammo Input'!H33/1000))</f>
        <v>0</v>
      </c>
      <c r="N33" t="s">
        <v>353</v>
      </c>
      <c r="O33" t="s">
        <v>353</v>
      </c>
      <c r="P33" s="3">
        <f>(39493.49*(IF((VLOOKUP(B33,AmmoTypeFactors,6,FALSE)="Bomb_Secondary"),1.33,1)*('Ammo Input'!H33*0.35)/1000)^0.6/1000)*10/3*VLOOKUP(B33,AmmoTypeFactors,4,FALSE)</f>
        <v>1.80918643961989</v>
      </c>
    </row>
    <row r="34" ht="14.4" spans="1:16">
      <c r="A34" t="str">
        <f>'Ammo Input'!A34</f>
        <v>12x72mm Charged</v>
      </c>
      <c r="B34" s="1" t="str">
        <f>'Ammo Input'!B34</f>
        <v>Charge (Ion)</v>
      </c>
      <c r="C34">
        <f>(0.579*('Ammo Stats'!G34*IF(OR(B34="HEAT",B34="HEDP"),10,'Ammo Input'!F34)*VLOOKUP(B34,AmmoTypeFactors,7,FALSE))^(0.346))^IF(B34="HEDP",2.1,1)/IF(B34="HEDP",50,1)</f>
        <v>30.790099431836</v>
      </c>
      <c r="D34" s="16">
        <f>IF(VLOOKUP(B34,AmmoTypeFactors,8,FALSE),J34,C34)*VLOOKUP('Ammo Input'!B34,AmmoTypeFactors,2,FALSE)</f>
        <v>30.790099431836</v>
      </c>
      <c r="E34" s="16">
        <f>IF(OR(VLOOKUP(B34,AmmoTypeFactors,6,FALSE)="Bomb",VLOOKUP(B34,AmmoTypeFactors,6,FALSE)="Thermobaric"),J34*VLOOKUP(B34,AmmoTypeFactors,4,FALSE),IF(VLOOKUP(B34,AmmoTypeFactors,11,FALSE),P34,C34*VLOOKUP(B34,AmmoTypeFactors,4,FALSE)))</f>
        <v>18.4740596591016</v>
      </c>
      <c r="F34" s="16">
        <f>'Ammo Stats'!G34/0.005</f>
        <v>3240000</v>
      </c>
      <c r="G34" s="16">
        <f>(IF(B34="HEAT",10,'Ammo Input'!F34)*VLOOKUP(B34,AmmoTypeFactors,7,FALSE)*0.5)^2*PI()/100</f>
        <v>0.282743338823081</v>
      </c>
      <c r="H34" s="10">
        <f t="shared" si="0"/>
        <v>324</v>
      </c>
      <c r="I34" s="10">
        <f>IF(B34&lt;&gt;"Arrow (Flaming)",39493.49*'Ammo Input'!M34^0.6/1000,0)</f>
        <v>0</v>
      </c>
      <c r="J34">
        <f t="shared" si="1"/>
        <v>0</v>
      </c>
      <c r="K34">
        <f t="shared" si="2"/>
        <v>15</v>
      </c>
      <c r="L34">
        <f>200000/('Ammo Stats'!C34*(MAX('Ammo Input'!D34,'Ammo Input'!F34)*0.5)^2*PI())</f>
        <v>25984.4805047992</v>
      </c>
      <c r="M34">
        <f>IF(B34="Frag",1,('Ammo Input'!M34/1.33)/('Ammo Input'!H34/1000))</f>
        <v>0</v>
      </c>
      <c r="N34" t="s">
        <v>353</v>
      </c>
      <c r="O34" t="s">
        <v>353</v>
      </c>
      <c r="P34" s="3">
        <f>(39493.49*(IF((VLOOKUP(B34,AmmoTypeFactors,6,FALSE)="Bomb_Secondary"),1.33,1)*('Ammo Input'!H34*0.35)/1000)^0.6/1000)*10/3*VLOOKUP(B34,AmmoTypeFactors,4,FALSE)</f>
        <v>6.09863063027178</v>
      </c>
    </row>
    <row r="35" ht="14.4" spans="1:16">
      <c r="A35" t="str">
        <f>'Ammo Input'!A35</f>
        <v>15x65mm Diffusing</v>
      </c>
      <c r="B35" s="1" t="str">
        <f>'Ammo Input'!B35</f>
        <v>Charge (Scatter)</v>
      </c>
      <c r="C35">
        <f>(0.579*('Ammo Stats'!G35*IF(OR(B35="HEAT",B35="HEDP"),10,'Ammo Input'!F35)*VLOOKUP(B35,AmmoTypeFactors,7,FALSE))^(0.346))^IF(B35="HEDP",2.1,1)/IF(B35="HEDP",50,1)</f>
        <v>22.2161862685564</v>
      </c>
      <c r="D35" s="16">
        <f>IF(VLOOKUP(B35,AmmoTypeFactors,8,FALSE),J35,C35)*VLOOKUP('Ammo Input'!B35,AmmoTypeFactors,2,FALSE)</f>
        <v>22.2161862685564</v>
      </c>
      <c r="E35" s="16">
        <f>IF(OR(VLOOKUP(B35,AmmoTypeFactors,6,FALSE)="Bomb",VLOOKUP(B35,AmmoTypeFactors,6,FALSE)="Thermobaric"),J35*VLOOKUP(B35,AmmoTypeFactors,4,FALSE),IF(VLOOKUP(B35,AmmoTypeFactors,11,FALSE),P35,C35*VLOOKUP(B35,AmmoTypeFactors,4,FALSE)))</f>
        <v>6.66485588056692</v>
      </c>
      <c r="F35" s="16">
        <f>'Ammo Stats'!G35/0.005</f>
        <v>504600</v>
      </c>
      <c r="G35" s="16">
        <f>(IF(B35="HEAT",10,'Ammo Input'!F35)*VLOOKUP(B35,AmmoTypeFactors,7,FALSE)*0.5)^2*PI()/100</f>
        <v>1.76714586764426</v>
      </c>
      <c r="H35" s="10">
        <f t="shared" si="0"/>
        <v>50.46</v>
      </c>
      <c r="I35" s="10">
        <f>IF(B35&lt;&gt;"Arrow (Flaming)",39493.49*'Ammo Input'!M35^0.6/1000,0)</f>
        <v>0</v>
      </c>
      <c r="J35">
        <f t="shared" si="1"/>
        <v>0</v>
      </c>
      <c r="K35">
        <f t="shared" si="2"/>
        <v>8</v>
      </c>
      <c r="L35">
        <f>200000/('Ammo Stats'!C35*(MAX('Ammo Input'!D35,'Ammo Input'!F35)*0.5)^2*PI())</f>
        <v>17622.6926606943</v>
      </c>
      <c r="M35">
        <f>IF(B35="Frag",1,('Ammo Input'!M35/1.33)/('Ammo Input'!H35/1000))</f>
        <v>0</v>
      </c>
      <c r="N35" t="s">
        <v>353</v>
      </c>
      <c r="O35" t="s">
        <v>353</v>
      </c>
      <c r="P35" s="3">
        <f>(39493.49*(IF((VLOOKUP(B35,AmmoTypeFactors,6,FALSE)="Bomb_Secondary"),1.33,1)*('Ammo Input'!H35*0.35)/1000)^0.6/1000)*10/3*VLOOKUP(B35,AmmoTypeFactors,4,FALSE)</f>
        <v>2.00877863300945</v>
      </c>
    </row>
    <row r="36" ht="14.4" spans="1:16">
      <c r="A36" t="str">
        <f>'Ammo Input'!A36</f>
        <v>20x105mm Charged</v>
      </c>
      <c r="B36" s="1" t="str">
        <f>'Ammo Input'!B36</f>
        <v>Charge</v>
      </c>
      <c r="C36">
        <f>(0.579*('Ammo Stats'!G36*IF(OR(B36="HEAT",B36="HEDP"),10,'Ammo Input'!F36)*VLOOKUP(B36,AmmoTypeFactors,7,FALSE))^(0.346))^IF(B36="HEDP",2.1,1)/IF(B36="HEDP",50,1)</f>
        <v>68.972912264785</v>
      </c>
      <c r="D36" s="16">
        <f>IF(VLOOKUP(B36,AmmoTypeFactors,8,FALSE),J36,C36)*VLOOKUP('Ammo Input'!B36,AmmoTypeFactors,2,FALSE)</f>
        <v>68.972912264785</v>
      </c>
      <c r="E36" s="16">
        <f>IF(OR(VLOOKUP(B36,AmmoTypeFactors,6,FALSE)="Bomb",VLOOKUP(B36,AmmoTypeFactors,6,FALSE)="Thermobaric"),J36*VLOOKUP(B36,AmmoTypeFactors,4,FALSE),IF(VLOOKUP(B36,AmmoTypeFactors,11,FALSE),P36,C36*VLOOKUP(B36,AmmoTypeFactors,4,FALSE)))</f>
        <v>20.6918736794355</v>
      </c>
      <c r="F36" s="16">
        <f>'Ammo Stats'!G36/0.005</f>
        <v>10000000</v>
      </c>
      <c r="G36" s="16">
        <f>(IF(B36="HEAT",10,'Ammo Input'!F36)*VLOOKUP(B36,AmmoTypeFactors,7,FALSE)*0.5)^2*PI()/100</f>
        <v>3.14159265358979</v>
      </c>
      <c r="H36" s="10">
        <f t="shared" si="0"/>
        <v>1000</v>
      </c>
      <c r="I36" s="10">
        <f>IF(B36&lt;&gt;"Arrow (Flaming)",39493.49*'Ammo Input'!M36^0.6/1000,0)</f>
        <v>0</v>
      </c>
      <c r="J36">
        <f t="shared" si="1"/>
        <v>0</v>
      </c>
      <c r="K36">
        <f t="shared" si="2"/>
        <v>22</v>
      </c>
      <c r="L36">
        <f>200000/('Ammo Stats'!C36*(MAX('Ammo Input'!D36,'Ammo Input'!F36)*0.5)^2*PI())</f>
        <v>3758.08602342138</v>
      </c>
      <c r="M36">
        <f>IF(B36="Frag",1,('Ammo Input'!M36/1.33)/('Ammo Input'!H36/1000))</f>
        <v>0</v>
      </c>
      <c r="N36" t="s">
        <v>353</v>
      </c>
      <c r="O36" t="s">
        <v>353</v>
      </c>
      <c r="P36" s="3">
        <f>(39493.49*(IF((VLOOKUP(B36,AmmoTypeFactors,6,FALSE)="Bomb_Secondary"),1.33,1)*('Ammo Input'!H36*0.35)/1000)^0.6/1000)*10/3*VLOOKUP(B36,AmmoTypeFactors,4,FALSE)</f>
        <v>6.27014125464373</v>
      </c>
    </row>
    <row r="37" ht="14.4" spans="1:16">
      <c r="A37" t="str">
        <f>'Ammo Input'!A37</f>
        <v>20x105mm Charged</v>
      </c>
      <c r="B37" s="1" t="str">
        <f>'Ammo Input'!B37</f>
        <v>Charge (Concentrated)</v>
      </c>
      <c r="C37">
        <f>(0.579*('Ammo Stats'!G37*IF(OR(B37="HEAT",B37="HEDP"),10,'Ammo Input'!F37)*VLOOKUP(B37,AmmoTypeFactors,7,FALSE))^(0.346))^IF(B37="HEDP",2.1,1)/IF(B37="HEDP",50,1)</f>
        <v>54.2652971165992</v>
      </c>
      <c r="D37" s="16">
        <f>IF(VLOOKUP(B37,AmmoTypeFactors,8,FALSE),J37,C37)*VLOOKUP('Ammo Input'!B37,AmmoTypeFactors,2,FALSE)</f>
        <v>54.2652971165992</v>
      </c>
      <c r="E37" s="16">
        <f>IF(OR(VLOOKUP(B37,AmmoTypeFactors,6,FALSE)="Bomb",VLOOKUP(B37,AmmoTypeFactors,6,FALSE)="Thermobaric"),J37*VLOOKUP(B37,AmmoTypeFactors,4,FALSE),IF(VLOOKUP(B37,AmmoTypeFactors,11,FALSE),P37,C37*VLOOKUP(B37,AmmoTypeFactors,4,FALSE)))</f>
        <v>8.13979456748988</v>
      </c>
      <c r="F37" s="16">
        <f>'Ammo Stats'!G37/0.005</f>
        <v>10000000</v>
      </c>
      <c r="G37" s="16">
        <f>(IF(B37="HEAT",10,'Ammo Input'!F37)*VLOOKUP(B37,AmmoTypeFactors,7,FALSE)*0.5)^2*PI()/100</f>
        <v>0.785398163397448</v>
      </c>
      <c r="H37" s="10">
        <f t="shared" si="0"/>
        <v>1000</v>
      </c>
      <c r="I37" s="10">
        <f>IF(B37&lt;&gt;"Arrow (Flaming)",39493.49*'Ammo Input'!M37^0.6/1000,0)</f>
        <v>0</v>
      </c>
      <c r="J37">
        <f t="shared" si="1"/>
        <v>0</v>
      </c>
      <c r="K37">
        <f t="shared" si="2"/>
        <v>22</v>
      </c>
      <c r="L37">
        <f>200000/('Ammo Stats'!C37*(MAX('Ammo Input'!D37,'Ammo Input'!F37)*0.5)^2*PI())</f>
        <v>3758.08602342138</v>
      </c>
      <c r="M37">
        <f>IF(B37="Frag",1,('Ammo Input'!M37/1.33)/('Ammo Input'!H37/1000))</f>
        <v>0</v>
      </c>
      <c r="N37" t="s">
        <v>353</v>
      </c>
      <c r="O37" t="s">
        <v>353</v>
      </c>
      <c r="P37" s="3">
        <f>(39493.49*(IF((VLOOKUP(B37,AmmoTypeFactors,6,FALSE)="Bomb_Secondary"),1.33,1)*('Ammo Input'!H37*0.35)/1000)^0.6/1000)*10/3*VLOOKUP(B37,AmmoTypeFactors,4,FALSE)</f>
        <v>3.13507062732187</v>
      </c>
    </row>
    <row r="38" ht="14.4" spans="1:16">
      <c r="A38" t="str">
        <f>'Ammo Input'!A38</f>
        <v>20x105mm Charged</v>
      </c>
      <c r="B38" s="1" t="str">
        <f>'Ammo Input'!B38</f>
        <v>Charge (Ion)</v>
      </c>
      <c r="C38">
        <f>(0.579*('Ammo Stats'!G38*IF(OR(B38="HEAT",B38="HEDP"),10,'Ammo Input'!F38)*VLOOKUP(B38,AmmoTypeFactors,7,FALSE))^(0.346))^IF(B38="HEDP",2.1,1)/IF(B38="HEDP",50,1)</f>
        <v>54.2652971165992</v>
      </c>
      <c r="D38" s="16">
        <f>IF(VLOOKUP(B38,AmmoTypeFactors,8,FALSE),J38,C38)*VLOOKUP('Ammo Input'!B38,AmmoTypeFactors,2,FALSE)</f>
        <v>54.2652971165992</v>
      </c>
      <c r="E38" s="16">
        <f>IF(OR(VLOOKUP(B38,AmmoTypeFactors,6,FALSE)="Bomb",VLOOKUP(B38,AmmoTypeFactors,6,FALSE)="Thermobaric"),J38*VLOOKUP(B38,AmmoTypeFactors,4,FALSE),IF(VLOOKUP(B38,AmmoTypeFactors,11,FALSE),P38,C38*VLOOKUP(B38,AmmoTypeFactors,4,FALSE)))</f>
        <v>32.5591782699595</v>
      </c>
      <c r="F38" s="16">
        <f>'Ammo Stats'!G38/0.005</f>
        <v>10000000</v>
      </c>
      <c r="G38" s="16">
        <f>(IF(B38="HEAT",10,'Ammo Input'!F38)*VLOOKUP(B38,AmmoTypeFactors,7,FALSE)*0.5)^2*PI()/100</f>
        <v>0.785398163397448</v>
      </c>
      <c r="H38" s="10">
        <f t="shared" si="0"/>
        <v>1000</v>
      </c>
      <c r="I38" s="10">
        <f>IF(B38&lt;&gt;"Arrow (Flaming)",39493.49*'Ammo Input'!M38^0.6/1000,0)</f>
        <v>0</v>
      </c>
      <c r="J38">
        <f t="shared" si="1"/>
        <v>0</v>
      </c>
      <c r="K38">
        <f t="shared" si="2"/>
        <v>22</v>
      </c>
      <c r="L38">
        <f>200000/('Ammo Stats'!C38*(MAX('Ammo Input'!D38,'Ammo Input'!F38)*0.5)^2*PI())</f>
        <v>3758.08602342138</v>
      </c>
      <c r="M38">
        <f>IF(B38="Frag",1,('Ammo Input'!M38/1.33)/('Ammo Input'!H38/1000))</f>
        <v>0</v>
      </c>
      <c r="N38" t="s">
        <v>353</v>
      </c>
      <c r="O38" t="s">
        <v>353</v>
      </c>
      <c r="P38" s="3">
        <f>(39493.49*(IF((VLOOKUP(B38,AmmoTypeFactors,6,FALSE)="Bomb_Secondary"),1.33,1)*('Ammo Input'!H38*0.35)/1000)^0.6/1000)*10/3*VLOOKUP(B38,AmmoTypeFactors,4,FALSE)</f>
        <v>10.5680859292023</v>
      </c>
    </row>
    <row r="39" ht="14.4" spans="1:16">
      <c r="A39" t="str">
        <f>'Ammo Input'!A39</f>
        <v>30x64mm FC</v>
      </c>
      <c r="B39" s="1" t="str">
        <f>'Ammo Input'!B39</f>
        <v>Incendiary</v>
      </c>
      <c r="C39">
        <f>(0.579*('Ammo Stats'!G39*IF(OR(B39="HEAT",B39="HEDP"),10,'Ammo Input'!F39)*VLOOKUP(B39,AmmoTypeFactors,7,FALSE))^(0.346))^IF(B39="HEDP",2.1,1)/IF(B39="HEDP",50,1)</f>
        <v>38.1068324528696</v>
      </c>
      <c r="D39" s="16">
        <f>IF(VLOOKUP(B39,AmmoTypeFactors,8,FALSE),J39,C39)*VLOOKUP('Ammo Input'!B39,AmmoTypeFactors,2,FALSE)</f>
        <v>9.68935814952896</v>
      </c>
      <c r="E39" s="16">
        <f>IF(OR(VLOOKUP(B39,AmmoTypeFactors,6,FALSE)="Bomb",VLOOKUP(B39,AmmoTypeFactors,6,FALSE)="Thermobaric"),J39*VLOOKUP(B39,AmmoTypeFactors,4,FALSE),IF(VLOOKUP(B39,AmmoTypeFactors,11,FALSE),P39,C39*VLOOKUP(B39,AmmoTypeFactors,4,FALSE)))</f>
        <v>0</v>
      </c>
      <c r="F39" s="16">
        <f>'Ammo Stats'!G39/0.005</f>
        <v>1200000</v>
      </c>
      <c r="G39" s="16">
        <f>(IF(B39="HEAT",10,'Ammo Input'!F39)*VLOOKUP(B39,AmmoTypeFactors,7,FALSE)*0.5)^2*PI()/100</f>
        <v>7.06858347057703</v>
      </c>
      <c r="H39" s="10">
        <f t="shared" si="0"/>
        <v>120</v>
      </c>
      <c r="I39" s="10">
        <f>IF(B39&lt;&gt;"Arrow (Flaming)",39493.49*'Ammo Input'!M39^0.6/1000,0)</f>
        <v>29.0680744485869</v>
      </c>
      <c r="J39">
        <f t="shared" si="1"/>
        <v>96.8935814952896</v>
      </c>
      <c r="K39">
        <f t="shared" si="2"/>
        <v>11</v>
      </c>
      <c r="L39">
        <f>200000/('Ammo Stats'!C39*(MAX('Ammo Input'!D39,'Ammo Input'!F39)*0.5)^2*PI())</f>
        <v>2021.01515037327</v>
      </c>
      <c r="M39">
        <f>IF(B39="Frag",1,('Ammo Input'!M39/1.33)/('Ammo Input'!H39/1000))</f>
        <v>1.50375939849624</v>
      </c>
      <c r="N39" t="s">
        <v>353</v>
      </c>
      <c r="O39" t="s">
        <v>353</v>
      </c>
      <c r="P39" s="3">
        <f>(39493.49*(IF((VLOOKUP(B39,AmmoTypeFactors,6,FALSE)="Bomb_Secondary"),1.33,1)*('Ammo Input'!H39*0.35)/1000)^0.6/1000)*10/3*VLOOKUP(B39,AmmoTypeFactors,4,FALSE)</f>
        <v>0</v>
      </c>
    </row>
    <row r="40" ht="14.4" spans="1:16">
      <c r="A40" t="str">
        <f>'Ammo Input'!A40</f>
        <v>30x64mm FC</v>
      </c>
      <c r="B40" s="1" t="str">
        <f>'Ammo Input'!B40</f>
        <v>Thermobaric</v>
      </c>
      <c r="C40">
        <f>(0.579*('Ammo Stats'!G40*IF(OR(B40="HEAT",B40="HEDP"),10,'Ammo Input'!F40)*VLOOKUP(B40,AmmoTypeFactors,7,FALSE))^(0.346))^IF(B40="HEDP",2.1,1)/IF(B40="HEDP",50,1)</f>
        <v>38.1068324528696</v>
      </c>
      <c r="D40" s="16">
        <f>IF(VLOOKUP(B40,AmmoTypeFactors,8,FALSE),J40,C40)*VLOOKUP('Ammo Input'!B40,AmmoTypeFactors,2,FALSE)</f>
        <v>77.5148651962317</v>
      </c>
      <c r="E40" s="16">
        <f>IF(OR(VLOOKUP(B40,AmmoTypeFactors,6,FALSE)="Bomb",VLOOKUP(B40,AmmoTypeFactors,6,FALSE)="Thermobaric"),J40*VLOOKUP(B40,AmmoTypeFactors,4,FALSE),IF(VLOOKUP(B40,AmmoTypeFactors,11,FALSE),P40,C40*VLOOKUP(B40,AmmoTypeFactors,4,FALSE)))</f>
        <v>0</v>
      </c>
      <c r="F40" s="16">
        <f>'Ammo Stats'!G40/0.005</f>
        <v>1200000</v>
      </c>
      <c r="G40" s="16">
        <f>(IF(B40="HEAT",10,'Ammo Input'!F40)*VLOOKUP(B40,AmmoTypeFactors,7,FALSE)*0.5)^2*PI()/100</f>
        <v>7.06858347057703</v>
      </c>
      <c r="H40" s="10">
        <f t="shared" si="0"/>
        <v>120</v>
      </c>
      <c r="I40" s="10">
        <f>IF(B40&lt;&gt;"Arrow (Flaming)",39493.49*'Ammo Input'!M40^0.6/1000,0)</f>
        <v>29.0680744485869</v>
      </c>
      <c r="J40">
        <f t="shared" si="1"/>
        <v>96.8935814952896</v>
      </c>
      <c r="K40">
        <f t="shared" si="2"/>
        <v>11</v>
      </c>
      <c r="L40">
        <f>200000/('Ammo Stats'!C40*(MAX('Ammo Input'!D40,'Ammo Input'!F40)*0.5)^2*PI())</f>
        <v>2021.01515037327</v>
      </c>
      <c r="M40">
        <f>IF(B40="Frag",1,('Ammo Input'!M40/1.33)/('Ammo Input'!H40/1000))</f>
        <v>1.50375939849624</v>
      </c>
      <c r="N40" t="s">
        <v>353</v>
      </c>
      <c r="O40" t="s">
        <v>353</v>
      </c>
      <c r="P40" s="3">
        <f>(39493.49*(IF((VLOOKUP(B40,AmmoTypeFactors,6,FALSE)="Bomb_Secondary"),1.33,1)*('Ammo Input'!H40*0.35)/1000)^0.6/1000)*10/3*VLOOKUP(B40,AmmoTypeFactors,4,FALSE)</f>
        <v>0</v>
      </c>
    </row>
    <row r="41" ht="14.4" spans="1:16">
      <c r="A41" t="str">
        <f>'Ammo Input'!A41</f>
        <v>30x64mm FC</v>
      </c>
      <c r="B41" s="1" t="str">
        <f>'Ammo Input'!B41</f>
        <v>Foam</v>
      </c>
      <c r="C41">
        <f>(0.579*('Ammo Stats'!G41*IF(OR(B41="HEAT",B41="HEDP"),10,'Ammo Input'!F41)*VLOOKUP(B41,AmmoTypeFactors,7,FALSE))^(0.346))^IF(B41="HEDP",2.1,1)/IF(B41="HEDP",50,1)</f>
        <v>38.1068324528696</v>
      </c>
      <c r="D41" s="16">
        <f>IF(VLOOKUP(B41,AmmoTypeFactors,8,FALSE),J41,C41)*VLOOKUP('Ammo Input'!B41,AmmoTypeFactors,2,FALSE)</f>
        <v>96.8935814952896</v>
      </c>
      <c r="E41" s="16">
        <f>IF(OR(VLOOKUP(B41,AmmoTypeFactors,6,FALSE)="Bomb",VLOOKUP(B41,AmmoTypeFactors,6,FALSE)="Thermobaric"),J41*VLOOKUP(B41,AmmoTypeFactors,4,FALSE),IF(VLOOKUP(B41,AmmoTypeFactors,11,FALSE),P41,C41*VLOOKUP(B41,AmmoTypeFactors,4,FALSE)))</f>
        <v>0</v>
      </c>
      <c r="F41" s="16">
        <f>'Ammo Stats'!G41/0.005</f>
        <v>1200000</v>
      </c>
      <c r="G41" s="16">
        <f>(IF(B41="HEAT",10,'Ammo Input'!F41)*VLOOKUP(B41,AmmoTypeFactors,7,FALSE)*0.5)^2*PI()/100</f>
        <v>7.06858347057703</v>
      </c>
      <c r="H41" s="10">
        <f t="shared" si="0"/>
        <v>120</v>
      </c>
      <c r="I41" s="10">
        <f>IF(B41&lt;&gt;"Arrow (Flaming)",39493.49*'Ammo Input'!M41^0.6/1000,0)</f>
        <v>29.0680744485869</v>
      </c>
      <c r="J41">
        <f t="shared" si="1"/>
        <v>96.8935814952896</v>
      </c>
      <c r="K41">
        <f t="shared" si="2"/>
        <v>11</v>
      </c>
      <c r="L41">
        <f>200000/('Ammo Stats'!C41*(MAX('Ammo Input'!D41,'Ammo Input'!F41)*0.5)^2*PI())</f>
        <v>2021.01515037327</v>
      </c>
      <c r="M41">
        <f>IF(B41="Frag",1,('Ammo Input'!M41/1.33)/('Ammo Input'!H41/1000))</f>
        <v>1.50375939849624</v>
      </c>
      <c r="N41" t="s">
        <v>353</v>
      </c>
      <c r="O41" t="s">
        <v>353</v>
      </c>
      <c r="P41" s="3">
        <f>(39493.49*(IF((VLOOKUP(B41,AmmoTypeFactors,6,FALSE)="Bomb_Secondary"),1.33,1)*('Ammo Input'!H41*0.35)/1000)^0.6/1000)*10/3*VLOOKUP(B41,AmmoTypeFactors,4,FALSE)</f>
        <v>0</v>
      </c>
    </row>
    <row r="42" ht="14.4" spans="1:16">
      <c r="A42" t="str">
        <f>'Ammo Input'!A42</f>
        <v>60x225 Gamma Shell</v>
      </c>
      <c r="B42" s="1" t="str">
        <f>'Ammo Input'!B42</f>
        <v>Radiation</v>
      </c>
      <c r="C42">
        <f>(0.579*('Ammo Stats'!G42*IF(OR(B42="HEAT",B42="HEDP"),10,'Ammo Input'!F42)*VLOOKUP(B42,AmmoTypeFactors,7,FALSE))^(0.346))^IF(B42="HEDP",2.1,1)/IF(B42="HEDP",50,1)</f>
        <v>169.736032928692</v>
      </c>
      <c r="D42" s="16">
        <f>IF(VLOOKUP(B42,AmmoTypeFactors,8,FALSE),J42,C42)*VLOOKUP('Ammo Input'!B42,AmmoTypeFactors,2,FALSE)</f>
        <v>32.9112416666667</v>
      </c>
      <c r="E42" s="16">
        <f>IF(OR(VLOOKUP(B42,AmmoTypeFactors,6,FALSE)="Bomb",VLOOKUP(B42,AmmoTypeFactors,6,FALSE)="Thermobaric"),J42*VLOOKUP(B42,AmmoTypeFactors,4,FALSE),IF(VLOOKUP(B42,AmmoTypeFactors,11,FALSE),P42,C42*VLOOKUP(B42,AmmoTypeFactors,4,FALSE)))</f>
        <v>0</v>
      </c>
      <c r="F42" s="16">
        <f>'Ammo Stats'!G42/0.005</f>
        <v>45000000</v>
      </c>
      <c r="G42" s="16">
        <f>(IF(B42="HEAT",10,'Ammo Input'!F42)*VLOOKUP(B42,AmmoTypeFactors,7,FALSE)*0.5)^2*PI()/100</f>
        <v>28.2743338823081</v>
      </c>
      <c r="H42" s="10">
        <f t="shared" si="0"/>
        <v>4500</v>
      </c>
      <c r="I42" s="10">
        <f>IF(B42&lt;&gt;"Arrow (Flaming)",39493.49*'Ammo Input'!M42^0.6/1000,0)</f>
        <v>39.49349</v>
      </c>
      <c r="J42">
        <f t="shared" si="1"/>
        <v>131.644966666667</v>
      </c>
      <c r="K42">
        <f t="shared" si="2"/>
        <v>36</v>
      </c>
      <c r="L42">
        <f>200000/('Ammo Stats'!C42*(MAX('Ammo Input'!D42,'Ammo Input'!F42)*0.5)^2*PI())</f>
        <v>16.6436541795446</v>
      </c>
      <c r="M42">
        <f>IF(B42="Frag",1,('Ammo Input'!M42/1.33)/('Ammo Input'!H42/1000))</f>
        <v>0.150375939849624</v>
      </c>
      <c r="N42" t="s">
        <v>353</v>
      </c>
      <c r="O42" t="s">
        <v>353</v>
      </c>
      <c r="P42" s="3">
        <f>(39493.49*(IF((VLOOKUP(B42,AmmoTypeFactors,6,FALSE)="Bomb_Secondary"),1.33,1)*('Ammo Input'!H42*0.35)/1000)^0.6/1000)*10/3*VLOOKUP(B42,AmmoTypeFactors,4,FALSE)</f>
        <v>0</v>
      </c>
    </row>
    <row r="43" ht="14.4" spans="1:16">
      <c r="A43" t="str">
        <f>'Ammo Input'!A43</f>
        <v>70mm Mechanoid Grenade</v>
      </c>
      <c r="B43" s="1" t="str">
        <f>'Ammo Input'!B43</f>
        <v>HE</v>
      </c>
      <c r="C43">
        <f>(0.579*('Ammo Stats'!G43*IF(OR(B43="HEAT",B43="HEDP"),10,'Ammo Input'!F43)*VLOOKUP(B43,AmmoTypeFactors,7,FALSE))^(0.346))^IF(B43="HEDP",2.1,1)/IF(B43="HEDP",50,1)</f>
        <v>55.1891471292478</v>
      </c>
      <c r="D43" s="16">
        <f>IF(VLOOKUP(B43,AmmoTypeFactors,8,FALSE),J43,C43)*VLOOKUP('Ammo Input'!B43,AmmoTypeFactors,2,FALSE)</f>
        <v>131.644966666667</v>
      </c>
      <c r="E43" s="16">
        <f>IF(OR(VLOOKUP(B43,AmmoTypeFactors,6,FALSE)="Bomb",VLOOKUP(B43,AmmoTypeFactors,6,FALSE)="Thermobaric"),J43*VLOOKUP(B43,AmmoTypeFactors,4,FALSE),IF(VLOOKUP(B43,AmmoTypeFactors,11,FALSE),P43,C43*VLOOKUP(B43,AmmoTypeFactors,4,FALSE)))</f>
        <v>0</v>
      </c>
      <c r="F43" s="16">
        <f>'Ammo Stats'!G43/0.005</f>
        <v>1500000</v>
      </c>
      <c r="G43" s="16">
        <f>(IF(B43="HEAT",10,'Ammo Input'!F43)*VLOOKUP(B43,AmmoTypeFactors,7,FALSE)*0.5)^2*PI()/100</f>
        <v>38.484510006475</v>
      </c>
      <c r="H43" s="10">
        <f t="shared" si="0"/>
        <v>150</v>
      </c>
      <c r="I43" s="10">
        <f>IF(B43&lt;&gt;"Arrow (Flaming)",39493.49*'Ammo Input'!M43^0.6/1000,0)</f>
        <v>39.49349</v>
      </c>
      <c r="J43">
        <f t="shared" si="1"/>
        <v>131.644966666667</v>
      </c>
      <c r="K43">
        <f t="shared" si="2"/>
        <v>11</v>
      </c>
      <c r="L43">
        <f>200000/('Ammo Stats'!C43*(MAX('Ammo Input'!D43,'Ammo Input'!F43)*0.5)^2*PI())</f>
        <v>17.9823394496881</v>
      </c>
      <c r="M43">
        <f>IF(B43="Frag",1,('Ammo Input'!M43/1.33)/('Ammo Input'!H43/1000))</f>
        <v>0.50125313283208</v>
      </c>
      <c r="N43">
        <v>3</v>
      </c>
      <c r="O43">
        <v>19</v>
      </c>
      <c r="P43" s="3">
        <f>(39493.49*(IF((VLOOKUP(B43,AmmoTypeFactors,6,FALSE)="Bomb_Secondary"),1.33,1)*('Ammo Input'!H43*0.35)/1000)^0.6/1000)*10/3*VLOOKUP(B43,AmmoTypeFactors,4,FALSE)</f>
        <v>0</v>
      </c>
    </row>
    <row r="44" ht="14.4" spans="1:16">
      <c r="A44" t="str">
        <f>'Ammo Input'!A44</f>
        <v>70mm Mechanoid Grenade</v>
      </c>
      <c r="B44" s="1" t="str">
        <f>'Ammo Input'!B44</f>
        <v>EMP</v>
      </c>
      <c r="C44">
        <f>(0.579*('Ammo Stats'!G44*IF(OR(B44="HEAT",B44="HEDP"),10,'Ammo Input'!F44)*VLOOKUP(B44,AmmoTypeFactors,7,FALSE))^(0.346))^IF(B44="HEDP",2.1,1)/IF(B44="HEDP",50,1)</f>
        <v>55.1891471292478</v>
      </c>
      <c r="D44" s="16">
        <f>IF(VLOOKUP(B44,AmmoTypeFactors,8,FALSE),J44,C44)*VLOOKUP('Ammo Input'!B44,AmmoTypeFactors,2,FALSE)</f>
        <v>131.644966666667</v>
      </c>
      <c r="E44" s="16">
        <f>IF(OR(VLOOKUP(B44,AmmoTypeFactors,6,FALSE)="Bomb",VLOOKUP(B44,AmmoTypeFactors,6,FALSE)="Thermobaric"),J44*VLOOKUP(B44,AmmoTypeFactors,4,FALSE),IF(VLOOKUP(B44,AmmoTypeFactors,11,FALSE),P44,C44*VLOOKUP(B44,AmmoTypeFactors,4,FALSE)))</f>
        <v>0</v>
      </c>
      <c r="F44" s="16">
        <f>'Ammo Stats'!G44/0.005</f>
        <v>1500000</v>
      </c>
      <c r="G44" s="16">
        <f>(IF(B44="HEAT",10,'Ammo Input'!F44)*VLOOKUP(B44,AmmoTypeFactors,7,FALSE)*0.5)^2*PI()/100</f>
        <v>38.484510006475</v>
      </c>
      <c r="H44" s="10">
        <f t="shared" si="0"/>
        <v>150</v>
      </c>
      <c r="I44" s="10">
        <f>IF(B44&lt;&gt;"Arrow (Flaming)",39493.49*'Ammo Input'!M44^0.6/1000,0)</f>
        <v>39.49349</v>
      </c>
      <c r="J44">
        <f t="shared" si="1"/>
        <v>131.644966666667</v>
      </c>
      <c r="K44">
        <f t="shared" si="2"/>
        <v>11</v>
      </c>
      <c r="L44">
        <f>200000/('Ammo Stats'!C44*(MAX('Ammo Input'!D44,'Ammo Input'!F44)*0.5)^2*PI())</f>
        <v>17.9823394496881</v>
      </c>
      <c r="M44">
        <f>IF(B44="Frag",1,('Ammo Input'!M44/1.33)/('Ammo Input'!H44/1000))</f>
        <v>0.50125313283208</v>
      </c>
      <c r="N44" t="s">
        <v>353</v>
      </c>
      <c r="O44" t="s">
        <v>353</v>
      </c>
      <c r="P44" s="3">
        <f>(39493.49*(IF((VLOOKUP(B44,AmmoTypeFactors,6,FALSE)="Bomb_Secondary"),1.33,1)*('Ammo Input'!H44*0.35)/1000)^0.6/1000)*10/3*VLOOKUP(B44,AmmoTypeFactors,4,FALSE)</f>
        <v>0</v>
      </c>
    </row>
    <row r="45" ht="14.4" spans="1:16">
      <c r="A45" t="str">
        <f>'Ammo Input'!A45</f>
        <v>80x256mm FC</v>
      </c>
      <c r="B45" s="1" t="str">
        <f>'Ammo Input'!B45</f>
        <v>Incendiary (Heavy)</v>
      </c>
      <c r="C45">
        <f>(0.579*('Ammo Stats'!G45*IF(OR(B45="HEAT",B45="HEDP"),10,'Ammo Input'!F45)*VLOOKUP(B45,AmmoTypeFactors,7,FALSE))^(0.346))^IF(B45="HEDP",2.1,1)/IF(B45="HEDP",50,1)</f>
        <v>123.619449317476</v>
      </c>
      <c r="D45" s="16">
        <f>IF(VLOOKUP(B45,AmmoTypeFactors,8,FALSE),J45,C45)*VLOOKUP('Ammo Input'!B45,AmmoTypeFactors,2,FALSE)</f>
        <v>11.077481079282</v>
      </c>
      <c r="E45" s="16">
        <f>IF(OR(VLOOKUP(B45,AmmoTypeFactors,6,FALSE)="Bomb",VLOOKUP(B45,AmmoTypeFactors,6,FALSE)="Thermobaric"),J45*VLOOKUP(B45,AmmoTypeFactors,4,FALSE),IF(VLOOKUP(B45,AmmoTypeFactors,11,FALSE),P45,C45*VLOOKUP(B45,AmmoTypeFactors,4,FALSE)))</f>
        <v>83.081108094615</v>
      </c>
      <c r="F45" s="16">
        <f>'Ammo Stats'!G45/0.005</f>
        <v>13500000</v>
      </c>
      <c r="G45" s="16">
        <f>(IF(B45="HEAT",10,'Ammo Input'!F45)*VLOOKUP(B45,AmmoTypeFactors,7,FALSE)*0.5)^2*PI()/100</f>
        <v>50.2654824574367</v>
      </c>
      <c r="H45" s="10">
        <f t="shared" si="0"/>
        <v>1350</v>
      </c>
      <c r="I45" s="10">
        <f>IF(B45&lt;&gt;"Arrow (Flaming)",39493.49*'Ammo Input'!M45^0.6/1000,0)</f>
        <v>33.232443237846</v>
      </c>
      <c r="J45">
        <f t="shared" si="1"/>
        <v>110.77481079282</v>
      </c>
      <c r="K45">
        <f t="shared" si="2"/>
        <v>24</v>
      </c>
      <c r="L45">
        <f>200000/('Ammo Stats'!C45*(MAX('Ammo Input'!D45,'Ammo Input'!F45)*0.5)^2*PI())</f>
        <v>10.2813270731199</v>
      </c>
      <c r="M45">
        <f>IF(B45="Frag",1,('Ammo Input'!M45/1.33)/('Ammo Input'!H45/1000))</f>
        <v>0.37593984962406</v>
      </c>
      <c r="N45" t="s">
        <v>353</v>
      </c>
      <c r="O45" t="s">
        <v>353</v>
      </c>
      <c r="P45" s="3">
        <f>(39493.49*(IF((VLOOKUP(B45,AmmoTypeFactors,6,FALSE)="Bomb_Secondary"),1.33,1)*('Ammo Input'!H45*0.35)/1000)^0.6/1000)*10/3*VLOOKUP(B45,AmmoTypeFactors,4,FALSE)</f>
        <v>67.0750653261164</v>
      </c>
    </row>
    <row r="46" ht="14.4" spans="1:16">
      <c r="A46" t="str">
        <f>'Ammo Input'!A46</f>
        <v>66mm Thermal Bolt</v>
      </c>
      <c r="B46" s="1" t="str">
        <f>'Ammo Input'!B46</f>
        <v>Incendiary (Heavy)</v>
      </c>
      <c r="C46">
        <f>(0.579*('Ammo Stats'!G46*IF(OR(B46="HEAT",B46="HEDP"),10,'Ammo Input'!F46)*VLOOKUP(B46,AmmoTypeFactors,7,FALSE))^(0.346))^IF(B46="HEDP",2.1,1)/IF(B46="HEDP",50,1)</f>
        <v>0</v>
      </c>
      <c r="D46" s="16">
        <f>IF(VLOOKUP(B46,AmmoTypeFactors,8,FALSE),J46,C46)*VLOOKUP('Ammo Input'!B46,AmmoTypeFactors,2,FALSE)</f>
        <v>6.39259236430764</v>
      </c>
      <c r="E46" s="16">
        <f>IF(OR(VLOOKUP(B46,AmmoTypeFactors,6,FALSE)="Bomb",VLOOKUP(B46,AmmoTypeFactors,6,FALSE)="Thermobaric"),J46*VLOOKUP(B46,AmmoTypeFactors,4,FALSE),IF(VLOOKUP(B46,AmmoTypeFactors,11,FALSE),P46,C46*VLOOKUP(B46,AmmoTypeFactors,4,FALSE)))</f>
        <v>47.9444427323073</v>
      </c>
      <c r="F46" s="16">
        <f>'Ammo Stats'!G46/0.005</f>
        <v>0</v>
      </c>
      <c r="G46" s="16">
        <f>(IF(B46="HEAT",10,'Ammo Input'!F46)*VLOOKUP(B46,AmmoTypeFactors,7,FALSE)*0.5)^2*PI()/100</f>
        <v>34.2119439975928</v>
      </c>
      <c r="H46" s="10">
        <f t="shared" si="0"/>
        <v>0</v>
      </c>
      <c r="I46" s="10">
        <f>IF(B46&lt;&gt;"Arrow (Flaming)",39493.49*'Ammo Input'!M46^0.6/1000,0)</f>
        <v>19.1777770929229</v>
      </c>
      <c r="J46">
        <f t="shared" si="1"/>
        <v>63.9259236430764</v>
      </c>
      <c r="K46">
        <f t="shared" si="2"/>
        <v>0</v>
      </c>
      <c r="L46">
        <f>200000/('Ammo Stats'!C46*(MAX('Ammo Input'!D46,'Ammo Input'!F46)*0.5)^2*PI())</f>
        <v>22.7467377120187</v>
      </c>
      <c r="M46">
        <f>IF(B46="Frag",1,('Ammo Input'!M46/1.33)/('Ammo Input'!H46/1000))</f>
        <v>0.0902255639097744</v>
      </c>
      <c r="N46" t="s">
        <v>353</v>
      </c>
      <c r="O46" t="s">
        <v>353</v>
      </c>
      <c r="P46" s="3">
        <f>(39493.49*(IF((VLOOKUP(B46,AmmoTypeFactors,6,FALSE)="Bomb_Secondary"),1.33,1)*('Ammo Input'!H46*0.35)/1000)^0.6/1000)*10/3*VLOOKUP(B46,AmmoTypeFactors,4,FALSE)</f>
        <v>91.1318851336954</v>
      </c>
    </row>
    <row r="47" ht="14.4" spans="1:16">
      <c r="A47" t="str">
        <f>'Ammo Input'!A47</f>
        <v>Plasma Cell (Heavy)</v>
      </c>
      <c r="B47" s="1" t="str">
        <f>'Ammo Input'!B47</f>
        <v>Plasma (Bolt)</v>
      </c>
      <c r="C47">
        <f>(0.579*('Ammo Stats'!G47*IF(OR(B47="HEAT",B47="HEDP"),10,'Ammo Input'!F47)*VLOOKUP(B47,AmmoTypeFactors,7,FALSE))^(0.346))^IF(B47="HEDP",2.1,1)/IF(B47="HEDP",50,1)</f>
        <v>66.4772018673547</v>
      </c>
      <c r="D47" s="16">
        <f>IF(VLOOKUP(B47,AmmoTypeFactors,8,FALSE),J47,C47)*VLOOKUP('Ammo Input'!B47,AmmoTypeFactors,2,FALSE)</f>
        <v>18.2638569845846</v>
      </c>
      <c r="E47" s="16">
        <f>IF(OR(VLOOKUP(B47,AmmoTypeFactors,6,FALSE)="Bomb",VLOOKUP(B47,AmmoTypeFactors,6,FALSE)="Thermobaric"),J47*VLOOKUP(B47,AmmoTypeFactors,4,FALSE),IF(VLOOKUP(B47,AmmoTypeFactors,11,FALSE),P47,C47*VLOOKUP(B47,AmmoTypeFactors,4,FALSE)))</f>
        <v>66.4772018673547</v>
      </c>
      <c r="F47" s="16">
        <f>'Ammo Stats'!G47/0.005</f>
        <v>2247400</v>
      </c>
      <c r="G47" s="16">
        <f>(IF(B47="HEAT",10,'Ammo Input'!F47)*VLOOKUP(B47,AmmoTypeFactors,7,FALSE)*0.5)^2*PI()/100</f>
        <v>50.2654824574367</v>
      </c>
      <c r="H47" s="10">
        <f t="shared" si="0"/>
        <v>224.74</v>
      </c>
      <c r="I47" s="10">
        <f>IF(B47&lt;&gt;"Arrow (Flaming)",39493.49*'Ammo Input'!M47^0.6/1000,0)</f>
        <v>5.47915709537538</v>
      </c>
      <c r="J47">
        <f t="shared" si="1"/>
        <v>18.2638569845846</v>
      </c>
      <c r="K47">
        <f t="shared" si="2"/>
        <v>13</v>
      </c>
      <c r="L47">
        <f>200000/('Ammo Stats'!C47*(MAX('Ammo Input'!D47,'Ammo Input'!F47)*0.5)^2*PI())</f>
        <v>78.0171289666154</v>
      </c>
      <c r="M47">
        <f>IF(B47="Frag",1,('Ammo Input'!M47/1.33)/('Ammo Input'!H47/1000))</f>
        <v>1.00751879699248</v>
      </c>
      <c r="N47" t="s">
        <v>353</v>
      </c>
      <c r="O47" t="s">
        <v>353</v>
      </c>
      <c r="P47" s="3">
        <f>(39493.49*(IF((VLOOKUP(B47,AmmoTypeFactors,6,FALSE)="Bomb_Secondary"),1.33,1)*('Ammo Input'!H47*0.35)/1000)^0.6/1000)*10/3*VLOOKUP(B47,AmmoTypeFactors,4,FALSE)</f>
        <v>8.1615086516336</v>
      </c>
    </row>
    <row r="48" ht="14.4" spans="1:16">
      <c r="A48" t="str">
        <f>'Ammo Input'!A48</f>
        <v>Plasma Cell (Pistol)</v>
      </c>
      <c r="B48" s="1" t="str">
        <f>'Ammo Input'!B48</f>
        <v>Plasma (Bolt)</v>
      </c>
      <c r="C48">
        <f>(0.579*('Ammo Stats'!G48*IF(OR(B48="HEAT",B48="HEDP"),10,'Ammo Input'!F48)*VLOOKUP(B48,AmmoTypeFactors,7,FALSE))^(0.346))^IF(B48="HEDP",2.1,1)/IF(B48="HEDP",50,1)</f>
        <v>9.06831733590783</v>
      </c>
      <c r="D48" s="16">
        <f>IF(VLOOKUP(B48,AmmoTypeFactors,8,FALSE),J48,C48)*VLOOKUP('Ammo Input'!B48,AmmoTypeFactors,2,FALSE)</f>
        <v>1.78997825583006</v>
      </c>
      <c r="E48" s="16">
        <f>IF(OR(VLOOKUP(B48,AmmoTypeFactors,6,FALSE)="Bomb",VLOOKUP(B48,AmmoTypeFactors,6,FALSE)="Thermobaric"),J48*VLOOKUP(B48,AmmoTypeFactors,4,FALSE),IF(VLOOKUP(B48,AmmoTypeFactors,11,FALSE),P48,C48*VLOOKUP(B48,AmmoTypeFactors,4,FALSE)))</f>
        <v>9.06831733590783</v>
      </c>
      <c r="F48" s="16">
        <f>'Ammo Stats'!G48/0.005</f>
        <v>28400</v>
      </c>
      <c r="G48" s="16">
        <f>(IF(B48="HEAT",10,'Ammo Input'!F48)*VLOOKUP(B48,AmmoTypeFactors,7,FALSE)*0.5)^2*PI()/100</f>
        <v>3.14159265358979</v>
      </c>
      <c r="H48" s="10">
        <f t="shared" si="0"/>
        <v>2.84</v>
      </c>
      <c r="I48" s="10">
        <f>IF(B48&lt;&gt;"Arrow (Flaming)",39493.49*'Ammo Input'!M48^0.6/1000,0)</f>
        <v>0.536993476749017</v>
      </c>
      <c r="J48">
        <f t="shared" si="1"/>
        <v>1.78997825583006</v>
      </c>
      <c r="K48">
        <f t="shared" si="2"/>
        <v>3</v>
      </c>
      <c r="L48">
        <f>200000/('Ammo Stats'!C48*(MAX('Ammo Input'!D48,'Ammo Input'!F48)*0.5)^2*PI())</f>
        <v>63661.9772367581</v>
      </c>
      <c r="M48">
        <f>IF(B48="Frag",1,('Ammo Input'!M48/1.33)/('Ammo Input'!H48/1000))</f>
        <v>1.00751879699248</v>
      </c>
      <c r="N48" t="s">
        <v>353</v>
      </c>
      <c r="O48" t="s">
        <v>353</v>
      </c>
      <c r="P48" s="3">
        <f>(39493.49*(IF((VLOOKUP(B48,AmmoTypeFactors,6,FALSE)="Bomb_Secondary"),1.33,1)*('Ammo Input'!H48*0.35)/1000)^0.6/1000)*10/3*VLOOKUP(B48,AmmoTypeFactors,4,FALSE)</f>
        <v>0.799881593111659</v>
      </c>
    </row>
    <row r="49" ht="14.4" spans="1:16">
      <c r="A49" t="str">
        <f>'Ammo Input'!A49</f>
        <v>Plasma Cell (Rifle)</v>
      </c>
      <c r="B49" s="1" t="str">
        <f>'Ammo Input'!B49</f>
        <v>Plasma (Bolt)</v>
      </c>
      <c r="C49">
        <f>(0.579*('Ammo Stats'!G49*IF(OR(B49="HEAT",B49="HEDP"),10,'Ammo Input'!F49)*VLOOKUP(B49,AmmoTypeFactors,7,FALSE))^(0.346))^IF(B49="HEDP",2.1,1)/IF(B49="HEDP",50,1)</f>
        <v>13.347698514133</v>
      </c>
      <c r="D49" s="16">
        <f>IF(VLOOKUP(B49,AmmoTypeFactors,8,FALSE),J49,C49)*VLOOKUP('Ammo Input'!B49,AmmoTypeFactors,2,FALSE)</f>
        <v>2.28298212307308</v>
      </c>
      <c r="E49" s="16">
        <f>IF(OR(VLOOKUP(B49,AmmoTypeFactors,6,FALSE)="Bomb",VLOOKUP(B49,AmmoTypeFactors,6,FALSE)="Thermobaric"),J49*VLOOKUP(B49,AmmoTypeFactors,4,FALSE),IF(VLOOKUP(B49,AmmoTypeFactors,11,FALSE),P49,C49*VLOOKUP(B49,AmmoTypeFactors,4,FALSE)))</f>
        <v>13.347698514133</v>
      </c>
      <c r="F49" s="16">
        <f>'Ammo Stats'!G49/0.005</f>
        <v>86800</v>
      </c>
      <c r="G49" s="16">
        <f>(IF(B49="HEAT",10,'Ammo Input'!F49)*VLOOKUP(B49,AmmoTypeFactors,7,FALSE)*0.5)^2*PI()/100</f>
        <v>3.14159265358979</v>
      </c>
      <c r="H49" s="10">
        <f t="shared" si="0"/>
        <v>8.68</v>
      </c>
      <c r="I49" s="10">
        <f>IF(B49&lt;&gt;"Arrow (Flaming)",39493.49*'Ammo Input'!M49^0.6/1000,0)</f>
        <v>0.684894636921923</v>
      </c>
      <c r="J49">
        <f t="shared" si="1"/>
        <v>2.28298212307308</v>
      </c>
      <c r="K49">
        <f t="shared" si="2"/>
        <v>4</v>
      </c>
      <c r="L49">
        <f>200000/('Ammo Stats'!C49*(MAX('Ammo Input'!D49,'Ammo Input'!F49)*0.5)^2*PI())</f>
        <v>63661.9772367581</v>
      </c>
      <c r="M49">
        <f>IF(B49="Frag",1,('Ammo Input'!M49/1.33)/('Ammo Input'!H49/1000))</f>
        <v>1.00751879699248</v>
      </c>
      <c r="N49" t="s">
        <v>353</v>
      </c>
      <c r="O49" t="s">
        <v>353</v>
      </c>
      <c r="P49" s="3">
        <f>(39493.49*(IF((VLOOKUP(B49,AmmoTypeFactors,6,FALSE)="Bomb_Secondary"),1.33,1)*('Ammo Input'!H49*0.35)/1000)^0.6/1000)*10/3*VLOOKUP(B49,AmmoTypeFactors,4,FALSE)</f>
        <v>1.0201885814542</v>
      </c>
    </row>
    <row r="50" ht="14.4" spans="1:16">
      <c r="A50" s="14" t="s">
        <v>63</v>
      </c>
      <c r="B50" s="15"/>
      <c r="C50" s="15"/>
      <c r="D50" s="15"/>
      <c r="E50" s="15"/>
      <c r="F50" s="15"/>
      <c r="G50" s="15"/>
      <c r="H50" s="15"/>
      <c r="I50" s="15"/>
      <c r="J50" s="15"/>
      <c r="K50" s="15"/>
      <c r="L50" s="15"/>
      <c r="M50" s="15"/>
      <c r="N50" s="15"/>
      <c r="O50" s="15"/>
      <c r="P50" s="15"/>
    </row>
    <row r="51" ht="14.4" spans="1:16">
      <c r="A51" t="str">
        <f>'Ammo Input'!A51</f>
        <v>20x42mm Grenade</v>
      </c>
      <c r="B51" s="1" t="str">
        <f>'Ammo Input'!B51</f>
        <v>AP</v>
      </c>
      <c r="C51">
        <f>(0.579*('Ammo Stats'!G51*IF(OR(B51="HEAT",B51="HEDP"),10,'Ammo Input'!F51)*VLOOKUP(B51,AmmoTypeFactors,7,FALSE))^(0.346))^IF(B51="HEDP",2.1,1)/IF(B51="HEDP",50,1)</f>
        <v>24.9390875978068</v>
      </c>
      <c r="D51" s="16">
        <f>IF(VLOOKUP(B51,AmmoTypeFactors,8,FALSE),J51,C51)*VLOOKUP('Ammo Input'!B51,AmmoTypeFactors,2,FALSE)</f>
        <v>19.9512700782455</v>
      </c>
      <c r="E51" s="16">
        <f>IF(OR(VLOOKUP(B51,AmmoTypeFactors,6,FALSE)="Bomb",VLOOKUP(B51,AmmoTypeFactors,6,FALSE)="Thermobaric"),J51*VLOOKUP(B51,AmmoTypeFactors,4,FALSE),IF(VLOOKUP(B51,AmmoTypeFactors,11,FALSE),P51,C51*VLOOKUP(B51,AmmoTypeFactors,4,FALSE)))</f>
        <v>0</v>
      </c>
      <c r="F51" s="16">
        <f>'Ammo Stats'!G51/0.005</f>
        <v>1057200</v>
      </c>
      <c r="G51" s="16">
        <f>(IF(B51="HEAT",10,'Ammo Input'!F51)*VLOOKUP(B51,AmmoTypeFactors,7,FALSE)*0.5)^2*PI()/100</f>
        <v>0.785398163397448</v>
      </c>
      <c r="H51" s="10">
        <f t="shared" ref="H51:H91" si="3">F51/10000</f>
        <v>105.72</v>
      </c>
      <c r="I51" s="10">
        <f>IF(B51&lt;&gt;"Arrow (Flaming)",39493.49*'Ammo Input'!M51^0.6/1000,0)</f>
        <v>0</v>
      </c>
      <c r="J51">
        <f t="shared" ref="J51:J91" si="4">I51*10/3</f>
        <v>0</v>
      </c>
      <c r="K51">
        <f t="shared" ref="K51:K91" si="5">ROUND(F51^(1/3)/10,0)</f>
        <v>10</v>
      </c>
      <c r="L51">
        <f>200000/('Ammo Stats'!C51*(MAX('Ammo Input'!D51,'Ammo Input'!F51)*0.5)^2*PI())</f>
        <v>6366.19772367581</v>
      </c>
      <c r="M51">
        <f>IF(B51="Frag",1,('Ammo Input'!M51/1.33)/('Ammo Input'!H51/1000))</f>
        <v>0</v>
      </c>
      <c r="N51" t="s">
        <v>353</v>
      </c>
      <c r="O51" t="s">
        <v>353</v>
      </c>
      <c r="P51" s="3">
        <f>(39493.49*(IF((VLOOKUP(B51,AmmoTypeFactors,6,FALSE)="Bomb_Secondary"),1.33,1)*('Ammo Input'!H51*0.35)/1000)^0.6/1000)*10/3*VLOOKUP(B51,AmmoTypeFactors,4,FALSE)</f>
        <v>0</v>
      </c>
    </row>
    <row r="52" ht="14.4" spans="1:16">
      <c r="A52" t="str">
        <f>'Ammo Input'!A52</f>
        <v>20x42mm Grenade</v>
      </c>
      <c r="B52" s="1" t="str">
        <f>'Ammo Input'!B52</f>
        <v>AP-I</v>
      </c>
      <c r="C52">
        <f>(0.579*('Ammo Stats'!G52*IF(OR(B52="HEAT",B52="HEDP"),10,'Ammo Input'!F52)*VLOOKUP(B52,AmmoTypeFactors,7,FALSE))^(0.346))^IF(B52="HEDP",2.1,1)/IF(B52="HEDP",50,1)</f>
        <v>24.9390875978068</v>
      </c>
      <c r="D52" s="16">
        <f>IF(VLOOKUP(B52,AmmoTypeFactors,8,FALSE),J52,C52)*VLOOKUP('Ammo Input'!B52,AmmoTypeFactors,2,FALSE)</f>
        <v>19.9512700782455</v>
      </c>
      <c r="E52" s="16">
        <f>IF(OR(VLOOKUP(B52,AmmoTypeFactors,6,FALSE)="Bomb",VLOOKUP(B52,AmmoTypeFactors,6,FALSE)="Thermobaric"),J52*VLOOKUP(B52,AmmoTypeFactors,4,FALSE),IF(VLOOKUP(B52,AmmoTypeFactors,11,FALSE),P52,C52*VLOOKUP(B52,AmmoTypeFactors,4,FALSE)))</f>
        <v>24.2451038614598</v>
      </c>
      <c r="F52" s="16">
        <f>'Ammo Stats'!G52/0.005</f>
        <v>1057200</v>
      </c>
      <c r="G52" s="16">
        <f>(IF(B52="HEAT",10,'Ammo Input'!F52)*VLOOKUP(B52,AmmoTypeFactors,7,FALSE)*0.5)^2*PI()/100</f>
        <v>0.785398163397448</v>
      </c>
      <c r="H52" s="10">
        <f t="shared" si="3"/>
        <v>105.72</v>
      </c>
      <c r="I52" s="10">
        <f>IF(B52&lt;&gt;"Arrow (Flaming)",39493.49*'Ammo Input'!M52^0.6/1000,0)</f>
        <v>0</v>
      </c>
      <c r="J52">
        <f t="shared" si="4"/>
        <v>0</v>
      </c>
      <c r="K52">
        <f t="shared" si="5"/>
        <v>10</v>
      </c>
      <c r="L52">
        <f>200000/('Ammo Stats'!C52*(MAX('Ammo Input'!D52,'Ammo Input'!F52)*0.5)^2*PI())</f>
        <v>6366.19772367581</v>
      </c>
      <c r="M52">
        <f>IF(B52="Frag",1,('Ammo Input'!M52/1.33)/('Ammo Input'!H52/1000))</f>
        <v>0</v>
      </c>
      <c r="N52" t="s">
        <v>353</v>
      </c>
      <c r="O52" t="s">
        <v>353</v>
      </c>
      <c r="P52" s="3">
        <f>(39493.49*(IF((VLOOKUP(B52,AmmoTypeFactors,6,FALSE)="Bomb_Secondary"),1.33,1)*('Ammo Input'!H52*0.35)/1000)^0.6/1000)*10/3*VLOOKUP(B52,AmmoTypeFactors,4,FALSE)</f>
        <v>24.2451038614598</v>
      </c>
    </row>
    <row r="53" ht="14.4" spans="1:16">
      <c r="A53" t="str">
        <f>'Ammo Input'!A53</f>
        <v>20x42mm Grenade</v>
      </c>
      <c r="B53" s="1" t="str">
        <f>'Ammo Input'!B53</f>
        <v>AP-HE</v>
      </c>
      <c r="C53">
        <f>(0.579*('Ammo Stats'!G53*IF(OR(B53="HEAT",B53="HEDP"),10,'Ammo Input'!F53)*VLOOKUP(B53,AmmoTypeFactors,7,FALSE))^(0.346))^IF(B53="HEDP",2.1,1)/IF(B53="HEDP",50,1)</f>
        <v>31.6983706391824</v>
      </c>
      <c r="D53" s="16">
        <f>IF(VLOOKUP(B53,AmmoTypeFactors,8,FALSE),J53,C53)*VLOOKUP('Ammo Input'!B53,AmmoTypeFactors,2,FALSE)</f>
        <v>31.6983706391824</v>
      </c>
      <c r="E53" s="16">
        <f>IF(OR(VLOOKUP(B53,AmmoTypeFactors,6,FALSE)="Bomb",VLOOKUP(B53,AmmoTypeFactors,6,FALSE)="Thermobaric"),J53*VLOOKUP(B53,AmmoTypeFactors,4,FALSE),IF(VLOOKUP(B53,AmmoTypeFactors,11,FALSE),P53,C53*VLOOKUP(B53,AmmoTypeFactors,4,FALSE)))</f>
        <v>33.1957847785105</v>
      </c>
      <c r="F53" s="16">
        <f>'Ammo Stats'!G53/0.005</f>
        <v>1057200</v>
      </c>
      <c r="G53" s="16">
        <f>(IF(B53="HEAT",10,'Ammo Input'!F53)*VLOOKUP(B53,AmmoTypeFactors,7,FALSE)*0.5)^2*PI()/100</f>
        <v>3.14159265358979</v>
      </c>
      <c r="H53" s="10">
        <f t="shared" si="3"/>
        <v>105.72</v>
      </c>
      <c r="I53" s="10">
        <f>IF(B53&lt;&gt;"Arrow (Flaming)",39493.49*'Ammo Input'!M53^0.6/1000,0)</f>
        <v>0</v>
      </c>
      <c r="J53">
        <f t="shared" si="4"/>
        <v>0</v>
      </c>
      <c r="K53">
        <f t="shared" si="5"/>
        <v>10</v>
      </c>
      <c r="L53">
        <f>200000/('Ammo Stats'!C53*(MAX('Ammo Input'!D53,'Ammo Input'!F53)*0.5)^2*PI())</f>
        <v>6366.19772367581</v>
      </c>
      <c r="M53">
        <f>IF(B53="Frag",1,('Ammo Input'!M53/1.33)/('Ammo Input'!H53/1000))</f>
        <v>0</v>
      </c>
      <c r="N53" t="s">
        <v>353</v>
      </c>
      <c r="O53" t="s">
        <v>353</v>
      </c>
      <c r="P53" s="3">
        <f>(39493.49*(IF((VLOOKUP(B53,AmmoTypeFactors,6,FALSE)="Bomb_Secondary"),1.33,1)*('Ammo Input'!H53*0.35)/1000)^0.6/1000)*10/3*VLOOKUP(B53,AmmoTypeFactors,4,FALSE)</f>
        <v>33.1957847785105</v>
      </c>
    </row>
    <row r="54" ht="14.4" spans="1:16">
      <c r="A54" t="str">
        <f>'Ammo Input'!A54</f>
        <v>20x42mm Grenade</v>
      </c>
      <c r="B54" s="1" t="str">
        <f>'Ammo Input'!B54</f>
        <v>Frag</v>
      </c>
      <c r="C54">
        <f>(0.579*('Ammo Stats'!G54*IF(OR(B54="HEAT",B54="HEDP"),10,'Ammo Input'!F54)*VLOOKUP(B54,AmmoTypeFactors,7,FALSE))^(0.346))^IF(B54="HEDP",2.1,1)/IF(B54="HEDP",50,1)</f>
        <v>31.6983706391824</v>
      </c>
      <c r="D54" s="16">
        <f>IF(VLOOKUP(B54,AmmoTypeFactors,8,FALSE),J54,C54)*VLOOKUP('Ammo Input'!B54,AmmoTypeFactors,2,FALSE)</f>
        <v>18.44587829178</v>
      </c>
      <c r="E54" s="16">
        <f>IF(OR(VLOOKUP(B54,AmmoTypeFactors,6,FALSE)="Bomb",VLOOKUP(B54,AmmoTypeFactors,6,FALSE)="Thermobaric"),J54*VLOOKUP(B54,AmmoTypeFactors,4,FALSE),IF(VLOOKUP(B54,AmmoTypeFactors,11,FALSE),P54,C54*VLOOKUP(B54,AmmoTypeFactors,4,FALSE)))</f>
        <v>0</v>
      </c>
      <c r="F54" s="16">
        <f>'Ammo Stats'!G54/0.005</f>
        <v>1057200</v>
      </c>
      <c r="G54" s="16">
        <f>(IF(B54="HEAT",10,'Ammo Input'!F54)*VLOOKUP(B54,AmmoTypeFactors,7,FALSE)*0.5)^2*PI()/100</f>
        <v>3.14159265358979</v>
      </c>
      <c r="H54" s="10">
        <f t="shared" si="3"/>
        <v>105.72</v>
      </c>
      <c r="I54" s="10">
        <f>IF(B54&lt;&gt;"Arrow (Flaming)",39493.49*'Ammo Input'!M54^0.6/1000,0)</f>
        <v>5.533763487534</v>
      </c>
      <c r="J54">
        <f t="shared" si="4"/>
        <v>18.44587829178</v>
      </c>
      <c r="K54">
        <f t="shared" si="5"/>
        <v>10</v>
      </c>
      <c r="L54">
        <f>200000/('Ammo Stats'!C54*(MAX('Ammo Input'!D54,'Ammo Input'!F54)*0.5)^2*PI())</f>
        <v>6366.19772367581</v>
      </c>
      <c r="M54">
        <f>IF(B54="Frag",1,('Ammo Input'!M54/1.33)/('Ammo Input'!H54/1000))</f>
        <v>1</v>
      </c>
      <c r="N54">
        <v>0</v>
      </c>
      <c r="O54">
        <v>11</v>
      </c>
      <c r="P54" s="3">
        <f>(39493.49*(IF((VLOOKUP(B54,AmmoTypeFactors,6,FALSE)="Bomb_Secondary"),1.33,1)*('Ammo Input'!H54*0.35)/1000)^0.6/1000)*10/3*VLOOKUP(B54,AmmoTypeFactors,4,FALSE)</f>
        <v>0</v>
      </c>
    </row>
    <row r="55" ht="14.4" spans="1:16">
      <c r="A55" t="str">
        <f>'Ammo Input'!A55</f>
        <v>20x42mm Grenade</v>
      </c>
      <c r="B55" s="1" t="str">
        <f>'Ammo Input'!B55</f>
        <v>EMP</v>
      </c>
      <c r="C55">
        <f>(0.579*('Ammo Stats'!G55*IF(OR(B55="HEAT",B55="HEDP"),10,'Ammo Input'!F55)*VLOOKUP(B55,AmmoTypeFactors,7,FALSE))^(0.346))^IF(B55="HEDP",2.1,1)/IF(B55="HEDP",50,1)</f>
        <v>31.6983706391824</v>
      </c>
      <c r="D55" s="16">
        <f>IF(VLOOKUP(B55,AmmoTypeFactors,8,FALSE),J55,C55)*VLOOKUP('Ammo Input'!B55,AmmoTypeFactors,2,FALSE)</f>
        <v>18.44587829178</v>
      </c>
      <c r="E55" s="16">
        <f>IF(OR(VLOOKUP(B55,AmmoTypeFactors,6,FALSE)="Bomb",VLOOKUP(B55,AmmoTypeFactors,6,FALSE)="Thermobaric"),J55*VLOOKUP(B55,AmmoTypeFactors,4,FALSE),IF(VLOOKUP(B55,AmmoTypeFactors,11,FALSE),P55,C55*VLOOKUP(B55,AmmoTypeFactors,4,FALSE)))</f>
        <v>0</v>
      </c>
      <c r="F55" s="16">
        <f>'Ammo Stats'!G55/0.005</f>
        <v>1057200</v>
      </c>
      <c r="G55" s="16">
        <f>(IF(B55="HEAT",10,'Ammo Input'!F55)*VLOOKUP(B55,AmmoTypeFactors,7,FALSE)*0.5)^2*PI()/100</f>
        <v>3.14159265358979</v>
      </c>
      <c r="H55" s="10">
        <f t="shared" si="3"/>
        <v>105.72</v>
      </c>
      <c r="I55" s="10">
        <f>IF(B55&lt;&gt;"Arrow (Flaming)",39493.49*'Ammo Input'!M55^0.6/1000,0)</f>
        <v>5.533763487534</v>
      </c>
      <c r="J55">
        <f t="shared" si="4"/>
        <v>18.44587829178</v>
      </c>
      <c r="K55">
        <f t="shared" si="5"/>
        <v>10</v>
      </c>
      <c r="L55">
        <f>200000/('Ammo Stats'!C55*(MAX('Ammo Input'!D55,'Ammo Input'!F55)*0.5)^2*PI())</f>
        <v>6366.19772367581</v>
      </c>
      <c r="M55">
        <f>IF(B55="Frag",1,('Ammo Input'!M55/1.33)/('Ammo Input'!H55/1000))</f>
        <v>0.258373205741627</v>
      </c>
      <c r="N55" t="s">
        <v>353</v>
      </c>
      <c r="O55" t="s">
        <v>353</v>
      </c>
      <c r="P55" s="3">
        <f>(39493.49*(IF((VLOOKUP(B55,AmmoTypeFactors,6,FALSE)="Bomb_Secondary"),1.33,1)*('Ammo Input'!H55*0.35)/1000)^0.6/1000)*10/3*VLOOKUP(B55,AmmoTypeFactors,4,FALSE)</f>
        <v>0</v>
      </c>
    </row>
    <row r="56" ht="14.4" spans="1:16">
      <c r="A56" t="str">
        <f>'Ammo Input'!A56</f>
        <v>20x42mm Grenade</v>
      </c>
      <c r="B56" s="1" t="str">
        <f>'Ammo Input'!B56</f>
        <v>Smoke</v>
      </c>
      <c r="C56">
        <f>(0.579*('Ammo Stats'!G56*IF(OR(B56="HEAT",B56="HEDP"),10,'Ammo Input'!F56)*VLOOKUP(B56,AmmoTypeFactors,7,FALSE))^(0.346))^IF(B56="HEDP",2.1,1)/IF(B56="HEDP",50,1)</f>
        <v>31.6983706391824</v>
      </c>
      <c r="D56" s="16">
        <f>IF(VLOOKUP(B56,AmmoTypeFactors,8,FALSE),J56,C56)*VLOOKUP('Ammo Input'!B56,AmmoTypeFactors,2,FALSE)</f>
        <v>18.44587829178</v>
      </c>
      <c r="E56" s="16">
        <f>IF(OR(VLOOKUP(B56,AmmoTypeFactors,6,FALSE)="Bomb",VLOOKUP(B56,AmmoTypeFactors,6,FALSE)="Thermobaric"),J56*VLOOKUP(B56,AmmoTypeFactors,4,FALSE),IF(VLOOKUP(B56,AmmoTypeFactors,11,FALSE),P56,C56*VLOOKUP(B56,AmmoTypeFactors,4,FALSE)))</f>
        <v>0</v>
      </c>
      <c r="F56" s="16">
        <f>'Ammo Stats'!G56/0.005</f>
        <v>1057200</v>
      </c>
      <c r="G56" s="16">
        <f>(IF(B56="HEAT",10,'Ammo Input'!F56)*VLOOKUP(B56,AmmoTypeFactors,7,FALSE)*0.5)^2*PI()/100</f>
        <v>3.14159265358979</v>
      </c>
      <c r="H56" s="10">
        <f t="shared" si="3"/>
        <v>105.72</v>
      </c>
      <c r="I56" s="10">
        <f>IF(B56&lt;&gt;"Arrow (Flaming)",39493.49*'Ammo Input'!M56^0.6/1000,0)</f>
        <v>5.533763487534</v>
      </c>
      <c r="J56">
        <f t="shared" si="4"/>
        <v>18.44587829178</v>
      </c>
      <c r="K56">
        <f t="shared" si="5"/>
        <v>10</v>
      </c>
      <c r="L56">
        <f>200000/('Ammo Stats'!C56*(MAX('Ammo Input'!D56,'Ammo Input'!F56)*0.5)^2*PI())</f>
        <v>6366.19772367581</v>
      </c>
      <c r="M56">
        <f>IF(B56="Frag",1,('Ammo Input'!M56/1.33)/('Ammo Input'!H56/1000))</f>
        <v>0.258373205741627</v>
      </c>
      <c r="N56" t="s">
        <v>353</v>
      </c>
      <c r="O56" t="s">
        <v>353</v>
      </c>
      <c r="P56" s="3">
        <f>(39493.49*(IF((VLOOKUP(B56,AmmoTypeFactors,6,FALSE)="Bomb_Secondary"),1.33,1)*('Ammo Input'!H56*0.35)/1000)^0.6/1000)*10/3*VLOOKUP(B56,AmmoTypeFactors,4,FALSE)</f>
        <v>0</v>
      </c>
    </row>
    <row r="57" ht="14.4" spans="1:16">
      <c r="A57" t="str">
        <f>'Ammo Input'!A57</f>
        <v>25x40mm Grenade</v>
      </c>
      <c r="B57" s="1" t="str">
        <f>'Ammo Input'!B57</f>
        <v>Frag</v>
      </c>
      <c r="C57">
        <f>(0.579*('Ammo Stats'!G57*IF(OR(B57="HEAT",B57="HEDP"),10,'Ammo Input'!F57)*VLOOKUP(B57,AmmoTypeFactors,7,FALSE))^(0.346))^IF(B57="HEDP",2.1,1)/IF(B57="HEDP",50,1)</f>
        <v>27.1821645885129</v>
      </c>
      <c r="D57" s="16">
        <f>IF(VLOOKUP(B57,AmmoTypeFactors,8,FALSE),J57,C57)*VLOOKUP('Ammo Input'!B57,AmmoTypeFactors,2,FALSE)</f>
        <v>17.6134765486704</v>
      </c>
      <c r="E57" s="16">
        <f>IF(OR(VLOOKUP(B57,AmmoTypeFactors,6,FALSE)="Bomb",VLOOKUP(B57,AmmoTypeFactors,6,FALSE)="Thermobaric"),J57*VLOOKUP(B57,AmmoTypeFactors,4,FALSE),IF(VLOOKUP(B57,AmmoTypeFactors,11,FALSE),P57,C57*VLOOKUP(B57,AmmoTypeFactors,4,FALSE)))</f>
        <v>0</v>
      </c>
      <c r="F57" s="16">
        <f>'Ammo Stats'!G57/0.005</f>
        <v>542400</v>
      </c>
      <c r="G57" s="16">
        <f>(IF(B57="HEAT",10,'Ammo Input'!F57)*VLOOKUP(B57,AmmoTypeFactors,7,FALSE)*0.5)^2*PI()/100</f>
        <v>4.90873852123405</v>
      </c>
      <c r="H57" s="10">
        <f t="shared" si="3"/>
        <v>54.24</v>
      </c>
      <c r="I57" s="10">
        <f>IF(B57&lt;&gt;"Arrow (Flaming)",39493.49*'Ammo Input'!M57^0.6/1000,0)</f>
        <v>5.28404296460113</v>
      </c>
      <c r="J57">
        <f t="shared" si="4"/>
        <v>17.6134765486704</v>
      </c>
      <c r="K57">
        <f t="shared" si="5"/>
        <v>8</v>
      </c>
      <c r="L57">
        <f>200000/('Ammo Stats'!C57*(MAX('Ammo Input'!D57,'Ammo Input'!F57)*0.5)^2*PI())</f>
        <v>2716.24436210168</v>
      </c>
      <c r="M57">
        <f>IF(B57="Frag",1,('Ammo Input'!M57/1.33)/('Ammo Input'!H57/1000))</f>
        <v>1</v>
      </c>
      <c r="N57">
        <v>0</v>
      </c>
      <c r="O57">
        <v>13</v>
      </c>
      <c r="P57" s="3">
        <f>(39493.49*(IF((VLOOKUP(B57,AmmoTypeFactors,6,FALSE)="Bomb_Secondary"),1.33,1)*('Ammo Input'!H57*0.35)/1000)^0.6/1000)*10/3*VLOOKUP(B57,AmmoTypeFactors,4,FALSE)</f>
        <v>0</v>
      </c>
    </row>
    <row r="58" ht="14.4" spans="1:16">
      <c r="A58" t="str">
        <f>'Ammo Input'!A58</f>
        <v>25x40mm Grenade</v>
      </c>
      <c r="B58" s="1" t="str">
        <f>'Ammo Input'!B58</f>
        <v>EMP</v>
      </c>
      <c r="C58">
        <f>(0.579*('Ammo Stats'!G58*IF(OR(B58="HEAT",B58="HEDP"),10,'Ammo Input'!F58)*VLOOKUP(B58,AmmoTypeFactors,7,FALSE))^(0.346))^IF(B58="HEDP",2.1,1)/IF(B58="HEDP",50,1)</f>
        <v>27.1821645885129</v>
      </c>
      <c r="D58" s="16">
        <f>IF(VLOOKUP(B58,AmmoTypeFactors,8,FALSE),J58,C58)*VLOOKUP('Ammo Input'!B58,AmmoTypeFactors,2,FALSE)</f>
        <v>17.6134765486704</v>
      </c>
      <c r="E58" s="16">
        <f>IF(OR(VLOOKUP(B58,AmmoTypeFactors,6,FALSE)="Bomb",VLOOKUP(B58,AmmoTypeFactors,6,FALSE)="Thermobaric"),J58*VLOOKUP(B58,AmmoTypeFactors,4,FALSE),IF(VLOOKUP(B58,AmmoTypeFactors,11,FALSE),P58,C58*VLOOKUP(B58,AmmoTypeFactors,4,FALSE)))</f>
        <v>0</v>
      </c>
      <c r="F58" s="16">
        <f>'Ammo Stats'!G58/0.005</f>
        <v>542400</v>
      </c>
      <c r="G58" s="16">
        <f>(IF(B58="HEAT",10,'Ammo Input'!F58)*VLOOKUP(B58,AmmoTypeFactors,7,FALSE)*0.5)^2*PI()/100</f>
        <v>4.90873852123405</v>
      </c>
      <c r="H58" s="10">
        <f t="shared" si="3"/>
        <v>54.24</v>
      </c>
      <c r="I58" s="10">
        <f>IF(B58&lt;&gt;"Arrow (Flaming)",39493.49*'Ammo Input'!M58^0.6/1000,0)</f>
        <v>5.28404296460113</v>
      </c>
      <c r="J58">
        <f t="shared" si="4"/>
        <v>17.6134765486704</v>
      </c>
      <c r="K58">
        <f t="shared" si="5"/>
        <v>8</v>
      </c>
      <c r="L58">
        <f>200000/('Ammo Stats'!C58*(MAX('Ammo Input'!D58,'Ammo Input'!F58)*0.5)^2*PI())</f>
        <v>2716.24436210168</v>
      </c>
      <c r="M58">
        <f>IF(B58="Frag",1,('Ammo Input'!M58/1.33)/('Ammo Input'!H58/1000))</f>
        <v>0.213949507916132</v>
      </c>
      <c r="N58" t="s">
        <v>353</v>
      </c>
      <c r="O58" t="s">
        <v>353</v>
      </c>
      <c r="P58" s="3">
        <f>(39493.49*(IF((VLOOKUP(B58,AmmoTypeFactors,6,FALSE)="Bomb_Secondary"),1.33,1)*('Ammo Input'!H58*0.35)/1000)^0.6/1000)*10/3*VLOOKUP(B58,AmmoTypeFactors,4,FALSE)</f>
        <v>0</v>
      </c>
    </row>
    <row r="59" ht="14.4" spans="1:16">
      <c r="A59" t="str">
        <f>'Ammo Input'!A59</f>
        <v>25x40mm Grenade</v>
      </c>
      <c r="B59" s="1" t="str">
        <f>'Ammo Input'!B59</f>
        <v>Smoke</v>
      </c>
      <c r="C59">
        <f>(0.579*('Ammo Stats'!G59*IF(OR(B59="HEAT",B59="HEDP"),10,'Ammo Input'!F59)*VLOOKUP(B59,AmmoTypeFactors,7,FALSE))^(0.346))^IF(B59="HEDP",2.1,1)/IF(B59="HEDP",50,1)</f>
        <v>27.1821645885129</v>
      </c>
      <c r="D59" s="16">
        <f>IF(VLOOKUP(B59,AmmoTypeFactors,8,FALSE),J59,C59)*VLOOKUP('Ammo Input'!B59,AmmoTypeFactors,2,FALSE)</f>
        <v>17.6134765486704</v>
      </c>
      <c r="E59" s="16">
        <f>IF(OR(VLOOKUP(B59,AmmoTypeFactors,6,FALSE)="Bomb",VLOOKUP(B59,AmmoTypeFactors,6,FALSE)="Thermobaric"),J59*VLOOKUP(B59,AmmoTypeFactors,4,FALSE),IF(VLOOKUP(B59,AmmoTypeFactors,11,FALSE),P59,C59*VLOOKUP(B59,AmmoTypeFactors,4,FALSE)))</f>
        <v>0</v>
      </c>
      <c r="F59" s="16">
        <f>'Ammo Stats'!G59/0.005</f>
        <v>542400</v>
      </c>
      <c r="G59" s="16">
        <f>(IF(B59="HEAT",10,'Ammo Input'!F59)*VLOOKUP(B59,AmmoTypeFactors,7,FALSE)*0.5)^2*PI()/100</f>
        <v>4.90873852123405</v>
      </c>
      <c r="H59" s="10">
        <f t="shared" si="3"/>
        <v>54.24</v>
      </c>
      <c r="I59" s="10">
        <f>IF(B59&lt;&gt;"Arrow (Flaming)",39493.49*'Ammo Input'!M59^0.6/1000,0)</f>
        <v>5.28404296460113</v>
      </c>
      <c r="J59">
        <f t="shared" si="4"/>
        <v>17.6134765486704</v>
      </c>
      <c r="K59">
        <f t="shared" si="5"/>
        <v>8</v>
      </c>
      <c r="L59">
        <f>200000/('Ammo Stats'!C59*(MAX('Ammo Input'!D59,'Ammo Input'!F59)*0.5)^2*PI())</f>
        <v>2716.24436210168</v>
      </c>
      <c r="M59">
        <f>IF(B59="Frag",1,('Ammo Input'!M59/1.33)/('Ammo Input'!H59/1000))</f>
        <v>0.213949507916132</v>
      </c>
      <c r="N59" t="s">
        <v>353</v>
      </c>
      <c r="O59" t="s">
        <v>353</v>
      </c>
      <c r="P59" s="3">
        <f>(39493.49*(IF((VLOOKUP(B59,AmmoTypeFactors,6,FALSE)="Bomb_Secondary"),1.33,1)*('Ammo Input'!H59*0.35)/1000)^0.6/1000)*10/3*VLOOKUP(B59,AmmoTypeFactors,4,FALSE)</f>
        <v>0</v>
      </c>
    </row>
    <row r="60" ht="14.4" spans="1:16">
      <c r="A60" t="str">
        <f>'Ammo Input'!A60</f>
        <v>25x59mm Grenade</v>
      </c>
      <c r="B60" s="1" t="str">
        <f>'Ammo Input'!B60</f>
        <v>Frag</v>
      </c>
      <c r="C60">
        <f>(0.579*('Ammo Stats'!G60*IF(OR(B60="HEAT",B60="HEDP"),10,'Ammo Input'!F60)*VLOOKUP(B60,AmmoTypeFactors,7,FALSE))^(0.346))^IF(B60="HEDP",2.1,1)/IF(B60="HEDP",50,1)</f>
        <v>55.7965899418</v>
      </c>
      <c r="D60" s="16">
        <f>IF(VLOOKUP(B60,AmmoTypeFactors,8,FALSE),J60,C60)*VLOOKUP('Ammo Input'!B60,AmmoTypeFactors,2,FALSE)</f>
        <v>19.0827189331056</v>
      </c>
      <c r="E60" s="16">
        <f>IF(OR(VLOOKUP(B60,AmmoTypeFactors,6,FALSE)="Bomb",VLOOKUP(B60,AmmoTypeFactors,6,FALSE)="Thermobaric"),J60*VLOOKUP(B60,AmmoTypeFactors,4,FALSE),IF(VLOOKUP(B60,AmmoTypeFactors,11,FALSE),P60,C60*VLOOKUP(B60,AmmoTypeFactors,4,FALSE)))</f>
        <v>0</v>
      </c>
      <c r="F60" s="16">
        <f>'Ammo Stats'!G60/0.005</f>
        <v>4335000</v>
      </c>
      <c r="G60" s="16">
        <f>(IF(B60="HEAT",10,'Ammo Input'!F60)*VLOOKUP(B60,AmmoTypeFactors,7,FALSE)*0.5)^2*PI()/100</f>
        <v>4.90873852123405</v>
      </c>
      <c r="H60" s="10">
        <f t="shared" si="3"/>
        <v>433.5</v>
      </c>
      <c r="I60" s="10">
        <f>IF(B60&lt;&gt;"Arrow (Flaming)",39493.49*'Ammo Input'!M60^0.6/1000,0)</f>
        <v>5.72481567993169</v>
      </c>
      <c r="J60">
        <f t="shared" si="4"/>
        <v>19.0827189331056</v>
      </c>
      <c r="K60">
        <f t="shared" si="5"/>
        <v>16</v>
      </c>
      <c r="L60">
        <f>200000/('Ammo Stats'!C60*(MAX('Ammo Input'!D60,'Ammo Input'!F60)*0.5)^2*PI())</f>
        <v>1813.08585935943</v>
      </c>
      <c r="M60">
        <f>IF(B60="Frag",1,('Ammo Input'!M60/1.33)/('Ammo Input'!H60/1000))</f>
        <v>1</v>
      </c>
      <c r="N60">
        <v>0</v>
      </c>
      <c r="O60">
        <v>24</v>
      </c>
      <c r="P60" s="3">
        <f>(39493.49*(IF((VLOOKUP(B60,AmmoTypeFactors,6,FALSE)="Bomb_Secondary"),1.33,1)*('Ammo Input'!H60*0.35)/1000)^0.6/1000)*10/3*VLOOKUP(B60,AmmoTypeFactors,4,FALSE)</f>
        <v>0</v>
      </c>
    </row>
    <row r="61" ht="14.4" spans="1:16">
      <c r="A61" t="str">
        <f>'Ammo Input'!A61</f>
        <v>25x59mm Grenade</v>
      </c>
      <c r="B61" s="1" t="str">
        <f>'Ammo Input'!B61</f>
        <v>HEDP</v>
      </c>
      <c r="C61">
        <f>(0.579*('Ammo Stats'!G61*IF(OR(B61="HEAT",B61="HEDP"),10,'Ammo Input'!F61)*VLOOKUP(B61,AmmoTypeFactors,7,FALSE))^(0.346))^IF(B61="HEDP",2.1,1)/IF(B61="HEDP",50,1)</f>
        <v>29.7045106545618</v>
      </c>
      <c r="D61" s="16">
        <f>IF(VLOOKUP(B61,AmmoTypeFactors,8,FALSE),J61,C61)*VLOOKUP('Ammo Input'!B61,AmmoTypeFactors,2,FALSE)</f>
        <v>29.7045106545618</v>
      </c>
      <c r="E61" s="16">
        <f>IF(OR(VLOOKUP(B61,AmmoTypeFactors,6,FALSE)="Bomb",VLOOKUP(B61,AmmoTypeFactors,6,FALSE)="Thermobaric"),J61*VLOOKUP(B61,AmmoTypeFactors,4,FALSE),IF(VLOOKUP(B61,AmmoTypeFactors,11,FALSE),P61,C61*VLOOKUP(B61,AmmoTypeFactors,4,FALSE)))</f>
        <v>16.0574660220761</v>
      </c>
      <c r="F61" s="16">
        <f>'Ammo Stats'!G61/0.005</f>
        <v>2250000</v>
      </c>
      <c r="G61" s="16">
        <f>(IF(B61="HEAT",10,'Ammo Input'!F61)*VLOOKUP(B61,AmmoTypeFactors,7,FALSE)*0.5)^2*PI()/100</f>
        <v>4.90873852123405</v>
      </c>
      <c r="H61" s="10">
        <f t="shared" si="3"/>
        <v>225</v>
      </c>
      <c r="I61" s="10">
        <f>IF(B61&lt;&gt;"Arrow (Flaming)",39493.49*'Ammo Input'!M61^0.6/1000,0)</f>
        <v>4.81723980662283</v>
      </c>
      <c r="J61">
        <f t="shared" si="4"/>
        <v>16.0574660220761</v>
      </c>
      <c r="K61">
        <f t="shared" si="5"/>
        <v>13</v>
      </c>
      <c r="L61">
        <f>200000/('Ammo Stats'!C61*(MAX('Ammo Input'!D61,'Ammo Input'!F61)*0.5)^2*PI())</f>
        <v>1813.08585935943</v>
      </c>
      <c r="M61">
        <f>IF(B61="Frag",1,('Ammo Input'!M61/1.33)/('Ammo Input'!H61/1000))</f>
        <v>0.093984962406015</v>
      </c>
      <c r="N61">
        <v>2</v>
      </c>
      <c r="O61">
        <v>1</v>
      </c>
      <c r="P61" s="3">
        <f>(39493.49*(IF((VLOOKUP(B61,AmmoTypeFactors,6,FALSE)="Bomb_Secondary"),1.33,1)*('Ammo Input'!H61*0.35)/1000)^0.6/1000)*10/3*VLOOKUP(B61,AmmoTypeFactors,4,FALSE)</f>
        <v>29.7832324127725</v>
      </c>
    </row>
    <row r="62" ht="14.4" spans="1:16">
      <c r="A62" t="str">
        <f>'Ammo Input'!A62</f>
        <v>25x59mm Grenade</v>
      </c>
      <c r="B62" s="1" t="str">
        <f>'Ammo Input'!B62</f>
        <v>EMP</v>
      </c>
      <c r="C62">
        <f>(0.579*('Ammo Stats'!G62*IF(OR(B62="HEAT",B62="HEDP"),10,'Ammo Input'!F62)*VLOOKUP(B62,AmmoTypeFactors,7,FALSE))^(0.346))^IF(B62="HEDP",2.1,1)/IF(B62="HEDP",50,1)</f>
        <v>55.7965899418</v>
      </c>
      <c r="D62" s="16">
        <f>IF(VLOOKUP(B62,AmmoTypeFactors,8,FALSE),J62,C62)*VLOOKUP('Ammo Input'!B62,AmmoTypeFactors,2,FALSE)</f>
        <v>19.0827189331056</v>
      </c>
      <c r="E62" s="16">
        <f>IF(OR(VLOOKUP(B62,AmmoTypeFactors,6,FALSE)="Bomb",VLOOKUP(B62,AmmoTypeFactors,6,FALSE)="Thermobaric"),J62*VLOOKUP(B62,AmmoTypeFactors,4,FALSE),IF(VLOOKUP(B62,AmmoTypeFactors,11,FALSE),P62,C62*VLOOKUP(B62,AmmoTypeFactors,4,FALSE)))</f>
        <v>0</v>
      </c>
      <c r="F62" s="16">
        <f>'Ammo Stats'!G62/0.005</f>
        <v>4335000</v>
      </c>
      <c r="G62" s="16">
        <f>(IF(B62="HEAT",10,'Ammo Input'!F62)*VLOOKUP(B62,AmmoTypeFactors,7,FALSE)*0.5)^2*PI()/100</f>
        <v>4.90873852123405</v>
      </c>
      <c r="H62" s="10">
        <f t="shared" si="3"/>
        <v>433.5</v>
      </c>
      <c r="I62" s="10">
        <f>IF(B62&lt;&gt;"Arrow (Flaming)",39493.49*'Ammo Input'!M62^0.6/1000,0)</f>
        <v>5.72481567993169</v>
      </c>
      <c r="J62">
        <f t="shared" si="4"/>
        <v>19.0827189331056</v>
      </c>
      <c r="K62">
        <f t="shared" si="5"/>
        <v>16</v>
      </c>
      <c r="L62">
        <f>200000/('Ammo Stats'!C62*(MAX('Ammo Input'!D62,'Ammo Input'!F62)*0.5)^2*PI())</f>
        <v>1813.08585935943</v>
      </c>
      <c r="M62">
        <f>IF(B62="Frag",1,('Ammo Input'!M62/1.33)/('Ammo Input'!H62/1000))</f>
        <v>0.12531328320802</v>
      </c>
      <c r="N62" t="s">
        <v>353</v>
      </c>
      <c r="O62" t="s">
        <v>353</v>
      </c>
      <c r="P62" s="3">
        <f>(39493.49*(IF((VLOOKUP(B62,AmmoTypeFactors,6,FALSE)="Bomb_Secondary"),1.33,1)*('Ammo Input'!H62*0.35)/1000)^0.6/1000)*10/3*VLOOKUP(B62,AmmoTypeFactors,4,FALSE)</f>
        <v>0</v>
      </c>
    </row>
    <row r="63" ht="14.4" spans="1:16">
      <c r="A63" t="str">
        <f>'Ammo Input'!A63</f>
        <v>25x59mm Grenade</v>
      </c>
      <c r="B63" s="1" t="str">
        <f>'Ammo Input'!B63</f>
        <v>Smoke</v>
      </c>
      <c r="C63">
        <f>(0.579*('Ammo Stats'!G63*IF(OR(B63="HEAT",B63="HEDP"),10,'Ammo Input'!F63)*VLOOKUP(B63,AmmoTypeFactors,7,FALSE))^(0.346))^IF(B63="HEDP",2.1,1)/IF(B63="HEDP",50,1)</f>
        <v>55.7965899418</v>
      </c>
      <c r="D63" s="16">
        <f>IF(VLOOKUP(B63,AmmoTypeFactors,8,FALSE),J63,C63)*VLOOKUP('Ammo Input'!B63,AmmoTypeFactors,2,FALSE)</f>
        <v>19.0827189331056</v>
      </c>
      <c r="E63" s="16">
        <f>IF(OR(VLOOKUP(B63,AmmoTypeFactors,6,FALSE)="Bomb",VLOOKUP(B63,AmmoTypeFactors,6,FALSE)="Thermobaric"),J63*VLOOKUP(B63,AmmoTypeFactors,4,FALSE),IF(VLOOKUP(B63,AmmoTypeFactors,11,FALSE),P63,C63*VLOOKUP(B63,AmmoTypeFactors,4,FALSE)))</f>
        <v>0</v>
      </c>
      <c r="F63" s="16">
        <f>'Ammo Stats'!G63/0.005</f>
        <v>4335000</v>
      </c>
      <c r="G63" s="16">
        <f>(IF(B63="HEAT",10,'Ammo Input'!F63)*VLOOKUP(B63,AmmoTypeFactors,7,FALSE)*0.5)^2*PI()/100</f>
        <v>4.90873852123405</v>
      </c>
      <c r="H63" s="10">
        <f t="shared" si="3"/>
        <v>433.5</v>
      </c>
      <c r="I63" s="10">
        <f>IF(B63&lt;&gt;"Arrow (Flaming)",39493.49*'Ammo Input'!M63^0.6/1000,0)</f>
        <v>5.72481567993169</v>
      </c>
      <c r="J63">
        <f t="shared" si="4"/>
        <v>19.0827189331056</v>
      </c>
      <c r="K63">
        <f t="shared" si="5"/>
        <v>16</v>
      </c>
      <c r="L63">
        <f>200000/('Ammo Stats'!C63*(MAX('Ammo Input'!D63,'Ammo Input'!F63)*0.5)^2*PI())</f>
        <v>1813.08585935943</v>
      </c>
      <c r="M63">
        <f>IF(B63="Frag",1,('Ammo Input'!M63/1.33)/('Ammo Input'!H63/1000))</f>
        <v>0.12531328320802</v>
      </c>
      <c r="N63" t="s">
        <v>353</v>
      </c>
      <c r="O63" t="s">
        <v>353</v>
      </c>
      <c r="P63" s="3">
        <f>(39493.49*(IF((VLOOKUP(B63,AmmoTypeFactors,6,FALSE)="Bomb_Secondary"),1.33,1)*('Ammo Input'!H63*0.35)/1000)^0.6/1000)*10/3*VLOOKUP(B63,AmmoTypeFactors,4,FALSE)</f>
        <v>0</v>
      </c>
    </row>
    <row r="64" ht="14.4" spans="1:16">
      <c r="A64" t="str">
        <f>'Ammo Input'!A64</f>
        <v>30x29mm Grenade</v>
      </c>
      <c r="B64" s="1" t="str">
        <f>'Ammo Input'!B64</f>
        <v>Frag</v>
      </c>
      <c r="C64">
        <f>(0.579*('Ammo Stats'!G64*IF(OR(B64="HEAT",B64="HEDP"),10,'Ammo Input'!F64)*VLOOKUP(B64,AmmoTypeFactors,7,FALSE))^(0.346))^IF(B64="HEDP",2.1,1)/IF(B64="HEDP",50,1)</f>
        <v>34.9470481583972</v>
      </c>
      <c r="D64" s="16">
        <f>IF(VLOOKUP(B64,AmmoTypeFactors,8,FALSE),J64,C64)*VLOOKUP('Ammo Input'!B64,AmmoTypeFactors,2,FALSE)</f>
        <v>22.0773206079768</v>
      </c>
      <c r="E64" s="16">
        <f>IF(OR(VLOOKUP(B64,AmmoTypeFactors,6,FALSE)="Bomb",VLOOKUP(B64,AmmoTypeFactors,6,FALSE)="Thermobaric"),J64*VLOOKUP(B64,AmmoTypeFactors,4,FALSE),IF(VLOOKUP(B64,AmmoTypeFactors,11,FALSE),P64,C64*VLOOKUP(B64,AmmoTypeFactors,4,FALSE)))</f>
        <v>0</v>
      </c>
      <c r="F64" s="16">
        <f>'Ammo Stats'!G64/0.005</f>
        <v>934400</v>
      </c>
      <c r="G64" s="16">
        <f>(IF(B64="HEAT",10,'Ammo Input'!F64)*VLOOKUP(B64,AmmoTypeFactors,7,FALSE)*0.5)^2*PI()/100</f>
        <v>7.06858347057703</v>
      </c>
      <c r="H64" s="10">
        <f t="shared" si="3"/>
        <v>93.44</v>
      </c>
      <c r="I64" s="10">
        <f>IF(B64&lt;&gt;"Arrow (Flaming)",39493.49*'Ammo Input'!M64^0.6/1000,0)</f>
        <v>6.62319618239304</v>
      </c>
      <c r="J64">
        <f t="shared" si="4"/>
        <v>22.0773206079768</v>
      </c>
      <c r="K64">
        <f t="shared" si="5"/>
        <v>10</v>
      </c>
      <c r="L64">
        <f>200000/('Ammo Stats'!C64*(MAX('Ammo Input'!D64,'Ammo Input'!F64)*0.5)^2*PI())</f>
        <v>1010.50757518664</v>
      </c>
      <c r="M64">
        <f>IF(B64="Frag",1,('Ammo Input'!M64/1.33)/('Ammo Input'!H64/1000))</f>
        <v>1</v>
      </c>
      <c r="N64">
        <v>0</v>
      </c>
      <c r="O64">
        <v>28</v>
      </c>
      <c r="P64" s="3">
        <f>(39493.49*(IF((VLOOKUP(B64,AmmoTypeFactors,6,FALSE)="Bomb_Secondary"),1.33,1)*('Ammo Input'!H64*0.35)/1000)^0.6/1000)*10/3*VLOOKUP(B64,AmmoTypeFactors,4,FALSE)</f>
        <v>0</v>
      </c>
    </row>
    <row r="65" ht="14.4" spans="1:16">
      <c r="A65" t="str">
        <f>'Ammo Input'!A65</f>
        <v>30x29mm Grenade</v>
      </c>
      <c r="B65" s="1" t="str">
        <f>'Ammo Input'!B65</f>
        <v>HEDP</v>
      </c>
      <c r="C65">
        <f>(0.579*('Ammo Stats'!G65*IF(OR(B65="HEAT",B65="HEDP"),10,'Ammo Input'!F65)*VLOOKUP(B65,AmmoTypeFactors,7,FALSE))^(0.346))^IF(B65="HEDP",2.1,1)/IF(B65="HEDP",50,1)</f>
        <v>35.540306287403</v>
      </c>
      <c r="D65" s="16">
        <f>IF(VLOOKUP(B65,AmmoTypeFactors,8,FALSE),J65,C65)*VLOOKUP('Ammo Input'!B65,AmmoTypeFactors,2,FALSE)</f>
        <v>35.540306287403</v>
      </c>
      <c r="E65" s="16">
        <f>IF(OR(VLOOKUP(B65,AmmoTypeFactors,6,FALSE)="Bomb",VLOOKUP(B65,AmmoTypeFactors,6,FALSE)="Thermobaric"),J65*VLOOKUP(B65,AmmoTypeFactors,4,FALSE),IF(VLOOKUP(B65,AmmoTypeFactors,11,FALSE),P65,C65*VLOOKUP(B65,AmmoTypeFactors,4,FALSE)))</f>
        <v>18.562748329655</v>
      </c>
      <c r="F65" s="16">
        <f>'Ammo Stats'!G65/0.005</f>
        <v>2880000</v>
      </c>
      <c r="G65" s="16">
        <f>(IF(B65="HEAT",10,'Ammo Input'!F65)*VLOOKUP(B65,AmmoTypeFactors,7,FALSE)*0.5)^2*PI()/100</f>
        <v>7.06858347057703</v>
      </c>
      <c r="H65" s="10">
        <f t="shared" si="3"/>
        <v>288</v>
      </c>
      <c r="I65" s="10">
        <f>IF(B65&lt;&gt;"Arrow (Flaming)",39493.49*'Ammo Input'!M65^0.6/1000,0)</f>
        <v>5.56882449889649</v>
      </c>
      <c r="J65">
        <f t="shared" si="4"/>
        <v>18.562748329655</v>
      </c>
      <c r="K65">
        <f t="shared" si="5"/>
        <v>14</v>
      </c>
      <c r="L65">
        <f>200000/('Ammo Stats'!C65*(MAX('Ammo Input'!D65,'Ammo Input'!F65)*0.5)^2*PI())</f>
        <v>1010.50757518664</v>
      </c>
      <c r="M65">
        <f>IF(B65="Frag",1,('Ammo Input'!M65/1.33)/('Ammo Input'!H65/1000))</f>
        <v>0.105208075132887</v>
      </c>
      <c r="N65">
        <v>2</v>
      </c>
      <c r="O65">
        <v>2</v>
      </c>
      <c r="P65" s="3">
        <f>(39493.49*(IF((VLOOKUP(B65,AmmoTypeFactors,6,FALSE)="Bomb_Secondary"),1.33,1)*('Ammo Input'!H65*0.35)/1000)^0.6/1000)*10/3*VLOOKUP(B65,AmmoTypeFactors,4,FALSE)</f>
        <v>32.1767868581259</v>
      </c>
    </row>
    <row r="66" ht="14.4" spans="1:16">
      <c r="A66" t="str">
        <f>'Ammo Input'!A66</f>
        <v>30x29mm Grenade</v>
      </c>
      <c r="B66" s="1" t="str">
        <f>'Ammo Input'!B66</f>
        <v>EMP</v>
      </c>
      <c r="C66">
        <f>(0.579*('Ammo Stats'!G66*IF(OR(B66="HEAT",B66="HEDP"),10,'Ammo Input'!F66)*VLOOKUP(B66,AmmoTypeFactors,7,FALSE))^(0.346))^IF(B66="HEDP",2.1,1)/IF(B66="HEDP",50,1)</f>
        <v>34.9470481583972</v>
      </c>
      <c r="D66" s="16">
        <f>IF(VLOOKUP(B66,AmmoTypeFactors,8,FALSE),J66,C66)*VLOOKUP('Ammo Input'!B66,AmmoTypeFactors,2,FALSE)</f>
        <v>22.0773206079768</v>
      </c>
      <c r="E66" s="16">
        <f>IF(OR(VLOOKUP(B66,AmmoTypeFactors,6,FALSE)="Bomb",VLOOKUP(B66,AmmoTypeFactors,6,FALSE)="Thermobaric"),J66*VLOOKUP(B66,AmmoTypeFactors,4,FALSE),IF(VLOOKUP(B66,AmmoTypeFactors,11,FALSE),P66,C66*VLOOKUP(B66,AmmoTypeFactors,4,FALSE)))</f>
        <v>0</v>
      </c>
      <c r="F66" s="16">
        <f>'Ammo Stats'!G66/0.005</f>
        <v>934400</v>
      </c>
      <c r="G66" s="16">
        <f>(IF(B66="HEAT",10,'Ammo Input'!F66)*VLOOKUP(B66,AmmoTypeFactors,7,FALSE)*0.5)^2*PI()/100</f>
        <v>7.06858347057703</v>
      </c>
      <c r="H66" s="10">
        <f t="shared" si="3"/>
        <v>93.44</v>
      </c>
      <c r="I66" s="10">
        <f>IF(B66&lt;&gt;"Arrow (Flaming)",39493.49*'Ammo Input'!M66^0.6/1000,0)</f>
        <v>6.62319618239304</v>
      </c>
      <c r="J66">
        <f t="shared" si="4"/>
        <v>22.0773206079768</v>
      </c>
      <c r="K66">
        <f t="shared" si="5"/>
        <v>10</v>
      </c>
      <c r="L66">
        <f>200000/('Ammo Stats'!C66*(MAX('Ammo Input'!D66,'Ammo Input'!F66)*0.5)^2*PI())</f>
        <v>1010.50757518664</v>
      </c>
      <c r="M66">
        <f>IF(B66="Frag",1,('Ammo Input'!M66/1.33)/('Ammo Input'!H66/1000))</f>
        <v>0.140461042716682</v>
      </c>
      <c r="N66" t="s">
        <v>353</v>
      </c>
      <c r="O66" t="s">
        <v>353</v>
      </c>
      <c r="P66" s="3">
        <f>(39493.49*(IF((VLOOKUP(B66,AmmoTypeFactors,6,FALSE)="Bomb_Secondary"),1.33,1)*('Ammo Input'!H66*0.35)/1000)^0.6/1000)*10/3*VLOOKUP(B66,AmmoTypeFactors,4,FALSE)</f>
        <v>0</v>
      </c>
    </row>
    <row r="67" ht="14.4" spans="1:16">
      <c r="A67" t="str">
        <f>'Ammo Input'!A67</f>
        <v>30x29mm Grenade</v>
      </c>
      <c r="B67" s="1" t="str">
        <f>'Ammo Input'!B67</f>
        <v>Smoke</v>
      </c>
      <c r="C67">
        <f>(0.579*('Ammo Stats'!G67*IF(OR(B67="HEAT",B67="HEDP"),10,'Ammo Input'!F67)*VLOOKUP(B67,AmmoTypeFactors,7,FALSE))^(0.346))^IF(B67="HEDP",2.1,1)/IF(B67="HEDP",50,1)</f>
        <v>34.9470481583972</v>
      </c>
      <c r="D67" s="16">
        <f>IF(VLOOKUP(B67,AmmoTypeFactors,8,FALSE),J67,C67)*VLOOKUP('Ammo Input'!B67,AmmoTypeFactors,2,FALSE)</f>
        <v>22.0773206079768</v>
      </c>
      <c r="E67" s="16">
        <f>IF(OR(VLOOKUP(B67,AmmoTypeFactors,6,FALSE)="Bomb",VLOOKUP(B67,AmmoTypeFactors,6,FALSE)="Thermobaric"),J67*VLOOKUP(B67,AmmoTypeFactors,4,FALSE),IF(VLOOKUP(B67,AmmoTypeFactors,11,FALSE),P67,C67*VLOOKUP(B67,AmmoTypeFactors,4,FALSE)))</f>
        <v>0</v>
      </c>
      <c r="F67" s="16">
        <f>'Ammo Stats'!G67/0.005</f>
        <v>934400</v>
      </c>
      <c r="G67" s="16">
        <f>(IF(B67="HEAT",10,'Ammo Input'!F67)*VLOOKUP(B67,AmmoTypeFactors,7,FALSE)*0.5)^2*PI()/100</f>
        <v>7.06858347057703</v>
      </c>
      <c r="H67" s="10">
        <f t="shared" si="3"/>
        <v>93.44</v>
      </c>
      <c r="I67" s="10">
        <f>IF(B67&lt;&gt;"Arrow (Flaming)",39493.49*'Ammo Input'!M67^0.6/1000,0)</f>
        <v>6.62319618239304</v>
      </c>
      <c r="J67">
        <f t="shared" si="4"/>
        <v>22.0773206079768</v>
      </c>
      <c r="K67">
        <f t="shared" si="5"/>
        <v>10</v>
      </c>
      <c r="L67">
        <f>200000/('Ammo Stats'!C67*(MAX('Ammo Input'!D67,'Ammo Input'!F67)*0.5)^2*PI())</f>
        <v>1010.50757518664</v>
      </c>
      <c r="M67">
        <f>IF(B67="Frag",1,('Ammo Input'!M67/1.33)/('Ammo Input'!H67/1000))</f>
        <v>0.140461042716682</v>
      </c>
      <c r="N67" t="s">
        <v>353</v>
      </c>
      <c r="O67" t="s">
        <v>353</v>
      </c>
      <c r="P67" s="3">
        <f>(39493.49*(IF((VLOOKUP(B67,AmmoTypeFactors,6,FALSE)="Bomb_Secondary"),1.33,1)*('Ammo Input'!H67*0.35)/1000)^0.6/1000)*10/3*VLOOKUP(B67,AmmoTypeFactors,4,FALSE)</f>
        <v>0</v>
      </c>
    </row>
    <row r="68" ht="14.4" spans="1:16">
      <c r="A68" t="str">
        <f>'Ammo Input'!A68</f>
        <v>35x32mmSR Grenade</v>
      </c>
      <c r="B68" s="1" t="str">
        <f>'Ammo Input'!B68</f>
        <v>Frag</v>
      </c>
      <c r="C68">
        <f>(0.579*('Ammo Stats'!G68*IF(OR(B68="HEAT",B68="HEDP"),10,'Ammo Input'!F68)*VLOOKUP(B68,AmmoTypeFactors,7,FALSE))^(0.346))^IF(B68="HEDP",2.1,1)/IF(B68="HEDP",50,1)</f>
        <v>33.7150337635249</v>
      </c>
      <c r="D68" s="16">
        <f>IF(VLOOKUP(B68,AmmoTypeFactors,8,FALSE),J68,C68)*VLOOKUP('Ammo Input'!B68,AmmoTypeFactors,2,FALSE)</f>
        <v>19.6496053885205</v>
      </c>
      <c r="E68" s="16">
        <f>IF(OR(VLOOKUP(B68,AmmoTypeFactors,6,FALSE)="Bomb",VLOOKUP(B68,AmmoTypeFactors,6,FALSE)="Thermobaric"),J68*VLOOKUP(B68,AmmoTypeFactors,4,FALSE),IF(VLOOKUP(B68,AmmoTypeFactors,11,FALSE),P68,C68*VLOOKUP(B68,AmmoTypeFactors,4,FALSE)))</f>
        <v>0</v>
      </c>
      <c r="F68" s="16">
        <f>'Ammo Stats'!G68/0.005</f>
        <v>722000</v>
      </c>
      <c r="G68" s="16">
        <f>(IF(B68="HEAT",10,'Ammo Input'!F68)*VLOOKUP(B68,AmmoTypeFactors,7,FALSE)*0.5)^2*PI()/100</f>
        <v>9.62112750161874</v>
      </c>
      <c r="H68" s="10">
        <f t="shared" si="3"/>
        <v>72.2</v>
      </c>
      <c r="I68" s="10">
        <f>IF(B68&lt;&gt;"Arrow (Flaming)",39493.49*'Ammo Input'!M68^0.6/1000,0)</f>
        <v>5.89488161655614</v>
      </c>
      <c r="J68">
        <f t="shared" si="4"/>
        <v>19.6496053885205</v>
      </c>
      <c r="K68">
        <f t="shared" si="5"/>
        <v>9</v>
      </c>
      <c r="L68">
        <f>200000/('Ammo Stats'!C68*(MAX('Ammo Input'!D68,'Ammo Input'!F68)*0.5)^2*PI())</f>
        <v>546.117811322484</v>
      </c>
      <c r="M68">
        <f>IF(B68="Frag",1,('Ammo Input'!M68/1.33)/('Ammo Input'!H68/1000))</f>
        <v>1</v>
      </c>
      <c r="N68">
        <v>0</v>
      </c>
      <c r="O68">
        <v>20</v>
      </c>
      <c r="P68" s="3">
        <f>(39493.49*(IF((VLOOKUP(B68,AmmoTypeFactors,6,FALSE)="Bomb_Secondary"),1.33,1)*('Ammo Input'!H68*0.35)/1000)^0.6/1000)*10/3*VLOOKUP(B68,AmmoTypeFactors,4,FALSE)</f>
        <v>0</v>
      </c>
    </row>
    <row r="69" ht="14.4" spans="1:16">
      <c r="A69" t="str">
        <f>'Ammo Input'!A69</f>
        <v>35x32mmSR Grenade</v>
      </c>
      <c r="B69" s="1" t="str">
        <f>'Ammo Input'!B69</f>
        <v>HEDP</v>
      </c>
      <c r="C69">
        <f>(0.579*('Ammo Stats'!G69*IF(OR(B69="HEAT",B69="HEDP"),10,'Ammo Input'!F69)*VLOOKUP(B69,AmmoTypeFactors,7,FALSE))^(0.346))^IF(B69="HEDP",2.1,1)/IF(B69="HEDP",50,1)</f>
        <v>30.7773982133894</v>
      </c>
      <c r="D69" s="16">
        <f>IF(VLOOKUP(B69,AmmoTypeFactors,8,FALSE),J69,C69)*VLOOKUP('Ammo Input'!B69,AmmoTypeFactors,2,FALSE)</f>
        <v>30.7773982133894</v>
      </c>
      <c r="E69" s="16">
        <f>IF(OR(VLOOKUP(B69,AmmoTypeFactors,6,FALSE)="Bomb",VLOOKUP(B69,AmmoTypeFactors,6,FALSE)="Thermobaric"),J69*VLOOKUP(B69,AmmoTypeFactors,4,FALSE),IF(VLOOKUP(B69,AmmoTypeFactors,11,FALSE),P69,C69*VLOOKUP(B69,AmmoTypeFactors,4,FALSE)))</f>
        <v>16.5344819037284</v>
      </c>
      <c r="F69" s="16">
        <f>'Ammo Stats'!G69/0.005</f>
        <v>2362600</v>
      </c>
      <c r="G69" s="16">
        <f>(IF(B69="HEAT",10,'Ammo Input'!F69)*VLOOKUP(B69,AmmoTypeFactors,7,FALSE)*0.5)^2*PI()/100</f>
        <v>9.62112750161874</v>
      </c>
      <c r="H69" s="10">
        <f t="shared" si="3"/>
        <v>236.26</v>
      </c>
      <c r="I69" s="10">
        <f>IF(B69&lt;&gt;"Arrow (Flaming)",39493.49*'Ammo Input'!M69^0.6/1000,0)</f>
        <v>4.96034457111853</v>
      </c>
      <c r="J69">
        <f t="shared" si="4"/>
        <v>16.5344819037284</v>
      </c>
      <c r="K69">
        <f t="shared" si="5"/>
        <v>13</v>
      </c>
      <c r="L69">
        <f>200000/('Ammo Stats'!C69*(MAX('Ammo Input'!D69,'Ammo Input'!F69)*0.5)^2*PI())</f>
        <v>546.117811322484</v>
      </c>
      <c r="M69">
        <f>IF(B69="Frag",1,('Ammo Input'!M69/1.33)/('Ammo Input'!H69/1000))</f>
        <v>0.118421052631579</v>
      </c>
      <c r="N69">
        <v>1</v>
      </c>
      <c r="O69">
        <v>1</v>
      </c>
      <c r="P69" s="3">
        <f>(39493.49*(IF((VLOOKUP(B69,AmmoTypeFactors,6,FALSE)="Bomb_Secondary"),1.33,1)*('Ammo Input'!H69*0.35)/1000)^0.6/1000)*10/3*VLOOKUP(B69,AmmoTypeFactors,4,FALSE)</f>
        <v>26.6970381986622</v>
      </c>
    </row>
    <row r="70" ht="14.4" spans="1:16">
      <c r="A70" t="str">
        <f>'Ammo Input'!A70</f>
        <v>35x32mmSR Grenade</v>
      </c>
      <c r="B70" s="1" t="str">
        <f>'Ammo Input'!B70</f>
        <v>EMP</v>
      </c>
      <c r="C70">
        <f>(0.579*('Ammo Stats'!G70*IF(OR(B70="HEAT",B70="HEDP"),10,'Ammo Input'!F70)*VLOOKUP(B70,AmmoTypeFactors,7,FALSE))^(0.346))^IF(B70="HEDP",2.1,1)/IF(B70="HEDP",50,1)</f>
        <v>33.7150337635249</v>
      </c>
      <c r="D70" s="16">
        <f>IF(VLOOKUP(B70,AmmoTypeFactors,8,FALSE),J70,C70)*VLOOKUP('Ammo Input'!B70,AmmoTypeFactors,2,FALSE)</f>
        <v>19.6496053885205</v>
      </c>
      <c r="E70" s="16">
        <f>IF(OR(VLOOKUP(B70,AmmoTypeFactors,6,FALSE)="Bomb",VLOOKUP(B70,AmmoTypeFactors,6,FALSE)="Thermobaric"),J70*VLOOKUP(B70,AmmoTypeFactors,4,FALSE),IF(VLOOKUP(B70,AmmoTypeFactors,11,FALSE),P70,C70*VLOOKUP(B70,AmmoTypeFactors,4,FALSE)))</f>
        <v>0</v>
      </c>
      <c r="F70" s="16">
        <f>'Ammo Stats'!G70/0.005</f>
        <v>722000</v>
      </c>
      <c r="G70" s="16">
        <f>(IF(B70="HEAT",10,'Ammo Input'!F70)*VLOOKUP(B70,AmmoTypeFactors,7,FALSE)*0.5)^2*PI()/100</f>
        <v>9.62112750161874</v>
      </c>
      <c r="H70" s="10">
        <f t="shared" si="3"/>
        <v>72.2</v>
      </c>
      <c r="I70" s="10">
        <f>IF(B70&lt;&gt;"Arrow (Flaming)",39493.49*'Ammo Input'!M70^0.6/1000,0)</f>
        <v>5.89488161655614</v>
      </c>
      <c r="J70">
        <f t="shared" si="4"/>
        <v>19.6496053885205</v>
      </c>
      <c r="K70">
        <f t="shared" si="5"/>
        <v>9</v>
      </c>
      <c r="L70">
        <f>200000/('Ammo Stats'!C70*(MAX('Ammo Input'!D70,'Ammo Input'!F70)*0.5)^2*PI())</f>
        <v>546.117811322484</v>
      </c>
      <c r="M70">
        <f>IF(B70="Frag",1,('Ammo Input'!M70/1.33)/('Ammo Input'!H70/1000))</f>
        <v>0.157894736842105</v>
      </c>
      <c r="N70" t="s">
        <v>353</v>
      </c>
      <c r="O70" t="s">
        <v>353</v>
      </c>
      <c r="P70" s="3">
        <f>(39493.49*(IF((VLOOKUP(B70,AmmoTypeFactors,6,FALSE)="Bomb_Secondary"),1.33,1)*('Ammo Input'!H70*0.35)/1000)^0.6/1000)*10/3*VLOOKUP(B70,AmmoTypeFactors,4,FALSE)</f>
        <v>0</v>
      </c>
    </row>
    <row r="71" ht="14.4" spans="1:16">
      <c r="A71" t="str">
        <f>'Ammo Input'!A71</f>
        <v>35x32mmSR Grenade</v>
      </c>
      <c r="B71" s="1" t="str">
        <f>'Ammo Input'!B71</f>
        <v>Smoke</v>
      </c>
      <c r="C71">
        <f>(0.579*('Ammo Stats'!G71*IF(OR(B71="HEAT",B71="HEDP"),10,'Ammo Input'!F71)*VLOOKUP(B71,AmmoTypeFactors,7,FALSE))^(0.346))^IF(B71="HEDP",2.1,1)/IF(B71="HEDP",50,1)</f>
        <v>33.7150337635249</v>
      </c>
      <c r="D71" s="16">
        <f>IF(VLOOKUP(B71,AmmoTypeFactors,8,FALSE),J71,C71)*VLOOKUP('Ammo Input'!B71,AmmoTypeFactors,2,FALSE)</f>
        <v>19.6496053885205</v>
      </c>
      <c r="E71" s="16">
        <f>IF(OR(VLOOKUP(B71,AmmoTypeFactors,6,FALSE)="Bomb",VLOOKUP(B71,AmmoTypeFactors,6,FALSE)="Thermobaric"),J71*VLOOKUP(B71,AmmoTypeFactors,4,FALSE),IF(VLOOKUP(B71,AmmoTypeFactors,11,FALSE),P71,C71*VLOOKUP(B71,AmmoTypeFactors,4,FALSE)))</f>
        <v>0</v>
      </c>
      <c r="F71" s="16">
        <f>'Ammo Stats'!G71/0.005</f>
        <v>722000</v>
      </c>
      <c r="G71" s="16">
        <f>(IF(B71="HEAT",10,'Ammo Input'!F71)*VLOOKUP(B71,AmmoTypeFactors,7,FALSE)*0.5)^2*PI()/100</f>
        <v>9.62112750161874</v>
      </c>
      <c r="H71" s="10">
        <f t="shared" si="3"/>
        <v>72.2</v>
      </c>
      <c r="I71" s="10">
        <f>IF(B71&lt;&gt;"Arrow (Flaming)",39493.49*'Ammo Input'!M71^0.6/1000,0)</f>
        <v>5.89488161655614</v>
      </c>
      <c r="J71">
        <f t="shared" si="4"/>
        <v>19.6496053885205</v>
      </c>
      <c r="K71">
        <f t="shared" si="5"/>
        <v>9</v>
      </c>
      <c r="L71">
        <f>200000/('Ammo Stats'!C71*(MAX('Ammo Input'!D71,'Ammo Input'!F71)*0.5)^2*PI())</f>
        <v>546.117811322484</v>
      </c>
      <c r="M71">
        <f>IF(B71="Frag",1,('Ammo Input'!M71/1.33)/('Ammo Input'!H71/1000))</f>
        <v>0.157894736842105</v>
      </c>
      <c r="N71" t="s">
        <v>353</v>
      </c>
      <c r="O71" t="s">
        <v>353</v>
      </c>
      <c r="P71" s="3">
        <f>(39493.49*(IF((VLOOKUP(B71,AmmoTypeFactors,6,FALSE)="Bomb_Secondary"),1.33,1)*('Ammo Input'!H71*0.35)/1000)^0.6/1000)*10/3*VLOOKUP(B71,AmmoTypeFactors,4,FALSE)</f>
        <v>0</v>
      </c>
    </row>
    <row r="72" ht="14.4" spans="1:16">
      <c r="A72" t="str">
        <f>'Ammo Input'!A72</f>
        <v>40x46mm Grenade</v>
      </c>
      <c r="B72" s="1" t="str">
        <f>'Ammo Input'!B72</f>
        <v>Frag</v>
      </c>
      <c r="C72">
        <f>(0.579*('Ammo Stats'!G72*IF(OR(B72="HEAT",B72="HEDP"),10,'Ammo Input'!F72)*VLOOKUP(B72,AmmoTypeFactors,7,FALSE))^(0.346))^IF(B72="HEDP",2.1,1)/IF(B72="HEDP",50,1)</f>
        <v>18.5979812665523</v>
      </c>
      <c r="D72" s="16">
        <f>IF(VLOOKUP(B72,AmmoTypeFactors,8,FALSE),J72,C72)*VLOOKUP('Ammo Input'!B72,AmmoTypeFactors,2,FALSE)</f>
        <v>21.9576269037678</v>
      </c>
      <c r="E72" s="16">
        <f>IF(OR(VLOOKUP(B72,AmmoTypeFactors,6,FALSE)="Bomb",VLOOKUP(B72,AmmoTypeFactors,6,FALSE)="Thermobaric"),J72*VLOOKUP(B72,AmmoTypeFactors,4,FALSE),IF(VLOOKUP(B72,AmmoTypeFactors,11,FALSE),P72,C72*VLOOKUP(B72,AmmoTypeFactors,4,FALSE)))</f>
        <v>0</v>
      </c>
      <c r="F72" s="16">
        <f>'Ammo Stats'!G72/0.005</f>
        <v>113200</v>
      </c>
      <c r="G72" s="16">
        <f>(IF(B72="HEAT",10,'Ammo Input'!F72)*VLOOKUP(B72,AmmoTypeFactors,7,FALSE)*0.5)^2*PI()/100</f>
        <v>12.5663706143592</v>
      </c>
      <c r="H72" s="10">
        <f t="shared" si="3"/>
        <v>11.32</v>
      </c>
      <c r="I72" s="10">
        <f>IF(B72&lt;&gt;"Arrow (Flaming)",39493.49*'Ammo Input'!M72^0.6/1000,0)</f>
        <v>6.58728807113035</v>
      </c>
      <c r="J72">
        <f t="shared" si="4"/>
        <v>21.9576269037678</v>
      </c>
      <c r="K72">
        <f t="shared" si="5"/>
        <v>5</v>
      </c>
      <c r="L72">
        <f>200000/('Ammo Stats'!C72*(MAX('Ammo Input'!D72,'Ammo Input'!F72)*0.5)^2*PI())</f>
        <v>397.887357729738</v>
      </c>
      <c r="M72">
        <f>IF(B72="Frag",1,('Ammo Input'!M72/1.33)/('Ammo Input'!H72/1000))</f>
        <v>1</v>
      </c>
      <c r="N72">
        <v>0</v>
      </c>
      <c r="O72">
        <v>19</v>
      </c>
      <c r="P72" s="3">
        <f>(39493.49*(IF((VLOOKUP(B72,AmmoTypeFactors,6,FALSE)="Bomb_Secondary"),1.33,1)*('Ammo Input'!H72*0.35)/1000)^0.6/1000)*10/3*VLOOKUP(B72,AmmoTypeFactors,4,FALSE)</f>
        <v>0</v>
      </c>
    </row>
    <row r="73" ht="14.4" spans="1:16">
      <c r="A73" t="str">
        <f>'Ammo Input'!A73</f>
        <v>40x46mm Grenade</v>
      </c>
      <c r="B73" s="1" t="str">
        <f>'Ammo Input'!B73</f>
        <v>HEDP</v>
      </c>
      <c r="C73">
        <f>(0.579*('Ammo Stats'!G73*IF(OR(B73="HEAT",B73="HEDP"),10,'Ammo Input'!F73)*VLOOKUP(B73,AmmoTypeFactors,7,FALSE))^(0.346))^IF(B73="HEDP",2.1,1)/IF(B73="HEDP",50,1)</f>
        <v>35.1359451433614</v>
      </c>
      <c r="D73" s="16">
        <f>IF(VLOOKUP(B73,AmmoTypeFactors,8,FALSE),J73,C73)*VLOOKUP('Ammo Input'!B73,AmmoTypeFactors,2,FALSE)</f>
        <v>35.1359451433614</v>
      </c>
      <c r="E73" s="16">
        <f>IF(OR(VLOOKUP(B73,AmmoTypeFactors,6,FALSE)="Bomb",VLOOKUP(B73,AmmoTypeFactors,6,FALSE)="Thermobaric"),J73*VLOOKUP(B73,AmmoTypeFactors,4,FALSE),IF(VLOOKUP(B73,AmmoTypeFactors,11,FALSE),P73,C73*VLOOKUP(B73,AmmoTypeFactors,4,FALSE)))</f>
        <v>18.4751419911416</v>
      </c>
      <c r="F73" s="16">
        <f>'Ammo Stats'!G73/0.005</f>
        <v>2835000</v>
      </c>
      <c r="G73" s="16">
        <f>(IF(B73="HEAT",10,'Ammo Input'!F73)*VLOOKUP(B73,AmmoTypeFactors,7,FALSE)*0.5)^2*PI()/100</f>
        <v>12.5663706143592</v>
      </c>
      <c r="H73" s="10">
        <f t="shared" si="3"/>
        <v>283.5</v>
      </c>
      <c r="I73" s="10">
        <f>IF(B73&lt;&gt;"Arrow (Flaming)",39493.49*'Ammo Input'!M73^0.6/1000,0)</f>
        <v>5.54254259734247</v>
      </c>
      <c r="J73">
        <f t="shared" si="4"/>
        <v>18.4751419911416</v>
      </c>
      <c r="K73">
        <f t="shared" si="5"/>
        <v>14</v>
      </c>
      <c r="L73">
        <f>200000/('Ammo Stats'!C73*(MAX('Ammo Input'!D73,'Ammo Input'!F73)*0.5)^2*PI())</f>
        <v>397.887357729738</v>
      </c>
      <c r="M73">
        <f>IF(B73="Frag",1,('Ammo Input'!M73/1.33)/('Ammo Input'!H73/1000))</f>
        <v>0.153205594631741</v>
      </c>
      <c r="N73">
        <v>1</v>
      </c>
      <c r="O73">
        <v>2</v>
      </c>
      <c r="P73" s="3">
        <f>(39493.49*(IF((VLOOKUP(B73,AmmoTypeFactors,6,FALSE)="Bomb_Secondary"),1.33,1)*('Ammo Input'!H73*0.35)/1000)^0.6/1000)*10/3*VLOOKUP(B73,AmmoTypeFactors,4,FALSE)</f>
        <v>25.5595293208661</v>
      </c>
    </row>
    <row r="74" ht="14.4" spans="1:16">
      <c r="A74" t="str">
        <f>'Ammo Input'!A74</f>
        <v>40x46mm Grenade</v>
      </c>
      <c r="B74" s="1" t="str">
        <f>'Ammo Input'!B74</f>
        <v>EMP</v>
      </c>
      <c r="C74">
        <f>(0.579*('Ammo Stats'!G74*IF(OR(B74="HEAT",B74="HEDP"),10,'Ammo Input'!F74)*VLOOKUP(B74,AmmoTypeFactors,7,FALSE))^(0.346))^IF(B74="HEDP",2.1,1)/IF(B74="HEDP",50,1)</f>
        <v>18.5979812665523</v>
      </c>
      <c r="D74" s="16">
        <f>IF(VLOOKUP(B74,AmmoTypeFactors,8,FALSE),J74,C74)*VLOOKUP('Ammo Input'!B74,AmmoTypeFactors,2,FALSE)</f>
        <v>21.9576269037678</v>
      </c>
      <c r="E74" s="16">
        <f>IF(OR(VLOOKUP(B74,AmmoTypeFactors,6,FALSE)="Bomb",VLOOKUP(B74,AmmoTypeFactors,6,FALSE)="Thermobaric"),J74*VLOOKUP(B74,AmmoTypeFactors,4,FALSE),IF(VLOOKUP(B74,AmmoTypeFactors,11,FALSE),P74,C74*VLOOKUP(B74,AmmoTypeFactors,4,FALSE)))</f>
        <v>0</v>
      </c>
      <c r="F74" s="16">
        <f>'Ammo Stats'!G74/0.005</f>
        <v>113200</v>
      </c>
      <c r="G74" s="16">
        <f>(IF(B74="HEAT",10,'Ammo Input'!F74)*VLOOKUP(B74,AmmoTypeFactors,7,FALSE)*0.5)^2*PI()/100</f>
        <v>12.5663706143592</v>
      </c>
      <c r="H74" s="10">
        <f t="shared" si="3"/>
        <v>11.32</v>
      </c>
      <c r="I74" s="10">
        <f>IF(B74&lt;&gt;"Arrow (Flaming)",39493.49*'Ammo Input'!M74^0.6/1000,0)</f>
        <v>6.58728807113035</v>
      </c>
      <c r="J74">
        <f t="shared" si="4"/>
        <v>21.9576269037678</v>
      </c>
      <c r="K74">
        <f t="shared" si="5"/>
        <v>5</v>
      </c>
      <c r="L74">
        <f>200000/('Ammo Stats'!C74*(MAX('Ammo Input'!D74,'Ammo Input'!F74)*0.5)^2*PI())</f>
        <v>397.887357729738</v>
      </c>
      <c r="M74">
        <f>IF(B74="Frag",1,('Ammo Input'!M74/1.33)/('Ammo Input'!H74/1000))</f>
        <v>0.204301075268817</v>
      </c>
      <c r="N74" t="s">
        <v>353</v>
      </c>
      <c r="O74" t="s">
        <v>353</v>
      </c>
      <c r="P74" s="3">
        <f>(39493.49*(IF((VLOOKUP(B74,AmmoTypeFactors,6,FALSE)="Bomb_Secondary"),1.33,1)*('Ammo Input'!H74*0.35)/1000)^0.6/1000)*10/3*VLOOKUP(B74,AmmoTypeFactors,4,FALSE)</f>
        <v>0</v>
      </c>
    </row>
    <row r="75" ht="14.4" spans="1:16">
      <c r="A75" t="str">
        <f>'Ammo Input'!A75</f>
        <v>40x46mm Grenade</v>
      </c>
      <c r="B75" s="1" t="str">
        <f>'Ammo Input'!B75</f>
        <v>Smoke</v>
      </c>
      <c r="C75">
        <f>(0.579*('Ammo Stats'!G75*IF(OR(B75="HEAT",B75="HEDP"),10,'Ammo Input'!F75)*VLOOKUP(B75,AmmoTypeFactors,7,FALSE))^(0.346))^IF(B75="HEDP",2.1,1)/IF(B75="HEDP",50,1)</f>
        <v>18.5979812665523</v>
      </c>
      <c r="D75" s="16">
        <f>IF(VLOOKUP(B75,AmmoTypeFactors,8,FALSE),J75,C75)*VLOOKUP('Ammo Input'!B75,AmmoTypeFactors,2,FALSE)</f>
        <v>21.9576269037678</v>
      </c>
      <c r="E75" s="16">
        <f>IF(OR(VLOOKUP(B75,AmmoTypeFactors,6,FALSE)="Bomb",VLOOKUP(B75,AmmoTypeFactors,6,FALSE)="Thermobaric"),J75*VLOOKUP(B75,AmmoTypeFactors,4,FALSE),IF(VLOOKUP(B75,AmmoTypeFactors,11,FALSE),P75,C75*VLOOKUP(B75,AmmoTypeFactors,4,FALSE)))</f>
        <v>0</v>
      </c>
      <c r="F75" s="16">
        <f>'Ammo Stats'!G75/0.005</f>
        <v>113200</v>
      </c>
      <c r="G75" s="16">
        <f>(IF(B75="HEAT",10,'Ammo Input'!F75)*VLOOKUP(B75,AmmoTypeFactors,7,FALSE)*0.5)^2*PI()/100</f>
        <v>12.5663706143592</v>
      </c>
      <c r="H75" s="10">
        <f t="shared" si="3"/>
        <v>11.32</v>
      </c>
      <c r="I75" s="10">
        <f>IF(B75&lt;&gt;"Arrow (Flaming)",39493.49*'Ammo Input'!M75^0.6/1000,0)</f>
        <v>6.58728807113035</v>
      </c>
      <c r="J75">
        <f t="shared" si="4"/>
        <v>21.9576269037678</v>
      </c>
      <c r="K75">
        <f t="shared" si="5"/>
        <v>5</v>
      </c>
      <c r="L75">
        <f>200000/('Ammo Stats'!C75*(MAX('Ammo Input'!D75,'Ammo Input'!F75)*0.5)^2*PI())</f>
        <v>397.887357729738</v>
      </c>
      <c r="M75">
        <f>IF(B75="Frag",1,('Ammo Input'!M75/1.33)/('Ammo Input'!H75/1000))</f>
        <v>0.204301075268817</v>
      </c>
      <c r="N75" t="s">
        <v>353</v>
      </c>
      <c r="O75" t="s">
        <v>353</v>
      </c>
      <c r="P75" s="3">
        <f>(39493.49*(IF((VLOOKUP(B75,AmmoTypeFactors,6,FALSE)="Bomb_Secondary"),1.33,1)*('Ammo Input'!H75*0.35)/1000)^0.6/1000)*10/3*VLOOKUP(B75,AmmoTypeFactors,4,FALSE)</f>
        <v>0</v>
      </c>
    </row>
    <row r="76" ht="14.4" spans="1:16">
      <c r="A76" t="str">
        <f>'Ammo Input'!A76</f>
        <v>40x47mm Grenade</v>
      </c>
      <c r="B76" s="1" t="str">
        <f>'Ammo Input'!B76</f>
        <v>Frag</v>
      </c>
      <c r="C76">
        <f>(0.579*('Ammo Stats'!G76*IF(OR(B76="HEAT",B76="HEDP"),10,'Ammo Input'!F76)*VLOOKUP(B76,AmmoTypeFactors,7,FALSE))^(0.346))^IF(B76="HEDP",2.1,1)/IF(B76="HEDP",50,1)</f>
        <v>18.9002802834441</v>
      </c>
      <c r="D76" s="16">
        <f>IF(VLOOKUP(B76,AmmoTypeFactors,8,FALSE),J76,C76)*VLOOKUP('Ammo Input'!B76,AmmoTypeFactors,2,FALSE)</f>
        <v>21.5537036307915</v>
      </c>
      <c r="E76" s="16">
        <f>IF(OR(VLOOKUP(B76,AmmoTypeFactors,6,FALSE)="Bomb",VLOOKUP(B76,AmmoTypeFactors,6,FALSE)="Thermobaric"),J76*VLOOKUP(B76,AmmoTypeFactors,4,FALSE),IF(VLOOKUP(B76,AmmoTypeFactors,11,FALSE),P76,C76*VLOOKUP(B76,AmmoTypeFactors,4,FALSE)))</f>
        <v>0</v>
      </c>
      <c r="F76" s="16">
        <f>'Ammo Stats'!G76/0.005</f>
        <v>118600</v>
      </c>
      <c r="G76" s="16">
        <f>(IF(B76="HEAT",10,'Ammo Input'!F76)*VLOOKUP(B76,AmmoTypeFactors,7,FALSE)*0.5)^2*PI()/100</f>
        <v>12.5663706143592</v>
      </c>
      <c r="H76" s="10">
        <f t="shared" si="3"/>
        <v>11.86</v>
      </c>
      <c r="I76" s="10">
        <f>IF(B76&lt;&gt;"Arrow (Flaming)",39493.49*'Ammo Input'!M76^0.6/1000,0)</f>
        <v>6.46611108923746</v>
      </c>
      <c r="J76">
        <f t="shared" si="4"/>
        <v>21.5537036307915</v>
      </c>
      <c r="K76">
        <f t="shared" si="5"/>
        <v>5</v>
      </c>
      <c r="L76">
        <f>200000/('Ammo Stats'!C76*(MAX('Ammo Input'!D76,'Ammo Input'!F76)*0.5)^2*PI())</f>
        <v>343.855096189115</v>
      </c>
      <c r="M76">
        <f>IF(B76="Frag",1,('Ammo Input'!M76/1.33)/('Ammo Input'!H76/1000))</f>
        <v>1</v>
      </c>
      <c r="N76">
        <v>0</v>
      </c>
      <c r="O76">
        <v>20</v>
      </c>
      <c r="P76" s="3">
        <f>(39493.49*(IF((VLOOKUP(B76,AmmoTypeFactors,6,FALSE)="Bomb_Secondary"),1.33,1)*('Ammo Input'!H76*0.35)/1000)^0.6/1000)*10/3*VLOOKUP(B76,AmmoTypeFactors,4,FALSE)</f>
        <v>0</v>
      </c>
    </row>
    <row r="77" ht="14.4" spans="1:16">
      <c r="A77" t="str">
        <f>'Ammo Input'!A77</f>
        <v>40x47mm Grenade</v>
      </c>
      <c r="B77" s="1" t="str">
        <f>'Ammo Input'!B77</f>
        <v>EMP</v>
      </c>
      <c r="C77">
        <f>(0.579*('Ammo Stats'!G77*IF(OR(B77="HEAT",B77="HEDP"),10,'Ammo Input'!F77)*VLOOKUP(B77,AmmoTypeFactors,7,FALSE))^(0.346))^IF(B77="HEDP",2.1,1)/IF(B77="HEDP",50,1)</f>
        <v>18.9002802834441</v>
      </c>
      <c r="D77" s="16">
        <f>IF(VLOOKUP(B77,AmmoTypeFactors,8,FALSE),J77,C77)*VLOOKUP('Ammo Input'!B77,AmmoTypeFactors,2,FALSE)</f>
        <v>21.5537036307915</v>
      </c>
      <c r="E77" s="16">
        <f>IF(OR(VLOOKUP(B77,AmmoTypeFactors,6,FALSE)="Bomb",VLOOKUP(B77,AmmoTypeFactors,6,FALSE)="Thermobaric"),J77*VLOOKUP(B77,AmmoTypeFactors,4,FALSE),IF(VLOOKUP(B77,AmmoTypeFactors,11,FALSE),P77,C77*VLOOKUP(B77,AmmoTypeFactors,4,FALSE)))</f>
        <v>0</v>
      </c>
      <c r="F77" s="16">
        <f>'Ammo Stats'!G77/0.005</f>
        <v>118600</v>
      </c>
      <c r="G77" s="16">
        <f>(IF(B77="HEAT",10,'Ammo Input'!F77)*VLOOKUP(B77,AmmoTypeFactors,7,FALSE)*0.5)^2*PI()/100</f>
        <v>12.5663706143592</v>
      </c>
      <c r="H77" s="10">
        <f t="shared" si="3"/>
        <v>11.86</v>
      </c>
      <c r="I77" s="10">
        <f>IF(B77&lt;&gt;"Arrow (Flaming)",39493.49*'Ammo Input'!M77^0.6/1000,0)</f>
        <v>6.46611108923746</v>
      </c>
      <c r="J77">
        <f t="shared" si="4"/>
        <v>21.5537036307915</v>
      </c>
      <c r="K77">
        <f t="shared" si="5"/>
        <v>5</v>
      </c>
      <c r="L77">
        <f>200000/('Ammo Stats'!C77*(MAX('Ammo Input'!D77,'Ammo Input'!F77)*0.5)^2*PI())</f>
        <v>343.855096189115</v>
      </c>
      <c r="M77">
        <f>IF(B77="Frag",1,('Ammo Input'!M77/1.33)/('Ammo Input'!H77/1000))</f>
        <v>0.184210526315789</v>
      </c>
      <c r="N77" t="s">
        <v>353</v>
      </c>
      <c r="O77" t="s">
        <v>353</v>
      </c>
      <c r="P77" s="3">
        <f>(39493.49*(IF((VLOOKUP(B77,AmmoTypeFactors,6,FALSE)="Bomb_Secondary"),1.33,1)*('Ammo Input'!H77*0.35)/1000)^0.6/1000)*10/3*VLOOKUP(B77,AmmoTypeFactors,4,FALSE)</f>
        <v>0</v>
      </c>
    </row>
    <row r="78" ht="14.4" spans="1:16">
      <c r="A78" t="str">
        <f>'Ammo Input'!A78</f>
        <v>40x47mm Grenade</v>
      </c>
      <c r="B78" s="1" t="str">
        <f>'Ammo Input'!B78</f>
        <v>Smoke</v>
      </c>
      <c r="C78">
        <f>(0.579*('Ammo Stats'!G78*IF(OR(B78="HEAT",B78="HEDP"),10,'Ammo Input'!F78)*VLOOKUP(B78,AmmoTypeFactors,7,FALSE))^(0.346))^IF(B78="HEDP",2.1,1)/IF(B78="HEDP",50,1)</f>
        <v>18.9002802834441</v>
      </c>
      <c r="D78" s="16">
        <f>IF(VLOOKUP(B78,AmmoTypeFactors,8,FALSE),J78,C78)*VLOOKUP('Ammo Input'!B78,AmmoTypeFactors,2,FALSE)</f>
        <v>21.5537036307915</v>
      </c>
      <c r="E78" s="16">
        <f>IF(OR(VLOOKUP(B78,AmmoTypeFactors,6,FALSE)="Bomb",VLOOKUP(B78,AmmoTypeFactors,6,FALSE)="Thermobaric"),J78*VLOOKUP(B78,AmmoTypeFactors,4,FALSE),IF(VLOOKUP(B78,AmmoTypeFactors,11,FALSE),P78,C78*VLOOKUP(B78,AmmoTypeFactors,4,FALSE)))</f>
        <v>0</v>
      </c>
      <c r="F78" s="16">
        <f>'Ammo Stats'!G78/0.005</f>
        <v>118600</v>
      </c>
      <c r="G78" s="16">
        <f>(IF(B78="HEAT",10,'Ammo Input'!F78)*VLOOKUP(B78,AmmoTypeFactors,7,FALSE)*0.5)^2*PI()/100</f>
        <v>12.5663706143592</v>
      </c>
      <c r="H78" s="10">
        <f t="shared" si="3"/>
        <v>11.86</v>
      </c>
      <c r="I78" s="10">
        <f>IF(B78&lt;&gt;"Arrow (Flaming)",39493.49*'Ammo Input'!M78^0.6/1000,0)</f>
        <v>6.46611108923746</v>
      </c>
      <c r="J78">
        <f t="shared" si="4"/>
        <v>21.5537036307915</v>
      </c>
      <c r="K78">
        <f t="shared" si="5"/>
        <v>5</v>
      </c>
      <c r="L78">
        <f>200000/('Ammo Stats'!C78*(MAX('Ammo Input'!D78,'Ammo Input'!F78)*0.5)^2*PI())</f>
        <v>343.855096189115</v>
      </c>
      <c r="M78">
        <f>IF(B78="Frag",1,('Ammo Input'!M78/1.33)/('Ammo Input'!H78/1000))</f>
        <v>0.184210526315789</v>
      </c>
      <c r="N78" t="s">
        <v>353</v>
      </c>
      <c r="O78" t="s">
        <v>353</v>
      </c>
      <c r="P78" s="3">
        <f>(39493.49*(IF((VLOOKUP(B78,AmmoTypeFactors,6,FALSE)="Bomb_Secondary"),1.33,1)*('Ammo Input'!H78*0.35)/1000)^0.6/1000)*10/3*VLOOKUP(B78,AmmoTypeFactors,4,FALSE)</f>
        <v>0</v>
      </c>
    </row>
    <row r="79" ht="14.4" spans="1:16">
      <c r="A79" t="str">
        <f>'Ammo Input'!A79</f>
        <v>40x53mm Grenade</v>
      </c>
      <c r="B79" s="1" t="str">
        <f>'Ammo Input'!B79</f>
        <v>Frag</v>
      </c>
      <c r="C79">
        <f>(0.579*('Ammo Stats'!G79*IF(OR(B79="HEAT",B79="HEDP"),10,'Ammo Input'!F79)*VLOOKUP(B79,AmmoTypeFactors,7,FALSE))^(0.346))^IF(B79="HEDP",2.1,1)/IF(B79="HEDP",50,1)</f>
        <v>50.4099502386716</v>
      </c>
      <c r="D79" s="16">
        <f>IF(VLOOKUP(B79,AmmoTypeFactors,8,FALSE),J79,C79)*VLOOKUP('Ammo Input'!B79,AmmoTypeFactors,2,FALSE)</f>
        <v>22.8475962089416</v>
      </c>
      <c r="E79" s="16">
        <f>IF(OR(VLOOKUP(B79,AmmoTypeFactors,6,FALSE)="Bomb",VLOOKUP(B79,AmmoTypeFactors,6,FALSE)="Thermobaric"),J79*VLOOKUP(B79,AmmoTypeFactors,4,FALSE),IF(VLOOKUP(B79,AmmoTypeFactors,11,FALSE),P79,C79*VLOOKUP(B79,AmmoTypeFactors,4,FALSE)))</f>
        <v>0</v>
      </c>
      <c r="F79" s="16">
        <f>'Ammo Stats'!G79/0.005</f>
        <v>2020400</v>
      </c>
      <c r="G79" s="16">
        <f>(IF(B79="HEAT",10,'Ammo Input'!F79)*VLOOKUP(B79,AmmoTypeFactors,7,FALSE)*0.5)^2*PI()/100</f>
        <v>12.5663706143592</v>
      </c>
      <c r="H79" s="10">
        <f t="shared" si="3"/>
        <v>202.04</v>
      </c>
      <c r="I79" s="10">
        <f>IF(B79&lt;&gt;"Arrow (Flaming)",39493.49*'Ammo Input'!M79^0.6/1000,0)</f>
        <v>6.85427886268249</v>
      </c>
      <c r="J79">
        <f t="shared" si="4"/>
        <v>22.8475962089416</v>
      </c>
      <c r="K79">
        <f t="shared" si="5"/>
        <v>13</v>
      </c>
      <c r="L79">
        <f>200000/('Ammo Stats'!C79*(MAX('Ammo Input'!D79,'Ammo Input'!F79)*0.5)^2*PI())</f>
        <v>370.127774632315</v>
      </c>
      <c r="M79">
        <f>IF(B79="Frag",1,('Ammo Input'!M79/1.33)/('Ammo Input'!H79/1000))</f>
        <v>1</v>
      </c>
      <c r="N79">
        <v>0</v>
      </c>
      <c r="O79">
        <v>35</v>
      </c>
      <c r="P79" s="3">
        <f>(39493.49*(IF((VLOOKUP(B79,AmmoTypeFactors,6,FALSE)="Bomb_Secondary"),1.33,1)*('Ammo Input'!H79*0.35)/1000)^0.6/1000)*10/3*VLOOKUP(B79,AmmoTypeFactors,4,FALSE)</f>
        <v>0</v>
      </c>
    </row>
    <row r="80" ht="14.4" spans="1:16">
      <c r="A80" t="str">
        <f>'Ammo Input'!A80</f>
        <v>40x53mm Grenade</v>
      </c>
      <c r="B80" s="1" t="str">
        <f>'Ammo Input'!B80</f>
        <v>HEDP</v>
      </c>
      <c r="C80">
        <f>(0.579*('Ammo Stats'!G80*IF(OR(B80="HEAT",B80="HEDP"),10,'Ammo Input'!F80)*VLOOKUP(B80,AmmoTypeFactors,7,FALSE))^(0.346))^IF(B80="HEDP",2.1,1)/IF(B80="HEDP",50,1)</f>
        <v>36.9430975808252</v>
      </c>
      <c r="D80" s="16">
        <f>IF(VLOOKUP(B80,AmmoTypeFactors,8,FALSE),J80,C80)*VLOOKUP('Ammo Input'!B80,AmmoTypeFactors,2,FALSE)</f>
        <v>36.9430975808252</v>
      </c>
      <c r="E80" s="16">
        <f>IF(OR(VLOOKUP(B80,AmmoTypeFactors,6,FALSE)="Bomb",VLOOKUP(B80,AmmoTypeFactors,6,FALSE)="Thermobaric"),J80*VLOOKUP(B80,AmmoTypeFactors,4,FALSE),IF(VLOOKUP(B80,AmmoTypeFactors,11,FALSE),P80,C80*VLOOKUP(B80,AmmoTypeFactors,4,FALSE)))</f>
        <v>19.2254835957744</v>
      </c>
      <c r="F80" s="16">
        <f>'Ammo Stats'!G80/0.005</f>
        <v>3037600</v>
      </c>
      <c r="G80" s="16">
        <f>(IF(B80="HEAT",10,'Ammo Input'!F80)*VLOOKUP(B80,AmmoTypeFactors,7,FALSE)*0.5)^2*PI()/100</f>
        <v>12.5663706143592</v>
      </c>
      <c r="H80" s="10">
        <f t="shared" si="3"/>
        <v>303.76</v>
      </c>
      <c r="I80" s="10">
        <f>IF(B80&lt;&gt;"Arrow (Flaming)",39493.49*'Ammo Input'!M80^0.6/1000,0)</f>
        <v>5.76764507873231</v>
      </c>
      <c r="J80">
        <f t="shared" si="4"/>
        <v>19.2254835957744</v>
      </c>
      <c r="K80">
        <f t="shared" si="5"/>
        <v>14</v>
      </c>
      <c r="L80">
        <f>200000/('Ammo Stats'!C80*(MAX('Ammo Input'!D80,'Ammo Input'!F80)*0.5)^2*PI())</f>
        <v>370.127774632315</v>
      </c>
      <c r="M80">
        <f>IF(B80="Frag",1,('Ammo Input'!M80/1.33)/('Ammo Input'!H80/1000))</f>
        <v>0.088264138607388</v>
      </c>
      <c r="N80">
        <v>2</v>
      </c>
      <c r="O80">
        <v>2</v>
      </c>
      <c r="P80" s="3">
        <f>(39493.49*(IF((VLOOKUP(B80,AmmoTypeFactors,6,FALSE)="Bomb_Secondary"),1.33,1)*('Ammo Input'!H80*0.35)/1000)^0.6/1000)*10/3*VLOOKUP(B80,AmmoTypeFactors,4,FALSE)</f>
        <v>37.0285360748662</v>
      </c>
    </row>
    <row r="81" ht="14.4" spans="1:16">
      <c r="A81" t="str">
        <f>'Ammo Input'!A81</f>
        <v>40x53mm Grenade</v>
      </c>
      <c r="B81" s="1" t="str">
        <f>'Ammo Input'!B81</f>
        <v>EMP</v>
      </c>
      <c r="C81">
        <f>(0.579*('Ammo Stats'!G81*IF(OR(B81="HEAT",B81="HEDP"),10,'Ammo Input'!F81)*VLOOKUP(B81,AmmoTypeFactors,7,FALSE))^(0.346))^IF(B81="HEDP",2.1,1)/IF(B81="HEDP",50,1)</f>
        <v>50.4099502386716</v>
      </c>
      <c r="D81" s="16">
        <f>IF(VLOOKUP(B81,AmmoTypeFactors,8,FALSE),J81,C81)*VLOOKUP('Ammo Input'!B81,AmmoTypeFactors,2,FALSE)</f>
        <v>22.8475962089416</v>
      </c>
      <c r="E81" s="16">
        <f>IF(OR(VLOOKUP(B81,AmmoTypeFactors,6,FALSE)="Bomb",VLOOKUP(B81,AmmoTypeFactors,6,FALSE)="Thermobaric"),J81*VLOOKUP(B81,AmmoTypeFactors,4,FALSE),IF(VLOOKUP(B81,AmmoTypeFactors,11,FALSE),P81,C81*VLOOKUP(B81,AmmoTypeFactors,4,FALSE)))</f>
        <v>0</v>
      </c>
      <c r="F81" s="16">
        <f>'Ammo Stats'!G81/0.005</f>
        <v>2020400</v>
      </c>
      <c r="G81" s="16">
        <f>(IF(B81="HEAT",10,'Ammo Input'!F81)*VLOOKUP(B81,AmmoTypeFactors,7,FALSE)*0.5)^2*PI()/100</f>
        <v>12.5663706143592</v>
      </c>
      <c r="H81" s="10">
        <f t="shared" si="3"/>
        <v>202.04</v>
      </c>
      <c r="I81" s="10">
        <f>IF(B81&lt;&gt;"Arrow (Flaming)",39493.49*'Ammo Input'!M81^0.6/1000,0)</f>
        <v>6.85427886268249</v>
      </c>
      <c r="J81">
        <f t="shared" si="4"/>
        <v>22.8475962089416</v>
      </c>
      <c r="K81">
        <f t="shared" si="5"/>
        <v>13</v>
      </c>
      <c r="L81">
        <f>200000/('Ammo Stats'!C81*(MAX('Ammo Input'!D81,'Ammo Input'!F81)*0.5)^2*PI())</f>
        <v>370.127774632315</v>
      </c>
      <c r="M81">
        <f>IF(B81="Frag",1,('Ammo Input'!M81/1.33)/('Ammo Input'!H81/1000))</f>
        <v>0.117685518143184</v>
      </c>
      <c r="N81" t="s">
        <v>353</v>
      </c>
      <c r="O81" t="s">
        <v>353</v>
      </c>
      <c r="P81" s="3">
        <f>(39493.49*(IF((VLOOKUP(B81,AmmoTypeFactors,6,FALSE)="Bomb_Secondary"),1.33,1)*('Ammo Input'!H81*0.35)/1000)^0.6/1000)*10/3*VLOOKUP(B81,AmmoTypeFactors,4,FALSE)</f>
        <v>0</v>
      </c>
    </row>
    <row r="82" ht="14.4" spans="1:16">
      <c r="A82" t="str">
        <f>'Ammo Input'!A82</f>
        <v>40x53mm Grenade</v>
      </c>
      <c r="B82" s="1" t="str">
        <f>'Ammo Input'!B82</f>
        <v>Smoke</v>
      </c>
      <c r="C82">
        <f>(0.579*('Ammo Stats'!G82*IF(OR(B82="HEAT",B82="HEDP"),10,'Ammo Input'!F82)*VLOOKUP(B82,AmmoTypeFactors,7,FALSE))^(0.346))^IF(B82="HEDP",2.1,1)/IF(B82="HEDP",50,1)</f>
        <v>50.4099502386716</v>
      </c>
      <c r="D82" s="16">
        <f>IF(VLOOKUP(B82,AmmoTypeFactors,8,FALSE),J82,C82)*VLOOKUP('Ammo Input'!B82,AmmoTypeFactors,2,FALSE)</f>
        <v>22.8475962089416</v>
      </c>
      <c r="E82" s="16">
        <f>IF(OR(VLOOKUP(B82,AmmoTypeFactors,6,FALSE)="Bomb",VLOOKUP(B82,AmmoTypeFactors,6,FALSE)="Thermobaric"),J82*VLOOKUP(B82,AmmoTypeFactors,4,FALSE),IF(VLOOKUP(B82,AmmoTypeFactors,11,FALSE),P82,C82*VLOOKUP(B82,AmmoTypeFactors,4,FALSE)))</f>
        <v>0</v>
      </c>
      <c r="F82" s="16">
        <f>'Ammo Stats'!G82/0.005</f>
        <v>2020400</v>
      </c>
      <c r="G82" s="16">
        <f>(IF(B82="HEAT",10,'Ammo Input'!F82)*VLOOKUP(B82,AmmoTypeFactors,7,FALSE)*0.5)^2*PI()/100</f>
        <v>12.5663706143592</v>
      </c>
      <c r="H82" s="10">
        <f t="shared" si="3"/>
        <v>202.04</v>
      </c>
      <c r="I82" s="10">
        <f>IF(B82&lt;&gt;"Arrow (Flaming)",39493.49*'Ammo Input'!M82^0.6/1000,0)</f>
        <v>6.85427886268249</v>
      </c>
      <c r="J82">
        <f t="shared" si="4"/>
        <v>22.8475962089416</v>
      </c>
      <c r="K82">
        <f t="shared" si="5"/>
        <v>13</v>
      </c>
      <c r="L82">
        <f>200000/('Ammo Stats'!C82*(MAX('Ammo Input'!D82,'Ammo Input'!F82)*0.5)^2*PI())</f>
        <v>370.127774632315</v>
      </c>
      <c r="M82">
        <f>IF(B82="Frag",1,('Ammo Input'!M82/1.33)/('Ammo Input'!H82/1000))</f>
        <v>0.117685518143184</v>
      </c>
      <c r="N82" t="s">
        <v>353</v>
      </c>
      <c r="O82" t="s">
        <v>353</v>
      </c>
      <c r="P82" s="3">
        <f>(39493.49*(IF((VLOOKUP(B82,AmmoTypeFactors,6,FALSE)="Bomb_Secondary"),1.33,1)*('Ammo Input'!H82*0.35)/1000)^0.6/1000)*10/3*VLOOKUP(B82,AmmoTypeFactors,4,FALSE)</f>
        <v>0</v>
      </c>
    </row>
    <row r="83" ht="14.4" spans="1:16">
      <c r="A83" t="str">
        <f>'Ammo Input'!A83</f>
        <v>40x53mm VOG25 Grenade</v>
      </c>
      <c r="B83" s="1" t="str">
        <f>'Ammo Input'!B83</f>
        <v>Frag</v>
      </c>
      <c r="C83">
        <f>(0.579*('Ammo Stats'!G83*IF(OR(B83="HEAT",B83="HEDP"),10,'Ammo Input'!F83)*VLOOKUP(B83,AmmoTypeFactors,7,FALSE))^(0.346))^IF(B83="HEDP",2.1,1)/IF(B83="HEDP",50,1)</f>
        <v>19.4475918283479</v>
      </c>
      <c r="D83" s="16">
        <f>IF(VLOOKUP(B83,AmmoTypeFactors,8,FALSE),J83,C83)*VLOOKUP('Ammo Input'!B83,AmmoTypeFactors,2,FALSE)</f>
        <v>25.5359649085666</v>
      </c>
      <c r="E83" s="16">
        <f>IF(OR(VLOOKUP(B83,AmmoTypeFactors,6,FALSE)="Bomb",VLOOKUP(B83,AmmoTypeFactors,6,FALSE)="Thermobaric"),J83*VLOOKUP(B83,AmmoTypeFactors,4,FALSE),IF(VLOOKUP(B83,AmmoTypeFactors,11,FALSE),P83,C83*VLOOKUP(B83,AmmoTypeFactors,4,FALSE)))</f>
        <v>0</v>
      </c>
      <c r="F83" s="16">
        <f>'Ammo Stats'!G83/0.005</f>
        <v>128800</v>
      </c>
      <c r="G83" s="16">
        <f>(IF(B83="HEAT",10,'Ammo Input'!F83)*VLOOKUP(B83,AmmoTypeFactors,7,FALSE)*0.5)^2*PI()/100</f>
        <v>12.5663706143592</v>
      </c>
      <c r="H83" s="10">
        <f t="shared" si="3"/>
        <v>12.88</v>
      </c>
      <c r="I83" s="10">
        <f>IF(B83&lt;&gt;"Arrow (Flaming)",39493.49*'Ammo Input'!M83^0.6/1000,0)</f>
        <v>7.66078947256997</v>
      </c>
      <c r="J83">
        <f t="shared" si="4"/>
        <v>25.5359649085666</v>
      </c>
      <c r="K83">
        <f t="shared" si="5"/>
        <v>5</v>
      </c>
      <c r="L83">
        <f>200000/('Ammo Stats'!C83*(MAX('Ammo Input'!D83,'Ammo Input'!F83)*0.5)^2*PI())</f>
        <v>408.089597671527</v>
      </c>
      <c r="M83">
        <f>IF(B83="Frag",1,('Ammo Input'!M83/1.33)/('Ammo Input'!H83/1000))</f>
        <v>1</v>
      </c>
      <c r="N83">
        <v>0</v>
      </c>
      <c r="O83">
        <v>22</v>
      </c>
      <c r="P83" s="3">
        <f>(39493.49*(IF((VLOOKUP(B83,AmmoTypeFactors,6,FALSE)="Bomb_Secondary"),1.33,1)*('Ammo Input'!H83*0.35)/1000)^0.6/1000)*10/3*VLOOKUP(B83,AmmoTypeFactors,4,FALSE)</f>
        <v>0</v>
      </c>
    </row>
    <row r="84" ht="14.4" spans="1:16">
      <c r="A84" t="str">
        <f>'Ammo Input'!A84</f>
        <v>40x53mm VOG25 Grenade</v>
      </c>
      <c r="B84" s="1" t="str">
        <f>'Ammo Input'!B84</f>
        <v>EMP</v>
      </c>
      <c r="C84">
        <f>(0.579*('Ammo Stats'!G84*IF(OR(B84="HEAT",B84="HEDP"),10,'Ammo Input'!F84)*VLOOKUP(B84,AmmoTypeFactors,7,FALSE))^(0.346))^IF(B84="HEDP",2.1,1)/IF(B84="HEDP",50,1)</f>
        <v>19.4475918283479</v>
      </c>
      <c r="D84" s="16">
        <f>IF(VLOOKUP(B84,AmmoTypeFactors,8,FALSE),J84,C84)*VLOOKUP('Ammo Input'!B84,AmmoTypeFactors,2,FALSE)</f>
        <v>25.5359649085666</v>
      </c>
      <c r="E84" s="16">
        <f>IF(OR(VLOOKUP(B84,AmmoTypeFactors,6,FALSE)="Bomb",VLOOKUP(B84,AmmoTypeFactors,6,FALSE)="Thermobaric"),J84*VLOOKUP(B84,AmmoTypeFactors,4,FALSE),IF(VLOOKUP(B84,AmmoTypeFactors,11,FALSE),P84,C84*VLOOKUP(B84,AmmoTypeFactors,4,FALSE)))</f>
        <v>0</v>
      </c>
      <c r="F84" s="16">
        <f>'Ammo Stats'!G84/0.005</f>
        <v>128800</v>
      </c>
      <c r="G84" s="16">
        <f>(IF(B84="HEAT",10,'Ammo Input'!F84)*VLOOKUP(B84,AmmoTypeFactors,7,FALSE)*0.5)^2*PI()/100</f>
        <v>12.5663706143592</v>
      </c>
      <c r="H84" s="10">
        <f t="shared" si="3"/>
        <v>12.88</v>
      </c>
      <c r="I84" s="10">
        <f>IF(B84&lt;&gt;"Arrow (Flaming)",39493.49*'Ammo Input'!M84^0.6/1000,0)</f>
        <v>7.66078947256997</v>
      </c>
      <c r="J84">
        <f t="shared" si="4"/>
        <v>25.5359649085666</v>
      </c>
      <c r="K84">
        <f t="shared" si="5"/>
        <v>5</v>
      </c>
      <c r="L84">
        <f>200000/('Ammo Stats'!C84*(MAX('Ammo Input'!D84,'Ammo Input'!F84)*0.5)^2*PI())</f>
        <v>408.089597671527</v>
      </c>
      <c r="M84">
        <f>IF(B84="Frag",1,('Ammo Input'!M84/1.33)/('Ammo Input'!H84/1000))</f>
        <v>0.222146274777854</v>
      </c>
      <c r="N84" t="s">
        <v>353</v>
      </c>
      <c r="O84" t="s">
        <v>353</v>
      </c>
      <c r="P84" s="3">
        <f>(39493.49*(IF((VLOOKUP(B84,AmmoTypeFactors,6,FALSE)="Bomb_Secondary"),1.33,1)*('Ammo Input'!H84*0.35)/1000)^0.6/1000)*10/3*VLOOKUP(B84,AmmoTypeFactors,4,FALSE)</f>
        <v>0</v>
      </c>
    </row>
    <row r="85" ht="14.4" spans="1:16">
      <c r="A85" t="str">
        <f>'Ammo Input'!A85</f>
        <v>40x53mm VOG25 Grenade</v>
      </c>
      <c r="B85" s="1" t="str">
        <f>'Ammo Input'!B85</f>
        <v>Smoke</v>
      </c>
      <c r="C85">
        <f>(0.579*('Ammo Stats'!G85*IF(OR(B85="HEAT",B85="HEDP"),10,'Ammo Input'!F85)*VLOOKUP(B85,AmmoTypeFactors,7,FALSE))^(0.346))^IF(B85="HEDP",2.1,1)/IF(B85="HEDP",50,1)</f>
        <v>19.4475918283479</v>
      </c>
      <c r="D85" s="16">
        <f>IF(VLOOKUP(B85,AmmoTypeFactors,8,FALSE),J85,C85)*VLOOKUP('Ammo Input'!B85,AmmoTypeFactors,2,FALSE)</f>
        <v>25.5359649085666</v>
      </c>
      <c r="E85" s="16">
        <f>IF(OR(VLOOKUP(B85,AmmoTypeFactors,6,FALSE)="Bomb",VLOOKUP(B85,AmmoTypeFactors,6,FALSE)="Thermobaric"),J85*VLOOKUP(B85,AmmoTypeFactors,4,FALSE),IF(VLOOKUP(B85,AmmoTypeFactors,11,FALSE),P85,C85*VLOOKUP(B85,AmmoTypeFactors,4,FALSE)))</f>
        <v>0</v>
      </c>
      <c r="F85" s="16">
        <f>'Ammo Stats'!G85/0.005</f>
        <v>128800</v>
      </c>
      <c r="G85" s="16">
        <f>(IF(B85="HEAT",10,'Ammo Input'!F85)*VLOOKUP(B85,AmmoTypeFactors,7,FALSE)*0.5)^2*PI()/100</f>
        <v>12.5663706143592</v>
      </c>
      <c r="H85" s="10">
        <f t="shared" si="3"/>
        <v>12.88</v>
      </c>
      <c r="I85" s="10">
        <f>IF(B85&lt;&gt;"Arrow (Flaming)",39493.49*'Ammo Input'!M85^0.6/1000,0)</f>
        <v>7.66078947256997</v>
      </c>
      <c r="J85">
        <f t="shared" si="4"/>
        <v>25.5359649085666</v>
      </c>
      <c r="K85">
        <f t="shared" si="5"/>
        <v>5</v>
      </c>
      <c r="L85">
        <f>200000/('Ammo Stats'!C85*(MAX('Ammo Input'!D85,'Ammo Input'!F85)*0.5)^2*PI())</f>
        <v>408.089597671527</v>
      </c>
      <c r="M85">
        <f>IF(B85="Frag",1,('Ammo Input'!M85/1.33)/('Ammo Input'!H85/1000))</f>
        <v>0.222146274777854</v>
      </c>
      <c r="N85" t="s">
        <v>353</v>
      </c>
      <c r="O85" t="s">
        <v>353</v>
      </c>
      <c r="P85" s="3">
        <f>(39493.49*(IF((VLOOKUP(B85,AmmoTypeFactors,6,FALSE)="Bomb_Secondary"),1.33,1)*('Ammo Input'!H85*0.35)/1000)^0.6/1000)*10/3*VLOOKUP(B85,AmmoTypeFactors,4,FALSE)</f>
        <v>0</v>
      </c>
    </row>
    <row r="86" ht="14.4" spans="1:16">
      <c r="A86" t="str">
        <f>'Ammo Input'!A86</f>
        <v>50mm GS50 Grenade</v>
      </c>
      <c r="B86" s="1" t="str">
        <f>'Ammo Input'!B86</f>
        <v>Frag</v>
      </c>
      <c r="C86">
        <f>(0.579*('Ammo Stats'!G86*IF(OR(B86="HEAT",B86="HEDP"),10,'Ammo Input'!F86)*VLOOKUP(B86,AmmoTypeFactors,7,FALSE))^(0.346))^IF(B86="HEDP",2.1,1)/IF(B86="HEDP",50,1)</f>
        <v>29.2254990419414</v>
      </c>
      <c r="D86" s="16">
        <f>IF(VLOOKUP(B86,AmmoTypeFactors,8,FALSE),J86,C86)*VLOOKUP('Ammo Input'!B86,AmmoTypeFactors,2,FALSE)</f>
        <v>24.8221429615836</v>
      </c>
      <c r="E86" s="16">
        <f>IF(OR(VLOOKUP(B86,AmmoTypeFactors,6,FALSE)="Bomb",VLOOKUP(B86,AmmoTypeFactors,6,FALSE)="Thermobaric"),J86*VLOOKUP(B86,AmmoTypeFactors,4,FALSE),IF(VLOOKUP(B86,AmmoTypeFactors,11,FALSE),P86,C86*VLOOKUP(B86,AmmoTypeFactors,4,FALSE)))</f>
        <v>0</v>
      </c>
      <c r="F86" s="16">
        <f>'Ammo Stats'!G86/0.005</f>
        <v>334400</v>
      </c>
      <c r="G86" s="16">
        <f>(IF(B86="HEAT",10,'Ammo Input'!F86)*VLOOKUP(B86,AmmoTypeFactors,7,FALSE)*0.5)^2*PI()/100</f>
        <v>19.6349540849362</v>
      </c>
      <c r="H86" s="10">
        <f t="shared" si="3"/>
        <v>33.44</v>
      </c>
      <c r="I86" s="10">
        <f>IF(B86&lt;&gt;"Arrow (Flaming)",39493.49*'Ammo Input'!M86^0.6/1000,0)</f>
        <v>7.44664288847509</v>
      </c>
      <c r="J86">
        <f t="shared" si="4"/>
        <v>24.8221429615836</v>
      </c>
      <c r="K86">
        <f t="shared" si="5"/>
        <v>7</v>
      </c>
      <c r="L86">
        <f>200000/('Ammo Stats'!C86*(MAX('Ammo Input'!D86,'Ammo Input'!F86)*0.5)^2*PI())</f>
        <v>38.484123970378</v>
      </c>
      <c r="M86">
        <f>IF(B86="Frag",1,('Ammo Input'!M86/1.33)/('Ammo Input'!H86/1000))</f>
        <v>1</v>
      </c>
      <c r="N86">
        <v>0</v>
      </c>
      <c r="O86">
        <v>40</v>
      </c>
      <c r="P86" s="3">
        <f>(39493.49*(IF((VLOOKUP(B86,AmmoTypeFactors,6,FALSE)="Bomb_Secondary"),1.33,1)*('Ammo Input'!H86*0.35)/1000)^0.6/1000)*10/3*VLOOKUP(B86,AmmoTypeFactors,4,FALSE)</f>
        <v>0</v>
      </c>
    </row>
    <row r="87" ht="14.4" spans="1:16">
      <c r="A87" t="str">
        <f>'Ammo Input'!A87</f>
        <v>50mm GS50 Grenade</v>
      </c>
      <c r="B87" s="1" t="str">
        <f>'Ammo Input'!B87</f>
        <v>EMP</v>
      </c>
      <c r="C87">
        <f>(0.579*('Ammo Stats'!G87*IF(OR(B87="HEAT",B87="HEDP"),10,'Ammo Input'!F87)*VLOOKUP(B87,AmmoTypeFactors,7,FALSE))^(0.346))^IF(B87="HEDP",2.1,1)/IF(B87="HEDP",50,1)</f>
        <v>29.2254990419414</v>
      </c>
      <c r="D87" s="16">
        <f>IF(VLOOKUP(B87,AmmoTypeFactors,8,FALSE),J87,C87)*VLOOKUP('Ammo Input'!B87,AmmoTypeFactors,2,FALSE)</f>
        <v>24.8221429615836</v>
      </c>
      <c r="E87" s="16">
        <f>IF(OR(VLOOKUP(B87,AmmoTypeFactors,6,FALSE)="Bomb",VLOOKUP(B87,AmmoTypeFactors,6,FALSE)="Thermobaric"),J87*VLOOKUP(B87,AmmoTypeFactors,4,FALSE),IF(VLOOKUP(B87,AmmoTypeFactors,11,FALSE),P87,C87*VLOOKUP(B87,AmmoTypeFactors,4,FALSE)))</f>
        <v>0</v>
      </c>
      <c r="F87" s="16">
        <f>'Ammo Stats'!G87/0.005</f>
        <v>334400</v>
      </c>
      <c r="G87" s="16">
        <f>(IF(B87="HEAT",10,'Ammo Input'!F87)*VLOOKUP(B87,AmmoTypeFactors,7,FALSE)*0.5)^2*PI()/100</f>
        <v>19.6349540849362</v>
      </c>
      <c r="H87" s="10">
        <f t="shared" si="3"/>
        <v>33.44</v>
      </c>
      <c r="I87" s="10">
        <f>IF(B87&lt;&gt;"Arrow (Flaming)",39493.49*'Ammo Input'!M87^0.6/1000,0)</f>
        <v>7.44664288847509</v>
      </c>
      <c r="J87">
        <f t="shared" si="4"/>
        <v>24.8221429615836</v>
      </c>
      <c r="K87">
        <f t="shared" si="5"/>
        <v>7</v>
      </c>
      <c r="L87">
        <f>200000/('Ammo Stats'!C87*(MAX('Ammo Input'!D87,'Ammo Input'!F87)*0.5)^2*PI())</f>
        <v>38.484123970378</v>
      </c>
      <c r="M87">
        <f>IF(B87="Frag",1,('Ammo Input'!M87/1.33)/('Ammo Input'!H87/1000))</f>
        <v>0.118016560388313</v>
      </c>
      <c r="N87" t="s">
        <v>353</v>
      </c>
      <c r="O87" t="s">
        <v>353</v>
      </c>
      <c r="P87" s="3">
        <f>(39493.49*(IF((VLOOKUP(B87,AmmoTypeFactors,6,FALSE)="Bomb_Secondary"),1.33,1)*('Ammo Input'!H87*0.35)/1000)^0.6/1000)*10/3*VLOOKUP(B87,AmmoTypeFactors,4,FALSE)</f>
        <v>0</v>
      </c>
    </row>
    <row r="88" ht="14.4" spans="1:16">
      <c r="A88" t="str">
        <f>'Ammo Input'!A88</f>
        <v>50mm GS50 Grenade</v>
      </c>
      <c r="B88" s="1" t="str">
        <f>'Ammo Input'!B88</f>
        <v>Smoke</v>
      </c>
      <c r="C88">
        <f>(0.579*('Ammo Stats'!G88*IF(OR(B88="HEAT",B88="HEDP"),10,'Ammo Input'!F88)*VLOOKUP(B88,AmmoTypeFactors,7,FALSE))^(0.346))^IF(B88="HEDP",2.1,1)/IF(B88="HEDP",50,1)</f>
        <v>29.2254990419414</v>
      </c>
      <c r="D88" s="16">
        <f>IF(VLOOKUP(B88,AmmoTypeFactors,8,FALSE),J88,C88)*VLOOKUP('Ammo Input'!B88,AmmoTypeFactors,2,FALSE)</f>
        <v>24.8221429615836</v>
      </c>
      <c r="E88" s="16">
        <f>IF(OR(VLOOKUP(B88,AmmoTypeFactors,6,FALSE)="Bomb",VLOOKUP(B88,AmmoTypeFactors,6,FALSE)="Thermobaric"),J88*VLOOKUP(B88,AmmoTypeFactors,4,FALSE),IF(VLOOKUP(B88,AmmoTypeFactors,11,FALSE),P88,C88*VLOOKUP(B88,AmmoTypeFactors,4,FALSE)))</f>
        <v>0</v>
      </c>
      <c r="F88" s="16">
        <f>'Ammo Stats'!G88/0.005</f>
        <v>334400</v>
      </c>
      <c r="G88" s="16">
        <f>(IF(B88="HEAT",10,'Ammo Input'!F88)*VLOOKUP(B88,AmmoTypeFactors,7,FALSE)*0.5)^2*PI()/100</f>
        <v>19.6349540849362</v>
      </c>
      <c r="H88" s="10">
        <f t="shared" si="3"/>
        <v>33.44</v>
      </c>
      <c r="I88" s="10">
        <f>IF(B88&lt;&gt;"Arrow (Flaming)",39493.49*'Ammo Input'!M88^0.6/1000,0)</f>
        <v>7.44664288847509</v>
      </c>
      <c r="J88">
        <f t="shared" si="4"/>
        <v>24.8221429615836</v>
      </c>
      <c r="K88">
        <f t="shared" si="5"/>
        <v>7</v>
      </c>
      <c r="L88">
        <f>200000/('Ammo Stats'!C88*(MAX('Ammo Input'!D88,'Ammo Input'!F88)*0.5)^2*PI())</f>
        <v>38.484123970378</v>
      </c>
      <c r="M88">
        <f>IF(B88="Frag",1,('Ammo Input'!M88/1.33)/('Ammo Input'!H88/1000))</f>
        <v>0.118016560388313</v>
      </c>
      <c r="N88" t="s">
        <v>353</v>
      </c>
      <c r="O88" t="s">
        <v>353</v>
      </c>
      <c r="P88" s="3">
        <f>(39493.49*(IF((VLOOKUP(B88,AmmoTypeFactors,6,FALSE)="Bomb_Secondary"),1.33,1)*('Ammo Input'!H88*0.35)/1000)^0.6/1000)*10/3*VLOOKUP(B88,AmmoTypeFactors,4,FALSE)</f>
        <v>0</v>
      </c>
    </row>
    <row r="89" ht="14.4" spans="1:16">
      <c r="A89" t="str">
        <f>'Ammo Input'!A89</f>
        <v>83mm PIAT Grenade</v>
      </c>
      <c r="B89" s="1" t="str">
        <f>'Ammo Input'!B89</f>
        <v>HEAT</v>
      </c>
      <c r="C89">
        <f>(0.579*('Ammo Stats'!G89*IF(OR(B89="HEAT",B89="HEDP"),10,'Ammo Input'!F89)*VLOOKUP(B89,AmmoTypeFactors,7,FALSE))^(0.346))^IF(B89="HEDP",2.1,1)/IF(B89="HEDP",50,1)</f>
        <v>268.156832016809</v>
      </c>
      <c r="D89" s="16">
        <f>IF(VLOOKUP(B89,AmmoTypeFactors,8,FALSE),J89,C89)*VLOOKUP('Ammo Input'!B89,AmmoTypeFactors,2,FALSE)</f>
        <v>268.156832016809</v>
      </c>
      <c r="E89" s="16">
        <f>IF(OR(VLOOKUP(B89,AmmoTypeFactors,6,FALSE)="Bomb",VLOOKUP(B89,AmmoTypeFactors,6,FALSE)="Thermobaric"),J89*VLOOKUP(B89,AmmoTypeFactors,4,FALSE),IF(VLOOKUP(B89,AmmoTypeFactors,11,FALSE),P89,C89*VLOOKUP(B89,AmmoTypeFactors,4,FALSE)))</f>
        <v>0</v>
      </c>
      <c r="F89" s="16">
        <f>'Ammo Stats'!G89/0.005</f>
        <v>1012500000</v>
      </c>
      <c r="G89" s="16">
        <f>(IF(B89="HEAT",10,'Ammo Input'!F89)*VLOOKUP(B89,AmmoTypeFactors,7,FALSE)*0.5)^2*PI()/100</f>
        <v>0.785398163397448</v>
      </c>
      <c r="H89" s="10">
        <f t="shared" si="3"/>
        <v>101250</v>
      </c>
      <c r="I89" s="10">
        <f>IF(B89&lt;&gt;"Arrow (Flaming)",39493.49*'Ammo Input'!M89^0.6/1000,0)</f>
        <v>41.817794558338</v>
      </c>
      <c r="J89">
        <f t="shared" si="4"/>
        <v>139.392648527793</v>
      </c>
      <c r="K89">
        <f t="shared" si="5"/>
        <v>100</v>
      </c>
      <c r="L89">
        <f>200000/('Ammo Stats'!C89*(MAX('Ammo Input'!D89,'Ammo Input'!F89)*0.5)^2*PI())</f>
        <v>5.68683428312767</v>
      </c>
      <c r="M89">
        <f>IF(B89="Frag",1,('Ammo Input'!M89/1.33)/('Ammo Input'!H89/1000))</f>
        <v>0.827067669172932</v>
      </c>
      <c r="N89">
        <v>1</v>
      </c>
      <c r="O89">
        <v>11</v>
      </c>
      <c r="P89" s="3">
        <f>(39493.49*(IF((VLOOKUP(B89,AmmoTypeFactors,6,FALSE)="Bomb_Secondary"),1.33,1)*('Ammo Input'!H89*0.35)/1000)^0.6/1000)*10/3*VLOOKUP(B89,AmmoTypeFactors,4,FALSE)</f>
        <v>0</v>
      </c>
    </row>
    <row r="90" ht="14.4" spans="1:16">
      <c r="A90" t="str">
        <f>'Ammo Input'!A90</f>
        <v>83mm PIAT Grenade</v>
      </c>
      <c r="B90" s="1" t="str">
        <f>'Ammo Input'!B90</f>
        <v>Frag</v>
      </c>
      <c r="C90">
        <f>(0.579*('Ammo Stats'!G90*IF(OR(B90="HEAT",B90="HEDP"),10,'Ammo Input'!F90)*VLOOKUP(B90,AmmoTypeFactors,7,FALSE))^(0.346))^IF(B90="HEDP",2.1,1)/IF(B90="HEDP",50,1)</f>
        <v>42.0771398128692</v>
      </c>
      <c r="D90" s="16">
        <f>IF(VLOOKUP(B90,AmmoTypeFactors,8,FALSE),J90,C90)*VLOOKUP('Ammo Input'!B90,AmmoTypeFactors,2,FALSE)</f>
        <v>139.392648527793</v>
      </c>
      <c r="E90" s="16">
        <f>IF(OR(VLOOKUP(B90,AmmoTypeFactors,6,FALSE)="Bomb",VLOOKUP(B90,AmmoTypeFactors,6,FALSE)="Thermobaric"),J90*VLOOKUP(B90,AmmoTypeFactors,4,FALSE),IF(VLOOKUP(B90,AmmoTypeFactors,11,FALSE),P90,C90*VLOOKUP(B90,AmmoTypeFactors,4,FALSE)))</f>
        <v>0</v>
      </c>
      <c r="F90" s="16">
        <f>'Ammo Stats'!G90/0.005</f>
        <v>577600</v>
      </c>
      <c r="G90" s="16">
        <f>(IF(B90="HEAT",10,'Ammo Input'!F90)*VLOOKUP(B90,AmmoTypeFactors,7,FALSE)*0.5)^2*PI()/100</f>
        <v>54.1060794764502</v>
      </c>
      <c r="H90" s="10">
        <f t="shared" si="3"/>
        <v>57.76</v>
      </c>
      <c r="I90" s="10">
        <f>IF(B90&lt;&gt;"Arrow (Flaming)",39493.49*'Ammo Input'!M90^0.6/1000,0)</f>
        <v>41.817794558338</v>
      </c>
      <c r="J90">
        <f t="shared" si="4"/>
        <v>139.392648527793</v>
      </c>
      <c r="K90">
        <f t="shared" si="5"/>
        <v>8</v>
      </c>
      <c r="L90">
        <f>200000/('Ammo Stats'!C90*(MAX('Ammo Input'!D90,'Ammo Input'!F90)*0.5)^2*PI())</f>
        <v>5.68683428312767</v>
      </c>
      <c r="M90">
        <f>IF(B90="Frag",1,('Ammo Input'!M90/1.33)/('Ammo Input'!H90/1000))</f>
        <v>1</v>
      </c>
      <c r="N90">
        <v>0</v>
      </c>
      <c r="O90">
        <v>100</v>
      </c>
      <c r="P90" s="3">
        <f>(39493.49*(IF((VLOOKUP(B90,AmmoTypeFactors,6,FALSE)="Bomb_Secondary"),1.33,1)*('Ammo Input'!H90*0.35)/1000)^0.6/1000)*10/3*VLOOKUP(B90,AmmoTypeFactors,4,FALSE)</f>
        <v>0</v>
      </c>
    </row>
    <row r="91" ht="14.4" spans="1:16">
      <c r="A91" t="str">
        <f>'Ammo Input'!A91</f>
        <v>83mm PIAT Grenade</v>
      </c>
      <c r="B91" s="1" t="str">
        <f>'Ammo Input'!B91</f>
        <v>EMP</v>
      </c>
      <c r="C91">
        <f>(0.579*('Ammo Stats'!G91*IF(OR(B91="HEAT",B91="HEDP"),10,'Ammo Input'!F91)*VLOOKUP(B91,AmmoTypeFactors,7,FALSE))^(0.346))^IF(B91="HEDP",2.1,1)/IF(B91="HEDP",50,1)</f>
        <v>42.0771398128692</v>
      </c>
      <c r="D91" s="16">
        <f>IF(VLOOKUP(B91,AmmoTypeFactors,8,FALSE),J91,C91)*VLOOKUP('Ammo Input'!B91,AmmoTypeFactors,2,FALSE)</f>
        <v>139.392648527793</v>
      </c>
      <c r="E91" s="16">
        <f>IF(OR(VLOOKUP(B91,AmmoTypeFactors,6,FALSE)="Bomb",VLOOKUP(B91,AmmoTypeFactors,6,FALSE)="Thermobaric"),J91*VLOOKUP(B91,AmmoTypeFactors,4,FALSE),IF(VLOOKUP(B91,AmmoTypeFactors,11,FALSE),P91,C91*VLOOKUP(B91,AmmoTypeFactors,4,FALSE)))</f>
        <v>0</v>
      </c>
      <c r="F91" s="16">
        <f>'Ammo Stats'!G91/0.005</f>
        <v>577600</v>
      </c>
      <c r="G91" s="16">
        <f>(IF(B91="HEAT",10,'Ammo Input'!F91)*VLOOKUP(B91,AmmoTypeFactors,7,FALSE)*0.5)^2*PI()/100</f>
        <v>54.1060794764502</v>
      </c>
      <c r="H91" s="10">
        <f t="shared" si="3"/>
        <v>57.76</v>
      </c>
      <c r="I91" s="10">
        <f>IF(B91&lt;&gt;"Arrow (Flaming)",39493.49*'Ammo Input'!M91^0.6/1000,0)</f>
        <v>41.817794558338</v>
      </c>
      <c r="J91">
        <f t="shared" si="4"/>
        <v>139.392648527793</v>
      </c>
      <c r="K91">
        <f t="shared" si="5"/>
        <v>8</v>
      </c>
      <c r="L91">
        <f>200000/('Ammo Stats'!C91*(MAX('Ammo Input'!D91,'Ammo Input'!F91)*0.5)^2*PI())</f>
        <v>5.68683428312767</v>
      </c>
      <c r="M91">
        <f>IF(B91="Frag",1,('Ammo Input'!M91/1.33)/('Ammo Input'!H91/1000))</f>
        <v>0.827067669172932</v>
      </c>
      <c r="N91" t="s">
        <v>353</v>
      </c>
      <c r="O91" t="s">
        <v>353</v>
      </c>
      <c r="P91" s="3">
        <f>(39493.49*(IF((VLOOKUP(B91,AmmoTypeFactors,6,FALSE)="Bomb_Secondary"),1.33,1)*('Ammo Input'!H91*0.35)/1000)^0.6/1000)*10/3*VLOOKUP(B91,AmmoTypeFactors,4,FALSE)</f>
        <v>0</v>
      </c>
    </row>
    <row r="92" ht="14.4" spans="1:16">
      <c r="A92" s="14" t="s">
        <v>82</v>
      </c>
      <c r="B92" s="15"/>
      <c r="C92" s="15"/>
      <c r="D92" s="15"/>
      <c r="E92" s="15"/>
      <c r="F92" s="15"/>
      <c r="G92" s="15"/>
      <c r="H92" s="15"/>
      <c r="I92" s="15"/>
      <c r="J92" s="15"/>
      <c r="K92" s="15"/>
      <c r="L92" s="15"/>
      <c r="M92" s="15"/>
      <c r="N92" s="15"/>
      <c r="O92" s="15"/>
      <c r="P92" s="15"/>
    </row>
    <row r="93" ht="14.4" spans="1:16">
      <c r="A93" t="str">
        <f>'Ammo Input'!A93</f>
        <v>2 Bore</v>
      </c>
      <c r="B93" s="1" t="str">
        <f>'Ammo Input'!B93</f>
        <v>FMJ</v>
      </c>
      <c r="C93">
        <f>(0.579*('Ammo Stats'!G93*IF(OR(B93="HEAT",B93="HEDP"),10,'Ammo Input'!F93)*VLOOKUP(B93,AmmoTypeFactors,7,FALSE))^(0.346))^IF(B93="HEDP",2.1,1)/IF(B93="HEDP",50,1)</f>
        <v>57.1848174470251</v>
      </c>
      <c r="D93" s="16">
        <f>IF(VLOOKUP(B93,AmmoTypeFactors,8,FALSE),J93,C93)*VLOOKUP('Ammo Input'!B93,AmmoTypeFactors,2,FALSE)</f>
        <v>57.1848174470251</v>
      </c>
      <c r="E93" s="16">
        <f>IF(OR(VLOOKUP(B93,AmmoTypeFactors,6,FALSE)="Bomb",VLOOKUP(B93,AmmoTypeFactors,6,FALSE)="Thermobaric"),J93*VLOOKUP(B93,AmmoTypeFactors,4,FALSE),IF(VLOOKUP(B93,AmmoTypeFactors,11,FALSE),P93,C93*VLOOKUP(B93,AmmoTypeFactors,4,FALSE)))</f>
        <v>0</v>
      </c>
      <c r="F93" s="16">
        <f>'Ammo Stats'!G93/0.005</f>
        <v>3452600</v>
      </c>
      <c r="G93" s="16">
        <f>(IF(B93="HEAT",10,'Ammo Input'!F93)*VLOOKUP(B93,AmmoTypeFactors,7,FALSE)*0.5)^2*PI()/100</f>
        <v>8.91968840188848</v>
      </c>
      <c r="H93" s="10">
        <f t="shared" ref="H93:H215" si="6">F93/10000</f>
        <v>345.26</v>
      </c>
      <c r="I93" s="10">
        <f>IF(B93&lt;&gt;"Arrow (Flaming)",39493.49*'Ammo Input'!M93^0.6/1000,0)</f>
        <v>0</v>
      </c>
      <c r="J93">
        <f t="shared" ref="J93:J215" si="7">I93*10/3</f>
        <v>0</v>
      </c>
      <c r="K93">
        <f t="shared" ref="K93:K215" si="8">ROUND(F93^(1/3)/10,0)</f>
        <v>15</v>
      </c>
      <c r="L93">
        <f>200000/('Ammo Stats'!C93*(MAX('Ammo Input'!D93,'Ammo Input'!F93)*0.5)^2*PI())</f>
        <v>493.748564350096</v>
      </c>
      <c r="M93">
        <f>IF(B93="Frag",1,('Ammo Input'!M93/1.33)/('Ammo Input'!H93/1000))</f>
        <v>0</v>
      </c>
      <c r="N93" t="s">
        <v>353</v>
      </c>
      <c r="O93" t="s">
        <v>353</v>
      </c>
      <c r="P93" s="3">
        <f>(39493.49*(IF((VLOOKUP(B93,AmmoTypeFactors,6,FALSE)="Bomb_Secondary"),1.33,1)*('Ammo Input'!H93*0.35)/1000)^0.6/1000)*10/3*VLOOKUP(B93,AmmoTypeFactors,4,FALSE)</f>
        <v>0</v>
      </c>
    </row>
    <row r="94" ht="14.4" spans="1:16">
      <c r="A94" t="str">
        <f>'Ammo Input'!A94</f>
        <v>2 Bore</v>
      </c>
      <c r="B94" s="1" t="str">
        <f>'Ammo Input'!B94</f>
        <v>AP</v>
      </c>
      <c r="C94">
        <f>(0.579*('Ammo Stats'!G94*IF(OR(B94="HEAT",B94="HEDP"),10,'Ammo Input'!F94)*VLOOKUP(B94,AmmoTypeFactors,7,FALSE))^(0.346))^IF(B94="HEDP",2.1,1)/IF(B94="HEDP",50,1)</f>
        <v>44.9908668117187</v>
      </c>
      <c r="D94" s="16">
        <f>IF(VLOOKUP(B94,AmmoTypeFactors,8,FALSE),J94,C94)*VLOOKUP('Ammo Input'!B94,AmmoTypeFactors,2,FALSE)</f>
        <v>35.992693449375</v>
      </c>
      <c r="E94" s="16">
        <f>IF(OR(VLOOKUP(B94,AmmoTypeFactors,6,FALSE)="Bomb",VLOOKUP(B94,AmmoTypeFactors,6,FALSE)="Thermobaric"),J94*VLOOKUP(B94,AmmoTypeFactors,4,FALSE),IF(VLOOKUP(B94,AmmoTypeFactors,11,FALSE),P94,C94*VLOOKUP(B94,AmmoTypeFactors,4,FALSE)))</f>
        <v>0</v>
      </c>
      <c r="F94" s="16">
        <f>'Ammo Stats'!G94/0.005</f>
        <v>3452600</v>
      </c>
      <c r="G94" s="16">
        <f>(IF(B94="HEAT",10,'Ammo Input'!F94)*VLOOKUP(B94,AmmoTypeFactors,7,FALSE)*0.5)^2*PI()/100</f>
        <v>2.22992210047212</v>
      </c>
      <c r="H94" s="10">
        <f t="shared" si="6"/>
        <v>345.26</v>
      </c>
      <c r="I94" s="10">
        <f>IF(B94&lt;&gt;"Arrow (Flaming)",39493.49*'Ammo Input'!M94^0.6/1000,0)</f>
        <v>0</v>
      </c>
      <c r="J94">
        <f t="shared" si="7"/>
        <v>0</v>
      </c>
      <c r="K94">
        <f t="shared" si="8"/>
        <v>15</v>
      </c>
      <c r="L94">
        <f>200000/('Ammo Stats'!C94*(MAX('Ammo Input'!D94,'Ammo Input'!F94)*0.5)^2*PI())</f>
        <v>493.748564350096</v>
      </c>
      <c r="M94">
        <f>IF(B94="Frag",1,('Ammo Input'!M94/1.33)/('Ammo Input'!H94/1000))</f>
        <v>0</v>
      </c>
      <c r="N94" t="s">
        <v>353</v>
      </c>
      <c r="O94" t="s">
        <v>353</v>
      </c>
      <c r="P94" s="3">
        <f>(39493.49*(IF((VLOOKUP(B94,AmmoTypeFactors,6,FALSE)="Bomb_Secondary"),1.33,1)*('Ammo Input'!H94*0.35)/1000)^0.6/1000)*10/3*VLOOKUP(B94,AmmoTypeFactors,4,FALSE)</f>
        <v>0</v>
      </c>
    </row>
    <row r="95" ht="14.4" spans="1:16">
      <c r="A95" t="str">
        <f>'Ammo Input'!A95</f>
        <v>2 Bore</v>
      </c>
      <c r="B95" s="1" t="str">
        <f>'Ammo Input'!B95</f>
        <v>AP-I</v>
      </c>
      <c r="C95">
        <f>(0.579*('Ammo Stats'!G95*IF(OR(B95="HEAT",B95="HEDP"),10,'Ammo Input'!F95)*VLOOKUP(B95,AmmoTypeFactors,7,FALSE))^(0.346))^IF(B95="HEDP",2.1,1)/IF(B95="HEDP",50,1)</f>
        <v>44.9908668117187</v>
      </c>
      <c r="D95" s="16">
        <f>IF(VLOOKUP(B95,AmmoTypeFactors,8,FALSE),J95,C95)*VLOOKUP('Ammo Input'!B95,AmmoTypeFactors,2,FALSE)</f>
        <v>35.992693449375</v>
      </c>
      <c r="E95" s="16">
        <f>IF(OR(VLOOKUP(B95,AmmoTypeFactors,6,FALSE)="Bomb",VLOOKUP(B95,AmmoTypeFactors,6,FALSE)="Thermobaric"),J95*VLOOKUP(B95,AmmoTypeFactors,4,FALSE),IF(VLOOKUP(B95,AmmoTypeFactors,11,FALSE),P95,C95*VLOOKUP(B95,AmmoTypeFactors,4,FALSE)))</f>
        <v>37.4458723172824</v>
      </c>
      <c r="F95" s="16">
        <f>'Ammo Stats'!G95/0.005</f>
        <v>3452600</v>
      </c>
      <c r="G95" s="16">
        <f>(IF(B95="HEAT",10,'Ammo Input'!F95)*VLOOKUP(B95,AmmoTypeFactors,7,FALSE)*0.5)^2*PI()/100</f>
        <v>2.22992210047212</v>
      </c>
      <c r="H95" s="10">
        <f t="shared" si="6"/>
        <v>345.26</v>
      </c>
      <c r="I95" s="10">
        <f>IF(B95&lt;&gt;"Arrow (Flaming)",39493.49*'Ammo Input'!M95^0.6/1000,0)</f>
        <v>0</v>
      </c>
      <c r="J95">
        <f t="shared" si="7"/>
        <v>0</v>
      </c>
      <c r="K95">
        <f t="shared" si="8"/>
        <v>15</v>
      </c>
      <c r="L95">
        <f>200000/('Ammo Stats'!C95*(MAX('Ammo Input'!D95,'Ammo Input'!F95)*0.5)^2*PI())</f>
        <v>493.748564350096</v>
      </c>
      <c r="M95">
        <f>IF(B95="Frag",1,('Ammo Input'!M95/1.33)/('Ammo Input'!H95/1000))</f>
        <v>0</v>
      </c>
      <c r="N95" t="s">
        <v>353</v>
      </c>
      <c r="O95" t="s">
        <v>353</v>
      </c>
      <c r="P95" s="3">
        <f>(39493.49*(IF((VLOOKUP(B95,AmmoTypeFactors,6,FALSE)="Bomb_Secondary"),1.33,1)*('Ammo Input'!H95*0.35)/1000)^0.6/1000)*10/3*VLOOKUP(B95,AmmoTypeFactors,4,FALSE)</f>
        <v>37.4458723172824</v>
      </c>
    </row>
    <row r="96" ht="14.4" spans="1:16">
      <c r="A96" t="str">
        <f>'Ammo Input'!A96</f>
        <v>2 Bore</v>
      </c>
      <c r="B96" s="1" t="str">
        <f>'Ammo Input'!B96</f>
        <v>AP-HE</v>
      </c>
      <c r="C96">
        <f>(0.579*('Ammo Stats'!G96*IF(OR(B96="HEAT",B96="HEDP"),10,'Ammo Input'!F96)*VLOOKUP(B96,AmmoTypeFactors,7,FALSE))^(0.346))^IF(B96="HEDP",2.1,1)/IF(B96="HEDP",50,1)</f>
        <v>57.1848174470251</v>
      </c>
      <c r="D96" s="16">
        <f>IF(VLOOKUP(B96,AmmoTypeFactors,8,FALSE),J96,C96)*VLOOKUP('Ammo Input'!B96,AmmoTypeFactors,2,FALSE)</f>
        <v>57.1848174470251</v>
      </c>
      <c r="E96" s="16">
        <f>IF(OR(VLOOKUP(B96,AmmoTypeFactors,6,FALSE)="Bomb",VLOOKUP(B96,AmmoTypeFactors,6,FALSE)="Thermobaric"),J96*VLOOKUP(B96,AmmoTypeFactors,4,FALSE),IF(VLOOKUP(B96,AmmoTypeFactors,11,FALSE),P96,C96*VLOOKUP(B96,AmmoTypeFactors,4,FALSE)))</f>
        <v>51.2699440427658</v>
      </c>
      <c r="F96" s="16">
        <f>'Ammo Stats'!G96/0.005</f>
        <v>3452600</v>
      </c>
      <c r="G96" s="16">
        <f>(IF(B96="HEAT",10,'Ammo Input'!F96)*VLOOKUP(B96,AmmoTypeFactors,7,FALSE)*0.5)^2*PI()/100</f>
        <v>8.91968840188848</v>
      </c>
      <c r="H96" s="10">
        <f t="shared" si="6"/>
        <v>345.26</v>
      </c>
      <c r="I96" s="10">
        <f>IF(B96&lt;&gt;"Arrow (Flaming)",39493.49*'Ammo Input'!M96^0.6/1000,0)</f>
        <v>0</v>
      </c>
      <c r="J96">
        <f t="shared" si="7"/>
        <v>0</v>
      </c>
      <c r="K96">
        <f t="shared" si="8"/>
        <v>15</v>
      </c>
      <c r="L96">
        <f>200000/('Ammo Stats'!C96*(MAX('Ammo Input'!D96,'Ammo Input'!F96)*0.5)^2*PI())</f>
        <v>493.748564350096</v>
      </c>
      <c r="M96">
        <f>IF(B96="Frag",1,('Ammo Input'!M96/1.33)/('Ammo Input'!H96/1000))</f>
        <v>0</v>
      </c>
      <c r="N96" t="s">
        <v>353</v>
      </c>
      <c r="O96" t="s">
        <v>353</v>
      </c>
      <c r="P96" s="3">
        <f>(39493.49*(IF((VLOOKUP(B96,AmmoTypeFactors,6,FALSE)="Bomb_Secondary"),1.33,1)*('Ammo Input'!H96*0.35)/1000)^0.6/1000)*10/3*VLOOKUP(B96,AmmoTypeFactors,4,FALSE)</f>
        <v>51.2699440427658</v>
      </c>
    </row>
    <row r="97" ht="14.4" spans="1:16">
      <c r="A97" t="str">
        <f>'Ammo Input'!A97</f>
        <v>2 Bore</v>
      </c>
      <c r="B97" s="1" t="str">
        <f>'Ammo Input'!B97</f>
        <v>Sabot</v>
      </c>
      <c r="C97">
        <f>(0.579*('Ammo Stats'!G97*IF(OR(B97="HEAT",B97="HEDP"),10,'Ammo Input'!F97)*VLOOKUP(B97,AmmoTypeFactors,7,FALSE))^(0.346))^IF(B97="HEDP",2.1,1)/IF(B97="HEDP",50,1)</f>
        <v>43.3505654981355</v>
      </c>
      <c r="D97" s="16">
        <f>IF(VLOOKUP(B97,AmmoTypeFactors,8,FALSE),J97,C97)*VLOOKUP('Ammo Input'!B97,AmmoTypeFactors,2,FALSE)</f>
        <v>30.3453958486948</v>
      </c>
      <c r="E97" s="16">
        <f>IF(OR(VLOOKUP(B97,AmmoTypeFactors,6,FALSE)="Bomb",VLOOKUP(B97,AmmoTypeFactors,6,FALSE)="Thermobaric"),J97*VLOOKUP(B97,AmmoTypeFactors,4,FALSE),IF(VLOOKUP(B97,AmmoTypeFactors,11,FALSE),P97,C97*VLOOKUP(B97,AmmoTypeFactors,4,FALSE)))</f>
        <v>0</v>
      </c>
      <c r="F97" s="16">
        <f>'Ammo Stats'!G97/0.005</f>
        <v>4428400</v>
      </c>
      <c r="G97" s="16">
        <f>(IF(B97="HEAT",10,'Ammo Input'!F97)*VLOOKUP(B97,AmmoTypeFactors,7,FALSE)*0.5)^2*PI()/100</f>
        <v>1.09358840271461</v>
      </c>
      <c r="H97" s="10">
        <f t="shared" si="6"/>
        <v>442.84</v>
      </c>
      <c r="I97" s="10">
        <f>IF(B97&lt;&gt;"Arrow (Flaming)",39493.49*'Ammo Input'!M97^0.6/1000,0)</f>
        <v>0</v>
      </c>
      <c r="J97">
        <f t="shared" si="7"/>
        <v>0</v>
      </c>
      <c r="K97">
        <f t="shared" si="8"/>
        <v>16</v>
      </c>
      <c r="L97">
        <f>200000/('Ammo Stats'!C97*(MAX('Ammo Input'!D97,'Ammo Input'!F97)*0.5)^2*PI())</f>
        <v>493.748564350096</v>
      </c>
      <c r="M97">
        <f>IF(B97="Frag",1,('Ammo Input'!M97/1.33)/('Ammo Input'!H97/1000))</f>
        <v>0</v>
      </c>
      <c r="N97" t="s">
        <v>353</v>
      </c>
      <c r="O97" t="s">
        <v>353</v>
      </c>
      <c r="P97" s="3">
        <f>(39493.49*(IF((VLOOKUP(B97,AmmoTypeFactors,6,FALSE)="Bomb_Secondary"),1.33,1)*('Ammo Input'!H97*0.35)/1000)^0.6/1000)*10/3*VLOOKUP(B97,AmmoTypeFactors,4,FALSE)</f>
        <v>0</v>
      </c>
    </row>
    <row r="98" ht="14.4" spans="1:16">
      <c r="A98" t="str">
        <f>'Ammo Input'!A98</f>
        <v>12.7x108mm Soviet</v>
      </c>
      <c r="B98" s="1" t="str">
        <f>'Ammo Input'!B98</f>
        <v>FMJ</v>
      </c>
      <c r="C98">
        <f>(0.579*('Ammo Stats'!G98*IF(OR(B98="HEAT",B98="HEDP"),10,'Ammo Input'!F98)*VLOOKUP(B98,AmmoTypeFactors,7,FALSE))^(0.346))^IF(B98="HEDP",2.1,1)/IF(B98="HEDP",50,1)</f>
        <v>41.5940303048819</v>
      </c>
      <c r="D98" s="16">
        <f>IF(VLOOKUP(B98,AmmoTypeFactors,8,FALSE),J98,C98)*VLOOKUP('Ammo Input'!B98,AmmoTypeFactors,2,FALSE)</f>
        <v>41.5940303048819</v>
      </c>
      <c r="E98" s="16">
        <f>IF(OR(VLOOKUP(B98,AmmoTypeFactors,6,FALSE)="Bomb",VLOOKUP(B98,AmmoTypeFactors,6,FALSE)="Thermobaric"),J98*VLOOKUP(B98,AmmoTypeFactors,4,FALSE),IF(VLOOKUP(B98,AmmoTypeFactors,11,FALSE),P98,C98*VLOOKUP(B98,AmmoTypeFactors,4,FALSE)))</f>
        <v>0</v>
      </c>
      <c r="F98" s="16">
        <f>'Ammo Stats'!G98/0.005</f>
        <v>3572200</v>
      </c>
      <c r="G98" s="16">
        <f>(IF(B98="HEAT",10,'Ammo Input'!F98)*VLOOKUP(B98,AmmoTypeFactors,7,FALSE)*0.5)^2*PI()/100</f>
        <v>1.32324196728467</v>
      </c>
      <c r="H98" s="10">
        <f t="shared" si="6"/>
        <v>357.22</v>
      </c>
      <c r="I98" s="10">
        <f>IF(B98&lt;&gt;"Arrow (Flaming)",39493.49*'Ammo Input'!M98^0.6/1000,0)</f>
        <v>0</v>
      </c>
      <c r="J98">
        <f t="shared" si="7"/>
        <v>0</v>
      </c>
      <c r="K98">
        <f t="shared" si="8"/>
        <v>15</v>
      </c>
      <c r="L98">
        <f>200000/('Ammo Stats'!C98*(MAX('Ammo Input'!D98,'Ammo Input'!F98)*0.5)^2*PI())</f>
        <v>3166.45026007983</v>
      </c>
      <c r="M98">
        <f>IF(B98="Frag",1,('Ammo Input'!M98/1.33)/('Ammo Input'!H98/1000))</f>
        <v>0</v>
      </c>
      <c r="N98" t="s">
        <v>353</v>
      </c>
      <c r="O98" t="s">
        <v>353</v>
      </c>
      <c r="P98" s="3">
        <f>(39493.49*(IF((VLOOKUP(B98,AmmoTypeFactors,6,FALSE)="Bomb_Secondary"),1.33,1)*('Ammo Input'!H98*0.35)/1000)^0.6/1000)*10/3*VLOOKUP(B98,AmmoTypeFactors,4,FALSE)</f>
        <v>0</v>
      </c>
    </row>
    <row r="99" ht="14.4" spans="1:16">
      <c r="A99" t="str">
        <f>'Ammo Input'!A99</f>
        <v>12.7x108mm Soviet</v>
      </c>
      <c r="B99" s="1" t="str">
        <f>'Ammo Input'!B99</f>
        <v>AP</v>
      </c>
      <c r="C99">
        <f>(0.579*('Ammo Stats'!G99*IF(OR(B99="HEAT",B99="HEDP"),10,'Ammo Input'!F99)*VLOOKUP(B99,AmmoTypeFactors,7,FALSE))^(0.346))^IF(B99="HEDP",2.1,1)/IF(B99="HEDP",50,1)</f>
        <v>32.7246209947792</v>
      </c>
      <c r="D99" s="16">
        <f>IF(VLOOKUP(B99,AmmoTypeFactors,8,FALSE),J99,C99)*VLOOKUP('Ammo Input'!B99,AmmoTypeFactors,2,FALSE)</f>
        <v>26.1796967958233</v>
      </c>
      <c r="E99" s="16">
        <f>IF(OR(VLOOKUP(B99,AmmoTypeFactors,6,FALSE)="Bomb",VLOOKUP(B99,AmmoTypeFactors,6,FALSE)="Thermobaric"),J99*VLOOKUP(B99,AmmoTypeFactors,4,FALSE),IF(VLOOKUP(B99,AmmoTypeFactors,11,FALSE),P99,C99*VLOOKUP(B99,AmmoTypeFactors,4,FALSE)))</f>
        <v>0</v>
      </c>
      <c r="F99" s="16">
        <f>'Ammo Stats'!G99/0.005</f>
        <v>3572200</v>
      </c>
      <c r="G99" s="16">
        <f>(IF(B99="HEAT",10,'Ammo Input'!F99)*VLOOKUP(B99,AmmoTypeFactors,7,FALSE)*0.5)^2*PI()/100</f>
        <v>0.330810491821169</v>
      </c>
      <c r="H99" s="10">
        <f t="shared" si="6"/>
        <v>357.22</v>
      </c>
      <c r="I99" s="10">
        <f>IF(B99&lt;&gt;"Arrow (Flaming)",39493.49*'Ammo Input'!M99^0.6/1000,0)</f>
        <v>0</v>
      </c>
      <c r="J99">
        <f t="shared" si="7"/>
        <v>0</v>
      </c>
      <c r="K99">
        <f t="shared" si="8"/>
        <v>15</v>
      </c>
      <c r="L99">
        <f>200000/('Ammo Stats'!C99*(MAX('Ammo Input'!D99,'Ammo Input'!F99)*0.5)^2*PI())</f>
        <v>3166.45026007983</v>
      </c>
      <c r="M99">
        <f>IF(B99="Frag",1,('Ammo Input'!M99/1.33)/('Ammo Input'!H99/1000))</f>
        <v>0</v>
      </c>
      <c r="N99" t="s">
        <v>353</v>
      </c>
      <c r="O99" t="s">
        <v>353</v>
      </c>
      <c r="P99" s="3">
        <f>(39493.49*(IF((VLOOKUP(B99,AmmoTypeFactors,6,FALSE)="Bomb_Secondary"),1.33,1)*('Ammo Input'!H99*0.35)/1000)^0.6/1000)*10/3*VLOOKUP(B99,AmmoTypeFactors,4,FALSE)</f>
        <v>0</v>
      </c>
    </row>
    <row r="100" ht="14.4" spans="1:16">
      <c r="A100" t="str">
        <f>'Ammo Input'!A100</f>
        <v>12.7x108mm Soviet</v>
      </c>
      <c r="B100" s="1" t="str">
        <f>'Ammo Input'!B100</f>
        <v>AP-I</v>
      </c>
      <c r="C100">
        <f>(0.579*('Ammo Stats'!G100*IF(OR(B100="HEAT",B100="HEDP"),10,'Ammo Input'!F100)*VLOOKUP(B100,AmmoTypeFactors,7,FALSE))^(0.346))^IF(B100="HEDP",2.1,1)/IF(B100="HEDP",50,1)</f>
        <v>32.7246209947792</v>
      </c>
      <c r="D100" s="16">
        <f>IF(VLOOKUP(B100,AmmoTypeFactors,8,FALSE),J100,C100)*VLOOKUP('Ammo Input'!B100,AmmoTypeFactors,2,FALSE)</f>
        <v>26.1796967958233</v>
      </c>
      <c r="E100" s="16">
        <f>IF(OR(VLOOKUP(B100,AmmoTypeFactors,6,FALSE)="Bomb",VLOOKUP(B100,AmmoTypeFactors,6,FALSE)="Thermobaric"),J100*VLOOKUP(B100,AmmoTypeFactors,4,FALSE),IF(VLOOKUP(B100,AmmoTypeFactors,11,FALSE),P100,C100*VLOOKUP(B100,AmmoTypeFactors,4,FALSE)))</f>
        <v>14.7964222443249</v>
      </c>
      <c r="F100" s="16">
        <f>'Ammo Stats'!G100/0.005</f>
        <v>3572200</v>
      </c>
      <c r="G100" s="16">
        <f>(IF(B100="HEAT",10,'Ammo Input'!F100)*VLOOKUP(B100,AmmoTypeFactors,7,FALSE)*0.5)^2*PI()/100</f>
        <v>0.330810491821169</v>
      </c>
      <c r="H100" s="10">
        <f t="shared" si="6"/>
        <v>357.22</v>
      </c>
      <c r="I100" s="10">
        <f>IF(B100&lt;&gt;"Arrow (Flaming)",39493.49*'Ammo Input'!M100^0.6/1000,0)</f>
        <v>0</v>
      </c>
      <c r="J100">
        <f t="shared" si="7"/>
        <v>0</v>
      </c>
      <c r="K100">
        <f t="shared" si="8"/>
        <v>15</v>
      </c>
      <c r="L100">
        <f>200000/('Ammo Stats'!C100*(MAX('Ammo Input'!D100,'Ammo Input'!F100)*0.5)^2*PI())</f>
        <v>3166.45026007983</v>
      </c>
      <c r="M100">
        <f>IF(B100="Frag",1,('Ammo Input'!M100/1.33)/('Ammo Input'!H100/1000))</f>
        <v>0</v>
      </c>
      <c r="N100" t="s">
        <v>353</v>
      </c>
      <c r="O100" t="s">
        <v>353</v>
      </c>
      <c r="P100" s="3">
        <f>(39493.49*(IF((VLOOKUP(B100,AmmoTypeFactors,6,FALSE)="Bomb_Secondary"),1.33,1)*('Ammo Input'!H100*0.35)/1000)^0.6/1000)*10/3*VLOOKUP(B100,AmmoTypeFactors,4,FALSE)</f>
        <v>14.7964222443249</v>
      </c>
    </row>
    <row r="101" ht="14.4" spans="1:16">
      <c r="A101" t="str">
        <f>'Ammo Input'!A101</f>
        <v>12.7x108mm Soviet</v>
      </c>
      <c r="B101" s="1" t="str">
        <f>'Ammo Input'!B101</f>
        <v>AP-HE</v>
      </c>
      <c r="C101">
        <f>(0.579*('Ammo Stats'!G101*IF(OR(B101="HEAT",B101="HEDP"),10,'Ammo Input'!F101)*VLOOKUP(B101,AmmoTypeFactors,7,FALSE))^(0.346))^IF(B101="HEDP",2.1,1)/IF(B101="HEDP",50,1)</f>
        <v>41.5940303048819</v>
      </c>
      <c r="D101" s="16">
        <f>IF(VLOOKUP(B101,AmmoTypeFactors,8,FALSE),J101,C101)*VLOOKUP('Ammo Input'!B101,AmmoTypeFactors,2,FALSE)</f>
        <v>41.5940303048819</v>
      </c>
      <c r="E101" s="16">
        <f>IF(OR(VLOOKUP(B101,AmmoTypeFactors,6,FALSE)="Bomb",VLOOKUP(B101,AmmoTypeFactors,6,FALSE)="Thermobaric"),J101*VLOOKUP(B101,AmmoTypeFactors,4,FALSE),IF(VLOOKUP(B101,AmmoTypeFactors,11,FALSE),P101,C101*VLOOKUP(B101,AmmoTypeFactors,4,FALSE)))</f>
        <v>20.2588881912506</v>
      </c>
      <c r="F101" s="16">
        <f>'Ammo Stats'!G101/0.005</f>
        <v>3572200</v>
      </c>
      <c r="G101" s="16">
        <f>(IF(B101="HEAT",10,'Ammo Input'!F101)*VLOOKUP(B101,AmmoTypeFactors,7,FALSE)*0.5)^2*PI()/100</f>
        <v>1.32324196728467</v>
      </c>
      <c r="H101" s="10">
        <f t="shared" si="6"/>
        <v>357.22</v>
      </c>
      <c r="I101" s="10">
        <f>IF(B101&lt;&gt;"Arrow (Flaming)",39493.49*'Ammo Input'!M101^0.6/1000,0)</f>
        <v>0</v>
      </c>
      <c r="J101">
        <f t="shared" si="7"/>
        <v>0</v>
      </c>
      <c r="K101">
        <f t="shared" si="8"/>
        <v>15</v>
      </c>
      <c r="L101">
        <f>200000/('Ammo Stats'!C101*(MAX('Ammo Input'!D101,'Ammo Input'!F101)*0.5)^2*PI())</f>
        <v>3166.45026007983</v>
      </c>
      <c r="M101">
        <f>IF(B101="Frag",1,('Ammo Input'!M101/1.33)/('Ammo Input'!H101/1000))</f>
        <v>0</v>
      </c>
      <c r="N101" t="s">
        <v>353</v>
      </c>
      <c r="O101" t="s">
        <v>353</v>
      </c>
      <c r="P101" s="3">
        <f>(39493.49*(IF((VLOOKUP(B101,AmmoTypeFactors,6,FALSE)="Bomb_Secondary"),1.33,1)*('Ammo Input'!H101*0.35)/1000)^0.6/1000)*10/3*VLOOKUP(B101,AmmoTypeFactors,4,FALSE)</f>
        <v>20.2588881912506</v>
      </c>
    </row>
    <row r="102" ht="14.4" spans="1:16">
      <c r="A102" t="str">
        <f>'Ammo Input'!A102</f>
        <v>12.7x108mm Soviet</v>
      </c>
      <c r="B102" s="1" t="str">
        <f>'Ammo Input'!B102</f>
        <v>Sabot</v>
      </c>
      <c r="C102">
        <f>(0.579*('Ammo Stats'!G102*IF(OR(B102="HEAT",B102="HEDP"),10,'Ammo Input'!F102)*VLOOKUP(B102,AmmoTypeFactors,7,FALSE))^(0.346))^IF(B102="HEDP",2.1,1)/IF(B102="HEDP",50,1)</f>
        <v>29.4852015520431</v>
      </c>
      <c r="D102" s="16">
        <f>IF(VLOOKUP(B102,AmmoTypeFactors,8,FALSE),J102,C102)*VLOOKUP('Ammo Input'!B102,AmmoTypeFactors,2,FALSE)</f>
        <v>20.6396410864302</v>
      </c>
      <c r="E102" s="16">
        <f>IF(OR(VLOOKUP(B102,AmmoTypeFactors,6,FALSE)="Bomb",VLOOKUP(B102,AmmoTypeFactors,6,FALSE)="Thermobaric"),J102*VLOOKUP(B102,AmmoTypeFactors,4,FALSE),IF(VLOOKUP(B102,AmmoTypeFactors,11,FALSE),P102,C102*VLOOKUP(B102,AmmoTypeFactors,4,FALSE)))</f>
        <v>0</v>
      </c>
      <c r="F102" s="16">
        <f>'Ammo Stats'!G102/0.005</f>
        <v>3778200</v>
      </c>
      <c r="G102" s="16">
        <f>(IF(B102="HEAT",10,'Ammo Input'!F102)*VLOOKUP(B102,AmmoTypeFactors,7,FALSE)*0.5)^2*PI()/100</f>
        <v>0.161883127846828</v>
      </c>
      <c r="H102" s="10">
        <f t="shared" si="6"/>
        <v>377.82</v>
      </c>
      <c r="I102" s="10">
        <f>IF(B102&lt;&gt;"Arrow (Flaming)",39493.49*'Ammo Input'!M102^0.6/1000,0)</f>
        <v>0</v>
      </c>
      <c r="J102">
        <f t="shared" si="7"/>
        <v>0</v>
      </c>
      <c r="K102">
        <f t="shared" si="8"/>
        <v>16</v>
      </c>
      <c r="L102">
        <f>200000/('Ammo Stats'!C102*(MAX('Ammo Input'!D102,'Ammo Input'!F102)*0.5)^2*PI())</f>
        <v>3166.45026007983</v>
      </c>
      <c r="M102">
        <f>IF(B102="Frag",1,('Ammo Input'!M102/1.33)/('Ammo Input'!H102/1000))</f>
        <v>0</v>
      </c>
      <c r="N102" t="s">
        <v>353</v>
      </c>
      <c r="O102" t="s">
        <v>353</v>
      </c>
      <c r="P102" s="3">
        <f>(39493.49*(IF((VLOOKUP(B102,AmmoTypeFactors,6,FALSE)="Bomb_Secondary"),1.33,1)*('Ammo Input'!H102*0.35)/1000)^0.6/1000)*10/3*VLOOKUP(B102,AmmoTypeFactors,4,FALSE)</f>
        <v>0</v>
      </c>
    </row>
    <row r="103" ht="14.4" spans="1:16">
      <c r="A103" t="str">
        <f>'Ammo Input'!A103</f>
        <v>13.2x92mm TuF</v>
      </c>
      <c r="B103" s="1" t="str">
        <f>'Ammo Input'!B103</f>
        <v>FMJ</v>
      </c>
      <c r="C103">
        <f>(0.579*('Ammo Stats'!G103*IF(OR(B103="HEAT",B103="HEDP"),10,'Ammo Input'!F103)*VLOOKUP(B103,AmmoTypeFactors,7,FALSE))^(0.346))^IF(B103="HEDP",2.1,1)/IF(B103="HEDP",50,1)</f>
        <v>40.1585314034344</v>
      </c>
      <c r="D103" s="16">
        <f>IF(VLOOKUP(B103,AmmoTypeFactors,8,FALSE),J103,C103)*VLOOKUP('Ammo Input'!B103,AmmoTypeFactors,2,FALSE)</f>
        <v>40.1585314034344</v>
      </c>
      <c r="E103" s="16">
        <f>IF(OR(VLOOKUP(B103,AmmoTypeFactors,6,FALSE)="Bomb",VLOOKUP(B103,AmmoTypeFactors,6,FALSE)="Thermobaric"),J103*VLOOKUP(B103,AmmoTypeFactors,4,FALSE),IF(VLOOKUP(B103,AmmoTypeFactors,11,FALSE),P103,C103*VLOOKUP(B103,AmmoTypeFactors,4,FALSE)))</f>
        <v>0</v>
      </c>
      <c r="F103" s="16">
        <f>'Ammo Stats'!G103/0.005</f>
        <v>3173600</v>
      </c>
      <c r="G103" s="16">
        <f>(IF(B103="HEAT",10,'Ammo Input'!F103)*VLOOKUP(B103,AmmoTypeFactors,7,FALSE)*0.5)^2*PI()/100</f>
        <v>1.36847775990371</v>
      </c>
      <c r="H103" s="10">
        <f t="shared" si="6"/>
        <v>317.36</v>
      </c>
      <c r="I103" s="10">
        <f>IF(B103&lt;&gt;"Arrow (Flaming)",39493.49*'Ammo Input'!M103^0.6/1000,0)</f>
        <v>0</v>
      </c>
      <c r="J103">
        <f t="shared" si="7"/>
        <v>0</v>
      </c>
      <c r="K103">
        <f t="shared" si="8"/>
        <v>15</v>
      </c>
      <c r="L103">
        <f>200000/('Ammo Stats'!C103*(MAX('Ammo Input'!D103,'Ammo Input'!F103)*0.5)^2*PI())</f>
        <v>10649.3327205487</v>
      </c>
      <c r="M103">
        <f>IF(B103="Frag",1,('Ammo Input'!M103/1.33)/('Ammo Input'!H103/1000))</f>
        <v>0</v>
      </c>
      <c r="N103" t="s">
        <v>353</v>
      </c>
      <c r="O103" t="s">
        <v>353</v>
      </c>
      <c r="P103" s="3">
        <f>(39493.49*(IF((VLOOKUP(B103,AmmoTypeFactors,6,FALSE)="Bomb_Secondary"),1.33,1)*('Ammo Input'!H103*0.35)/1000)^0.6/1000)*10/3*VLOOKUP(B103,AmmoTypeFactors,4,FALSE)</f>
        <v>0</v>
      </c>
    </row>
    <row r="104" ht="14.4" spans="1:16">
      <c r="A104" t="str">
        <f>'Ammo Input'!A105</f>
        <v>13.2x92mm TuF</v>
      </c>
      <c r="B104" s="1" t="str">
        <f>'Ammo Input'!B105</f>
        <v>AP-I</v>
      </c>
      <c r="C104">
        <f>(0.579*('Ammo Stats'!G104*IF(OR(B104="HEAT",B104="HEDP"),10,'Ammo Input'!F104)*VLOOKUP(B104,AmmoTypeFactors,7,FALSE))^(0.346))^IF(B104="HEDP",2.1,1)/IF(B104="HEDP",50,1)</f>
        <v>31.595224368774</v>
      </c>
      <c r="D104" s="16">
        <f>IF(VLOOKUP(B104,AmmoTypeFactors,8,FALSE),J104,C104)*VLOOKUP('Ammo Input'!B104,AmmoTypeFactors,2,FALSE)</f>
        <v>25.2761794950192</v>
      </c>
      <c r="E104" s="16">
        <f>IF(OR(VLOOKUP(B104,AmmoTypeFactors,6,FALSE)="Bomb",VLOOKUP(B104,AmmoTypeFactors,6,FALSE)="Thermobaric"),J104*VLOOKUP(B104,AmmoTypeFactors,4,FALSE),IF(VLOOKUP(B104,AmmoTypeFactors,11,FALSE),P104,C104*VLOOKUP(B104,AmmoTypeFactors,4,FALSE)))</f>
        <v>15.3770411023301</v>
      </c>
      <c r="F104" s="16">
        <f>'Ammo Stats'!G104/0.005</f>
        <v>3173600</v>
      </c>
      <c r="G104" s="16">
        <f>(IF(B104="HEAT",10,'Ammo Input'!F105)*VLOOKUP(B104,AmmoTypeFactors,7,FALSE)*0.5)^2*PI()/100</f>
        <v>0.342119439975928</v>
      </c>
      <c r="H104" s="10">
        <f t="shared" si="6"/>
        <v>317.36</v>
      </c>
      <c r="I104" s="10">
        <f>IF(B104&lt;&gt;"Arrow (Flaming)",39493.49*'Ammo Input'!M105^0.6/1000,0)</f>
        <v>0</v>
      </c>
      <c r="J104">
        <f t="shared" si="7"/>
        <v>0</v>
      </c>
      <c r="K104">
        <f t="shared" si="8"/>
        <v>15</v>
      </c>
      <c r="L104">
        <f>200000/('Ammo Stats'!C104*(MAX('Ammo Input'!D105,'Ammo Input'!F105)*0.5)^2*PI())</f>
        <v>10649.3327205487</v>
      </c>
      <c r="M104">
        <f>IF(B104="Frag",1,('Ammo Input'!M105/1.33)/('Ammo Input'!H105/1000))</f>
        <v>0</v>
      </c>
      <c r="N104" t="s">
        <v>353</v>
      </c>
      <c r="O104" t="s">
        <v>353</v>
      </c>
      <c r="P104" s="3">
        <f>(39493.49*(IF((VLOOKUP(B104,AmmoTypeFactors,6,FALSE)="Bomb_Secondary"),1.33,1)*('Ammo Input'!H104*0.35)/1000)^0.6/1000)*10/3*VLOOKUP(B104,AmmoTypeFactors,4,FALSE)</f>
        <v>15.3770411023301</v>
      </c>
    </row>
    <row r="105" ht="14.4" spans="1:16">
      <c r="A105" t="str">
        <f>'Ammo Input'!A105</f>
        <v>13.2x92mm TuF</v>
      </c>
      <c r="B105" s="1" t="str">
        <f>'Ammo Input'!B105</f>
        <v>AP-I</v>
      </c>
      <c r="C105">
        <f>(0.579*('Ammo Stats'!G105*IF(OR(B105="HEAT",B105="HEDP"),10,'Ammo Input'!F105)*VLOOKUP(B105,AmmoTypeFactors,7,FALSE))^(0.346))^IF(B105="HEDP",2.1,1)/IF(B105="HEDP",50,1)</f>
        <v>31.595224368774</v>
      </c>
      <c r="D105" s="16">
        <f>IF(VLOOKUP(B105,AmmoTypeFactors,8,FALSE),J105,C105)*VLOOKUP('Ammo Input'!B105,AmmoTypeFactors,2,FALSE)</f>
        <v>25.2761794950192</v>
      </c>
      <c r="E105" s="16">
        <f>IF(OR(VLOOKUP(B105,AmmoTypeFactors,6,FALSE)="Bomb",VLOOKUP(B105,AmmoTypeFactors,6,FALSE)="Thermobaric"),J105*VLOOKUP(B105,AmmoTypeFactors,4,FALSE),IF(VLOOKUP(B105,AmmoTypeFactors,11,FALSE),P105,C105*VLOOKUP(B105,AmmoTypeFactors,4,FALSE)))</f>
        <v>15.3770411023301</v>
      </c>
      <c r="F105" s="16">
        <f>'Ammo Stats'!G105/0.005</f>
        <v>3173600</v>
      </c>
      <c r="G105" s="16">
        <f>(IF(B105="HEAT",10,'Ammo Input'!F105)*VLOOKUP(B105,AmmoTypeFactors,7,FALSE)*0.5)^2*PI()/100</f>
        <v>0.342119439975928</v>
      </c>
      <c r="H105" s="10">
        <f t="shared" si="6"/>
        <v>317.36</v>
      </c>
      <c r="I105" s="10">
        <f>IF(B105&lt;&gt;"Arrow (Flaming)",39493.49*'Ammo Input'!M105^0.6/1000,0)</f>
        <v>0</v>
      </c>
      <c r="J105">
        <f t="shared" si="7"/>
        <v>0</v>
      </c>
      <c r="K105">
        <f t="shared" si="8"/>
        <v>15</v>
      </c>
      <c r="L105">
        <f>200000/('Ammo Stats'!C105*(MAX('Ammo Input'!D105,'Ammo Input'!F105)*0.5)^2*PI())</f>
        <v>10649.3327205487</v>
      </c>
      <c r="M105">
        <f>IF(B105="Frag",1,('Ammo Input'!M105/1.33)/('Ammo Input'!H105/1000))</f>
        <v>0</v>
      </c>
      <c r="N105" t="s">
        <v>353</v>
      </c>
      <c r="O105" t="s">
        <v>353</v>
      </c>
      <c r="P105" s="3">
        <f>(39493.49*(IF((VLOOKUP(B105,AmmoTypeFactors,6,FALSE)="Bomb_Secondary"),1.33,1)*('Ammo Input'!H105*0.35)/1000)^0.6/1000)*10/3*VLOOKUP(B105,AmmoTypeFactors,4,FALSE)</f>
        <v>15.3770411023301</v>
      </c>
    </row>
    <row r="106" ht="14.4" spans="1:16">
      <c r="A106" t="str">
        <f>'Ammo Input'!A106</f>
        <v>13.2x92mm TuF</v>
      </c>
      <c r="B106" s="1" t="str">
        <f>'Ammo Input'!B106</f>
        <v>AP-HE</v>
      </c>
      <c r="C106">
        <f>(0.579*('Ammo Stats'!G106*IF(OR(B106="HEAT",B106="HEDP"),10,'Ammo Input'!F106)*VLOOKUP(B106,AmmoTypeFactors,7,FALSE))^(0.346))^IF(B106="HEDP",2.1,1)/IF(B106="HEDP",50,1)</f>
        <v>40.1585314034344</v>
      </c>
      <c r="D106" s="16">
        <f>IF(VLOOKUP(B106,AmmoTypeFactors,8,FALSE),J106,C106)*VLOOKUP('Ammo Input'!B106,AmmoTypeFactors,2,FALSE)</f>
        <v>40.1585314034344</v>
      </c>
      <c r="E106" s="16">
        <f>IF(OR(VLOOKUP(B106,AmmoTypeFactors,6,FALSE)="Bomb",VLOOKUP(B106,AmmoTypeFactors,6,FALSE)="Thermobaric"),J106*VLOOKUP(B106,AmmoTypeFactors,4,FALSE),IF(VLOOKUP(B106,AmmoTypeFactors,11,FALSE),P106,C106*VLOOKUP(B106,AmmoTypeFactors,4,FALSE)))</f>
        <v>21.0538568892122</v>
      </c>
      <c r="F106" s="16">
        <f>'Ammo Stats'!G106/0.005</f>
        <v>3173600</v>
      </c>
      <c r="G106" s="16">
        <f>(IF(B106="HEAT",10,'Ammo Input'!F106)*VLOOKUP(B106,AmmoTypeFactors,7,FALSE)*0.5)^2*PI()/100</f>
        <v>1.36847775990371</v>
      </c>
      <c r="H106" s="10">
        <f t="shared" si="6"/>
        <v>317.36</v>
      </c>
      <c r="I106" s="10">
        <f>IF(B106&lt;&gt;"Arrow (Flaming)",39493.49*'Ammo Input'!M106^0.6/1000,0)</f>
        <v>0</v>
      </c>
      <c r="J106">
        <f t="shared" si="7"/>
        <v>0</v>
      </c>
      <c r="K106">
        <f t="shared" si="8"/>
        <v>15</v>
      </c>
      <c r="L106">
        <f>200000/('Ammo Stats'!C106*(MAX('Ammo Input'!D106,'Ammo Input'!F106)*0.5)^2*PI())</f>
        <v>10649.3327205487</v>
      </c>
      <c r="M106">
        <f>IF(B106="Frag",1,('Ammo Input'!M106/1.33)/('Ammo Input'!H106/1000))</f>
        <v>0</v>
      </c>
      <c r="N106" t="s">
        <v>353</v>
      </c>
      <c r="O106" t="s">
        <v>353</v>
      </c>
      <c r="P106" s="3">
        <f>(39493.49*(IF((VLOOKUP(B106,AmmoTypeFactors,6,FALSE)="Bomb_Secondary"),1.33,1)*('Ammo Input'!H106*0.35)/1000)^0.6/1000)*10/3*VLOOKUP(B106,AmmoTypeFactors,4,FALSE)</f>
        <v>21.0538568892122</v>
      </c>
    </row>
    <row r="107" ht="14.4" spans="1:16">
      <c r="A107" t="str">
        <f>'Ammo Input'!A107</f>
        <v>13.2x92mm TuF</v>
      </c>
      <c r="B107" s="1" t="str">
        <f>'Ammo Input'!B107</f>
        <v>Sabot</v>
      </c>
      <c r="C107">
        <f>(0.579*('Ammo Stats'!G107*IF(OR(B107="HEAT",B107="HEDP"),10,'Ammo Input'!F107)*VLOOKUP(B107,AmmoTypeFactors,7,FALSE))^(0.346))^IF(B107="HEDP",2.1,1)/IF(B107="HEDP",50,1)</f>
        <v>30.4358770129113</v>
      </c>
      <c r="D107" s="16">
        <f>IF(VLOOKUP(B107,AmmoTypeFactors,8,FALSE),J107,C107)*VLOOKUP('Ammo Input'!B107,AmmoTypeFactors,2,FALSE)</f>
        <v>21.3051139090379</v>
      </c>
      <c r="E107" s="16">
        <f>IF(OR(VLOOKUP(B107,AmmoTypeFactors,6,FALSE)="Bomb",VLOOKUP(B107,AmmoTypeFactors,6,FALSE)="Thermobaric"),J107*VLOOKUP(B107,AmmoTypeFactors,4,FALSE),IF(VLOOKUP(B107,AmmoTypeFactors,11,FALSE),P107,C107*VLOOKUP(B107,AmmoTypeFactors,4,FALSE)))</f>
        <v>0</v>
      </c>
      <c r="F107" s="16">
        <f>'Ammo Stats'!G107/0.005</f>
        <v>4069400</v>
      </c>
      <c r="G107" s="16">
        <f>(IF(B107="HEAT",10,'Ammo Input'!F107)*VLOOKUP(B107,AmmoTypeFactors,7,FALSE)*0.5)^2*PI()/100</f>
        <v>0.167638525588205</v>
      </c>
      <c r="H107" s="10">
        <f t="shared" si="6"/>
        <v>406.94</v>
      </c>
      <c r="I107" s="10">
        <f>IF(B107&lt;&gt;"Arrow (Flaming)",39493.49*'Ammo Input'!M107^0.6/1000,0)</f>
        <v>0</v>
      </c>
      <c r="J107">
        <f t="shared" si="7"/>
        <v>0</v>
      </c>
      <c r="K107">
        <f t="shared" si="8"/>
        <v>16</v>
      </c>
      <c r="L107">
        <f>200000/('Ammo Stats'!C107*(MAX('Ammo Input'!D107,'Ammo Input'!F107)*0.5)^2*PI())</f>
        <v>10649.3327205487</v>
      </c>
      <c r="M107">
        <f>IF(B107="Frag",1,('Ammo Input'!M107/1.33)/('Ammo Input'!H107/1000))</f>
        <v>0</v>
      </c>
      <c r="N107" t="s">
        <v>353</v>
      </c>
      <c r="O107" t="s">
        <v>353</v>
      </c>
      <c r="P107" s="3">
        <f>(39493.49*(IF((VLOOKUP(B107,AmmoTypeFactors,6,FALSE)="Bomb_Secondary"),1.33,1)*('Ammo Input'!H107*0.35)/1000)^0.6/1000)*10/3*VLOOKUP(B107,AmmoTypeFactors,4,FALSE)</f>
        <v>0</v>
      </c>
    </row>
    <row r="108" ht="14.4" spans="1:16">
      <c r="A108" t="str">
        <f>'Ammo Input'!A108</f>
        <v>.338 Lapua Magnum</v>
      </c>
      <c r="B108" s="1" t="str">
        <f>'Ammo Input'!B108</f>
        <v>FMJ</v>
      </c>
      <c r="C108">
        <f>(0.579*('Ammo Stats'!G108*IF(OR(B108="HEAT",B108="HEDP"),10,'Ammo Input'!F108)*VLOOKUP(B108,AmmoTypeFactors,7,FALSE))^(0.346))^IF(B108="HEDP",2.1,1)/IF(B108="HEDP",50,1)</f>
        <v>25.6842188611881</v>
      </c>
      <c r="D108" s="16">
        <f>IF(VLOOKUP(B108,AmmoTypeFactors,8,FALSE),J108,C108)*VLOOKUP('Ammo Input'!B108,AmmoTypeFactors,2,FALSE)</f>
        <v>25.6842188611881</v>
      </c>
      <c r="E108" s="16">
        <f>IF(OR(VLOOKUP(B108,AmmoTypeFactors,6,FALSE)="Bomb",VLOOKUP(B108,AmmoTypeFactors,6,FALSE)="Thermobaric"),J108*VLOOKUP(B108,AmmoTypeFactors,4,FALSE),IF(VLOOKUP(B108,AmmoTypeFactors,11,FALSE),P108,C108*VLOOKUP(B108,AmmoTypeFactors,4,FALSE)))</f>
        <v>0</v>
      </c>
      <c r="F108" s="16">
        <f>'Ammo Stats'!G108/0.005</f>
        <v>1341600</v>
      </c>
      <c r="G108" s="16">
        <f>(IF(B108="HEAT",10,'Ammo Input'!F108)*VLOOKUP(B108,AmmoTypeFactors,7,FALSE)*0.5)^2*PI()/100</f>
        <v>0.578181853559319</v>
      </c>
      <c r="H108" s="10">
        <f t="shared" si="6"/>
        <v>134.16</v>
      </c>
      <c r="I108" s="10">
        <f>IF(B108&lt;&gt;"Arrow (Flaming)",39493.49*'Ammo Input'!M108^0.6/1000,0)</f>
        <v>0</v>
      </c>
      <c r="J108">
        <f t="shared" si="7"/>
        <v>0</v>
      </c>
      <c r="K108">
        <f t="shared" si="8"/>
        <v>11</v>
      </c>
      <c r="L108">
        <f>200000/('Ammo Stats'!C108*(MAX('Ammo Input'!D108,'Ammo Input'!F108)*0.5)^2*PI())</f>
        <v>22909.4584450168</v>
      </c>
      <c r="M108">
        <f>IF(B108="Frag",1,('Ammo Input'!M108/1.33)/('Ammo Input'!H108/1000))</f>
        <v>0</v>
      </c>
      <c r="N108" t="s">
        <v>353</v>
      </c>
      <c r="O108" t="s">
        <v>353</v>
      </c>
      <c r="P108" s="3">
        <f>(39493.49*(IF((VLOOKUP(B108,AmmoTypeFactors,6,FALSE)="Bomb_Secondary"),1.33,1)*('Ammo Input'!H108*0.35)/1000)^0.6/1000)*10/3*VLOOKUP(B108,AmmoTypeFactors,4,FALSE)</f>
        <v>0</v>
      </c>
    </row>
    <row r="109" ht="14.4" spans="1:16">
      <c r="A109" t="str">
        <f>'Ammo Input'!A109</f>
        <v>.338 Lapua Magnum</v>
      </c>
      <c r="B109" s="1" t="str">
        <f>'Ammo Input'!B109</f>
        <v>AP</v>
      </c>
      <c r="C109">
        <f>(0.579*('Ammo Stats'!G109*IF(OR(B109="HEAT",B109="HEDP"),10,'Ammo Input'!F109)*VLOOKUP(B109,AmmoTypeFactors,7,FALSE))^(0.346))^IF(B109="HEDP",2.1,1)/IF(B109="HEDP",50,1)</f>
        <v>20.2073788382245</v>
      </c>
      <c r="D109" s="16">
        <f>IF(VLOOKUP(B109,AmmoTypeFactors,8,FALSE),J109,C109)*VLOOKUP('Ammo Input'!B109,AmmoTypeFactors,2,FALSE)</f>
        <v>16.1659030705796</v>
      </c>
      <c r="E109" s="16">
        <f>IF(OR(VLOOKUP(B109,AmmoTypeFactors,6,FALSE)="Bomb",VLOOKUP(B109,AmmoTypeFactors,6,FALSE)="Thermobaric"),J109*VLOOKUP(B109,AmmoTypeFactors,4,FALSE),IF(VLOOKUP(B109,AmmoTypeFactors,11,FALSE),P109,C109*VLOOKUP(B109,AmmoTypeFactors,4,FALSE)))</f>
        <v>0</v>
      </c>
      <c r="F109" s="16">
        <f>'Ammo Stats'!G109/0.005</f>
        <v>1341600</v>
      </c>
      <c r="G109" s="16">
        <f>(IF(B109="HEAT",10,'Ammo Input'!F109)*VLOOKUP(B109,AmmoTypeFactors,7,FALSE)*0.5)^2*PI()/100</f>
        <v>0.14454546338983</v>
      </c>
      <c r="H109" s="10">
        <f t="shared" si="6"/>
        <v>134.16</v>
      </c>
      <c r="I109" s="10">
        <f>IF(B109&lt;&gt;"Arrow (Flaming)",39493.49*'Ammo Input'!M109^0.6/1000,0)</f>
        <v>0</v>
      </c>
      <c r="J109">
        <f t="shared" si="7"/>
        <v>0</v>
      </c>
      <c r="K109">
        <f t="shared" si="8"/>
        <v>11</v>
      </c>
      <c r="L109">
        <f>200000/('Ammo Stats'!C109*(MAX('Ammo Input'!D109,'Ammo Input'!F109)*0.5)^2*PI())</f>
        <v>22909.4584450168</v>
      </c>
      <c r="M109">
        <f>IF(B109="Frag",1,('Ammo Input'!M109/1.33)/('Ammo Input'!H109/1000))</f>
        <v>0</v>
      </c>
      <c r="N109" t="s">
        <v>353</v>
      </c>
      <c r="O109" t="s">
        <v>353</v>
      </c>
      <c r="P109" s="3">
        <f>(39493.49*(IF((VLOOKUP(B109,AmmoTypeFactors,6,FALSE)="Bomb_Secondary"),1.33,1)*('Ammo Input'!H109*0.35)/1000)^0.6/1000)*10/3*VLOOKUP(B109,AmmoTypeFactors,4,FALSE)</f>
        <v>0</v>
      </c>
    </row>
    <row r="110" ht="14.4" spans="1:16">
      <c r="A110" t="str">
        <f>'Ammo Input'!A110</f>
        <v>.338 Lapua Magnum</v>
      </c>
      <c r="B110" s="1" t="str">
        <f>'Ammo Input'!B110</f>
        <v>AP-I</v>
      </c>
      <c r="C110">
        <f>(0.579*('Ammo Stats'!G110*IF(OR(B110="HEAT",B110="HEDP"),10,'Ammo Input'!F110)*VLOOKUP(B110,AmmoTypeFactors,7,FALSE))^(0.346))^IF(B110="HEDP",2.1,1)/IF(B110="HEDP",50,1)</f>
        <v>20.2073788382245</v>
      </c>
      <c r="D110" s="16">
        <f>IF(VLOOKUP(B110,AmmoTypeFactors,8,FALSE),J110,C110)*VLOOKUP('Ammo Input'!B110,AmmoTypeFactors,2,FALSE)</f>
        <v>16.1659030705796</v>
      </c>
      <c r="E110" s="16">
        <f>IF(OR(VLOOKUP(B110,AmmoTypeFactors,6,FALSE)="Bomb",VLOOKUP(B110,AmmoTypeFactors,6,FALSE)="Thermobaric"),J110*VLOOKUP(B110,AmmoTypeFactors,4,FALSE),IF(VLOOKUP(B110,AmmoTypeFactors,11,FALSE),P110,C110*VLOOKUP(B110,AmmoTypeFactors,4,FALSE)))</f>
        <v>7.68240938716201</v>
      </c>
      <c r="F110" s="16">
        <f>'Ammo Stats'!G110/0.005</f>
        <v>1341600</v>
      </c>
      <c r="G110" s="16">
        <f>(IF(B110="HEAT",10,'Ammo Input'!F110)*VLOOKUP(B110,AmmoTypeFactors,7,FALSE)*0.5)^2*PI()/100</f>
        <v>0.14454546338983</v>
      </c>
      <c r="H110" s="10">
        <f t="shared" si="6"/>
        <v>134.16</v>
      </c>
      <c r="I110" s="10">
        <f>IF(B110&lt;&gt;"Arrow (Flaming)",39493.49*'Ammo Input'!M110^0.6/1000,0)</f>
        <v>0</v>
      </c>
      <c r="J110">
        <f t="shared" si="7"/>
        <v>0</v>
      </c>
      <c r="K110">
        <f t="shared" si="8"/>
        <v>11</v>
      </c>
      <c r="L110">
        <f>200000/('Ammo Stats'!C110*(MAX('Ammo Input'!D110,'Ammo Input'!F110)*0.5)^2*PI())</f>
        <v>22909.4584450168</v>
      </c>
      <c r="M110">
        <f>IF(B110="Frag",1,('Ammo Input'!M110/1.33)/('Ammo Input'!H110/1000))</f>
        <v>0</v>
      </c>
      <c r="N110" t="s">
        <v>353</v>
      </c>
      <c r="O110" t="s">
        <v>353</v>
      </c>
      <c r="P110" s="3">
        <f>(39493.49*(IF((VLOOKUP(B110,AmmoTypeFactors,6,FALSE)="Bomb_Secondary"),1.33,1)*('Ammo Input'!H110*0.35)/1000)^0.6/1000)*10/3*VLOOKUP(B110,AmmoTypeFactors,4,FALSE)</f>
        <v>7.68240938716201</v>
      </c>
    </row>
    <row r="111" ht="14.4" spans="1:16">
      <c r="A111" t="str">
        <f>'Ammo Input'!A111</f>
        <v>.338 Lapua Magnum</v>
      </c>
      <c r="B111" s="1" t="str">
        <f>'Ammo Input'!B111</f>
        <v>AP-HE</v>
      </c>
      <c r="C111">
        <f>(0.579*('Ammo Stats'!G111*IF(OR(B111="HEAT",B111="HEDP"),10,'Ammo Input'!F111)*VLOOKUP(B111,AmmoTypeFactors,7,FALSE))^(0.346))^IF(B111="HEDP",2.1,1)/IF(B111="HEDP",50,1)</f>
        <v>25.6842188611881</v>
      </c>
      <c r="D111" s="16">
        <f>IF(VLOOKUP(B111,AmmoTypeFactors,8,FALSE),J111,C111)*VLOOKUP('Ammo Input'!B111,AmmoTypeFactors,2,FALSE)</f>
        <v>25.6842188611881</v>
      </c>
      <c r="E111" s="16">
        <f>IF(OR(VLOOKUP(B111,AmmoTypeFactors,6,FALSE)="Bomb",VLOOKUP(B111,AmmoTypeFactors,6,FALSE)="Thermobaric"),J111*VLOOKUP(B111,AmmoTypeFactors,4,FALSE),IF(VLOOKUP(B111,AmmoTypeFactors,11,FALSE),P111,C111*VLOOKUP(B111,AmmoTypeFactors,4,FALSE)))</f>
        <v>10.5185611929684</v>
      </c>
      <c r="F111" s="16">
        <f>'Ammo Stats'!G111/0.005</f>
        <v>1341600</v>
      </c>
      <c r="G111" s="16">
        <f>(IF(B111="HEAT",10,'Ammo Input'!F111)*VLOOKUP(B111,AmmoTypeFactors,7,FALSE)*0.5)^2*PI()/100</f>
        <v>0.578181853559319</v>
      </c>
      <c r="H111" s="10">
        <f t="shared" si="6"/>
        <v>134.16</v>
      </c>
      <c r="I111" s="10">
        <f>IF(B111&lt;&gt;"Arrow (Flaming)",39493.49*'Ammo Input'!M111^0.6/1000,0)</f>
        <v>0</v>
      </c>
      <c r="J111">
        <f t="shared" si="7"/>
        <v>0</v>
      </c>
      <c r="K111">
        <f t="shared" si="8"/>
        <v>11</v>
      </c>
      <c r="L111">
        <f>200000/('Ammo Stats'!C111*(MAX('Ammo Input'!D111,'Ammo Input'!F111)*0.5)^2*PI())</f>
        <v>22909.4584450168</v>
      </c>
      <c r="M111">
        <f>IF(B111="Frag",1,('Ammo Input'!M111/1.33)/('Ammo Input'!H111/1000))</f>
        <v>0</v>
      </c>
      <c r="N111" t="s">
        <v>353</v>
      </c>
      <c r="O111" t="s">
        <v>353</v>
      </c>
      <c r="P111" s="3">
        <f>(39493.49*(IF((VLOOKUP(B111,AmmoTypeFactors,6,FALSE)="Bomb_Secondary"),1.33,1)*('Ammo Input'!H111*0.35)/1000)^0.6/1000)*10/3*VLOOKUP(B111,AmmoTypeFactors,4,FALSE)</f>
        <v>10.5185611929684</v>
      </c>
    </row>
    <row r="112" ht="14.4" spans="1:16">
      <c r="A112" t="str">
        <f>'Ammo Input'!A112</f>
        <v>.338 Lapua Magnum</v>
      </c>
      <c r="B112" s="1" t="str">
        <f>'Ammo Input'!B112</f>
        <v>Sabot</v>
      </c>
      <c r="C112">
        <f>(0.579*('Ammo Stats'!G112*IF(OR(B112="HEAT",B112="HEDP"),10,'Ammo Input'!F112)*VLOOKUP(B112,AmmoTypeFactors,7,FALSE))^(0.346))^IF(B112="HEDP",2.1,1)/IF(B112="HEDP",50,1)</f>
        <v>19.4684664413734</v>
      </c>
      <c r="D112" s="16">
        <f>IF(VLOOKUP(B112,AmmoTypeFactors,8,FALSE),J112,C112)*VLOOKUP('Ammo Input'!B112,AmmoTypeFactors,2,FALSE)</f>
        <v>13.6279265089614</v>
      </c>
      <c r="E112" s="16">
        <f>IF(OR(VLOOKUP(B112,AmmoTypeFactors,6,FALSE)="Bomb",VLOOKUP(B112,AmmoTypeFactors,6,FALSE)="Thermobaric"),J112*VLOOKUP(B112,AmmoTypeFactors,4,FALSE),IF(VLOOKUP(B112,AmmoTypeFactors,11,FALSE),P112,C112*VLOOKUP(B112,AmmoTypeFactors,4,FALSE)))</f>
        <v>0</v>
      </c>
      <c r="F112" s="16">
        <f>'Ammo Stats'!G112/0.005</f>
        <v>1719800</v>
      </c>
      <c r="G112" s="16">
        <f>(IF(B112="HEAT",10,'Ammo Input'!F112)*VLOOKUP(B112,AmmoTypeFactors,7,FALSE)*0.5)^2*PI()/100</f>
        <v>0.0709216505043304</v>
      </c>
      <c r="H112" s="10">
        <f t="shared" si="6"/>
        <v>171.98</v>
      </c>
      <c r="I112" s="10">
        <f>IF(B112&lt;&gt;"Arrow (Flaming)",39493.49*'Ammo Input'!M112^0.6/1000,0)</f>
        <v>0</v>
      </c>
      <c r="J112">
        <f t="shared" si="7"/>
        <v>0</v>
      </c>
      <c r="K112">
        <f t="shared" si="8"/>
        <v>12</v>
      </c>
      <c r="L112">
        <f>200000/('Ammo Stats'!C112*(MAX('Ammo Input'!D112,'Ammo Input'!F112)*0.5)^2*PI())</f>
        <v>22909.4584450168</v>
      </c>
      <c r="M112">
        <f>IF(B112="Frag",1,('Ammo Input'!M112/1.33)/('Ammo Input'!H112/1000))</f>
        <v>0</v>
      </c>
      <c r="N112" t="s">
        <v>353</v>
      </c>
      <c r="O112" t="s">
        <v>353</v>
      </c>
      <c r="P112" s="3">
        <f>(39493.49*(IF((VLOOKUP(B112,AmmoTypeFactors,6,FALSE)="Bomb_Secondary"),1.33,1)*('Ammo Input'!H112*0.35)/1000)^0.6/1000)*10/3*VLOOKUP(B112,AmmoTypeFactors,4,FALSE)</f>
        <v>0</v>
      </c>
    </row>
    <row r="113" ht="14.4" spans="1:16">
      <c r="A113" t="str">
        <f>'Ammo Input'!A113</f>
        <v>.338 Norma Magnum</v>
      </c>
      <c r="B113" s="1" t="str">
        <f>'Ammo Input'!B113</f>
        <v>FMJ</v>
      </c>
      <c r="C113">
        <f>(0.579*('Ammo Stats'!G113*IF(OR(B113="HEAT",B113="HEDP"),10,'Ammo Input'!F113)*VLOOKUP(B113,AmmoTypeFactors,7,FALSE))^(0.346))^IF(B113="HEDP",2.1,1)/IF(B113="HEDP",50,1)</f>
        <v>25.1881969974714</v>
      </c>
      <c r="D113" s="16">
        <f>IF(VLOOKUP(B113,AmmoTypeFactors,8,FALSE),J113,C113)*VLOOKUP('Ammo Input'!B113,AmmoTypeFactors,2,FALSE)</f>
        <v>25.1881969974714</v>
      </c>
      <c r="E113" s="16">
        <f>IF(OR(VLOOKUP(B113,AmmoTypeFactors,6,FALSE)="Bomb",VLOOKUP(B113,AmmoTypeFactors,6,FALSE)="Thermobaric"),J113*VLOOKUP(B113,AmmoTypeFactors,4,FALSE),IF(VLOOKUP(B113,AmmoTypeFactors,11,FALSE),P113,C113*VLOOKUP(B113,AmmoTypeFactors,4,FALSE)))</f>
        <v>0</v>
      </c>
      <c r="F113" s="16">
        <f>'Ammo Stats'!G113/0.005</f>
        <v>1266600</v>
      </c>
      <c r="G113" s="16">
        <f>(IF(B113="HEAT",10,'Ammo Input'!F113)*VLOOKUP(B113,AmmoTypeFactors,7,FALSE)*0.5)^2*PI()/100</f>
        <v>0.579530382205872</v>
      </c>
      <c r="H113" s="10">
        <f t="shared" si="6"/>
        <v>126.66</v>
      </c>
      <c r="I113" s="10">
        <f>IF(B113&lt;&gt;"Arrow (Flaming)",39493.49*'Ammo Input'!M113^0.6/1000,0)</f>
        <v>0</v>
      </c>
      <c r="J113">
        <f t="shared" si="7"/>
        <v>0</v>
      </c>
      <c r="K113">
        <f t="shared" si="8"/>
        <v>11</v>
      </c>
      <c r="L113">
        <f>200000/('Ammo Stats'!C113*(MAX('Ammo Input'!D113,'Ammo Input'!F113)*0.5)^2*PI())</f>
        <v>22848.1212343948</v>
      </c>
      <c r="M113">
        <f>IF(B113="Frag",1,('Ammo Input'!M113/1.33)/('Ammo Input'!H113/1000))</f>
        <v>0</v>
      </c>
      <c r="N113" t="s">
        <v>353</v>
      </c>
      <c r="O113" t="s">
        <v>353</v>
      </c>
      <c r="P113" s="3">
        <f>(39493.49*(IF((VLOOKUP(B113,AmmoTypeFactors,6,FALSE)="Bomb_Secondary"),1.33,1)*('Ammo Input'!H113*0.35)/1000)^0.6/1000)*10/3*VLOOKUP(B113,AmmoTypeFactors,4,FALSE)</f>
        <v>0</v>
      </c>
    </row>
    <row r="114" ht="14.4" spans="1:16">
      <c r="A114" t="str">
        <f>'Ammo Input'!A114</f>
        <v>.338 Norma Magnum</v>
      </c>
      <c r="B114" s="1" t="str">
        <f>'Ammo Input'!B114</f>
        <v>AP</v>
      </c>
      <c r="C114">
        <f>(0.579*('Ammo Stats'!G114*IF(OR(B114="HEAT",B114="HEDP"),10,'Ammo Input'!F114)*VLOOKUP(B114,AmmoTypeFactors,7,FALSE))^(0.346))^IF(B114="HEDP",2.1,1)/IF(B114="HEDP",50,1)</f>
        <v>19.817127463778</v>
      </c>
      <c r="D114" s="16">
        <f>IF(VLOOKUP(B114,AmmoTypeFactors,8,FALSE),J114,C114)*VLOOKUP('Ammo Input'!B114,AmmoTypeFactors,2,FALSE)</f>
        <v>15.8537019710224</v>
      </c>
      <c r="E114" s="16">
        <f>IF(OR(VLOOKUP(B114,AmmoTypeFactors,6,FALSE)="Bomb",VLOOKUP(B114,AmmoTypeFactors,6,FALSE)="Thermobaric"),J114*VLOOKUP(B114,AmmoTypeFactors,4,FALSE),IF(VLOOKUP(B114,AmmoTypeFactors,11,FALSE),P114,C114*VLOOKUP(B114,AmmoTypeFactors,4,FALSE)))</f>
        <v>0</v>
      </c>
      <c r="F114" s="16">
        <f>'Ammo Stats'!G114/0.005</f>
        <v>1266600</v>
      </c>
      <c r="G114" s="16">
        <f>(IF(B114="HEAT",10,'Ammo Input'!F114)*VLOOKUP(B114,AmmoTypeFactors,7,FALSE)*0.5)^2*PI()/100</f>
        <v>0.144882595551468</v>
      </c>
      <c r="H114" s="10">
        <f t="shared" si="6"/>
        <v>126.66</v>
      </c>
      <c r="I114" s="10">
        <f>IF(B114&lt;&gt;"Arrow (Flaming)",39493.49*'Ammo Input'!M114^0.6/1000,0)</f>
        <v>0</v>
      </c>
      <c r="J114">
        <f t="shared" si="7"/>
        <v>0</v>
      </c>
      <c r="K114">
        <f t="shared" si="8"/>
        <v>11</v>
      </c>
      <c r="L114">
        <f>200000/('Ammo Stats'!C114*(MAX('Ammo Input'!D114,'Ammo Input'!F114)*0.5)^2*PI())</f>
        <v>22848.1212343948</v>
      </c>
      <c r="M114">
        <f>IF(B114="Frag",1,('Ammo Input'!M114/1.33)/('Ammo Input'!H114/1000))</f>
        <v>0</v>
      </c>
      <c r="N114" t="s">
        <v>353</v>
      </c>
      <c r="O114" t="s">
        <v>353</v>
      </c>
      <c r="P114" s="3">
        <f>(39493.49*(IF((VLOOKUP(B114,AmmoTypeFactors,6,FALSE)="Bomb_Secondary"),1.33,1)*('Ammo Input'!H114*0.35)/1000)^0.6/1000)*10/3*VLOOKUP(B114,AmmoTypeFactors,4,FALSE)</f>
        <v>0</v>
      </c>
    </row>
    <row r="115" ht="14.4" spans="1:16">
      <c r="A115" t="str">
        <f>'Ammo Input'!A115</f>
        <v>.338 Norma Magnum</v>
      </c>
      <c r="B115" s="1" t="str">
        <f>'Ammo Input'!B115</f>
        <v>AP-I</v>
      </c>
      <c r="C115">
        <f>(0.579*('Ammo Stats'!G115*IF(OR(B115="HEAT",B115="HEDP"),10,'Ammo Input'!F115)*VLOOKUP(B115,AmmoTypeFactors,7,FALSE))^(0.346))^IF(B115="HEDP",2.1,1)/IF(B115="HEDP",50,1)</f>
        <v>19.817127463778</v>
      </c>
      <c r="D115" s="16">
        <f>IF(VLOOKUP(B115,AmmoTypeFactors,8,FALSE),J115,C115)*VLOOKUP('Ammo Input'!B115,AmmoTypeFactors,2,FALSE)</f>
        <v>15.8537019710224</v>
      </c>
      <c r="E115" s="16">
        <f>IF(OR(VLOOKUP(B115,AmmoTypeFactors,6,FALSE)="Bomb",VLOOKUP(B115,AmmoTypeFactors,6,FALSE)="Thermobaric"),J115*VLOOKUP(B115,AmmoTypeFactors,4,FALSE),IF(VLOOKUP(B115,AmmoTypeFactors,11,FALSE),P115,C115*VLOOKUP(B115,AmmoTypeFactors,4,FALSE)))</f>
        <v>8.55991546520155</v>
      </c>
      <c r="F115" s="16">
        <f>'Ammo Stats'!G115/0.005</f>
        <v>1266600</v>
      </c>
      <c r="G115" s="16">
        <f>(IF(B115="HEAT",10,'Ammo Input'!F115)*VLOOKUP(B115,AmmoTypeFactors,7,FALSE)*0.5)^2*PI()/100</f>
        <v>0.144882595551468</v>
      </c>
      <c r="H115" s="10">
        <f t="shared" si="6"/>
        <v>126.66</v>
      </c>
      <c r="I115" s="10">
        <f>IF(B115&lt;&gt;"Arrow (Flaming)",39493.49*'Ammo Input'!M115^0.6/1000,0)</f>
        <v>0</v>
      </c>
      <c r="J115">
        <f t="shared" si="7"/>
        <v>0</v>
      </c>
      <c r="K115">
        <f t="shared" si="8"/>
        <v>11</v>
      </c>
      <c r="L115">
        <f>200000/('Ammo Stats'!C115*(MAX('Ammo Input'!D115,'Ammo Input'!F115)*0.5)^2*PI())</f>
        <v>22848.1212343948</v>
      </c>
      <c r="M115">
        <f>IF(B115="Frag",1,('Ammo Input'!M115/1.33)/('Ammo Input'!H115/1000))</f>
        <v>0</v>
      </c>
      <c r="N115" t="s">
        <v>353</v>
      </c>
      <c r="O115" t="s">
        <v>353</v>
      </c>
      <c r="P115" s="3">
        <f>(39493.49*(IF((VLOOKUP(B115,AmmoTypeFactors,6,FALSE)="Bomb_Secondary"),1.33,1)*('Ammo Input'!H115*0.35)/1000)^0.6/1000)*10/3*VLOOKUP(B115,AmmoTypeFactors,4,FALSE)</f>
        <v>8.55991546520155</v>
      </c>
    </row>
    <row r="116" ht="14.4" spans="1:16">
      <c r="A116" t="str">
        <f>'Ammo Input'!A116</f>
        <v>.338 Norma Magnum</v>
      </c>
      <c r="B116" s="1" t="str">
        <f>'Ammo Input'!B116</f>
        <v>AP-HE</v>
      </c>
      <c r="C116">
        <f>(0.579*('Ammo Stats'!G116*IF(OR(B116="HEAT",B116="HEDP"),10,'Ammo Input'!F116)*VLOOKUP(B116,AmmoTypeFactors,7,FALSE))^(0.346))^IF(B116="HEDP",2.1,1)/IF(B116="HEDP",50,1)</f>
        <v>25.1881969974714</v>
      </c>
      <c r="D116" s="16">
        <f>IF(VLOOKUP(B116,AmmoTypeFactors,8,FALSE),J116,C116)*VLOOKUP('Ammo Input'!B116,AmmoTypeFactors,2,FALSE)</f>
        <v>25.1881969974714</v>
      </c>
      <c r="E116" s="16">
        <f>IF(OR(VLOOKUP(B116,AmmoTypeFactors,6,FALSE)="Bomb",VLOOKUP(B116,AmmoTypeFactors,6,FALSE)="Thermobaric"),J116*VLOOKUP(B116,AmmoTypeFactors,4,FALSE),IF(VLOOKUP(B116,AmmoTypeFactors,11,FALSE),P116,C116*VLOOKUP(B116,AmmoTypeFactors,4,FALSE)))</f>
        <v>11.7200203855083</v>
      </c>
      <c r="F116" s="16">
        <f>'Ammo Stats'!G116/0.005</f>
        <v>1266600</v>
      </c>
      <c r="G116" s="16">
        <f>(IF(B116="HEAT",10,'Ammo Input'!F116)*VLOOKUP(B116,AmmoTypeFactors,7,FALSE)*0.5)^2*PI()/100</f>
        <v>0.579530382205872</v>
      </c>
      <c r="H116" s="10">
        <f t="shared" si="6"/>
        <v>126.66</v>
      </c>
      <c r="I116" s="10">
        <f>IF(B116&lt;&gt;"Arrow (Flaming)",39493.49*'Ammo Input'!M116^0.6/1000,0)</f>
        <v>0</v>
      </c>
      <c r="J116">
        <f t="shared" si="7"/>
        <v>0</v>
      </c>
      <c r="K116">
        <f t="shared" si="8"/>
        <v>11</v>
      </c>
      <c r="L116">
        <f>200000/('Ammo Stats'!C116*(MAX('Ammo Input'!D116,'Ammo Input'!F116)*0.5)^2*PI())</f>
        <v>22848.1212343948</v>
      </c>
      <c r="M116">
        <f>IF(B116="Frag",1,('Ammo Input'!M116/1.33)/('Ammo Input'!H116/1000))</f>
        <v>0</v>
      </c>
      <c r="N116" t="s">
        <v>353</v>
      </c>
      <c r="O116" t="s">
        <v>353</v>
      </c>
      <c r="P116" s="3">
        <f>(39493.49*(IF((VLOOKUP(B116,AmmoTypeFactors,6,FALSE)="Bomb_Secondary"),1.33,1)*('Ammo Input'!H116*0.35)/1000)^0.6/1000)*10/3*VLOOKUP(B116,AmmoTypeFactors,4,FALSE)</f>
        <v>11.7200203855083</v>
      </c>
    </row>
    <row r="117" ht="14.4" spans="1:16">
      <c r="A117" t="str">
        <f>'Ammo Input'!A117</f>
        <v>.338 Norma Magnum</v>
      </c>
      <c r="B117" s="1" t="str">
        <f>'Ammo Input'!B117</f>
        <v>Sabot</v>
      </c>
      <c r="C117">
        <f>(0.579*('Ammo Stats'!G117*IF(OR(B117="HEAT",B117="HEDP"),10,'Ammo Input'!F117)*VLOOKUP(B117,AmmoTypeFactors,7,FALSE))^(0.346))^IF(B117="HEDP",2.1,1)/IF(B117="HEDP",50,1)</f>
        <v>19.0886249615531</v>
      </c>
      <c r="D117" s="16">
        <f>IF(VLOOKUP(B117,AmmoTypeFactors,8,FALSE),J117,C117)*VLOOKUP('Ammo Input'!B117,AmmoTypeFactors,2,FALSE)</f>
        <v>13.3620374730871</v>
      </c>
      <c r="E117" s="16">
        <f>IF(OR(VLOOKUP(B117,AmmoTypeFactors,6,FALSE)="Bomb",VLOOKUP(B117,AmmoTypeFactors,6,FALSE)="Thermobaric"),J117*VLOOKUP(B117,AmmoTypeFactors,4,FALSE),IF(VLOOKUP(B117,AmmoTypeFactors,11,FALSE),P117,C117*VLOOKUP(B117,AmmoTypeFactors,4,FALSE)))</f>
        <v>0</v>
      </c>
      <c r="F117" s="16">
        <f>'Ammo Stats'!G117/0.005</f>
        <v>1624600</v>
      </c>
      <c r="G117" s="16">
        <f>(IF(B117="HEAT",10,'Ammo Input'!F117)*VLOOKUP(B117,AmmoTypeFactors,7,FALSE)*0.5)^2*PI()/100</f>
        <v>0.0709216505043304</v>
      </c>
      <c r="H117" s="10">
        <f t="shared" si="6"/>
        <v>162.46</v>
      </c>
      <c r="I117" s="10">
        <f>IF(B117&lt;&gt;"Arrow (Flaming)",39493.49*'Ammo Input'!M117^0.6/1000,0)</f>
        <v>0</v>
      </c>
      <c r="J117">
        <f t="shared" si="7"/>
        <v>0</v>
      </c>
      <c r="K117">
        <f t="shared" si="8"/>
        <v>12</v>
      </c>
      <c r="L117">
        <f>200000/('Ammo Stats'!C117*(MAX('Ammo Input'!D117,'Ammo Input'!F117)*0.5)^2*PI())</f>
        <v>22848.1212343948</v>
      </c>
      <c r="M117">
        <f>IF(B117="Frag",1,('Ammo Input'!M117/1.33)/('Ammo Input'!H117/1000))</f>
        <v>0</v>
      </c>
      <c r="N117" t="s">
        <v>353</v>
      </c>
      <c r="O117" t="s">
        <v>353</v>
      </c>
      <c r="P117" s="3">
        <f>(39493.49*(IF((VLOOKUP(B117,AmmoTypeFactors,6,FALSE)="Bomb_Secondary"),1.33,1)*('Ammo Input'!H117*0.35)/1000)^0.6/1000)*10/3*VLOOKUP(B117,AmmoTypeFactors,4,FALSE)</f>
        <v>0</v>
      </c>
    </row>
    <row r="118" ht="14.4" spans="1:16">
      <c r="A118" t="str">
        <f>'Ammo Input'!A118</f>
        <v>.50 BMG</v>
      </c>
      <c r="B118" s="1" t="str">
        <f>'Ammo Input'!B118</f>
        <v>FMJ</v>
      </c>
      <c r="C118">
        <f>(0.579*('Ammo Stats'!G118*IF(OR(B118="HEAT",B118="HEDP"),10,'Ammo Input'!F118)*VLOOKUP(B118,AmmoTypeFactors,7,FALSE))^(0.346))^IF(B118="HEDP",2.1,1)/IF(B118="HEDP",50,1)</f>
        <v>41.7416008826871</v>
      </c>
      <c r="D118" s="16">
        <f>IF(VLOOKUP(B118,AmmoTypeFactors,8,FALSE),J118,C118)*VLOOKUP('Ammo Input'!B118,AmmoTypeFactors,2,FALSE)</f>
        <v>41.7416008826871</v>
      </c>
      <c r="E118" s="16">
        <f>IF(OR(VLOOKUP(B118,AmmoTypeFactors,6,FALSE)="Bomb",VLOOKUP(B118,AmmoTypeFactors,6,FALSE)="Thermobaric"),J118*VLOOKUP(B118,AmmoTypeFactors,4,FALSE),IF(VLOOKUP(B118,AmmoTypeFactors,11,FALSE),P118,C118*VLOOKUP(B118,AmmoTypeFactors,4,FALSE)))</f>
        <v>0</v>
      </c>
      <c r="F118" s="16">
        <f>'Ammo Stats'!G118/0.005</f>
        <v>3603400</v>
      </c>
      <c r="G118" s="16">
        <f>(IF(B118="HEAT",10,'Ammo Input'!F118)*VLOOKUP(B118,AmmoTypeFactors,7,FALSE)*0.5)^2*PI()/100</f>
        <v>1.32732289614169</v>
      </c>
      <c r="H118" s="10">
        <f t="shared" si="6"/>
        <v>360.34</v>
      </c>
      <c r="I118" s="10">
        <f>IF(B118&lt;&gt;"Arrow (Flaming)",39493.49*'Ammo Input'!M118^0.6/1000,0)</f>
        <v>0</v>
      </c>
      <c r="J118">
        <f t="shared" si="7"/>
        <v>0</v>
      </c>
      <c r="K118">
        <f t="shared" si="8"/>
        <v>15</v>
      </c>
      <c r="L118">
        <f>200000/('Ammo Stats'!C118*(MAX('Ammo Input'!D118,'Ammo Input'!F118)*0.5)^2*PI())</f>
        <v>4370.70750513251</v>
      </c>
      <c r="M118">
        <f>IF(B118="Frag",1,('Ammo Input'!M118/1.33)/('Ammo Input'!H118/1000))</f>
        <v>0</v>
      </c>
      <c r="N118" t="s">
        <v>353</v>
      </c>
      <c r="O118" t="s">
        <v>353</v>
      </c>
      <c r="P118" s="3">
        <f>(39493.49*(IF((VLOOKUP(B118,AmmoTypeFactors,6,FALSE)="Bomb_Secondary"),1.33,1)*('Ammo Input'!H118*0.35)/1000)^0.6/1000)*10/3*VLOOKUP(B118,AmmoTypeFactors,4,FALSE)</f>
        <v>0</v>
      </c>
    </row>
    <row r="119" ht="14.4" spans="1:16">
      <c r="A119" t="str">
        <f>'Ammo Input'!A119</f>
        <v>.50 BMG</v>
      </c>
      <c r="B119" s="1" t="str">
        <f>'Ammo Input'!B119</f>
        <v>AP</v>
      </c>
      <c r="C119">
        <f>(0.579*('Ammo Stats'!G119*IF(OR(B119="HEAT",B119="HEDP"),10,'Ammo Input'!F119)*VLOOKUP(B119,AmmoTypeFactors,7,FALSE))^(0.346))^IF(B119="HEDP",2.1,1)/IF(B119="HEDP",50,1)</f>
        <v>32.8407239834355</v>
      </c>
      <c r="D119" s="16">
        <f>IF(VLOOKUP(B119,AmmoTypeFactors,8,FALSE),J119,C119)*VLOOKUP('Ammo Input'!B119,AmmoTypeFactors,2,FALSE)</f>
        <v>26.2725791867484</v>
      </c>
      <c r="E119" s="16">
        <f>IF(OR(VLOOKUP(B119,AmmoTypeFactors,6,FALSE)="Bomb",VLOOKUP(B119,AmmoTypeFactors,6,FALSE)="Thermobaric"),J119*VLOOKUP(B119,AmmoTypeFactors,4,FALSE),IF(VLOOKUP(B119,AmmoTypeFactors,11,FALSE),P119,C119*VLOOKUP(B119,AmmoTypeFactors,4,FALSE)))</f>
        <v>0</v>
      </c>
      <c r="F119" s="16">
        <f>'Ammo Stats'!G119/0.005</f>
        <v>3603400</v>
      </c>
      <c r="G119" s="16">
        <f>(IF(B119="HEAT",10,'Ammo Input'!F119)*VLOOKUP(B119,AmmoTypeFactors,7,FALSE)*0.5)^2*PI()/100</f>
        <v>0.331830724035422</v>
      </c>
      <c r="H119" s="10">
        <f t="shared" si="6"/>
        <v>360.34</v>
      </c>
      <c r="I119" s="10">
        <f>IF(B119&lt;&gt;"Arrow (Flaming)",39493.49*'Ammo Input'!M119^0.6/1000,0)</f>
        <v>0</v>
      </c>
      <c r="J119">
        <f t="shared" si="7"/>
        <v>0</v>
      </c>
      <c r="K119">
        <f t="shared" si="8"/>
        <v>15</v>
      </c>
      <c r="L119">
        <f>200000/('Ammo Stats'!C119*(MAX('Ammo Input'!D119,'Ammo Input'!F119)*0.5)^2*PI())</f>
        <v>4370.70750513251</v>
      </c>
      <c r="M119">
        <f>IF(B119="Frag",1,('Ammo Input'!M119/1.33)/('Ammo Input'!H119/1000))</f>
        <v>0</v>
      </c>
      <c r="N119" t="s">
        <v>353</v>
      </c>
      <c r="O119" t="s">
        <v>353</v>
      </c>
      <c r="P119" s="3">
        <f>(39493.49*(IF((VLOOKUP(B119,AmmoTypeFactors,6,FALSE)="Bomb_Secondary"),1.33,1)*('Ammo Input'!H119*0.35)/1000)^0.6/1000)*10/3*VLOOKUP(B119,AmmoTypeFactors,4,FALSE)</f>
        <v>0</v>
      </c>
    </row>
    <row r="120" ht="14.4" spans="1:16">
      <c r="A120" t="str">
        <f>'Ammo Input'!A120</f>
        <v>.50 BMG</v>
      </c>
      <c r="B120" s="1" t="str">
        <f>'Ammo Input'!B120</f>
        <v>AP-I</v>
      </c>
      <c r="C120">
        <f>(0.579*('Ammo Stats'!G120*IF(OR(B120="HEAT",B120="HEDP"),10,'Ammo Input'!F120)*VLOOKUP(B120,AmmoTypeFactors,7,FALSE))^(0.346))^IF(B120="HEDP",2.1,1)/IF(B120="HEDP",50,1)</f>
        <v>32.8407239834355</v>
      </c>
      <c r="D120" s="16">
        <f>IF(VLOOKUP(B120,AmmoTypeFactors,8,FALSE),J120,C120)*VLOOKUP('Ammo Input'!B120,AmmoTypeFactors,2,FALSE)</f>
        <v>26.2725791867484</v>
      </c>
      <c r="E120" s="16">
        <f>IF(OR(VLOOKUP(B120,AmmoTypeFactors,6,FALSE)="Bomb",VLOOKUP(B120,AmmoTypeFactors,6,FALSE)="Thermobaric"),J120*VLOOKUP(B120,AmmoTypeFactors,4,FALSE),IF(VLOOKUP(B120,AmmoTypeFactors,11,FALSE),P120,C120*VLOOKUP(B120,AmmoTypeFactors,4,FALSE)))</f>
        <v>14.3320305290862</v>
      </c>
      <c r="F120" s="16">
        <f>'Ammo Stats'!G120/0.005</f>
        <v>3603400</v>
      </c>
      <c r="G120" s="16">
        <f>(IF(B120="HEAT",10,'Ammo Input'!F120)*VLOOKUP(B120,AmmoTypeFactors,7,FALSE)*0.5)^2*PI()/100</f>
        <v>0.331830724035422</v>
      </c>
      <c r="H120" s="10">
        <f t="shared" si="6"/>
        <v>360.34</v>
      </c>
      <c r="I120" s="10">
        <f>IF(B120&lt;&gt;"Arrow (Flaming)",39493.49*'Ammo Input'!M120^0.6/1000,0)</f>
        <v>0</v>
      </c>
      <c r="J120">
        <f t="shared" si="7"/>
        <v>0</v>
      </c>
      <c r="K120">
        <f t="shared" si="8"/>
        <v>15</v>
      </c>
      <c r="L120">
        <f>200000/('Ammo Stats'!C120*(MAX('Ammo Input'!D120,'Ammo Input'!F120)*0.5)^2*PI())</f>
        <v>4370.70750513251</v>
      </c>
      <c r="M120">
        <f>IF(B120="Frag",1,('Ammo Input'!M120/1.33)/('Ammo Input'!H120/1000))</f>
        <v>0</v>
      </c>
      <c r="N120" t="s">
        <v>353</v>
      </c>
      <c r="O120" t="s">
        <v>353</v>
      </c>
      <c r="P120" s="3">
        <f>(39493.49*(IF((VLOOKUP(B120,AmmoTypeFactors,6,FALSE)="Bomb_Secondary"),1.33,1)*('Ammo Input'!H120*0.35)/1000)^0.6/1000)*10/3*VLOOKUP(B120,AmmoTypeFactors,4,FALSE)</f>
        <v>14.3320305290862</v>
      </c>
    </row>
    <row r="121" ht="14.4" spans="1:16">
      <c r="A121" t="str">
        <f>'Ammo Input'!A121</f>
        <v>.50 BMG</v>
      </c>
      <c r="B121" s="1" t="str">
        <f>'Ammo Input'!B121</f>
        <v>AP-HE</v>
      </c>
      <c r="C121">
        <f>(0.579*('Ammo Stats'!G121*IF(OR(B121="HEAT",B121="HEDP"),10,'Ammo Input'!F121)*VLOOKUP(B121,AmmoTypeFactors,7,FALSE))^(0.346))^IF(B121="HEDP",2.1,1)/IF(B121="HEDP",50,1)</f>
        <v>41.7416008826871</v>
      </c>
      <c r="D121" s="16">
        <f>IF(VLOOKUP(B121,AmmoTypeFactors,8,FALSE),J121,C121)*VLOOKUP('Ammo Input'!B121,AmmoTypeFactors,2,FALSE)</f>
        <v>41.7416008826871</v>
      </c>
      <c r="E121" s="16">
        <f>IF(OR(VLOOKUP(B121,AmmoTypeFactors,6,FALSE)="Bomb",VLOOKUP(B121,AmmoTypeFactors,6,FALSE)="Thermobaric"),J121*VLOOKUP(B121,AmmoTypeFactors,4,FALSE),IF(VLOOKUP(B121,AmmoTypeFactors,11,FALSE),P121,C121*VLOOKUP(B121,AmmoTypeFactors,4,FALSE)))</f>
        <v>19.6230547660743</v>
      </c>
      <c r="F121" s="16">
        <f>'Ammo Stats'!G121/0.005</f>
        <v>3603400</v>
      </c>
      <c r="G121" s="16">
        <f>(IF(B121="HEAT",10,'Ammo Input'!F121)*VLOOKUP(B121,AmmoTypeFactors,7,FALSE)*0.5)^2*PI()/100</f>
        <v>1.32732289614169</v>
      </c>
      <c r="H121" s="10">
        <f t="shared" si="6"/>
        <v>360.34</v>
      </c>
      <c r="I121" s="10">
        <f>IF(B121&lt;&gt;"Arrow (Flaming)",39493.49*'Ammo Input'!M121^0.6/1000,0)</f>
        <v>0</v>
      </c>
      <c r="J121">
        <f t="shared" si="7"/>
        <v>0</v>
      </c>
      <c r="K121">
        <f t="shared" si="8"/>
        <v>15</v>
      </c>
      <c r="L121">
        <f>200000/('Ammo Stats'!C121*(MAX('Ammo Input'!D121,'Ammo Input'!F121)*0.5)^2*PI())</f>
        <v>4370.70750513251</v>
      </c>
      <c r="M121">
        <f>IF(B121="Frag",1,('Ammo Input'!M121/1.33)/('Ammo Input'!H121/1000))</f>
        <v>0</v>
      </c>
      <c r="N121" t="s">
        <v>353</v>
      </c>
      <c r="O121" t="s">
        <v>353</v>
      </c>
      <c r="P121" s="3">
        <f>(39493.49*(IF((VLOOKUP(B121,AmmoTypeFactors,6,FALSE)="Bomb_Secondary"),1.33,1)*('Ammo Input'!H121*0.35)/1000)^0.6/1000)*10/3*VLOOKUP(B121,AmmoTypeFactors,4,FALSE)</f>
        <v>19.6230547660743</v>
      </c>
    </row>
    <row r="122" ht="14.4" spans="1:16">
      <c r="A122" t="str">
        <f>'Ammo Input'!A122</f>
        <v>.50 BMG</v>
      </c>
      <c r="B122" s="1" t="str">
        <f>'Ammo Input'!B122</f>
        <v>Sabot</v>
      </c>
      <c r="C122">
        <f>(0.579*('Ammo Stats'!G122*IF(OR(B122="HEAT",B122="HEDP"),10,'Ammo Input'!F122)*VLOOKUP(B122,AmmoTypeFactors,7,FALSE))^(0.346))^IF(B122="HEDP",2.1,1)/IF(B122="HEDP",50,1)</f>
        <v>28.0284077714</v>
      </c>
      <c r="D122" s="16">
        <f>IF(VLOOKUP(B122,AmmoTypeFactors,8,FALSE),J122,C122)*VLOOKUP('Ammo Input'!B122,AmmoTypeFactors,2,FALSE)</f>
        <v>19.61988543998</v>
      </c>
      <c r="E122" s="16">
        <f>IF(OR(VLOOKUP(B122,AmmoTypeFactors,6,FALSE)="Bomb",VLOOKUP(B122,AmmoTypeFactors,6,FALSE)="Thermobaric"),J122*VLOOKUP(B122,AmmoTypeFactors,4,FALSE),IF(VLOOKUP(B122,AmmoTypeFactors,11,FALSE),P122,C122*VLOOKUP(B122,AmmoTypeFactors,4,FALSE)))</f>
        <v>0</v>
      </c>
      <c r="F122" s="16">
        <f>'Ammo Stats'!G122/0.005</f>
        <v>3888800</v>
      </c>
      <c r="G122" s="16">
        <f>(IF(B122="HEAT",10,'Ammo Input'!F122)*VLOOKUP(B122,AmmoTypeFactors,7,FALSE)*0.5)^2*PI()/100</f>
        <v>0.114009182796937</v>
      </c>
      <c r="H122" s="10">
        <f t="shared" si="6"/>
        <v>388.88</v>
      </c>
      <c r="I122" s="10">
        <f>IF(B122&lt;&gt;"Arrow (Flaming)",39493.49*'Ammo Input'!M122^0.6/1000,0)</f>
        <v>0</v>
      </c>
      <c r="J122">
        <f t="shared" si="7"/>
        <v>0</v>
      </c>
      <c r="K122">
        <f t="shared" si="8"/>
        <v>16</v>
      </c>
      <c r="L122">
        <f>200000/('Ammo Stats'!C122*(MAX('Ammo Input'!D122,'Ammo Input'!F122)*0.5)^2*PI())</f>
        <v>4370.70750513251</v>
      </c>
      <c r="M122">
        <f>IF(B122="Frag",1,('Ammo Input'!M122/1.33)/('Ammo Input'!H122/1000))</f>
        <v>0</v>
      </c>
      <c r="N122" t="s">
        <v>353</v>
      </c>
      <c r="O122" t="s">
        <v>353</v>
      </c>
      <c r="P122" s="3">
        <f>(39493.49*(IF((VLOOKUP(B122,AmmoTypeFactors,6,FALSE)="Bomb_Secondary"),1.33,1)*('Ammo Input'!H122*0.35)/1000)^0.6/1000)*10/3*VLOOKUP(B122,AmmoTypeFactors,4,FALSE)</f>
        <v>0</v>
      </c>
    </row>
    <row r="123" ht="14.4" spans="1:16">
      <c r="A123" t="str">
        <f>'Ammo Input'!A123</f>
        <v>.55 Boys</v>
      </c>
      <c r="B123" s="1" t="str">
        <f>'Ammo Input'!B123</f>
        <v>FMJ</v>
      </c>
      <c r="C123">
        <f>(0.579*('Ammo Stats'!G123*IF(OR(B123="HEAT",B123="HEDP"),10,'Ammo Input'!F123)*VLOOKUP(B123,AmmoTypeFactors,7,FALSE))^(0.346))^IF(B123="HEDP",2.1,1)/IF(B123="HEDP",50,1)</f>
        <v>47.526405836028</v>
      </c>
      <c r="D123" s="16">
        <f>IF(VLOOKUP(B123,AmmoTypeFactors,8,FALSE),J123,C123)*VLOOKUP('Ammo Input'!B123,AmmoTypeFactors,2,FALSE)</f>
        <v>47.526405836028</v>
      </c>
      <c r="E123" s="16">
        <f>IF(OR(VLOOKUP(B123,AmmoTypeFactors,6,FALSE)="Bomb",VLOOKUP(B123,AmmoTypeFactors,6,FALSE)="Thermobaric"),J123*VLOOKUP(B123,AmmoTypeFactors,4,FALSE),IF(VLOOKUP(B123,AmmoTypeFactors,11,FALSE),P123,C123*VLOOKUP(B123,AmmoTypeFactors,4,FALSE)))</f>
        <v>0</v>
      </c>
      <c r="F123" s="16">
        <f>'Ammo Stats'!G123/0.005</f>
        <v>4766800</v>
      </c>
      <c r="G123" s="16">
        <f>(IF(B123="HEAT",10,'Ammo Input'!F123)*VLOOKUP(B123,AmmoTypeFactors,7,FALSE)*0.5)^2*PI()/100</f>
        <v>1.60606070433144</v>
      </c>
      <c r="H123" s="10">
        <f t="shared" si="6"/>
        <v>476.68</v>
      </c>
      <c r="I123" s="10">
        <f>IF(B123&lt;&gt;"Arrow (Flaming)",39493.49*'Ammo Input'!M123^0.6/1000,0)</f>
        <v>0</v>
      </c>
      <c r="J123">
        <f t="shared" si="7"/>
        <v>0</v>
      </c>
      <c r="K123">
        <f t="shared" si="8"/>
        <v>17</v>
      </c>
      <c r="L123">
        <f>200000/('Ammo Stats'!C123*(MAX('Ammo Input'!D123,'Ammo Input'!F123)*0.5)^2*PI())</f>
        <v>4781.62755633809</v>
      </c>
      <c r="M123">
        <f>IF(B123="Frag",1,('Ammo Input'!M123/1.33)/('Ammo Input'!H123/1000))</f>
        <v>0</v>
      </c>
      <c r="N123" t="s">
        <v>353</v>
      </c>
      <c r="O123" t="s">
        <v>353</v>
      </c>
      <c r="P123" s="3">
        <f>(39493.49*(IF((VLOOKUP(B123,AmmoTypeFactors,6,FALSE)="Bomb_Secondary"),1.33,1)*('Ammo Input'!H123*0.35)/1000)^0.6/1000)*10/3*VLOOKUP(B123,AmmoTypeFactors,4,FALSE)</f>
        <v>0</v>
      </c>
    </row>
    <row r="124" ht="14.4" spans="1:16">
      <c r="A124" t="str">
        <f>'Ammo Input'!A124</f>
        <v>.55 Boys</v>
      </c>
      <c r="B124" s="1" t="str">
        <f>'Ammo Input'!B124</f>
        <v>AP</v>
      </c>
      <c r="C124">
        <f>(0.579*('Ammo Stats'!G124*IF(OR(B124="HEAT",B124="HEDP"),10,'Ammo Input'!F124)*VLOOKUP(B124,AmmoTypeFactors,7,FALSE))^(0.346))^IF(B124="HEDP",2.1,1)/IF(B124="HEDP",50,1)</f>
        <v>37.3919912744194</v>
      </c>
      <c r="D124" s="16">
        <f>IF(VLOOKUP(B124,AmmoTypeFactors,8,FALSE),J124,C124)*VLOOKUP('Ammo Input'!B124,AmmoTypeFactors,2,FALSE)</f>
        <v>29.9135930195355</v>
      </c>
      <c r="E124" s="16">
        <f>IF(OR(VLOOKUP(B124,AmmoTypeFactors,6,FALSE)="Bomb",VLOOKUP(B124,AmmoTypeFactors,6,FALSE)="Thermobaric"),J124*VLOOKUP(B124,AmmoTypeFactors,4,FALSE),IF(VLOOKUP(B124,AmmoTypeFactors,11,FALSE),P124,C124*VLOOKUP(B124,AmmoTypeFactors,4,FALSE)))</f>
        <v>0</v>
      </c>
      <c r="F124" s="16">
        <f>'Ammo Stats'!G124/0.005</f>
        <v>4766800</v>
      </c>
      <c r="G124" s="16">
        <f>(IF(B124="HEAT",10,'Ammo Input'!F124)*VLOOKUP(B124,AmmoTypeFactors,7,FALSE)*0.5)^2*PI()/100</f>
        <v>0.40151517608286</v>
      </c>
      <c r="H124" s="10">
        <f t="shared" si="6"/>
        <v>476.68</v>
      </c>
      <c r="I124" s="10">
        <f>IF(B124&lt;&gt;"Arrow (Flaming)",39493.49*'Ammo Input'!M124^0.6/1000,0)</f>
        <v>0</v>
      </c>
      <c r="J124">
        <f t="shared" si="7"/>
        <v>0</v>
      </c>
      <c r="K124">
        <f t="shared" si="8"/>
        <v>17</v>
      </c>
      <c r="L124">
        <f>200000/('Ammo Stats'!C124*(MAX('Ammo Input'!D124,'Ammo Input'!F124)*0.5)^2*PI())</f>
        <v>4781.62755633809</v>
      </c>
      <c r="M124">
        <f>IF(B124="Frag",1,('Ammo Input'!M124/1.33)/('Ammo Input'!H124/1000))</f>
        <v>0</v>
      </c>
      <c r="N124" t="s">
        <v>353</v>
      </c>
      <c r="O124" t="s">
        <v>353</v>
      </c>
      <c r="P124" s="3">
        <f>(39493.49*(IF((VLOOKUP(B124,AmmoTypeFactors,6,FALSE)="Bomb_Secondary"),1.33,1)*('Ammo Input'!H124*0.35)/1000)^0.6/1000)*10/3*VLOOKUP(B124,AmmoTypeFactors,4,FALSE)</f>
        <v>0</v>
      </c>
    </row>
    <row r="125" ht="14.4" spans="1:16">
      <c r="A125" t="str">
        <f>'Ammo Input'!A125</f>
        <v>.55 Boys</v>
      </c>
      <c r="B125" s="1" t="str">
        <f>'Ammo Input'!B125</f>
        <v>AP-I</v>
      </c>
      <c r="C125">
        <f>(0.579*('Ammo Stats'!G125*IF(OR(B125="HEAT",B125="HEDP"),10,'Ammo Input'!F125)*VLOOKUP(B125,AmmoTypeFactors,7,FALSE))^(0.346))^IF(B125="HEDP",2.1,1)/IF(B125="HEDP",50,1)</f>
        <v>37.3919912744194</v>
      </c>
      <c r="D125" s="16">
        <f>IF(VLOOKUP(B125,AmmoTypeFactors,8,FALSE),J125,C125)*VLOOKUP('Ammo Input'!B125,AmmoTypeFactors,2,FALSE)</f>
        <v>29.9135930195355</v>
      </c>
      <c r="E125" s="16">
        <f>IF(OR(VLOOKUP(B125,AmmoTypeFactors,6,FALSE)="Bomb",VLOOKUP(B125,AmmoTypeFactors,6,FALSE)="Thermobaric"),J125*VLOOKUP(B125,AmmoTypeFactors,4,FALSE),IF(VLOOKUP(B125,AmmoTypeFactors,11,FALSE),P125,C125*VLOOKUP(B125,AmmoTypeFactors,4,FALSE)))</f>
        <v>17.021049660217</v>
      </c>
      <c r="F125" s="16">
        <f>'Ammo Stats'!G125/0.005</f>
        <v>4766800</v>
      </c>
      <c r="G125" s="16">
        <f>(IF(B125="HEAT",10,'Ammo Input'!F125)*VLOOKUP(B125,AmmoTypeFactors,7,FALSE)*0.5)^2*PI()/100</f>
        <v>0.40151517608286</v>
      </c>
      <c r="H125" s="10">
        <f t="shared" si="6"/>
        <v>476.68</v>
      </c>
      <c r="I125" s="10">
        <f>IF(B125&lt;&gt;"Arrow (Flaming)",39493.49*'Ammo Input'!M125^0.6/1000,0)</f>
        <v>0</v>
      </c>
      <c r="J125">
        <f t="shared" si="7"/>
        <v>0</v>
      </c>
      <c r="K125">
        <f t="shared" si="8"/>
        <v>17</v>
      </c>
      <c r="L125">
        <f>200000/('Ammo Stats'!C125*(MAX('Ammo Input'!D125,'Ammo Input'!F125)*0.5)^2*PI())</f>
        <v>4781.62755633809</v>
      </c>
      <c r="M125">
        <f>IF(B125="Frag",1,('Ammo Input'!M125/1.33)/('Ammo Input'!H125/1000))</f>
        <v>0</v>
      </c>
      <c r="N125" t="s">
        <v>353</v>
      </c>
      <c r="O125" t="s">
        <v>353</v>
      </c>
      <c r="P125" s="3">
        <f>(39493.49*(IF((VLOOKUP(B125,AmmoTypeFactors,6,FALSE)="Bomb_Secondary"),1.33,1)*('Ammo Input'!H125*0.35)/1000)^0.6/1000)*10/3*VLOOKUP(B125,AmmoTypeFactors,4,FALSE)</f>
        <v>17.021049660217</v>
      </c>
    </row>
    <row r="126" ht="14.4" spans="1:16">
      <c r="A126" t="str">
        <f>'Ammo Input'!A126</f>
        <v>.55 Boys</v>
      </c>
      <c r="B126" s="1" t="str">
        <f>'Ammo Input'!B126</f>
        <v>AP-HE</v>
      </c>
      <c r="C126">
        <f>(0.579*('Ammo Stats'!G126*IF(OR(B126="HEAT",B126="HEDP"),10,'Ammo Input'!F126)*VLOOKUP(B126,AmmoTypeFactors,7,FALSE))^(0.346))^IF(B126="HEDP",2.1,1)/IF(B126="HEDP",50,1)</f>
        <v>47.526405836028</v>
      </c>
      <c r="D126" s="16">
        <f>IF(VLOOKUP(B126,AmmoTypeFactors,8,FALSE),J126,C126)*VLOOKUP('Ammo Input'!B126,AmmoTypeFactors,2,FALSE)</f>
        <v>47.526405836028</v>
      </c>
      <c r="E126" s="16">
        <f>IF(OR(VLOOKUP(B126,AmmoTypeFactors,6,FALSE)="Bomb",VLOOKUP(B126,AmmoTypeFactors,6,FALSE)="Thermobaric"),J126*VLOOKUP(B126,AmmoTypeFactors,4,FALSE),IF(VLOOKUP(B126,AmmoTypeFactors,11,FALSE),P126,C126*VLOOKUP(B126,AmmoTypeFactors,4,FALSE)))</f>
        <v>23.3047919470072</v>
      </c>
      <c r="F126" s="16">
        <f>'Ammo Stats'!G126/0.005</f>
        <v>4766800</v>
      </c>
      <c r="G126" s="16">
        <f>(IF(B126="HEAT",10,'Ammo Input'!F126)*VLOOKUP(B126,AmmoTypeFactors,7,FALSE)*0.5)^2*PI()/100</f>
        <v>1.60606070433144</v>
      </c>
      <c r="H126" s="10">
        <f t="shared" si="6"/>
        <v>476.68</v>
      </c>
      <c r="I126" s="10">
        <f>IF(B126&lt;&gt;"Arrow (Flaming)",39493.49*'Ammo Input'!M126^0.6/1000,0)</f>
        <v>0</v>
      </c>
      <c r="J126">
        <f t="shared" si="7"/>
        <v>0</v>
      </c>
      <c r="K126">
        <f t="shared" si="8"/>
        <v>17</v>
      </c>
      <c r="L126">
        <f>200000/('Ammo Stats'!C126*(MAX('Ammo Input'!D126,'Ammo Input'!F126)*0.5)^2*PI())</f>
        <v>4781.62755633809</v>
      </c>
      <c r="M126">
        <f>IF(B126="Frag",1,('Ammo Input'!M126/1.33)/('Ammo Input'!H126/1000))</f>
        <v>0</v>
      </c>
      <c r="N126" t="s">
        <v>353</v>
      </c>
      <c r="O126" t="s">
        <v>353</v>
      </c>
      <c r="P126" s="3">
        <f>(39493.49*(IF((VLOOKUP(B126,AmmoTypeFactors,6,FALSE)="Bomb_Secondary"),1.33,1)*('Ammo Input'!H126*0.35)/1000)^0.6/1000)*10/3*VLOOKUP(B126,AmmoTypeFactors,4,FALSE)</f>
        <v>23.3047919470072</v>
      </c>
    </row>
    <row r="127" ht="14.4" spans="1:16">
      <c r="A127" t="str">
        <f>'Ammo Input'!A127</f>
        <v>.55 Boys</v>
      </c>
      <c r="B127" s="1" t="str">
        <f>'Ammo Input'!B127</f>
        <v>Sabot</v>
      </c>
      <c r="C127">
        <f>(0.579*('Ammo Stats'!G127*IF(OR(B127="HEAT",B127="HEDP"),10,'Ammo Input'!F127)*VLOOKUP(B127,AmmoTypeFactors,7,FALSE))^(0.346))^IF(B127="HEDP",2.1,1)/IF(B127="HEDP",50,1)</f>
        <v>36.022576022728</v>
      </c>
      <c r="D127" s="16">
        <f>IF(VLOOKUP(B127,AmmoTypeFactors,8,FALSE),J127,C127)*VLOOKUP('Ammo Input'!B127,AmmoTypeFactors,2,FALSE)</f>
        <v>25.2158032159096</v>
      </c>
      <c r="E127" s="16">
        <f>IF(OR(VLOOKUP(B127,AmmoTypeFactors,6,FALSE)="Bomb",VLOOKUP(B127,AmmoTypeFactors,6,FALSE)="Thermobaric"),J127*VLOOKUP(B127,AmmoTypeFactors,4,FALSE),IF(VLOOKUP(B127,AmmoTypeFactors,11,FALSE),P127,C127*VLOOKUP(B127,AmmoTypeFactors,4,FALSE)))</f>
        <v>0</v>
      </c>
      <c r="F127" s="16">
        <f>'Ammo Stats'!G127/0.005</f>
        <v>6113600</v>
      </c>
      <c r="G127" s="16">
        <f>(IF(B127="HEAT",10,'Ammo Input'!F127)*VLOOKUP(B127,AmmoTypeFactors,7,FALSE)*0.5)^2*PI()/100</f>
        <v>0.196742436280602</v>
      </c>
      <c r="H127" s="10">
        <f t="shared" si="6"/>
        <v>611.36</v>
      </c>
      <c r="I127" s="10">
        <f>IF(B127&lt;&gt;"Arrow (Flaming)",39493.49*'Ammo Input'!M127^0.6/1000,0)</f>
        <v>0</v>
      </c>
      <c r="J127">
        <f t="shared" si="7"/>
        <v>0</v>
      </c>
      <c r="K127">
        <f t="shared" si="8"/>
        <v>18</v>
      </c>
      <c r="L127">
        <f>200000/('Ammo Stats'!C127*(MAX('Ammo Input'!D127,'Ammo Input'!F127)*0.5)^2*PI())</f>
        <v>4781.62755633809</v>
      </c>
      <c r="M127">
        <f>IF(B127="Frag",1,('Ammo Input'!M127/1.33)/('Ammo Input'!H127/1000))</f>
        <v>0</v>
      </c>
      <c r="N127" t="s">
        <v>353</v>
      </c>
      <c r="O127" t="s">
        <v>353</v>
      </c>
      <c r="P127" s="3">
        <f>(39493.49*(IF((VLOOKUP(B127,AmmoTypeFactors,6,FALSE)="Bomb_Secondary"),1.33,1)*('Ammo Input'!H127*0.35)/1000)^0.6/1000)*10/3*VLOOKUP(B127,AmmoTypeFactors,4,FALSE)</f>
        <v>0</v>
      </c>
    </row>
    <row r="128" ht="14.4" spans="1:16">
      <c r="A128" t="str">
        <f>'Ammo Input'!A128</f>
        <v>7.92x94mm Patronen</v>
      </c>
      <c r="B128" s="1" t="str">
        <f>'Ammo Input'!B128</f>
        <v>FMJ</v>
      </c>
      <c r="C128">
        <f>(0.579*('Ammo Stats'!G128*IF(OR(B128="HEAT",B128="HEDP"),10,'Ammo Input'!F128)*VLOOKUP(B128,AmmoTypeFactors,7,FALSE))^(0.346))^IF(B128="HEDP",2.1,1)/IF(B128="HEDP",50,1)</f>
        <v>29.7424343218317</v>
      </c>
      <c r="D128" s="16">
        <f>IF(VLOOKUP(B128,AmmoTypeFactors,8,FALSE),J128,C128)*VLOOKUP('Ammo Input'!B128,AmmoTypeFactors,2,FALSE)</f>
        <v>29.7424343218317</v>
      </c>
      <c r="E128" s="16">
        <f>IF(OR(VLOOKUP(B128,AmmoTypeFactors,6,FALSE)="Bomb",VLOOKUP(B128,AmmoTypeFactors,6,FALSE)="Thermobaric"),J128*VLOOKUP(B128,AmmoTypeFactors,4,FALSE),IF(VLOOKUP(B128,AmmoTypeFactors,11,FALSE),P128,C128*VLOOKUP(B128,AmmoTypeFactors,4,FALSE)))</f>
        <v>0</v>
      </c>
      <c r="F128" s="16">
        <f>'Ammo Stats'!G128/0.005</f>
        <v>2134600</v>
      </c>
      <c r="G128" s="16">
        <f>(IF(B128="HEAT",10,'Ammo Input'!F128)*VLOOKUP(B128,AmmoTypeFactors,7,FALSE)*0.5)^2*PI()/100</f>
        <v>0.533266503390946</v>
      </c>
      <c r="H128" s="10">
        <f t="shared" si="6"/>
        <v>213.46</v>
      </c>
      <c r="I128" s="10">
        <f>IF(B128&lt;&gt;"Arrow (Flaming)",39493.49*'Ammo Input'!M128^0.6/1000,0)</f>
        <v>0</v>
      </c>
      <c r="J128">
        <f t="shared" si="7"/>
        <v>0</v>
      </c>
      <c r="K128">
        <f t="shared" si="8"/>
        <v>13</v>
      </c>
      <c r="L128">
        <f>200000/('Ammo Stats'!C128*(MAX('Ammo Input'!D128,'Ammo Input'!F128)*0.5)^2*PI())</f>
        <v>4480.11019608147</v>
      </c>
      <c r="M128">
        <f>IF(B128="Frag",1,('Ammo Input'!M128/1.33)/('Ammo Input'!H128/1000))</f>
        <v>0</v>
      </c>
      <c r="N128" t="s">
        <v>353</v>
      </c>
      <c r="O128" t="s">
        <v>353</v>
      </c>
      <c r="P128" s="3">
        <f>(39493.49*(IF((VLOOKUP(B128,AmmoTypeFactors,6,FALSE)="Bomb_Secondary"),1.33,1)*('Ammo Input'!H128*0.35)/1000)^0.6/1000)*10/3*VLOOKUP(B128,AmmoTypeFactors,4,FALSE)</f>
        <v>0</v>
      </c>
    </row>
    <row r="129" ht="14.4" spans="1:16">
      <c r="A129" t="str">
        <f>'Ammo Input'!A129</f>
        <v>7.92x94mm Patronen</v>
      </c>
      <c r="B129" s="1" t="str">
        <f>'Ammo Input'!B129</f>
        <v>AP</v>
      </c>
      <c r="C129">
        <f>(0.579*('Ammo Stats'!G129*IF(OR(B129="HEAT",B129="HEDP"),10,'Ammo Input'!F129)*VLOOKUP(B129,AmmoTypeFactors,7,FALSE))^(0.346))^IF(B129="HEDP",2.1,1)/IF(B129="HEDP",50,1)</f>
        <v>23.4002303578121</v>
      </c>
      <c r="D129" s="16">
        <f>IF(VLOOKUP(B129,AmmoTypeFactors,8,FALSE),J129,C129)*VLOOKUP('Ammo Input'!B129,AmmoTypeFactors,2,FALSE)</f>
        <v>18.7201842862497</v>
      </c>
      <c r="E129" s="16">
        <f>IF(OR(VLOOKUP(B129,AmmoTypeFactors,6,FALSE)="Bomb",VLOOKUP(B129,AmmoTypeFactors,6,FALSE)="Thermobaric"),J129*VLOOKUP(B129,AmmoTypeFactors,4,FALSE),IF(VLOOKUP(B129,AmmoTypeFactors,11,FALSE),P129,C129*VLOOKUP(B129,AmmoTypeFactors,4,FALSE)))</f>
        <v>0</v>
      </c>
      <c r="F129" s="16">
        <f>'Ammo Stats'!G129/0.005</f>
        <v>2134600</v>
      </c>
      <c r="G129" s="16">
        <f>(IF(B129="HEAT",10,'Ammo Input'!F129)*VLOOKUP(B129,AmmoTypeFactors,7,FALSE)*0.5)^2*PI()/100</f>
        <v>0.133316625847736</v>
      </c>
      <c r="H129" s="10">
        <f t="shared" si="6"/>
        <v>213.46</v>
      </c>
      <c r="I129" s="10">
        <f>IF(B129&lt;&gt;"Arrow (Flaming)",39493.49*'Ammo Input'!M129^0.6/1000,0)</f>
        <v>0</v>
      </c>
      <c r="J129">
        <f t="shared" si="7"/>
        <v>0</v>
      </c>
      <c r="K129">
        <f t="shared" si="8"/>
        <v>13</v>
      </c>
      <c r="L129">
        <f>200000/('Ammo Stats'!C129*(MAX('Ammo Input'!D129,'Ammo Input'!F129)*0.5)^2*PI())</f>
        <v>4480.11019608147</v>
      </c>
      <c r="M129">
        <f>IF(B129="Frag",1,('Ammo Input'!M129/1.33)/('Ammo Input'!H129/1000))</f>
        <v>0</v>
      </c>
      <c r="N129" t="s">
        <v>353</v>
      </c>
      <c r="O129" t="s">
        <v>353</v>
      </c>
      <c r="P129" s="3">
        <f>(39493.49*(IF((VLOOKUP(B129,AmmoTypeFactors,6,FALSE)="Bomb_Secondary"),1.33,1)*('Ammo Input'!H129*0.35)/1000)^0.6/1000)*10/3*VLOOKUP(B129,AmmoTypeFactors,4,FALSE)</f>
        <v>0</v>
      </c>
    </row>
    <row r="130" ht="14.4" spans="1:16">
      <c r="A130" t="str">
        <f>'Ammo Input'!A130</f>
        <v>7.92x94mm Patronen</v>
      </c>
      <c r="B130" s="1" t="str">
        <f>'Ammo Input'!B130</f>
        <v>AP-I</v>
      </c>
      <c r="C130">
        <f>(0.579*('Ammo Stats'!G130*IF(OR(B130="HEAT",B130="HEDP"),10,'Ammo Input'!F130)*VLOOKUP(B130,AmmoTypeFactors,7,FALSE))^(0.346))^IF(B130="HEDP",2.1,1)/IF(B130="HEDP",50,1)</f>
        <v>23.4002303578121</v>
      </c>
      <c r="D130" s="16">
        <f>IF(VLOOKUP(B130,AmmoTypeFactors,8,FALSE),J130,C130)*VLOOKUP('Ammo Input'!B130,AmmoTypeFactors,2,FALSE)</f>
        <v>18.7201842862497</v>
      </c>
      <c r="E130" s="16">
        <f>IF(OR(VLOOKUP(B130,AmmoTypeFactors,6,FALSE)="Bomb",VLOOKUP(B130,AmmoTypeFactors,6,FALSE)="Thermobaric"),J130*VLOOKUP(B130,AmmoTypeFactors,4,FALSE),IF(VLOOKUP(B130,AmmoTypeFactors,11,FALSE),P130,C130*VLOOKUP(B130,AmmoTypeFactors,4,FALSE)))</f>
        <v>7.21178801005371</v>
      </c>
      <c r="F130" s="16">
        <f>'Ammo Stats'!G130/0.005</f>
        <v>2134600</v>
      </c>
      <c r="G130" s="16">
        <f>(IF(B130="HEAT",10,'Ammo Input'!F130)*VLOOKUP(B130,AmmoTypeFactors,7,FALSE)*0.5)^2*PI()/100</f>
        <v>0.133316625847736</v>
      </c>
      <c r="H130" s="10">
        <f t="shared" si="6"/>
        <v>213.46</v>
      </c>
      <c r="I130" s="10">
        <f>IF(B130&lt;&gt;"Arrow (Flaming)",39493.49*'Ammo Input'!M130^0.6/1000,0)</f>
        <v>0</v>
      </c>
      <c r="J130">
        <f t="shared" si="7"/>
        <v>0</v>
      </c>
      <c r="K130">
        <f t="shared" si="8"/>
        <v>13</v>
      </c>
      <c r="L130">
        <f>200000/('Ammo Stats'!C130*(MAX('Ammo Input'!D130,'Ammo Input'!F130)*0.5)^2*PI())</f>
        <v>4480.11019608147</v>
      </c>
      <c r="M130">
        <f>IF(B130="Frag",1,('Ammo Input'!M130/1.33)/('Ammo Input'!H130/1000))</f>
        <v>0</v>
      </c>
      <c r="N130" t="s">
        <v>353</v>
      </c>
      <c r="O130" t="s">
        <v>353</v>
      </c>
      <c r="P130" s="3">
        <f>(39493.49*(IF((VLOOKUP(B130,AmmoTypeFactors,6,FALSE)="Bomb_Secondary"),1.33,1)*('Ammo Input'!H130*0.35)/1000)^0.6/1000)*10/3*VLOOKUP(B130,AmmoTypeFactors,4,FALSE)</f>
        <v>7.21178801005371</v>
      </c>
    </row>
    <row r="131" ht="14.4" spans="1:16">
      <c r="A131" t="str">
        <f>'Ammo Input'!A131</f>
        <v>7.92x94mm Patronen</v>
      </c>
      <c r="B131" s="1" t="str">
        <f>'Ammo Input'!B131</f>
        <v>AP-HE</v>
      </c>
      <c r="C131">
        <f>(0.579*('Ammo Stats'!G131*IF(OR(B131="HEAT",B131="HEDP"),10,'Ammo Input'!F131)*VLOOKUP(B131,AmmoTypeFactors,7,FALSE))^(0.346))^IF(B131="HEDP",2.1,1)/IF(B131="HEDP",50,1)</f>
        <v>29.7424343218317</v>
      </c>
      <c r="D131" s="16">
        <f>IF(VLOOKUP(B131,AmmoTypeFactors,8,FALSE),J131,C131)*VLOOKUP('Ammo Input'!B131,AmmoTypeFactors,2,FALSE)</f>
        <v>29.7424343218317</v>
      </c>
      <c r="E131" s="16">
        <f>IF(OR(VLOOKUP(B131,AmmoTypeFactors,6,FALSE)="Bomb",VLOOKUP(B131,AmmoTypeFactors,6,FALSE)="Thermobaric"),J131*VLOOKUP(B131,AmmoTypeFactors,4,FALSE),IF(VLOOKUP(B131,AmmoTypeFactors,11,FALSE),P131,C131*VLOOKUP(B131,AmmoTypeFactors,4,FALSE)))</f>
        <v>9.87419827186382</v>
      </c>
      <c r="F131" s="16">
        <f>'Ammo Stats'!G131/0.005</f>
        <v>2134600</v>
      </c>
      <c r="G131" s="16">
        <f>(IF(B131="HEAT",10,'Ammo Input'!F131)*VLOOKUP(B131,AmmoTypeFactors,7,FALSE)*0.5)^2*PI()/100</f>
        <v>0.533266503390946</v>
      </c>
      <c r="H131" s="10">
        <f t="shared" si="6"/>
        <v>213.46</v>
      </c>
      <c r="I131" s="10">
        <f>IF(B131&lt;&gt;"Arrow (Flaming)",39493.49*'Ammo Input'!M131^0.6/1000,0)</f>
        <v>0</v>
      </c>
      <c r="J131">
        <f t="shared" si="7"/>
        <v>0</v>
      </c>
      <c r="K131">
        <f t="shared" si="8"/>
        <v>13</v>
      </c>
      <c r="L131">
        <f>200000/('Ammo Stats'!C131*(MAX('Ammo Input'!D131,'Ammo Input'!F131)*0.5)^2*PI())</f>
        <v>4480.11019608147</v>
      </c>
      <c r="M131">
        <f>IF(B131="Frag",1,('Ammo Input'!M131/1.33)/('Ammo Input'!H131/1000))</f>
        <v>0</v>
      </c>
      <c r="N131" t="s">
        <v>353</v>
      </c>
      <c r="O131" t="s">
        <v>353</v>
      </c>
      <c r="P131" s="3">
        <f>(39493.49*(IF((VLOOKUP(B131,AmmoTypeFactors,6,FALSE)="Bomb_Secondary"),1.33,1)*('Ammo Input'!H131*0.35)/1000)^0.6/1000)*10/3*VLOOKUP(B131,AmmoTypeFactors,4,FALSE)</f>
        <v>9.87419827186382</v>
      </c>
    </row>
    <row r="132" ht="14.4" spans="1:16">
      <c r="A132" t="str">
        <f>'Ammo Input'!A132</f>
        <v>7.92x94mm Patronen</v>
      </c>
      <c r="B132" s="1" t="str">
        <f>'Ammo Input'!B132</f>
        <v>Sabot</v>
      </c>
      <c r="C132">
        <f>(0.579*('Ammo Stats'!G132*IF(OR(B132="HEAT",B132="HEDP"),10,'Ammo Input'!F132)*VLOOKUP(B132,AmmoTypeFactors,7,FALSE))^(0.346))^IF(B132="HEDP",2.1,1)/IF(B132="HEDP",50,1)</f>
        <v>22.6110038230808</v>
      </c>
      <c r="D132" s="16">
        <f>IF(VLOOKUP(B132,AmmoTypeFactors,8,FALSE),J132,C132)*VLOOKUP('Ammo Input'!B132,AmmoTypeFactors,2,FALSE)</f>
        <v>15.8277026761565</v>
      </c>
      <c r="E132" s="16">
        <f>IF(OR(VLOOKUP(B132,AmmoTypeFactors,6,FALSE)="Bomb",VLOOKUP(B132,AmmoTypeFactors,6,FALSE)="Thermobaric"),J132*VLOOKUP(B132,AmmoTypeFactors,4,FALSE),IF(VLOOKUP(B132,AmmoTypeFactors,11,FALSE),P132,C132*VLOOKUP(B132,AmmoTypeFactors,4,FALSE)))</f>
        <v>0</v>
      </c>
      <c r="F132" s="16">
        <f>'Ammo Stats'!G132/0.005</f>
        <v>2760600</v>
      </c>
      <c r="G132" s="16">
        <f>(IF(B132="HEAT",10,'Ammo Input'!F132)*VLOOKUP(B132,AmmoTypeFactors,7,FALSE)*0.5)^2*PI()/100</f>
        <v>0.0653704562854373</v>
      </c>
      <c r="H132" s="10">
        <f t="shared" si="6"/>
        <v>276.06</v>
      </c>
      <c r="I132" s="10">
        <f>IF(B132&lt;&gt;"Arrow (Flaming)",39493.49*'Ammo Input'!M132^0.6/1000,0)</f>
        <v>0</v>
      </c>
      <c r="J132">
        <f t="shared" si="7"/>
        <v>0</v>
      </c>
      <c r="K132">
        <f t="shared" si="8"/>
        <v>14</v>
      </c>
      <c r="L132">
        <f>200000/('Ammo Stats'!C132*(MAX('Ammo Input'!D132,'Ammo Input'!F132)*0.5)^2*PI())</f>
        <v>4480.11019608147</v>
      </c>
      <c r="M132">
        <f>IF(B132="Frag",1,('Ammo Input'!M132/1.33)/('Ammo Input'!H132/1000))</f>
        <v>0</v>
      </c>
      <c r="N132" t="s">
        <v>353</v>
      </c>
      <c r="O132" t="s">
        <v>353</v>
      </c>
      <c r="P132" s="3">
        <f>(39493.49*(IF((VLOOKUP(B132,AmmoTypeFactors,6,FALSE)="Bomb_Secondary"),1.33,1)*('Ammo Input'!H132*0.35)/1000)^0.6/1000)*10/3*VLOOKUP(B132,AmmoTypeFactors,4,FALSE)</f>
        <v>0</v>
      </c>
    </row>
    <row r="133" ht="14.4" spans="1:16">
      <c r="A133" t="str">
        <f>'Ammo Input'!A133</f>
        <v>14.5x114mm Soviet</v>
      </c>
      <c r="B133" s="1" t="str">
        <f>'Ammo Input'!B133</f>
        <v>FMJ</v>
      </c>
      <c r="C133">
        <f>(0.579*('Ammo Stats'!G133*IF(OR(B133="HEAT",B133="HEDP"),10,'Ammo Input'!F133)*VLOOKUP(B133,AmmoTypeFactors,7,FALSE))^(0.346))^IF(B133="HEDP",2.1,1)/IF(B133="HEDP",50,1)</f>
        <v>53.182124533634</v>
      </c>
      <c r="D133" s="16">
        <f>IF(VLOOKUP(B133,AmmoTypeFactors,8,FALSE),J133,C133)*VLOOKUP('Ammo Input'!B133,AmmoTypeFactors,2,FALSE)</f>
        <v>53.182124533634</v>
      </c>
      <c r="E133" s="16">
        <f>IF(OR(VLOOKUP(B133,AmmoTypeFactors,6,FALSE)="Bomb",VLOOKUP(B133,AmmoTypeFactors,6,FALSE)="Thermobaric"),J133*VLOOKUP(B133,AmmoTypeFactors,4,FALSE),IF(VLOOKUP(B133,AmmoTypeFactors,11,FALSE),P133,C133*VLOOKUP(B133,AmmoTypeFactors,4,FALSE)))</f>
        <v>0</v>
      </c>
      <c r="F133" s="16">
        <f>'Ammo Stats'!G133/0.005</f>
        <v>6340000</v>
      </c>
      <c r="G133" s="16">
        <f>(IF(B133="HEAT",10,'Ammo Input'!F133)*VLOOKUP(B133,AmmoTypeFactors,7,FALSE)*0.5)^2*PI()/100</f>
        <v>1.73898463109748</v>
      </c>
      <c r="H133" s="10">
        <f t="shared" si="6"/>
        <v>634</v>
      </c>
      <c r="I133" s="10">
        <f>IF(B133&lt;&gt;"Arrow (Flaming)",39493.49*'Ammo Input'!M133^0.6/1000,0)</f>
        <v>0</v>
      </c>
      <c r="J133">
        <f t="shared" si="7"/>
        <v>0</v>
      </c>
      <c r="K133">
        <f t="shared" si="8"/>
        <v>19</v>
      </c>
      <c r="L133">
        <f>200000/('Ammo Stats'!C133*(MAX('Ammo Input'!D133,'Ammo Input'!F133)*0.5)^2*PI())</f>
        <v>1298.55040221881</v>
      </c>
      <c r="M133">
        <f>IF(B133="Frag",1,('Ammo Input'!M133/1.33)/('Ammo Input'!H133/1000))</f>
        <v>0</v>
      </c>
      <c r="N133" t="s">
        <v>353</v>
      </c>
      <c r="O133" t="s">
        <v>353</v>
      </c>
      <c r="P133" s="3">
        <f>(39493.49*(IF((VLOOKUP(B133,AmmoTypeFactors,6,FALSE)="Bomb_Secondary"),1.33,1)*('Ammo Input'!H133*0.35)/1000)^0.6/1000)*10/3*VLOOKUP(B133,AmmoTypeFactors,4,FALSE)</f>
        <v>0</v>
      </c>
    </row>
    <row r="134" ht="14.4" spans="1:16">
      <c r="A134" t="str">
        <f>'Ammo Input'!A134</f>
        <v>14.5x114mm Soviet</v>
      </c>
      <c r="B134" s="1" t="str">
        <f>'Ammo Input'!B134</f>
        <v>AP</v>
      </c>
      <c r="C134">
        <f>(0.579*('Ammo Stats'!G134*IF(OR(B134="HEAT",B134="HEDP"),10,'Ammo Input'!F134)*VLOOKUP(B134,AmmoTypeFactors,7,FALSE))^(0.346))^IF(B134="HEDP",2.1,1)/IF(B134="HEDP",50,1)</f>
        <v>41.8416983471797</v>
      </c>
      <c r="D134" s="16">
        <f>IF(VLOOKUP(B134,AmmoTypeFactors,8,FALSE),J134,C134)*VLOOKUP('Ammo Input'!B134,AmmoTypeFactors,2,FALSE)</f>
        <v>33.4733586777438</v>
      </c>
      <c r="E134" s="16">
        <f>IF(OR(VLOOKUP(B134,AmmoTypeFactors,6,FALSE)="Bomb",VLOOKUP(B134,AmmoTypeFactors,6,FALSE)="Thermobaric"),J134*VLOOKUP(B134,AmmoTypeFactors,4,FALSE),IF(VLOOKUP(B134,AmmoTypeFactors,11,FALSE),P134,C134*VLOOKUP(B134,AmmoTypeFactors,4,FALSE)))</f>
        <v>0</v>
      </c>
      <c r="F134" s="16">
        <f>'Ammo Stats'!G134/0.005</f>
        <v>6340000</v>
      </c>
      <c r="G134" s="16">
        <f>(IF(B134="HEAT",10,'Ammo Input'!F134)*VLOOKUP(B134,AmmoTypeFactors,7,FALSE)*0.5)^2*PI()/100</f>
        <v>0.43474615777437</v>
      </c>
      <c r="H134" s="10">
        <f t="shared" si="6"/>
        <v>634</v>
      </c>
      <c r="I134" s="10">
        <f>IF(B134&lt;&gt;"Arrow (Flaming)",39493.49*'Ammo Input'!M134^0.6/1000,0)</f>
        <v>0</v>
      </c>
      <c r="J134">
        <f t="shared" si="7"/>
        <v>0</v>
      </c>
      <c r="K134">
        <f t="shared" si="8"/>
        <v>19</v>
      </c>
      <c r="L134">
        <f>200000/('Ammo Stats'!C134*(MAX('Ammo Input'!D134,'Ammo Input'!F134)*0.5)^2*PI())</f>
        <v>1298.55040221881</v>
      </c>
      <c r="M134">
        <f>IF(B134="Frag",1,('Ammo Input'!M134/1.33)/('Ammo Input'!H134/1000))</f>
        <v>0</v>
      </c>
      <c r="N134" t="s">
        <v>353</v>
      </c>
      <c r="O134" t="s">
        <v>353</v>
      </c>
      <c r="P134" s="3">
        <f>(39493.49*(IF((VLOOKUP(B134,AmmoTypeFactors,6,FALSE)="Bomb_Secondary"),1.33,1)*('Ammo Input'!H134*0.35)/1000)^0.6/1000)*10/3*VLOOKUP(B134,AmmoTypeFactors,4,FALSE)</f>
        <v>0</v>
      </c>
    </row>
    <row r="135" ht="14.4" spans="1:16">
      <c r="A135" t="str">
        <f>'Ammo Input'!A135</f>
        <v>14.5x114mm Soviet</v>
      </c>
      <c r="B135" s="1" t="str">
        <f>'Ammo Input'!B135</f>
        <v>AP-I</v>
      </c>
      <c r="C135">
        <f>(0.579*('Ammo Stats'!G135*IF(OR(B135="HEAT",B135="HEDP"),10,'Ammo Input'!F135)*VLOOKUP(B135,AmmoTypeFactors,7,FALSE))^(0.346))^IF(B135="HEDP",2.1,1)/IF(B135="HEDP",50,1)</f>
        <v>41.8416983471797</v>
      </c>
      <c r="D135" s="16">
        <f>IF(VLOOKUP(B135,AmmoTypeFactors,8,FALSE),J135,C135)*VLOOKUP('Ammo Input'!B135,AmmoTypeFactors,2,FALSE)</f>
        <v>33.4733586777438</v>
      </c>
      <c r="E135" s="16">
        <f>IF(OR(VLOOKUP(B135,AmmoTypeFactors,6,FALSE)="Bomb",VLOOKUP(B135,AmmoTypeFactors,6,FALSE)="Thermobaric"),J135*VLOOKUP(B135,AmmoTypeFactors,4,FALSE),IF(VLOOKUP(B135,AmmoTypeFactors,11,FALSE),P135,C135*VLOOKUP(B135,AmmoTypeFactors,4,FALSE)))</f>
        <v>17.419752992149</v>
      </c>
      <c r="F135" s="16">
        <f>'Ammo Stats'!G135/0.005</f>
        <v>6340000</v>
      </c>
      <c r="G135" s="16">
        <f>(IF(B135="HEAT",10,'Ammo Input'!F135)*VLOOKUP(B135,AmmoTypeFactors,7,FALSE)*0.5)^2*PI()/100</f>
        <v>0.43474615777437</v>
      </c>
      <c r="H135" s="10">
        <f t="shared" si="6"/>
        <v>634</v>
      </c>
      <c r="I135" s="10">
        <f>IF(B135&lt;&gt;"Arrow (Flaming)",39493.49*'Ammo Input'!M135^0.6/1000,0)</f>
        <v>0</v>
      </c>
      <c r="J135">
        <f t="shared" si="7"/>
        <v>0</v>
      </c>
      <c r="K135">
        <f t="shared" si="8"/>
        <v>19</v>
      </c>
      <c r="L135">
        <f>200000/('Ammo Stats'!C135*(MAX('Ammo Input'!D135,'Ammo Input'!F135)*0.5)^2*PI())</f>
        <v>1298.55040221881</v>
      </c>
      <c r="M135">
        <f>IF(B135="Frag",1,('Ammo Input'!M135/1.33)/('Ammo Input'!H135/1000))</f>
        <v>0</v>
      </c>
      <c r="N135" t="s">
        <v>353</v>
      </c>
      <c r="O135" t="s">
        <v>353</v>
      </c>
      <c r="P135" s="3">
        <f>(39493.49*(IF((VLOOKUP(B135,AmmoTypeFactors,6,FALSE)="Bomb_Secondary"),1.33,1)*('Ammo Input'!H135*0.35)/1000)^0.6/1000)*10/3*VLOOKUP(B135,AmmoTypeFactors,4,FALSE)</f>
        <v>17.419752992149</v>
      </c>
    </row>
    <row r="136" ht="14.4" spans="1:16">
      <c r="A136" t="str">
        <f>'Ammo Input'!A136</f>
        <v>14.5x114mm Soviet</v>
      </c>
      <c r="B136" s="1" t="str">
        <f>'Ammo Input'!B136</f>
        <v>AP-HE</v>
      </c>
      <c r="C136">
        <f>(0.579*('Ammo Stats'!G136*IF(OR(B136="HEAT",B136="HEDP"),10,'Ammo Input'!F136)*VLOOKUP(B136,AmmoTypeFactors,7,FALSE))^(0.346))^IF(B136="HEDP",2.1,1)/IF(B136="HEDP",50,1)</f>
        <v>53.182124533634</v>
      </c>
      <c r="D136" s="16">
        <f>IF(VLOOKUP(B136,AmmoTypeFactors,8,FALSE),J136,C136)*VLOOKUP('Ammo Input'!B136,AmmoTypeFactors,2,FALSE)</f>
        <v>53.182124533634</v>
      </c>
      <c r="E136" s="16">
        <f>IF(OR(VLOOKUP(B136,AmmoTypeFactors,6,FALSE)="Bomb",VLOOKUP(B136,AmmoTypeFactors,6,FALSE)="Thermobaric"),J136*VLOOKUP(B136,AmmoTypeFactors,4,FALSE),IF(VLOOKUP(B136,AmmoTypeFactors,11,FALSE),P136,C136*VLOOKUP(B136,AmmoTypeFactors,4,FALSE)))</f>
        <v>23.8506864943318</v>
      </c>
      <c r="F136" s="16">
        <f>'Ammo Stats'!G136/0.005</f>
        <v>6340000</v>
      </c>
      <c r="G136" s="16">
        <f>(IF(B136="HEAT",10,'Ammo Input'!F136)*VLOOKUP(B136,AmmoTypeFactors,7,FALSE)*0.5)^2*PI()/100</f>
        <v>1.73898463109748</v>
      </c>
      <c r="H136" s="10">
        <f t="shared" si="6"/>
        <v>634</v>
      </c>
      <c r="I136" s="10">
        <f>IF(B136&lt;&gt;"Arrow (Flaming)",39493.49*'Ammo Input'!M136^0.6/1000,0)</f>
        <v>0</v>
      </c>
      <c r="J136">
        <f t="shared" si="7"/>
        <v>0</v>
      </c>
      <c r="K136">
        <f t="shared" si="8"/>
        <v>19</v>
      </c>
      <c r="L136">
        <f>200000/('Ammo Stats'!C136*(MAX('Ammo Input'!D136,'Ammo Input'!F136)*0.5)^2*PI())</f>
        <v>1298.55040221881</v>
      </c>
      <c r="M136">
        <f>IF(B136="Frag",1,('Ammo Input'!M136/1.33)/('Ammo Input'!H136/1000))</f>
        <v>0</v>
      </c>
      <c r="N136" t="s">
        <v>353</v>
      </c>
      <c r="O136" t="s">
        <v>353</v>
      </c>
      <c r="P136" s="3">
        <f>(39493.49*(IF((VLOOKUP(B136,AmmoTypeFactors,6,FALSE)="Bomb_Secondary"),1.33,1)*('Ammo Input'!H136*0.35)/1000)^0.6/1000)*10/3*VLOOKUP(B136,AmmoTypeFactors,4,FALSE)</f>
        <v>23.8506864943318</v>
      </c>
    </row>
    <row r="137" ht="14.4" spans="1:16">
      <c r="A137" t="str">
        <f>'Ammo Input'!A137</f>
        <v>14.5x114mm Soviet</v>
      </c>
      <c r="B137" s="1" t="str">
        <f>'Ammo Input'!B137</f>
        <v>Sabot</v>
      </c>
      <c r="C137">
        <f>(0.579*('Ammo Stats'!G137*IF(OR(B137="HEAT",B137="HEDP"),10,'Ammo Input'!F137)*VLOOKUP(B137,AmmoTypeFactors,7,FALSE))^(0.346))^IF(B137="HEDP",2.1,1)/IF(B137="HEDP",50,1)</f>
        <v>38.3359262020203</v>
      </c>
      <c r="D137" s="16">
        <f>IF(VLOOKUP(B137,AmmoTypeFactors,8,FALSE),J137,C137)*VLOOKUP('Ammo Input'!B137,AmmoTypeFactors,2,FALSE)</f>
        <v>26.8351483414142</v>
      </c>
      <c r="E137" s="16">
        <f>IF(OR(VLOOKUP(B137,AmmoTypeFactors,6,FALSE)="Bomb",VLOOKUP(B137,AmmoTypeFactors,6,FALSE)="Thermobaric"),J137*VLOOKUP(B137,AmmoTypeFactors,4,FALSE),IF(VLOOKUP(B137,AmmoTypeFactors,11,FALSE),P137,C137*VLOOKUP(B137,AmmoTypeFactors,4,FALSE)))</f>
        <v>0</v>
      </c>
      <c r="F137" s="16">
        <f>'Ammo Stats'!G137/0.005</f>
        <v>8203600</v>
      </c>
      <c r="G137" s="16">
        <f>(IF(B137="HEAT",10,'Ammo Input'!F137)*VLOOKUP(B137,AmmoTypeFactors,7,FALSE)*0.5)^2*PI()/100</f>
        <v>0.156578745000783</v>
      </c>
      <c r="H137" s="10">
        <f t="shared" si="6"/>
        <v>820.36</v>
      </c>
      <c r="I137" s="10">
        <f>IF(B137&lt;&gt;"Arrow (Flaming)",39493.49*'Ammo Input'!M137^0.6/1000,0)</f>
        <v>0</v>
      </c>
      <c r="J137">
        <f t="shared" si="7"/>
        <v>0</v>
      </c>
      <c r="K137">
        <f t="shared" si="8"/>
        <v>20</v>
      </c>
      <c r="L137">
        <f>200000/('Ammo Stats'!C137*(MAX('Ammo Input'!D137,'Ammo Input'!F137)*0.5)^2*PI())</f>
        <v>1298.55040221881</v>
      </c>
      <c r="M137">
        <f>IF(B137="Frag",1,('Ammo Input'!M137/1.33)/('Ammo Input'!H137/1000))</f>
        <v>0</v>
      </c>
      <c r="N137" t="s">
        <v>353</v>
      </c>
      <c r="O137" t="s">
        <v>353</v>
      </c>
      <c r="P137" s="3">
        <f>(39493.49*(IF((VLOOKUP(B137,AmmoTypeFactors,6,FALSE)="Bomb_Secondary"),1.33,1)*('Ammo Input'!H137*0.35)/1000)^0.6/1000)*10/3*VLOOKUP(B137,AmmoTypeFactors,4,FALSE)</f>
        <v>0</v>
      </c>
    </row>
    <row r="138" ht="14.4" spans="1:16">
      <c r="A138" t="str">
        <f>'Ammo Input'!A138</f>
        <v>15.2x169mm</v>
      </c>
      <c r="B138" s="1" t="str">
        <f>'Ammo Input'!B138</f>
        <v>Sabot</v>
      </c>
      <c r="C138">
        <f>(0.579*('Ammo Stats'!G138*IF(OR(B138="HEAT",B138="HEDP"),10,'Ammo Input'!F138)*VLOOKUP(B138,AmmoTypeFactors,7,FALSE))^(0.346))^IF(B138="HEDP",2.1,1)/IF(B138="HEDP",50,1)</f>
        <v>42.7552757715812</v>
      </c>
      <c r="D138" s="16">
        <f>IF(VLOOKUP(B138,AmmoTypeFactors,8,FALSE),J138,C138)*VLOOKUP('Ammo Input'!B138,AmmoTypeFactors,2,FALSE)</f>
        <v>29.9286930401068</v>
      </c>
      <c r="E138" s="16">
        <f>IF(OR(VLOOKUP(B138,AmmoTypeFactors,6,FALSE)="Bomb",VLOOKUP(B138,AmmoTypeFactors,6,FALSE)="Thermobaric"),J138*VLOOKUP(B138,AmmoTypeFactors,4,FALSE),IF(VLOOKUP(B138,AmmoTypeFactors,11,FALSE),P138,C138*VLOOKUP(B138,AmmoTypeFactors,4,FALSE)))</f>
        <v>0</v>
      </c>
      <c r="F138" s="16">
        <f>'Ammo Stats'!G138/0.005</f>
        <v>9437600</v>
      </c>
      <c r="G138" s="16">
        <f>(IF(B138="HEAT",10,'Ammo Input'!F138)*VLOOKUP(B138,AmmoTypeFactors,7,FALSE)*0.5)^2*PI()/100</f>
        <v>0.222286529797399</v>
      </c>
      <c r="H138" s="10">
        <f t="shared" si="6"/>
        <v>943.76</v>
      </c>
      <c r="I138" s="10">
        <f>IF(B138&lt;&gt;"Arrow (Flaming)",39493.49*'Ammo Input'!M138^0.6/1000,0)</f>
        <v>0</v>
      </c>
      <c r="J138">
        <f t="shared" si="7"/>
        <v>0</v>
      </c>
      <c r="K138">
        <f t="shared" si="8"/>
        <v>21</v>
      </c>
      <c r="L138">
        <f>200000/('Ammo Stats'!C138*(MAX('Ammo Input'!D138,'Ammo Input'!F138)*0.5)^2*PI())</f>
        <v>1141.50936411616</v>
      </c>
      <c r="M138">
        <f>IF(B138="Frag",1,('Ammo Input'!M138/1.33)/('Ammo Input'!H138/1000))</f>
        <v>0</v>
      </c>
      <c r="N138" t="s">
        <v>353</v>
      </c>
      <c r="O138" t="s">
        <v>353</v>
      </c>
      <c r="P138" s="3">
        <f>(39493.49*(IF((VLOOKUP(B138,AmmoTypeFactors,6,FALSE)="Bomb_Secondary"),1.33,1)*('Ammo Input'!H138*0.35)/1000)^0.6/1000)*10/3*VLOOKUP(B138,AmmoTypeFactors,4,FALSE)</f>
        <v>0</v>
      </c>
    </row>
    <row r="139" ht="14.4" spans="1:16">
      <c r="A139" t="str">
        <f>'Ammo Input'!A139</f>
        <v>.300 Win Mag</v>
      </c>
      <c r="B139" s="1" t="str">
        <f>'Ammo Input'!B139</f>
        <v>FMJ</v>
      </c>
      <c r="C139">
        <f>(0.579*('Ammo Stats'!G139*IF(OR(B139="HEAT",B139="HEDP"),10,'Ammo Input'!F139)*VLOOKUP(B139,AmmoTypeFactors,7,FALSE))^(0.346))^IF(B139="HEDP",2.1,1)/IF(B139="HEDP",50,1)</f>
        <v>22.9801947478425</v>
      </c>
      <c r="D139" s="16">
        <f>IF(VLOOKUP(B139,AmmoTypeFactors,8,FALSE),J139,C139)*VLOOKUP('Ammo Input'!B139,AmmoTypeFactors,2,FALSE)</f>
        <v>22.9801947478425</v>
      </c>
      <c r="E139" s="16">
        <f>IF(OR(VLOOKUP(B139,AmmoTypeFactors,6,FALSE)="Bomb",VLOOKUP(B139,AmmoTypeFactors,6,FALSE)="Thermobaric"),J139*VLOOKUP(B139,AmmoTypeFactors,4,FALSE),IF(VLOOKUP(B139,AmmoTypeFactors,11,FALSE),P139,C139*VLOOKUP(B139,AmmoTypeFactors,4,FALSE)))</f>
        <v>0</v>
      </c>
      <c r="F139" s="16">
        <f>'Ammo Stats'!G139/0.005</f>
        <v>1070000</v>
      </c>
      <c r="G139" s="16">
        <f>(IF(B139="HEAT",10,'Ammo Input'!F139)*VLOOKUP(B139,AmmoTypeFactors,7,FALSE)*0.5)^2*PI()/100</f>
        <v>0.477836242611007</v>
      </c>
      <c r="H139" s="10">
        <f t="shared" si="6"/>
        <v>107</v>
      </c>
      <c r="I139" s="10">
        <f>IF(B139&lt;&gt;"Arrow (Flaming)",39493.49*'Ammo Input'!M139^0.6/1000,0)</f>
        <v>0</v>
      </c>
      <c r="J139">
        <f t="shared" si="7"/>
        <v>0</v>
      </c>
      <c r="K139">
        <f t="shared" si="8"/>
        <v>10</v>
      </c>
      <c r="L139">
        <f>200000/('Ammo Stats'!C139*(MAX('Ammo Input'!D139,'Ammo Input'!F139)*0.5)^2*PI())</f>
        <v>37669.8090158332</v>
      </c>
      <c r="M139">
        <f>IF(B139="Frag",1,('Ammo Input'!M139/1.33)/('Ammo Input'!H139/1000))</f>
        <v>0</v>
      </c>
      <c r="N139" t="s">
        <v>353</v>
      </c>
      <c r="O139" t="s">
        <v>353</v>
      </c>
      <c r="P139" s="3">
        <f>(39493.49*(IF((VLOOKUP(B139,AmmoTypeFactors,6,FALSE)="Bomb_Secondary"),1.33,1)*('Ammo Input'!H139*0.35)/1000)^0.6/1000)*10/3*VLOOKUP(B139,AmmoTypeFactors,4,FALSE)</f>
        <v>0</v>
      </c>
    </row>
    <row r="140" ht="14.4" spans="1:16">
      <c r="A140" t="str">
        <f>'Ammo Input'!A140</f>
        <v>.300 Win Mag</v>
      </c>
      <c r="B140" s="1" t="str">
        <f>'Ammo Input'!B140</f>
        <v>AP</v>
      </c>
      <c r="C140">
        <f>(0.579*('Ammo Stats'!G140*IF(OR(B140="HEAT",B140="HEDP"),10,'Ammo Input'!F140)*VLOOKUP(B140,AmmoTypeFactors,7,FALSE))^(0.346))^IF(B140="HEDP",2.1,1)/IF(B140="HEDP",50,1)</f>
        <v>18.0799542145137</v>
      </c>
      <c r="D140" s="16">
        <f>IF(VLOOKUP(B140,AmmoTypeFactors,8,FALSE),J140,C140)*VLOOKUP('Ammo Input'!B140,AmmoTypeFactors,2,FALSE)</f>
        <v>14.463963371611</v>
      </c>
      <c r="E140" s="16">
        <f>IF(OR(VLOOKUP(B140,AmmoTypeFactors,6,FALSE)="Bomb",VLOOKUP(B140,AmmoTypeFactors,6,FALSE)="Thermobaric"),J140*VLOOKUP(B140,AmmoTypeFactors,4,FALSE),IF(VLOOKUP(B140,AmmoTypeFactors,11,FALSE),P140,C140*VLOOKUP(B140,AmmoTypeFactors,4,FALSE)))</f>
        <v>0</v>
      </c>
      <c r="F140" s="16">
        <f>'Ammo Stats'!G140/0.005</f>
        <v>1070000</v>
      </c>
      <c r="G140" s="16">
        <f>(IF(B140="HEAT",10,'Ammo Input'!F140)*VLOOKUP(B140,AmmoTypeFactors,7,FALSE)*0.5)^2*PI()/100</f>
        <v>0.119459060652752</v>
      </c>
      <c r="H140" s="10">
        <f t="shared" si="6"/>
        <v>107</v>
      </c>
      <c r="I140" s="10">
        <f>IF(B140&lt;&gt;"Arrow (Flaming)",39493.49*'Ammo Input'!M140^0.6/1000,0)</f>
        <v>0</v>
      </c>
      <c r="J140">
        <f t="shared" si="7"/>
        <v>0</v>
      </c>
      <c r="K140">
        <f t="shared" si="8"/>
        <v>10</v>
      </c>
      <c r="L140">
        <f>200000/('Ammo Stats'!C140*(MAX('Ammo Input'!D140,'Ammo Input'!F140)*0.5)^2*PI())</f>
        <v>37669.8090158332</v>
      </c>
      <c r="M140">
        <f>IF(B140="Frag",1,('Ammo Input'!M140/1.33)/('Ammo Input'!H140/1000))</f>
        <v>0</v>
      </c>
      <c r="N140" t="s">
        <v>353</v>
      </c>
      <c r="O140" t="s">
        <v>353</v>
      </c>
      <c r="P140" s="3">
        <f>(39493.49*(IF((VLOOKUP(B140,AmmoTypeFactors,6,FALSE)="Bomb_Secondary"),1.33,1)*('Ammo Input'!H140*0.35)/1000)^0.6/1000)*10/3*VLOOKUP(B140,AmmoTypeFactors,4,FALSE)</f>
        <v>0</v>
      </c>
    </row>
    <row r="141" ht="14.4" spans="1:16">
      <c r="A141" t="str">
        <f>'Ammo Input'!A141</f>
        <v>.300 Win Mag</v>
      </c>
      <c r="B141" s="1" t="str">
        <f>'Ammo Input'!B141</f>
        <v>AP-I</v>
      </c>
      <c r="C141">
        <f>(0.579*('Ammo Stats'!G141*IF(OR(B141="HEAT",B141="HEDP"),10,'Ammo Input'!F141)*VLOOKUP(B141,AmmoTypeFactors,7,FALSE))^(0.346))^IF(B141="HEDP",2.1,1)/IF(B141="HEDP",50,1)</f>
        <v>18.0799542145137</v>
      </c>
      <c r="D141" s="16">
        <f>IF(VLOOKUP(B141,AmmoTypeFactors,8,FALSE),J141,C141)*VLOOKUP('Ammo Input'!B141,AmmoTypeFactors,2,FALSE)</f>
        <v>14.463963371611</v>
      </c>
      <c r="E141" s="16">
        <f>IF(OR(VLOOKUP(B141,AmmoTypeFactors,6,FALSE)="Bomb",VLOOKUP(B141,AmmoTypeFactors,6,FALSE)="Thermobaric"),J141*VLOOKUP(B141,AmmoTypeFactors,4,FALSE),IF(VLOOKUP(B141,AmmoTypeFactors,11,FALSE),P141,C141*VLOOKUP(B141,AmmoTypeFactors,4,FALSE)))</f>
        <v>5.98988803390655</v>
      </c>
      <c r="F141" s="16">
        <f>'Ammo Stats'!G141/0.005</f>
        <v>1070000</v>
      </c>
      <c r="G141" s="16">
        <f>(IF(B141="HEAT",10,'Ammo Input'!F141)*VLOOKUP(B141,AmmoTypeFactors,7,FALSE)*0.5)^2*PI()/100</f>
        <v>0.119459060652752</v>
      </c>
      <c r="H141" s="10">
        <f t="shared" si="6"/>
        <v>107</v>
      </c>
      <c r="I141" s="10">
        <f>IF(B141&lt;&gt;"Arrow (Flaming)",39493.49*'Ammo Input'!M141^0.6/1000,0)</f>
        <v>0</v>
      </c>
      <c r="J141">
        <f t="shared" si="7"/>
        <v>0</v>
      </c>
      <c r="K141">
        <f t="shared" si="8"/>
        <v>10</v>
      </c>
      <c r="L141">
        <f>200000/('Ammo Stats'!C141*(MAX('Ammo Input'!D141,'Ammo Input'!F141)*0.5)^2*PI())</f>
        <v>37669.8090158332</v>
      </c>
      <c r="M141">
        <f>IF(B141="Frag",1,('Ammo Input'!M141/1.33)/('Ammo Input'!H141/1000))</f>
        <v>0</v>
      </c>
      <c r="N141" t="s">
        <v>353</v>
      </c>
      <c r="O141" t="s">
        <v>353</v>
      </c>
      <c r="P141" s="3">
        <f>(39493.49*(IF((VLOOKUP(B141,AmmoTypeFactors,6,FALSE)="Bomb_Secondary"),1.33,1)*('Ammo Input'!H141*0.35)/1000)^0.6/1000)*10/3*VLOOKUP(B141,AmmoTypeFactors,4,FALSE)</f>
        <v>5.98988803390655</v>
      </c>
    </row>
    <row r="142" ht="14.4" spans="1:16">
      <c r="A142" t="str">
        <f>'Ammo Input'!A142</f>
        <v>.300 Win Mag</v>
      </c>
      <c r="B142" s="1" t="str">
        <f>'Ammo Input'!B142</f>
        <v>AP-HE</v>
      </c>
      <c r="C142">
        <f>(0.579*('Ammo Stats'!G142*IF(OR(B142="HEAT",B142="HEDP"),10,'Ammo Input'!F142)*VLOOKUP(B142,AmmoTypeFactors,7,FALSE))^(0.346))^IF(B142="HEDP",2.1,1)/IF(B142="HEDP",50,1)</f>
        <v>22.9801947478425</v>
      </c>
      <c r="D142" s="16">
        <f>IF(VLOOKUP(B142,AmmoTypeFactors,8,FALSE),J142,C142)*VLOOKUP('Ammo Input'!B142,AmmoTypeFactors,2,FALSE)</f>
        <v>22.9801947478425</v>
      </c>
      <c r="E142" s="16">
        <f>IF(OR(VLOOKUP(B142,AmmoTypeFactors,6,FALSE)="Bomb",VLOOKUP(B142,AmmoTypeFactors,6,FALSE)="Thermobaric"),J142*VLOOKUP(B142,AmmoTypeFactors,4,FALSE),IF(VLOOKUP(B142,AmmoTypeFactors,11,FALSE),P142,C142*VLOOKUP(B142,AmmoTypeFactors,4,FALSE)))</f>
        <v>8.20120363918148</v>
      </c>
      <c r="F142" s="16">
        <f>'Ammo Stats'!G142/0.005</f>
        <v>1070000</v>
      </c>
      <c r="G142" s="16">
        <f>(IF(B142="HEAT",10,'Ammo Input'!F142)*VLOOKUP(B142,AmmoTypeFactors,7,FALSE)*0.5)^2*PI()/100</f>
        <v>0.477836242611007</v>
      </c>
      <c r="H142" s="10">
        <f t="shared" si="6"/>
        <v>107</v>
      </c>
      <c r="I142" s="10">
        <f>IF(B142&lt;&gt;"Arrow (Flaming)",39493.49*'Ammo Input'!M142^0.6/1000,0)</f>
        <v>0</v>
      </c>
      <c r="J142">
        <f t="shared" si="7"/>
        <v>0</v>
      </c>
      <c r="K142">
        <f t="shared" si="8"/>
        <v>10</v>
      </c>
      <c r="L142">
        <f>200000/('Ammo Stats'!C142*(MAX('Ammo Input'!D142,'Ammo Input'!F142)*0.5)^2*PI())</f>
        <v>37669.8090158332</v>
      </c>
      <c r="M142">
        <f>IF(B142="Frag",1,('Ammo Input'!M142/1.33)/('Ammo Input'!H142/1000))</f>
        <v>0</v>
      </c>
      <c r="N142" t="s">
        <v>353</v>
      </c>
      <c r="O142" t="s">
        <v>353</v>
      </c>
      <c r="P142" s="3">
        <f>(39493.49*(IF((VLOOKUP(B142,AmmoTypeFactors,6,FALSE)="Bomb_Secondary"),1.33,1)*('Ammo Input'!H142*0.35)/1000)^0.6/1000)*10/3*VLOOKUP(B142,AmmoTypeFactors,4,FALSE)</f>
        <v>8.20120363918148</v>
      </c>
    </row>
    <row r="143" ht="14.4" spans="1:16">
      <c r="A143" t="str">
        <f>'Ammo Input'!A143</f>
        <v>.300 Win Mag</v>
      </c>
      <c r="B143" s="1" t="str">
        <f>'Ammo Input'!B143</f>
        <v>Sabot</v>
      </c>
      <c r="C143">
        <f>(0.579*('Ammo Stats'!G143*IF(OR(B143="HEAT",B143="HEDP"),10,'Ammo Input'!F143)*VLOOKUP(B143,AmmoTypeFactors,7,FALSE))^(0.346))^IF(B143="HEDP",2.1,1)/IF(B143="HEDP",50,1)</f>
        <v>17.4190587217086</v>
      </c>
      <c r="D143" s="16">
        <f>IF(VLOOKUP(B143,AmmoTypeFactors,8,FALSE),J143,C143)*VLOOKUP('Ammo Input'!B143,AmmoTypeFactors,2,FALSE)</f>
        <v>12.193341105196</v>
      </c>
      <c r="E143" s="16">
        <f>IF(OR(VLOOKUP(B143,AmmoTypeFactors,6,FALSE)="Bomb",VLOOKUP(B143,AmmoTypeFactors,6,FALSE)="Thermobaric"),J143*VLOOKUP(B143,AmmoTypeFactors,4,FALSE),IF(VLOOKUP(B143,AmmoTypeFactors,11,FALSE),P143,C143*VLOOKUP(B143,AmmoTypeFactors,4,FALSE)))</f>
        <v>0</v>
      </c>
      <c r="F143" s="16">
        <f>'Ammo Stats'!G143/0.005</f>
        <v>1372600</v>
      </c>
      <c r="G143" s="16">
        <f>(IF(B143="HEAT",10,'Ammo Input'!F143)*VLOOKUP(B143,AmmoTypeFactors,7,FALSE)*0.5)^2*PI()/100</f>
        <v>0.0585349397198484</v>
      </c>
      <c r="H143" s="10">
        <f t="shared" si="6"/>
        <v>137.26</v>
      </c>
      <c r="I143" s="10">
        <f>IF(B143&lt;&gt;"Arrow (Flaming)",39493.49*'Ammo Input'!M143^0.6/1000,0)</f>
        <v>0</v>
      </c>
      <c r="J143">
        <f t="shared" si="7"/>
        <v>0</v>
      </c>
      <c r="K143">
        <f t="shared" si="8"/>
        <v>11</v>
      </c>
      <c r="L143">
        <f>200000/('Ammo Stats'!C143*(MAX('Ammo Input'!D143,'Ammo Input'!F143)*0.5)^2*PI())</f>
        <v>37669.8090158332</v>
      </c>
      <c r="M143">
        <f>IF(B143="Frag",1,('Ammo Input'!M143/1.33)/('Ammo Input'!H143/1000))</f>
        <v>0</v>
      </c>
      <c r="N143" t="s">
        <v>353</v>
      </c>
      <c r="O143" t="s">
        <v>353</v>
      </c>
      <c r="P143" s="3">
        <f>(39493.49*(IF((VLOOKUP(B143,AmmoTypeFactors,6,FALSE)="Bomb_Secondary"),1.33,1)*('Ammo Input'!H143*0.35)/1000)^0.6/1000)*10/3*VLOOKUP(B143,AmmoTypeFactors,4,FALSE)</f>
        <v>0</v>
      </c>
    </row>
    <row r="144" ht="14.4" spans="1:16">
      <c r="A144" t="str">
        <f>'Ammo Input'!A144</f>
        <v>.408 CheyTac</v>
      </c>
      <c r="B144" s="1" t="str">
        <f>'Ammo Input'!B144</f>
        <v>FMJ</v>
      </c>
      <c r="C144">
        <f>(0.579*('Ammo Stats'!G144*IF(OR(B144="HEAT",B144="HEDP"),10,'Ammo Input'!F144)*VLOOKUP(B144,AmmoTypeFactors,7,FALSE))^(0.346))^IF(B144="HEDP",2.1,1)/IF(B144="HEDP",50,1)</f>
        <v>33.6230245133188</v>
      </c>
      <c r="D144" s="16">
        <f>IF(VLOOKUP(B144,AmmoTypeFactors,8,FALSE),J144,C144)*VLOOKUP('Ammo Input'!B144,AmmoTypeFactors,2,FALSE)</f>
        <v>33.6230245133188</v>
      </c>
      <c r="E144" s="16">
        <f>IF(OR(VLOOKUP(B144,AmmoTypeFactors,6,FALSE)="Bomb",VLOOKUP(B144,AmmoTypeFactors,6,FALSE)="Thermobaric"),J144*VLOOKUP(B144,AmmoTypeFactors,4,FALSE),IF(VLOOKUP(B144,AmmoTypeFactors,11,FALSE),P144,C144*VLOOKUP(B144,AmmoTypeFactors,4,FALSE)))</f>
        <v>0</v>
      </c>
      <c r="F144" s="16">
        <f>'Ammo Stats'!G144/0.005</f>
        <v>2420000</v>
      </c>
      <c r="G144" s="16">
        <f>(IF(B144="HEAT",10,'Ammo Input'!F144)*VLOOKUP(B144,AmmoTypeFactors,7,FALSE)*0.5)^2*PI()/100</f>
        <v>0.842964707181827</v>
      </c>
      <c r="H144" s="10">
        <f t="shared" si="6"/>
        <v>242</v>
      </c>
      <c r="I144" s="10">
        <f>IF(B144&lt;&gt;"Arrow (Flaming)",39493.49*'Ammo Input'!M144^0.6/1000,0)</f>
        <v>0</v>
      </c>
      <c r="J144">
        <f t="shared" si="7"/>
        <v>0</v>
      </c>
      <c r="K144">
        <f t="shared" si="8"/>
        <v>13</v>
      </c>
      <c r="L144">
        <f>200000/('Ammo Stats'!C144*(MAX('Ammo Input'!D144,'Ammo Input'!F144)*0.5)^2*PI())</f>
        <v>12158.8665745755</v>
      </c>
      <c r="M144">
        <f>IF(B144="Frag",1,('Ammo Input'!M144/1.33)/('Ammo Input'!H144/1000))</f>
        <v>0</v>
      </c>
      <c r="N144" t="s">
        <v>353</v>
      </c>
      <c r="O144" t="s">
        <v>353</v>
      </c>
      <c r="P144" s="3">
        <f>(39493.49*(IF((VLOOKUP(B144,AmmoTypeFactors,6,FALSE)="Bomb_Secondary"),1.33,1)*('Ammo Input'!H144*0.35)/1000)^0.6/1000)*10/3*VLOOKUP(B144,AmmoTypeFactors,4,FALSE)</f>
        <v>0</v>
      </c>
    </row>
    <row r="145" ht="14.4" spans="1:16">
      <c r="A145" t="str">
        <f>'Ammo Input'!A145</f>
        <v>.408 CheyTac</v>
      </c>
      <c r="B145" s="1" t="str">
        <f>'Ammo Input'!B145</f>
        <v>AP</v>
      </c>
      <c r="C145">
        <f>(0.579*('Ammo Stats'!G145*IF(OR(B145="HEAT",B145="HEDP"),10,'Ammo Input'!F145)*VLOOKUP(B145,AmmoTypeFactors,7,FALSE))^(0.346))^IF(B145="HEDP",2.1,1)/IF(B145="HEDP",50,1)</f>
        <v>26.4533329862816</v>
      </c>
      <c r="D145" s="16">
        <f>IF(VLOOKUP(B145,AmmoTypeFactors,8,FALSE),J145,C145)*VLOOKUP('Ammo Input'!B145,AmmoTypeFactors,2,FALSE)</f>
        <v>21.1626663890253</v>
      </c>
      <c r="E145" s="16">
        <f>IF(OR(VLOOKUP(B145,AmmoTypeFactors,6,FALSE)="Bomb",VLOOKUP(B145,AmmoTypeFactors,6,FALSE)="Thermobaric"),J145*VLOOKUP(B145,AmmoTypeFactors,4,FALSE),IF(VLOOKUP(B145,AmmoTypeFactors,11,FALSE),P145,C145*VLOOKUP(B145,AmmoTypeFactors,4,FALSE)))</f>
        <v>0</v>
      </c>
      <c r="F145" s="16">
        <f>'Ammo Stats'!G145/0.005</f>
        <v>2420000</v>
      </c>
      <c r="G145" s="16">
        <f>(IF(B145="HEAT",10,'Ammo Input'!F145)*VLOOKUP(B145,AmmoTypeFactors,7,FALSE)*0.5)^2*PI()/100</f>
        <v>0.210741176795457</v>
      </c>
      <c r="H145" s="10">
        <f t="shared" si="6"/>
        <v>242</v>
      </c>
      <c r="I145" s="10">
        <f>IF(B145&lt;&gt;"Arrow (Flaming)",39493.49*'Ammo Input'!M145^0.6/1000,0)</f>
        <v>0</v>
      </c>
      <c r="J145">
        <f t="shared" si="7"/>
        <v>0</v>
      </c>
      <c r="K145">
        <f t="shared" si="8"/>
        <v>13</v>
      </c>
      <c r="L145">
        <f>200000/('Ammo Stats'!C145*(MAX('Ammo Input'!D145,'Ammo Input'!F145)*0.5)^2*PI())</f>
        <v>12158.8665745755</v>
      </c>
      <c r="M145">
        <f>IF(B145="Frag",1,('Ammo Input'!M145/1.33)/('Ammo Input'!H145/1000))</f>
        <v>0</v>
      </c>
      <c r="N145" t="s">
        <v>353</v>
      </c>
      <c r="O145" t="s">
        <v>353</v>
      </c>
      <c r="P145" s="3">
        <f>(39493.49*(IF((VLOOKUP(B145,AmmoTypeFactors,6,FALSE)="Bomb_Secondary"),1.33,1)*('Ammo Input'!H145*0.35)/1000)^0.6/1000)*10/3*VLOOKUP(B145,AmmoTypeFactors,4,FALSE)</f>
        <v>0</v>
      </c>
    </row>
    <row r="146" ht="14.4" spans="1:16">
      <c r="A146" t="str">
        <f>'Ammo Input'!A146</f>
        <v>.408 CheyTac</v>
      </c>
      <c r="B146" s="1" t="str">
        <f>'Ammo Input'!B146</f>
        <v>AP-I</v>
      </c>
      <c r="C146">
        <f>(0.579*('Ammo Stats'!G146*IF(OR(B146="HEAT",B146="HEDP"),10,'Ammo Input'!F146)*VLOOKUP(B146,AmmoTypeFactors,7,FALSE))^(0.346))^IF(B146="HEDP",2.1,1)/IF(B146="HEDP",50,1)</f>
        <v>26.4533329862816</v>
      </c>
      <c r="D146" s="16">
        <f>IF(VLOOKUP(B146,AmmoTypeFactors,8,FALSE),J146,C146)*VLOOKUP('Ammo Input'!B146,AmmoTypeFactors,2,FALSE)</f>
        <v>21.1626663890253</v>
      </c>
      <c r="E146" s="16">
        <f>IF(OR(VLOOKUP(B146,AmmoTypeFactors,6,FALSE)="Bomb",VLOOKUP(B146,AmmoTypeFactors,6,FALSE)="Thermobaric"),J146*VLOOKUP(B146,AmmoTypeFactors,4,FALSE),IF(VLOOKUP(B146,AmmoTypeFactors,11,FALSE),P146,C146*VLOOKUP(B146,AmmoTypeFactors,4,FALSE)))</f>
        <v>8.71779064165262</v>
      </c>
      <c r="F146" s="16">
        <f>'Ammo Stats'!G146/0.005</f>
        <v>2420000</v>
      </c>
      <c r="G146" s="16">
        <f>(IF(B146="HEAT",10,'Ammo Input'!F146)*VLOOKUP(B146,AmmoTypeFactors,7,FALSE)*0.5)^2*PI()/100</f>
        <v>0.210741176795457</v>
      </c>
      <c r="H146" s="10">
        <f t="shared" si="6"/>
        <v>242</v>
      </c>
      <c r="I146" s="10">
        <f>IF(B146&lt;&gt;"Arrow (Flaming)",39493.49*'Ammo Input'!M146^0.6/1000,0)</f>
        <v>0</v>
      </c>
      <c r="J146">
        <f t="shared" si="7"/>
        <v>0</v>
      </c>
      <c r="K146">
        <f t="shared" si="8"/>
        <v>13</v>
      </c>
      <c r="L146">
        <f>200000/('Ammo Stats'!C146*(MAX('Ammo Input'!D146,'Ammo Input'!F146)*0.5)^2*PI())</f>
        <v>12158.8665745755</v>
      </c>
      <c r="M146">
        <f>IF(B146="Frag",1,('Ammo Input'!M146/1.33)/('Ammo Input'!H146/1000))</f>
        <v>0</v>
      </c>
      <c r="N146" t="s">
        <v>353</v>
      </c>
      <c r="O146" t="s">
        <v>353</v>
      </c>
      <c r="P146" s="3">
        <f>(39493.49*(IF((VLOOKUP(B146,AmmoTypeFactors,6,FALSE)="Bomb_Secondary"),1.33,1)*('Ammo Input'!H146*0.35)/1000)^0.6/1000)*10/3*VLOOKUP(B146,AmmoTypeFactors,4,FALSE)</f>
        <v>8.71779064165262</v>
      </c>
    </row>
    <row r="147" ht="14.4" spans="1:16">
      <c r="A147" t="str">
        <f>'Ammo Input'!A147</f>
        <v>.408 CheyTac</v>
      </c>
      <c r="B147" s="1" t="str">
        <f>'Ammo Input'!B147</f>
        <v>AP-HE</v>
      </c>
      <c r="C147">
        <f>(0.579*('Ammo Stats'!G147*IF(OR(B147="HEAT",B147="HEDP"),10,'Ammo Input'!F147)*VLOOKUP(B147,AmmoTypeFactors,7,FALSE))^(0.346))^IF(B147="HEDP",2.1,1)/IF(B147="HEDP",50,1)</f>
        <v>33.6230245133188</v>
      </c>
      <c r="D147" s="16">
        <f>IF(VLOOKUP(B147,AmmoTypeFactors,8,FALSE),J147,C147)*VLOOKUP('Ammo Input'!B147,AmmoTypeFactors,2,FALSE)</f>
        <v>33.6230245133188</v>
      </c>
      <c r="E147" s="16">
        <f>IF(OR(VLOOKUP(B147,AmmoTypeFactors,6,FALSE)="Bomb",VLOOKUP(B147,AmmoTypeFactors,6,FALSE)="Thermobaric"),J147*VLOOKUP(B147,AmmoTypeFactors,4,FALSE),IF(VLOOKUP(B147,AmmoTypeFactors,11,FALSE),P147,C147*VLOOKUP(B147,AmmoTypeFactors,4,FALSE)))</f>
        <v>11.9361790957075</v>
      </c>
      <c r="F147" s="16">
        <f>'Ammo Stats'!G147/0.005</f>
        <v>2420000</v>
      </c>
      <c r="G147" s="16">
        <f>(IF(B147="HEAT",10,'Ammo Input'!F147)*VLOOKUP(B147,AmmoTypeFactors,7,FALSE)*0.5)^2*PI()/100</f>
        <v>0.842964707181827</v>
      </c>
      <c r="H147" s="10">
        <f t="shared" si="6"/>
        <v>242</v>
      </c>
      <c r="I147" s="10">
        <f>IF(B147&lt;&gt;"Arrow (Flaming)",39493.49*'Ammo Input'!M147^0.6/1000,0)</f>
        <v>0</v>
      </c>
      <c r="J147">
        <f t="shared" si="7"/>
        <v>0</v>
      </c>
      <c r="K147">
        <f t="shared" si="8"/>
        <v>13</v>
      </c>
      <c r="L147">
        <f>200000/('Ammo Stats'!C147*(MAX('Ammo Input'!D147,'Ammo Input'!F147)*0.5)^2*PI())</f>
        <v>12158.8665745755</v>
      </c>
      <c r="M147">
        <f>IF(B147="Frag",1,('Ammo Input'!M147/1.33)/('Ammo Input'!H147/1000))</f>
        <v>0</v>
      </c>
      <c r="N147" t="s">
        <v>353</v>
      </c>
      <c r="O147" t="s">
        <v>353</v>
      </c>
      <c r="P147" s="3">
        <f>(39493.49*(IF((VLOOKUP(B147,AmmoTypeFactors,6,FALSE)="Bomb_Secondary"),1.33,1)*('Ammo Input'!H147*0.35)/1000)^0.6/1000)*10/3*VLOOKUP(B147,AmmoTypeFactors,4,FALSE)</f>
        <v>11.9361790957075</v>
      </c>
    </row>
    <row r="148" ht="14.4" spans="1:16">
      <c r="A148" t="str">
        <f>'Ammo Input'!A148</f>
        <v>.408 CheyTac</v>
      </c>
      <c r="B148" s="1" t="str">
        <f>'Ammo Input'!B148</f>
        <v>Sabot</v>
      </c>
      <c r="C148">
        <f>(0.579*('Ammo Stats'!G148*IF(OR(B148="HEAT",B148="HEDP"),10,'Ammo Input'!F148)*VLOOKUP(B148,AmmoTypeFactors,7,FALSE))^(0.346))^IF(B148="HEDP",2.1,1)/IF(B148="HEDP",50,1)</f>
        <v>25.4816944705319</v>
      </c>
      <c r="D148" s="16">
        <f>IF(VLOOKUP(B148,AmmoTypeFactors,8,FALSE),J148,C148)*VLOOKUP('Ammo Input'!B148,AmmoTypeFactors,2,FALSE)</f>
        <v>17.8371861293723</v>
      </c>
      <c r="E148" s="16">
        <f>IF(OR(VLOOKUP(B148,AmmoTypeFactors,6,FALSE)="Bomb",VLOOKUP(B148,AmmoTypeFactors,6,FALSE)="Thermobaric"),J148*VLOOKUP(B148,AmmoTypeFactors,4,FALSE),IF(VLOOKUP(B148,AmmoTypeFactors,11,FALSE),P148,C148*VLOOKUP(B148,AmmoTypeFactors,4,FALSE)))</f>
        <v>0</v>
      </c>
      <c r="F148" s="16">
        <f>'Ammo Stats'!G148/0.005</f>
        <v>3103600</v>
      </c>
      <c r="G148" s="16">
        <f>(IF(B148="HEAT",10,'Ammo Input'!F148)*VLOOKUP(B148,AmmoTypeFactors,7,FALSE)*0.5)^2*PI()/100</f>
        <v>0.103206227408946</v>
      </c>
      <c r="H148" s="10">
        <f t="shared" si="6"/>
        <v>310.36</v>
      </c>
      <c r="I148" s="10">
        <f>IF(B148&lt;&gt;"Arrow (Flaming)",39493.49*'Ammo Input'!M148^0.6/1000,0)</f>
        <v>0</v>
      </c>
      <c r="J148">
        <f t="shared" si="7"/>
        <v>0</v>
      </c>
      <c r="K148">
        <f t="shared" si="8"/>
        <v>15</v>
      </c>
      <c r="L148">
        <f>200000/('Ammo Stats'!C148*(MAX('Ammo Input'!D148,'Ammo Input'!F148)*0.5)^2*PI())</f>
        <v>12158.8665745755</v>
      </c>
      <c r="M148">
        <f>IF(B148="Frag",1,('Ammo Input'!M148/1.33)/('Ammo Input'!H148/1000))</f>
        <v>0</v>
      </c>
      <c r="N148" t="s">
        <v>353</v>
      </c>
      <c r="O148" t="s">
        <v>353</v>
      </c>
      <c r="P148" s="3">
        <f>(39493.49*(IF((VLOOKUP(B148,AmmoTypeFactors,6,FALSE)="Bomb_Secondary"),1.33,1)*('Ammo Input'!H148*0.35)/1000)^0.6/1000)*10/3*VLOOKUP(B148,AmmoTypeFactors,4,FALSE)</f>
        <v>0</v>
      </c>
    </row>
    <row r="149" ht="14.4" spans="1:16">
      <c r="A149" t="str">
        <f>'Ammo Input'!A149</f>
        <v>20x82mm Mauser</v>
      </c>
      <c r="B149" s="1" t="str">
        <f>'Ammo Input'!B149</f>
        <v>AP</v>
      </c>
      <c r="C149">
        <f>(0.579*('Ammo Stats'!G149*IF(OR(B149="HEAT",B149="HEDP"),10,'Ammo Input'!F149)*VLOOKUP(B149,AmmoTypeFactors,7,FALSE))^(0.346))^IF(B149="HEDP",2.1,1)/IF(B149="HEDP",50,1)</f>
        <v>44.6805120732389</v>
      </c>
      <c r="D149" s="16">
        <f>IF(VLOOKUP(B149,AmmoTypeFactors,8,FALSE),J149,C149)*VLOOKUP('Ammo Input'!B149,AmmoTypeFactors,2,FALSE)</f>
        <v>35.7444096585911</v>
      </c>
      <c r="E149" s="16">
        <f>IF(OR(VLOOKUP(B149,AmmoTypeFactors,6,FALSE)="Bomb",VLOOKUP(B149,AmmoTypeFactors,6,FALSE)="Thermobaric"),J149*VLOOKUP(B149,AmmoTypeFactors,4,FALSE),IF(VLOOKUP(B149,AmmoTypeFactors,11,FALSE),P149,C149*VLOOKUP(B149,AmmoTypeFactors,4,FALSE)))</f>
        <v>0</v>
      </c>
      <c r="F149" s="16">
        <f>'Ammo Stats'!G149/0.005</f>
        <v>5702400</v>
      </c>
      <c r="G149" s="16">
        <f>(IF(B149="HEAT",10,'Ammo Input'!F149)*VLOOKUP(B149,AmmoTypeFactors,7,FALSE)*0.5)^2*PI()/100</f>
        <v>0.785398163397448</v>
      </c>
      <c r="H149" s="10">
        <f t="shared" si="6"/>
        <v>570.24</v>
      </c>
      <c r="I149" s="10">
        <f>IF(B149&lt;&gt;"Arrow (Flaming)",39493.49*'Ammo Input'!M149^0.6/1000,0)</f>
        <v>0</v>
      </c>
      <c r="J149">
        <f t="shared" si="7"/>
        <v>0</v>
      </c>
      <c r="K149">
        <f t="shared" si="8"/>
        <v>18</v>
      </c>
      <c r="L149">
        <f>200000/('Ammo Stats'!C149*(MAX('Ammo Input'!D149,'Ammo Input'!F149)*0.5)^2*PI())</f>
        <v>1851.98479234205</v>
      </c>
      <c r="M149">
        <f>IF(B149="Frag",1,('Ammo Input'!M149/1.33)/('Ammo Input'!H149/1000))</f>
        <v>0</v>
      </c>
      <c r="N149" t="s">
        <v>353</v>
      </c>
      <c r="O149" t="s">
        <v>353</v>
      </c>
      <c r="P149" s="3">
        <f>(39493.49*(IF((VLOOKUP(B149,AmmoTypeFactors,6,FALSE)="Bomb_Secondary"),1.33,1)*('Ammo Input'!H149*0.35)/1000)^0.6/1000)*10/3*VLOOKUP(B149,AmmoTypeFactors,4,FALSE)</f>
        <v>0</v>
      </c>
    </row>
    <row r="150" ht="14.4" spans="1:16">
      <c r="A150" t="str">
        <f>'Ammo Input'!A150</f>
        <v>20x82mm Mauser</v>
      </c>
      <c r="B150" s="1" t="str">
        <f>'Ammo Input'!B150</f>
        <v>AP-I</v>
      </c>
      <c r="C150">
        <f>(0.579*('Ammo Stats'!G150*IF(OR(B150="HEAT",B150="HEDP"),10,'Ammo Input'!F150)*VLOOKUP(B150,AmmoTypeFactors,7,FALSE))^(0.346))^IF(B150="HEDP",2.1,1)/IF(B150="HEDP",50,1)</f>
        <v>44.6805120732389</v>
      </c>
      <c r="D150" s="16">
        <f>IF(VLOOKUP(B150,AmmoTypeFactors,8,FALSE),J150,C150)*VLOOKUP('Ammo Input'!B150,AmmoTypeFactors,2,FALSE)</f>
        <v>35.7444096585911</v>
      </c>
      <c r="E150" s="16">
        <f>IF(OR(VLOOKUP(B150,AmmoTypeFactors,6,FALSE)="Bomb",VLOOKUP(B150,AmmoTypeFactors,6,FALSE)="Thermobaric"),J150*VLOOKUP(B150,AmmoTypeFactors,4,FALSE),IF(VLOOKUP(B150,AmmoTypeFactors,11,FALSE),P150,C150*VLOOKUP(B150,AmmoTypeFactors,4,FALSE)))</f>
        <v>24.2451038614598</v>
      </c>
      <c r="F150" s="16">
        <f>'Ammo Stats'!G150/0.005</f>
        <v>5702400</v>
      </c>
      <c r="G150" s="16">
        <f>(IF(B150="HEAT",10,'Ammo Input'!F150)*VLOOKUP(B150,AmmoTypeFactors,7,FALSE)*0.5)^2*PI()/100</f>
        <v>0.785398163397448</v>
      </c>
      <c r="H150" s="10">
        <f t="shared" si="6"/>
        <v>570.24</v>
      </c>
      <c r="I150" s="10">
        <f>IF(B150&lt;&gt;"Arrow (Flaming)",39493.49*'Ammo Input'!M150^0.6/1000,0)</f>
        <v>0</v>
      </c>
      <c r="J150">
        <f t="shared" si="7"/>
        <v>0</v>
      </c>
      <c r="K150">
        <f t="shared" si="8"/>
        <v>18</v>
      </c>
      <c r="L150">
        <f>200000/('Ammo Stats'!C150*(MAX('Ammo Input'!D150,'Ammo Input'!F150)*0.5)^2*PI())</f>
        <v>1851.98479234205</v>
      </c>
      <c r="M150">
        <f>IF(B150="Frag",1,('Ammo Input'!M150/1.33)/('Ammo Input'!H150/1000))</f>
        <v>0</v>
      </c>
      <c r="N150" t="s">
        <v>353</v>
      </c>
      <c r="O150" t="s">
        <v>353</v>
      </c>
      <c r="P150" s="3">
        <f>(39493.49*(IF((VLOOKUP(B150,AmmoTypeFactors,6,FALSE)="Bomb_Secondary"),1.33,1)*('Ammo Input'!H150*0.35)/1000)^0.6/1000)*10/3*VLOOKUP(B150,AmmoTypeFactors,4,FALSE)</f>
        <v>24.2451038614598</v>
      </c>
    </row>
    <row r="151" ht="14.4" spans="1:16">
      <c r="A151" t="str">
        <f>'Ammo Input'!A151</f>
        <v>20x82mm Mauser</v>
      </c>
      <c r="B151" s="1" t="str">
        <f>'Ammo Input'!B151</f>
        <v>AP-HE</v>
      </c>
      <c r="C151">
        <f>(0.579*('Ammo Stats'!G151*IF(OR(B151="HEAT",B151="HEDP"),10,'Ammo Input'!F151)*VLOOKUP(B151,AmmoTypeFactors,7,FALSE))^(0.346))^IF(B151="HEDP",2.1,1)/IF(B151="HEDP",50,1)</f>
        <v>56.7903467394911</v>
      </c>
      <c r="D151" s="16">
        <f>IF(VLOOKUP(B151,AmmoTypeFactors,8,FALSE),J151,C151)*VLOOKUP('Ammo Input'!B151,AmmoTypeFactors,2,FALSE)</f>
        <v>56.7903467394911</v>
      </c>
      <c r="E151" s="16">
        <f>IF(OR(VLOOKUP(B151,AmmoTypeFactors,6,FALSE)="Bomb",VLOOKUP(B151,AmmoTypeFactors,6,FALSE)="Thermobaric"),J151*VLOOKUP(B151,AmmoTypeFactors,4,FALSE),IF(VLOOKUP(B151,AmmoTypeFactors,11,FALSE),P151,C151*VLOOKUP(B151,AmmoTypeFactors,4,FALSE)))</f>
        <v>33.1957847785105</v>
      </c>
      <c r="F151" s="16">
        <f>'Ammo Stats'!G151/0.005</f>
        <v>5702400</v>
      </c>
      <c r="G151" s="16">
        <f>(IF(B151="HEAT",10,'Ammo Input'!F151)*VLOOKUP(B151,AmmoTypeFactors,7,FALSE)*0.5)^2*PI()/100</f>
        <v>3.14159265358979</v>
      </c>
      <c r="H151" s="10">
        <f t="shared" si="6"/>
        <v>570.24</v>
      </c>
      <c r="I151" s="10">
        <f>IF(B151&lt;&gt;"Arrow (Flaming)",39493.49*'Ammo Input'!M151^0.6/1000,0)</f>
        <v>0</v>
      </c>
      <c r="J151">
        <f t="shared" si="7"/>
        <v>0</v>
      </c>
      <c r="K151">
        <f t="shared" si="8"/>
        <v>18</v>
      </c>
      <c r="L151">
        <f>200000/('Ammo Stats'!C151*(MAX('Ammo Input'!D151,'Ammo Input'!F151)*0.5)^2*PI())</f>
        <v>1851.98479234205</v>
      </c>
      <c r="M151">
        <f>IF(B151="Frag",1,('Ammo Input'!M151/1.33)/('Ammo Input'!H151/1000))</f>
        <v>0</v>
      </c>
      <c r="N151" t="s">
        <v>353</v>
      </c>
      <c r="O151" t="s">
        <v>353</v>
      </c>
      <c r="P151" s="3">
        <f>(39493.49*(IF((VLOOKUP(B151,AmmoTypeFactors,6,FALSE)="Bomb_Secondary"),1.33,1)*('Ammo Input'!H151*0.35)/1000)^0.6/1000)*10/3*VLOOKUP(B151,AmmoTypeFactors,4,FALSE)</f>
        <v>33.1957847785105</v>
      </c>
    </row>
    <row r="152" ht="14.4" spans="1:16">
      <c r="A152" t="str">
        <f>'Ammo Input'!A152</f>
        <v>20x82mm Mauser</v>
      </c>
      <c r="B152" s="1" t="str">
        <f>'Ammo Input'!B152</f>
        <v>Sabot</v>
      </c>
      <c r="C152">
        <f>(0.579*('Ammo Stats'!G152*IF(OR(B152="HEAT",B152="HEDP"),10,'Ammo Input'!F152)*VLOOKUP(B152,AmmoTypeFactors,7,FALSE))^(0.346))^IF(B152="HEDP",2.1,1)/IF(B152="HEDP",50,1)</f>
        <v>43.1150418404694</v>
      </c>
      <c r="D152" s="16">
        <f>IF(VLOOKUP(B152,AmmoTypeFactors,8,FALSE),J152,C152)*VLOOKUP('Ammo Input'!B152,AmmoTypeFactors,2,FALSE)</f>
        <v>30.1805292883286</v>
      </c>
      <c r="E152" s="16">
        <f>IF(OR(VLOOKUP(B152,AmmoTypeFactors,6,FALSE)="Bomb",VLOOKUP(B152,AmmoTypeFactors,6,FALSE)="Thermobaric"),J152*VLOOKUP(B152,AmmoTypeFactors,4,FALSE),IF(VLOOKUP(B152,AmmoTypeFactors,11,FALSE),P152,C152*VLOOKUP(B152,AmmoTypeFactors,4,FALSE)))</f>
        <v>0</v>
      </c>
      <c r="F152" s="16">
        <f>'Ammo Stats'!G152/0.005</f>
        <v>7348400</v>
      </c>
      <c r="G152" s="16">
        <f>(IF(B152="HEAT",10,'Ammo Input'!F152)*VLOOKUP(B152,AmmoTypeFactors,7,FALSE)*0.5)^2*PI()/100</f>
        <v>0.38484510006475</v>
      </c>
      <c r="H152" s="10">
        <f t="shared" si="6"/>
        <v>734.84</v>
      </c>
      <c r="I152" s="10">
        <f>IF(B152&lt;&gt;"Arrow (Flaming)",39493.49*'Ammo Input'!M152^0.6/1000,0)</f>
        <v>0</v>
      </c>
      <c r="J152">
        <f t="shared" si="7"/>
        <v>0</v>
      </c>
      <c r="K152">
        <f t="shared" si="8"/>
        <v>19</v>
      </c>
      <c r="L152">
        <f>200000/('Ammo Stats'!C152*(MAX('Ammo Input'!D152,'Ammo Input'!F152)*0.5)^2*PI())</f>
        <v>1851.98479234205</v>
      </c>
      <c r="M152">
        <f>IF(B152="Frag",1,('Ammo Input'!M152/1.33)/('Ammo Input'!H152/1000))</f>
        <v>0</v>
      </c>
      <c r="N152" t="s">
        <v>353</v>
      </c>
      <c r="O152" t="s">
        <v>353</v>
      </c>
      <c r="P152" s="3">
        <f>(39493.49*(IF((VLOOKUP(B152,AmmoTypeFactors,6,FALSE)="Bomb_Secondary"),1.33,1)*('Ammo Input'!H152*0.35)/1000)^0.6/1000)*10/3*VLOOKUP(B152,AmmoTypeFactors,4,FALSE)</f>
        <v>0</v>
      </c>
    </row>
    <row r="153" ht="14.4" spans="1:16">
      <c r="A153" t="str">
        <f>'Ammo Input'!A153</f>
        <v>20x99mm ShVAK</v>
      </c>
      <c r="B153" s="1" t="str">
        <f>'Ammo Input'!B153</f>
        <v>AP</v>
      </c>
      <c r="C153">
        <f>(0.579*('Ammo Stats'!G153*IF(OR(B153="HEAT",B153="HEDP"),10,'Ammo Input'!F153)*VLOOKUP(B153,AmmoTypeFactors,7,FALSE))^(0.346))^IF(B153="HEDP",2.1,1)/IF(B153="HEDP",50,1)</f>
        <v>43.8460450887566</v>
      </c>
      <c r="D153" s="16">
        <f>IF(VLOOKUP(B153,AmmoTypeFactors,8,FALSE),J153,C153)*VLOOKUP('Ammo Input'!B153,AmmoTypeFactors,2,FALSE)</f>
        <v>35.0768360710053</v>
      </c>
      <c r="E153" s="16">
        <f>IF(OR(VLOOKUP(B153,AmmoTypeFactors,6,FALSE)="Bomb",VLOOKUP(B153,AmmoTypeFactors,6,FALSE)="Thermobaric"),J153*VLOOKUP(B153,AmmoTypeFactors,4,FALSE),IF(VLOOKUP(B153,AmmoTypeFactors,11,FALSE),P153,C153*VLOOKUP(B153,AmmoTypeFactors,4,FALSE)))</f>
        <v>0</v>
      </c>
      <c r="F153" s="16">
        <f>'Ammo Stats'!G153/0.005</f>
        <v>5400000</v>
      </c>
      <c r="G153" s="16">
        <f>(IF(B153="HEAT",10,'Ammo Input'!F153)*VLOOKUP(B153,AmmoTypeFactors,7,FALSE)*0.5)^2*PI()/100</f>
        <v>0.785398163397448</v>
      </c>
      <c r="H153" s="10">
        <f t="shared" si="6"/>
        <v>540</v>
      </c>
      <c r="I153" s="10">
        <f>IF(B153&lt;&gt;"Arrow (Flaming)",39493.49*'Ammo Input'!M153^0.6/1000,0)</f>
        <v>0</v>
      </c>
      <c r="J153">
        <f t="shared" si="7"/>
        <v>0</v>
      </c>
      <c r="K153">
        <f t="shared" si="8"/>
        <v>18</v>
      </c>
      <c r="L153">
        <f>200000/('Ammo Stats'!C153*(MAX('Ammo Input'!D153,'Ammo Input'!F153)*0.5)^2*PI())</f>
        <v>1851.98479234205</v>
      </c>
      <c r="M153">
        <f>IF(B153="Frag",1,('Ammo Input'!M153/1.33)/('Ammo Input'!H153/1000))</f>
        <v>0</v>
      </c>
      <c r="N153" t="s">
        <v>353</v>
      </c>
      <c r="O153" t="s">
        <v>353</v>
      </c>
      <c r="P153" s="3">
        <f>(39493.49*(IF((VLOOKUP(B153,AmmoTypeFactors,6,FALSE)="Bomb_Secondary"),1.33,1)*('Ammo Input'!H153*0.35)/1000)^0.6/1000)*10/3*VLOOKUP(B153,AmmoTypeFactors,4,FALSE)</f>
        <v>0</v>
      </c>
    </row>
    <row r="154" ht="14.4" spans="1:16">
      <c r="A154" t="str">
        <f>'Ammo Input'!A154</f>
        <v>20x99mm ShVAK</v>
      </c>
      <c r="B154" s="1" t="str">
        <f>'Ammo Input'!B154</f>
        <v>AP-I</v>
      </c>
      <c r="C154">
        <f>(0.579*('Ammo Stats'!G154*IF(OR(B154="HEAT",B154="HEDP"),10,'Ammo Input'!F154)*VLOOKUP(B154,AmmoTypeFactors,7,FALSE))^(0.346))^IF(B154="HEDP",2.1,1)/IF(B154="HEDP",50,1)</f>
        <v>43.8460450887566</v>
      </c>
      <c r="D154" s="16">
        <f>IF(VLOOKUP(B154,AmmoTypeFactors,8,FALSE),J154,C154)*VLOOKUP('Ammo Input'!B154,AmmoTypeFactors,2,FALSE)</f>
        <v>35.0768360710053</v>
      </c>
      <c r="E154" s="16">
        <f>IF(OR(VLOOKUP(B154,AmmoTypeFactors,6,FALSE)="Bomb",VLOOKUP(B154,AmmoTypeFactors,6,FALSE)="Thermobaric"),J154*VLOOKUP(B154,AmmoTypeFactors,4,FALSE),IF(VLOOKUP(B154,AmmoTypeFactors,11,FALSE),P154,C154*VLOOKUP(B154,AmmoTypeFactors,4,FALSE)))</f>
        <v>22.3434986317501</v>
      </c>
      <c r="F154" s="16">
        <f>'Ammo Stats'!G154/0.005</f>
        <v>5400000</v>
      </c>
      <c r="G154" s="16">
        <f>(IF(B154="HEAT",10,'Ammo Input'!F154)*VLOOKUP(B154,AmmoTypeFactors,7,FALSE)*0.5)^2*PI()/100</f>
        <v>0.785398163397448</v>
      </c>
      <c r="H154" s="10">
        <f t="shared" si="6"/>
        <v>540</v>
      </c>
      <c r="I154" s="10">
        <f>IF(B154&lt;&gt;"Arrow (Flaming)",39493.49*'Ammo Input'!M154^0.6/1000,0)</f>
        <v>0</v>
      </c>
      <c r="J154">
        <f t="shared" si="7"/>
        <v>0</v>
      </c>
      <c r="K154">
        <f t="shared" si="8"/>
        <v>18</v>
      </c>
      <c r="L154">
        <f>200000/('Ammo Stats'!C154*(MAX('Ammo Input'!D154,'Ammo Input'!F154)*0.5)^2*PI())</f>
        <v>1851.98479234205</v>
      </c>
      <c r="M154">
        <f>IF(B154="Frag",1,('Ammo Input'!M154/1.33)/('Ammo Input'!H154/1000))</f>
        <v>0</v>
      </c>
      <c r="N154" t="s">
        <v>353</v>
      </c>
      <c r="O154" t="s">
        <v>353</v>
      </c>
      <c r="P154" s="3">
        <f>(39493.49*(IF((VLOOKUP(B154,AmmoTypeFactors,6,FALSE)="Bomb_Secondary"),1.33,1)*('Ammo Input'!H154*0.35)/1000)^0.6/1000)*10/3*VLOOKUP(B154,AmmoTypeFactors,4,FALSE)</f>
        <v>22.3434986317501</v>
      </c>
    </row>
    <row r="155" ht="14.4" spans="1:16">
      <c r="A155" t="str">
        <f>'Ammo Input'!A155</f>
        <v>20x99mm ShVAK</v>
      </c>
      <c r="B155" s="1" t="str">
        <f>'Ammo Input'!B155</f>
        <v>AP-HE</v>
      </c>
      <c r="C155">
        <f>(0.579*('Ammo Stats'!G155*IF(OR(B155="HEAT",B155="HEDP"),10,'Ammo Input'!F155)*VLOOKUP(B155,AmmoTypeFactors,7,FALSE))^(0.346))^IF(B155="HEDP",2.1,1)/IF(B155="HEDP",50,1)</f>
        <v>55.7297127585347</v>
      </c>
      <c r="D155" s="16">
        <f>IF(VLOOKUP(B155,AmmoTypeFactors,8,FALSE),J155,C155)*VLOOKUP('Ammo Input'!B155,AmmoTypeFactors,2,FALSE)</f>
        <v>55.7297127585347</v>
      </c>
      <c r="E155" s="16">
        <f>IF(OR(VLOOKUP(B155,AmmoTypeFactors,6,FALSE)="Bomb",VLOOKUP(B155,AmmoTypeFactors,6,FALSE)="Thermobaric"),J155*VLOOKUP(B155,AmmoTypeFactors,4,FALSE),IF(VLOOKUP(B155,AmmoTypeFactors,11,FALSE),P155,C155*VLOOKUP(B155,AmmoTypeFactors,4,FALSE)))</f>
        <v>30.5921548538939</v>
      </c>
      <c r="F155" s="16">
        <f>'Ammo Stats'!G155/0.005</f>
        <v>5400000</v>
      </c>
      <c r="G155" s="16">
        <f>(IF(B155="HEAT",10,'Ammo Input'!F155)*VLOOKUP(B155,AmmoTypeFactors,7,FALSE)*0.5)^2*PI()/100</f>
        <v>3.14159265358979</v>
      </c>
      <c r="H155" s="10">
        <f t="shared" si="6"/>
        <v>540</v>
      </c>
      <c r="I155" s="10">
        <f>IF(B155&lt;&gt;"Arrow (Flaming)",39493.49*'Ammo Input'!M155^0.6/1000,0)</f>
        <v>0</v>
      </c>
      <c r="J155">
        <f t="shared" si="7"/>
        <v>0</v>
      </c>
      <c r="K155">
        <f t="shared" si="8"/>
        <v>18</v>
      </c>
      <c r="L155">
        <f>200000/('Ammo Stats'!C155*(MAX('Ammo Input'!D155,'Ammo Input'!F155)*0.5)^2*PI())</f>
        <v>1851.98479234205</v>
      </c>
      <c r="M155">
        <f>IF(B155="Frag",1,('Ammo Input'!M155/1.33)/('Ammo Input'!H155/1000))</f>
        <v>0</v>
      </c>
      <c r="N155" t="s">
        <v>353</v>
      </c>
      <c r="O155" t="s">
        <v>353</v>
      </c>
      <c r="P155" s="3">
        <f>(39493.49*(IF((VLOOKUP(B155,AmmoTypeFactors,6,FALSE)="Bomb_Secondary"),1.33,1)*('Ammo Input'!H155*0.35)/1000)^0.6/1000)*10/3*VLOOKUP(B155,AmmoTypeFactors,4,FALSE)</f>
        <v>30.5921548538939</v>
      </c>
    </row>
    <row r="156" ht="14.4" spans="1:16">
      <c r="A156" t="str">
        <f>'Ammo Input'!A156</f>
        <v>20x99mm ShVAK</v>
      </c>
      <c r="B156" s="1" t="str">
        <f>'Ammo Input'!B156</f>
        <v>Sabot</v>
      </c>
      <c r="C156">
        <f>(0.579*('Ammo Stats'!G156*IF(OR(B156="HEAT",B156="HEDP"),10,'Ammo Input'!F156)*VLOOKUP(B156,AmmoTypeFactors,7,FALSE))^(0.346))^IF(B156="HEDP",2.1,1)/IF(B156="HEDP",50,1)</f>
        <v>42.3146246028091</v>
      </c>
      <c r="D156" s="16">
        <f>IF(VLOOKUP(B156,AmmoTypeFactors,8,FALSE),J156,C156)*VLOOKUP('Ammo Input'!B156,AmmoTypeFactors,2,FALSE)</f>
        <v>29.6202372219664</v>
      </c>
      <c r="E156" s="16">
        <f>IF(OR(VLOOKUP(B156,AmmoTypeFactors,6,FALSE)="Bomb",VLOOKUP(B156,AmmoTypeFactors,6,FALSE)="Thermobaric"),J156*VLOOKUP(B156,AmmoTypeFactors,4,FALSE),IF(VLOOKUP(B156,AmmoTypeFactors,11,FALSE),P156,C156*VLOOKUP(B156,AmmoTypeFactors,4,FALSE)))</f>
        <v>0</v>
      </c>
      <c r="F156" s="16">
        <f>'Ammo Stats'!G156/0.005</f>
        <v>6961000</v>
      </c>
      <c r="G156" s="16">
        <f>(IF(B156="HEAT",10,'Ammo Input'!F156)*VLOOKUP(B156,AmmoTypeFactors,7,FALSE)*0.5)^2*PI()/100</f>
        <v>0.38484510006475</v>
      </c>
      <c r="H156" s="10">
        <f t="shared" si="6"/>
        <v>696.1</v>
      </c>
      <c r="I156" s="10">
        <f>IF(B156&lt;&gt;"Arrow (Flaming)",39493.49*'Ammo Input'!M156^0.6/1000,0)</f>
        <v>0</v>
      </c>
      <c r="J156">
        <f t="shared" si="7"/>
        <v>0</v>
      </c>
      <c r="K156">
        <f t="shared" si="8"/>
        <v>19</v>
      </c>
      <c r="L156">
        <f>200000/('Ammo Stats'!C156*(MAX('Ammo Input'!D156,'Ammo Input'!F156)*0.5)^2*PI())</f>
        <v>1851.98479234205</v>
      </c>
      <c r="M156">
        <f>IF(B156="Frag",1,('Ammo Input'!M156/1.33)/('Ammo Input'!H156/1000))</f>
        <v>0</v>
      </c>
      <c r="N156" t="s">
        <v>353</v>
      </c>
      <c r="O156" t="s">
        <v>353</v>
      </c>
      <c r="P156" s="3">
        <f>(39493.49*(IF((VLOOKUP(B156,AmmoTypeFactors,6,FALSE)="Bomb_Secondary"),1.33,1)*('Ammo Input'!H156*0.35)/1000)^0.6/1000)*10/3*VLOOKUP(B156,AmmoTypeFactors,4,FALSE)</f>
        <v>0</v>
      </c>
    </row>
    <row r="157" ht="14.4" spans="1:16">
      <c r="A157" t="str">
        <f>'Ammo Input'!A157</f>
        <v>20x102mm NATO</v>
      </c>
      <c r="B157" s="1" t="str">
        <f>'Ammo Input'!B157</f>
        <v>AP</v>
      </c>
      <c r="C157">
        <f>(0.579*('Ammo Stats'!G157*IF(OR(B157="HEAT",B157="HEDP"),10,'Ammo Input'!F157)*VLOOKUP(B157,AmmoTypeFactors,7,FALSE))^(0.346))^IF(B157="HEDP",2.1,1)/IF(B157="HEDP",50,1)</f>
        <v>54.806186838858</v>
      </c>
      <c r="D157" s="16">
        <f>IF(VLOOKUP(B157,AmmoTypeFactors,8,FALSE),J157,C157)*VLOOKUP('Ammo Input'!B157,AmmoTypeFactors,2,FALSE)</f>
        <v>43.8449494710864</v>
      </c>
      <c r="E157" s="16">
        <f>IF(OR(VLOOKUP(B157,AmmoTypeFactors,6,FALSE)="Bomb",VLOOKUP(B157,AmmoTypeFactors,6,FALSE)="Thermobaric"),J157*VLOOKUP(B157,AmmoTypeFactors,4,FALSE),IF(VLOOKUP(B157,AmmoTypeFactors,11,FALSE),P157,C157*VLOOKUP(B157,AmmoTypeFactors,4,FALSE)))</f>
        <v>0</v>
      </c>
      <c r="F157" s="16">
        <f>'Ammo Stats'!G157/0.005</f>
        <v>10290800</v>
      </c>
      <c r="G157" s="16">
        <f>(IF(B157="HEAT",10,'Ammo Input'!F157)*VLOOKUP(B157,AmmoTypeFactors,7,FALSE)*0.5)^2*PI()/100</f>
        <v>0.785398163397448</v>
      </c>
      <c r="H157" s="10">
        <f t="shared" si="6"/>
        <v>1029.08</v>
      </c>
      <c r="I157" s="10">
        <f>IF(B157&lt;&gt;"Arrow (Flaming)",39493.49*'Ammo Input'!M157^0.6/1000,0)</f>
        <v>0</v>
      </c>
      <c r="J157">
        <f t="shared" si="7"/>
        <v>0</v>
      </c>
      <c r="K157">
        <f t="shared" si="8"/>
        <v>22</v>
      </c>
      <c r="L157">
        <f>200000/('Ammo Stats'!C157*(MAX('Ammo Input'!D157,'Ammo Input'!F157)*0.5)^2*PI())</f>
        <v>885.062122233364</v>
      </c>
      <c r="M157">
        <f>IF(B157="Frag",1,('Ammo Input'!M157/1.33)/('Ammo Input'!H157/1000))</f>
        <v>0</v>
      </c>
      <c r="N157" t="s">
        <v>353</v>
      </c>
      <c r="O157" t="s">
        <v>353</v>
      </c>
      <c r="P157" s="3">
        <f>(39493.49*(IF((VLOOKUP(B157,AmmoTypeFactors,6,FALSE)="Bomb_Secondary"),1.33,1)*('Ammo Input'!H157*0.35)/1000)^0.6/1000)*10/3*VLOOKUP(B157,AmmoTypeFactors,4,FALSE)</f>
        <v>0</v>
      </c>
    </row>
    <row r="158" ht="14.4" spans="1:16">
      <c r="A158" t="str">
        <f>'Ammo Input'!A158</f>
        <v>20x102mm NATO</v>
      </c>
      <c r="B158" s="1" t="str">
        <f>'Ammo Input'!B158</f>
        <v>AP-I</v>
      </c>
      <c r="C158">
        <f>(0.579*('Ammo Stats'!G158*IF(OR(B158="HEAT",B158="HEDP"),10,'Ammo Input'!F158)*VLOOKUP(B158,AmmoTypeFactors,7,FALSE))^(0.346))^IF(B158="HEDP",2.1,1)/IF(B158="HEDP",50,1)</f>
        <v>54.806186838858</v>
      </c>
      <c r="D158" s="16">
        <f>IF(VLOOKUP(B158,AmmoTypeFactors,8,FALSE),J158,C158)*VLOOKUP('Ammo Input'!B158,AmmoTypeFactors,2,FALSE)</f>
        <v>43.8449494710864</v>
      </c>
      <c r="E158" s="16">
        <f>IF(OR(VLOOKUP(B158,AmmoTypeFactors,6,FALSE)="Bomb",VLOOKUP(B158,AmmoTypeFactors,6,FALSE)="Thermobaric"),J158*VLOOKUP(B158,AmmoTypeFactors,4,FALSE),IF(VLOOKUP(B158,AmmoTypeFactors,11,FALSE),P158,C158*VLOOKUP(B158,AmmoTypeFactors,4,FALSE)))</f>
        <v>22.4828559726977</v>
      </c>
      <c r="F158" s="16">
        <f>'Ammo Stats'!G158/0.005</f>
        <v>10290800</v>
      </c>
      <c r="G158" s="16">
        <f>(IF(B158="HEAT",10,'Ammo Input'!F158)*VLOOKUP(B158,AmmoTypeFactors,7,FALSE)*0.5)^2*PI()/100</f>
        <v>0.785398163397448</v>
      </c>
      <c r="H158" s="10">
        <f t="shared" si="6"/>
        <v>1029.08</v>
      </c>
      <c r="I158" s="10">
        <f>IF(B158&lt;&gt;"Arrow (Flaming)",39493.49*'Ammo Input'!M158^0.6/1000,0)</f>
        <v>0</v>
      </c>
      <c r="J158">
        <f t="shared" si="7"/>
        <v>0</v>
      </c>
      <c r="K158">
        <f t="shared" si="8"/>
        <v>22</v>
      </c>
      <c r="L158">
        <f>200000/('Ammo Stats'!C158*(MAX('Ammo Input'!D158,'Ammo Input'!F158)*0.5)^2*PI())</f>
        <v>885.062122233364</v>
      </c>
      <c r="M158">
        <f>IF(B158="Frag",1,('Ammo Input'!M158/1.33)/('Ammo Input'!H158/1000))</f>
        <v>0</v>
      </c>
      <c r="N158" t="s">
        <v>353</v>
      </c>
      <c r="O158" t="s">
        <v>353</v>
      </c>
      <c r="P158" s="3">
        <f>(39493.49*(IF((VLOOKUP(B158,AmmoTypeFactors,6,FALSE)="Bomb_Secondary"),1.33,1)*('Ammo Input'!H158*0.35)/1000)^0.6/1000)*10/3*VLOOKUP(B158,AmmoTypeFactors,4,FALSE)</f>
        <v>22.4828559726977</v>
      </c>
    </row>
    <row r="159" ht="14.4" spans="1:16">
      <c r="A159" t="str">
        <f>'Ammo Input'!A159</f>
        <v>20x102mm NATO</v>
      </c>
      <c r="B159" s="1" t="str">
        <f>'Ammo Input'!B159</f>
        <v>AP-HE</v>
      </c>
      <c r="C159">
        <f>(0.579*('Ammo Stats'!G159*IF(OR(B159="HEAT",B159="HEDP"),10,'Ammo Input'!F159)*VLOOKUP(B159,AmmoTypeFactors,7,FALSE))^(0.346))^IF(B159="HEDP",2.1,1)/IF(B159="HEDP",50,1)</f>
        <v>69.6604002421957</v>
      </c>
      <c r="D159" s="16">
        <f>IF(VLOOKUP(B159,AmmoTypeFactors,8,FALSE),J159,C159)*VLOOKUP('Ammo Input'!B159,AmmoTypeFactors,2,FALSE)</f>
        <v>69.6604002421957</v>
      </c>
      <c r="E159" s="16">
        <f>IF(OR(VLOOKUP(B159,AmmoTypeFactors,6,FALSE)="Bomb",VLOOKUP(B159,AmmoTypeFactors,6,FALSE)="Thermobaric"),J159*VLOOKUP(B159,AmmoTypeFactors,4,FALSE),IF(VLOOKUP(B159,AmmoTypeFactors,11,FALSE),P159,C159*VLOOKUP(B159,AmmoTypeFactors,4,FALSE)))</f>
        <v>30.7829594107164</v>
      </c>
      <c r="F159" s="16">
        <f>'Ammo Stats'!G159/0.005</f>
        <v>10290800</v>
      </c>
      <c r="G159" s="16">
        <f>(IF(B159="HEAT",10,'Ammo Input'!F159)*VLOOKUP(B159,AmmoTypeFactors,7,FALSE)*0.5)^2*PI()/100</f>
        <v>3.14159265358979</v>
      </c>
      <c r="H159" s="10">
        <f t="shared" si="6"/>
        <v>1029.08</v>
      </c>
      <c r="I159" s="10">
        <f>IF(B159&lt;&gt;"Arrow (Flaming)",39493.49*'Ammo Input'!M159^0.6/1000,0)</f>
        <v>0</v>
      </c>
      <c r="J159">
        <f t="shared" si="7"/>
        <v>0</v>
      </c>
      <c r="K159">
        <f t="shared" si="8"/>
        <v>22</v>
      </c>
      <c r="L159">
        <f>200000/('Ammo Stats'!C159*(MAX('Ammo Input'!D159,'Ammo Input'!F159)*0.5)^2*PI())</f>
        <v>885.062122233364</v>
      </c>
      <c r="M159">
        <f>IF(B159="Frag",1,('Ammo Input'!M159/1.33)/('Ammo Input'!H159/1000))</f>
        <v>0</v>
      </c>
      <c r="N159" t="s">
        <v>353</v>
      </c>
      <c r="O159" t="s">
        <v>353</v>
      </c>
      <c r="P159" s="3">
        <f>(39493.49*(IF((VLOOKUP(B159,AmmoTypeFactors,6,FALSE)="Bomb_Secondary"),1.33,1)*('Ammo Input'!H159*0.35)/1000)^0.6/1000)*10/3*VLOOKUP(B159,AmmoTypeFactors,4,FALSE)</f>
        <v>30.7829594107164</v>
      </c>
    </row>
    <row r="160" ht="14.4" spans="1:16">
      <c r="A160" t="str">
        <f>'Ammo Input'!A160</f>
        <v>20x102mm NATO</v>
      </c>
      <c r="B160" s="1" t="str">
        <f>'Ammo Input'!B160</f>
        <v>Sabot</v>
      </c>
      <c r="C160">
        <f>(0.579*('Ammo Stats'!G160*IF(OR(B160="HEAT",B160="HEDP"),10,'Ammo Input'!F160)*VLOOKUP(B160,AmmoTypeFactors,7,FALSE))^(0.346))^IF(B160="HEDP",2.1,1)/IF(B160="HEDP",50,1)</f>
        <v>52.8015855605646</v>
      </c>
      <c r="D160" s="16">
        <f>IF(VLOOKUP(B160,AmmoTypeFactors,8,FALSE),J160,C160)*VLOOKUP('Ammo Input'!B160,AmmoTypeFactors,2,FALSE)</f>
        <v>36.9611098923952</v>
      </c>
      <c r="E160" s="16">
        <f>IF(OR(VLOOKUP(B160,AmmoTypeFactors,6,FALSE)="Bomb",VLOOKUP(B160,AmmoTypeFactors,6,FALSE)="Thermobaric"),J160*VLOOKUP(B160,AmmoTypeFactors,4,FALSE),IF(VLOOKUP(B160,AmmoTypeFactors,11,FALSE),P160,C160*VLOOKUP(B160,AmmoTypeFactors,4,FALSE)))</f>
        <v>0</v>
      </c>
      <c r="F160" s="16">
        <f>'Ammo Stats'!G160/0.005</f>
        <v>13200200</v>
      </c>
      <c r="G160" s="16">
        <f>(IF(B160="HEAT",10,'Ammo Input'!F160)*VLOOKUP(B160,AmmoTypeFactors,7,FALSE)*0.5)^2*PI()/100</f>
        <v>0.38484510006475</v>
      </c>
      <c r="H160" s="10">
        <f t="shared" si="6"/>
        <v>1320.02</v>
      </c>
      <c r="I160" s="10">
        <f>IF(B160&lt;&gt;"Arrow (Flaming)",39493.49*'Ammo Input'!M160^0.6/1000,0)</f>
        <v>0</v>
      </c>
      <c r="J160">
        <f t="shared" si="7"/>
        <v>0</v>
      </c>
      <c r="K160">
        <f t="shared" si="8"/>
        <v>24</v>
      </c>
      <c r="L160">
        <f>200000/('Ammo Stats'!C160*(MAX('Ammo Input'!D160,'Ammo Input'!F160)*0.5)^2*PI())</f>
        <v>885.062122233364</v>
      </c>
      <c r="M160">
        <f>IF(B160="Frag",1,('Ammo Input'!M160/1.33)/('Ammo Input'!H160/1000))</f>
        <v>0</v>
      </c>
      <c r="N160" t="s">
        <v>353</v>
      </c>
      <c r="O160" t="s">
        <v>353</v>
      </c>
      <c r="P160" s="3">
        <f>(39493.49*(IF((VLOOKUP(B160,AmmoTypeFactors,6,FALSE)="Bomb_Secondary"),1.33,1)*('Ammo Input'!H160*0.35)/1000)^0.6/1000)*10/3*VLOOKUP(B160,AmmoTypeFactors,4,FALSE)</f>
        <v>0</v>
      </c>
    </row>
    <row r="161" ht="14.4" spans="1:16">
      <c r="A161" t="str">
        <f>'Ammo Input'!A161</f>
        <v>20x110 Hispano</v>
      </c>
      <c r="B161" s="1" t="str">
        <f>'Ammo Input'!B161</f>
        <v>AP</v>
      </c>
      <c r="C161">
        <f>(0.579*('Ammo Stats'!G161*IF(OR(B161="HEAT",B161="HEDP"),10,'Ammo Input'!F161)*VLOOKUP(B161,AmmoTypeFactors,7,FALSE))^(0.346))^IF(B161="HEDP",2.1,1)/IF(B161="HEDP",50,1)</f>
        <v>51.6927866191433</v>
      </c>
      <c r="D161" s="16">
        <f>IF(VLOOKUP(B161,AmmoTypeFactors,8,FALSE),J161,C161)*VLOOKUP('Ammo Input'!B161,AmmoTypeFactors,2,FALSE)</f>
        <v>41.3542292953146</v>
      </c>
      <c r="E161" s="16">
        <f>IF(OR(VLOOKUP(B161,AmmoTypeFactors,6,FALSE)="Bomb",VLOOKUP(B161,AmmoTypeFactors,6,FALSE)="Thermobaric"),J161*VLOOKUP(B161,AmmoTypeFactors,4,FALSE),IF(VLOOKUP(B161,AmmoTypeFactors,11,FALSE),P161,C161*VLOOKUP(B161,AmmoTypeFactors,4,FALSE)))</f>
        <v>0</v>
      </c>
      <c r="F161" s="16">
        <f>'Ammo Stats'!G161/0.005</f>
        <v>8690400</v>
      </c>
      <c r="G161" s="16">
        <f>(IF(B161="HEAT",10,'Ammo Input'!F161)*VLOOKUP(B161,AmmoTypeFactors,7,FALSE)*0.5)^2*PI()/100</f>
        <v>0.785398163397448</v>
      </c>
      <c r="H161" s="10">
        <f t="shared" si="6"/>
        <v>869.04</v>
      </c>
      <c r="I161" s="10">
        <f>IF(B161&lt;&gt;"Arrow (Flaming)",39493.49*'Ammo Input'!M161^0.6/1000,0)</f>
        <v>0</v>
      </c>
      <c r="J161">
        <f t="shared" si="7"/>
        <v>0</v>
      </c>
      <c r="K161">
        <f t="shared" si="8"/>
        <v>21</v>
      </c>
      <c r="L161">
        <f>200000/('Ammo Stats'!C161*(MAX('Ammo Input'!D161,'Ammo Input'!F161)*0.5)^2*PI())</f>
        <v>1571.24598668476</v>
      </c>
      <c r="M161">
        <f>IF(B161="Frag",1,('Ammo Input'!M161/1.33)/('Ammo Input'!H161/1000))</f>
        <v>0</v>
      </c>
      <c r="N161" t="s">
        <v>353</v>
      </c>
      <c r="O161" t="s">
        <v>353</v>
      </c>
      <c r="P161" s="3">
        <f>(39493.49*(IF((VLOOKUP(B161,AmmoTypeFactors,6,FALSE)="Bomb_Secondary"),1.33,1)*('Ammo Input'!H161*0.35)/1000)^0.6/1000)*10/3*VLOOKUP(B161,AmmoTypeFactors,4,FALSE)</f>
        <v>0</v>
      </c>
    </row>
    <row r="162" ht="14.4" spans="1:16">
      <c r="A162" t="str">
        <f>'Ammo Input'!A162</f>
        <v>20x110 Hispano</v>
      </c>
      <c r="B162" s="1" t="str">
        <f>'Ammo Input'!B162</f>
        <v>AP-I</v>
      </c>
      <c r="C162">
        <f>(0.579*('Ammo Stats'!G162*IF(OR(B162="HEAT",B162="HEDP"),10,'Ammo Input'!F162)*VLOOKUP(B162,AmmoTypeFactors,7,FALSE))^(0.346))^IF(B162="HEDP",2.1,1)/IF(B162="HEDP",50,1)</f>
        <v>51.6927866191433</v>
      </c>
      <c r="D162" s="16">
        <f>IF(VLOOKUP(B162,AmmoTypeFactors,8,FALSE),J162,C162)*VLOOKUP('Ammo Input'!B162,AmmoTypeFactors,2,FALSE)</f>
        <v>41.3542292953146</v>
      </c>
      <c r="E162" s="16">
        <f>IF(OR(VLOOKUP(B162,AmmoTypeFactors,6,FALSE)="Bomb",VLOOKUP(B162,AmmoTypeFactors,6,FALSE)="Thermobaric"),J162*VLOOKUP(B162,AmmoTypeFactors,4,FALSE),IF(VLOOKUP(B162,AmmoTypeFactors,11,FALSE),P162,C162*VLOOKUP(B162,AmmoTypeFactors,4,FALSE)))</f>
        <v>25.799086949387</v>
      </c>
      <c r="F162" s="16">
        <f>'Ammo Stats'!G162/0.005</f>
        <v>8690400</v>
      </c>
      <c r="G162" s="16">
        <f>(IF(B162="HEAT",10,'Ammo Input'!F162)*VLOOKUP(B162,AmmoTypeFactors,7,FALSE)*0.5)^2*PI()/100</f>
        <v>0.785398163397448</v>
      </c>
      <c r="H162" s="10">
        <f t="shared" si="6"/>
        <v>869.04</v>
      </c>
      <c r="I162" s="10">
        <f>IF(B162&lt;&gt;"Arrow (Flaming)",39493.49*'Ammo Input'!M162^0.6/1000,0)</f>
        <v>0</v>
      </c>
      <c r="J162">
        <f t="shared" si="7"/>
        <v>0</v>
      </c>
      <c r="K162">
        <f t="shared" si="8"/>
        <v>21</v>
      </c>
      <c r="L162">
        <f>200000/('Ammo Stats'!C162*(MAX('Ammo Input'!D162,'Ammo Input'!F162)*0.5)^2*PI())</f>
        <v>1571.24598668476</v>
      </c>
      <c r="M162">
        <f>IF(B162="Frag",1,('Ammo Input'!M162/1.33)/('Ammo Input'!H162/1000))</f>
        <v>0</v>
      </c>
      <c r="N162" t="s">
        <v>353</v>
      </c>
      <c r="O162" t="s">
        <v>353</v>
      </c>
      <c r="P162" s="3">
        <f>(39493.49*(IF((VLOOKUP(B162,AmmoTypeFactors,6,FALSE)="Bomb_Secondary"),1.33,1)*('Ammo Input'!H162*0.35)/1000)^0.6/1000)*10/3*VLOOKUP(B162,AmmoTypeFactors,4,FALSE)</f>
        <v>25.799086949387</v>
      </c>
    </row>
    <row r="163" ht="14.4" spans="1:16">
      <c r="A163" t="str">
        <f>'Ammo Input'!A163</f>
        <v>20x110 Hispano</v>
      </c>
      <c r="B163" s="1" t="str">
        <f>'Ammo Input'!B163</f>
        <v>AP-HE</v>
      </c>
      <c r="C163">
        <f>(0.579*('Ammo Stats'!G163*IF(OR(B163="HEAT",B163="HEDP"),10,'Ammo Input'!F163)*VLOOKUP(B163,AmmoTypeFactors,7,FALSE))^(0.346))^IF(B163="HEDP",2.1,1)/IF(B163="HEDP",50,1)</f>
        <v>65.703169901447</v>
      </c>
      <c r="D163" s="16">
        <f>IF(VLOOKUP(B163,AmmoTypeFactors,8,FALSE),J163,C163)*VLOOKUP('Ammo Input'!B163,AmmoTypeFactors,2,FALSE)</f>
        <v>65.703169901447</v>
      </c>
      <c r="E163" s="16">
        <f>IF(OR(VLOOKUP(B163,AmmoTypeFactors,6,FALSE)="Bomb",VLOOKUP(B163,AmmoTypeFactors,6,FALSE)="Thermobaric"),J163*VLOOKUP(B163,AmmoTypeFactors,4,FALSE),IF(VLOOKUP(B163,AmmoTypeFactors,11,FALSE),P163,C163*VLOOKUP(B163,AmmoTypeFactors,4,FALSE)))</f>
        <v>35.3234592331569</v>
      </c>
      <c r="F163" s="16">
        <f>'Ammo Stats'!G163/0.005</f>
        <v>8690400</v>
      </c>
      <c r="G163" s="16">
        <f>(IF(B163="HEAT",10,'Ammo Input'!F163)*VLOOKUP(B163,AmmoTypeFactors,7,FALSE)*0.5)^2*PI()/100</f>
        <v>3.14159265358979</v>
      </c>
      <c r="H163" s="10">
        <f t="shared" si="6"/>
        <v>869.04</v>
      </c>
      <c r="I163" s="10">
        <f>IF(B163&lt;&gt;"Arrow (Flaming)",39493.49*'Ammo Input'!M163^0.6/1000,0)</f>
        <v>0</v>
      </c>
      <c r="J163">
        <f t="shared" si="7"/>
        <v>0</v>
      </c>
      <c r="K163">
        <f t="shared" si="8"/>
        <v>21</v>
      </c>
      <c r="L163">
        <f>200000/('Ammo Stats'!C163*(MAX('Ammo Input'!D163,'Ammo Input'!F163)*0.5)^2*PI())</f>
        <v>1571.24598668476</v>
      </c>
      <c r="M163">
        <f>IF(B163="Frag",1,('Ammo Input'!M163/1.33)/('Ammo Input'!H163/1000))</f>
        <v>0</v>
      </c>
      <c r="N163" t="s">
        <v>353</v>
      </c>
      <c r="O163" t="s">
        <v>353</v>
      </c>
      <c r="P163" s="3">
        <f>(39493.49*(IF((VLOOKUP(B163,AmmoTypeFactors,6,FALSE)="Bomb_Secondary"),1.33,1)*('Ammo Input'!H163*0.35)/1000)^0.6/1000)*10/3*VLOOKUP(B163,AmmoTypeFactors,4,FALSE)</f>
        <v>35.3234592331569</v>
      </c>
    </row>
    <row r="164" ht="14.4" spans="1:16">
      <c r="A164" t="str">
        <f>'Ammo Input'!A164</f>
        <v>20x110 Hispano</v>
      </c>
      <c r="B164" s="1" t="str">
        <f>'Ammo Input'!B164</f>
        <v>Sabot</v>
      </c>
      <c r="C164">
        <f>(0.579*('Ammo Stats'!G164*IF(OR(B164="HEAT",B164="HEDP"),10,'Ammo Input'!F164)*VLOOKUP(B164,AmmoTypeFactors,7,FALSE))^(0.346))^IF(B164="HEDP",2.1,1)/IF(B164="HEDP",50,1)</f>
        <v>49.7894801247921</v>
      </c>
      <c r="D164" s="16">
        <f>IF(VLOOKUP(B164,AmmoTypeFactors,8,FALSE),J164,C164)*VLOOKUP('Ammo Input'!B164,AmmoTypeFactors,2,FALSE)</f>
        <v>34.8526360873544</v>
      </c>
      <c r="E164" s="16">
        <f>IF(OR(VLOOKUP(B164,AmmoTypeFactors,6,FALSE)="Bomb",VLOOKUP(B164,AmmoTypeFactors,6,FALSE)="Thermobaric"),J164*VLOOKUP(B164,AmmoTypeFactors,4,FALSE),IF(VLOOKUP(B164,AmmoTypeFactors,11,FALSE),P164,C164*VLOOKUP(B164,AmmoTypeFactors,4,FALSE)))</f>
        <v>0</v>
      </c>
      <c r="F164" s="16">
        <f>'Ammo Stats'!G164/0.005</f>
        <v>11139200</v>
      </c>
      <c r="G164" s="16">
        <f>(IF(B164="HEAT",10,'Ammo Input'!F164)*VLOOKUP(B164,AmmoTypeFactors,7,FALSE)*0.5)^2*PI()/100</f>
        <v>0.38484510006475</v>
      </c>
      <c r="H164" s="10">
        <f t="shared" si="6"/>
        <v>1113.92</v>
      </c>
      <c r="I164" s="10">
        <f>IF(B164&lt;&gt;"Arrow (Flaming)",39493.49*'Ammo Input'!M164^0.6/1000,0)</f>
        <v>0</v>
      </c>
      <c r="J164">
        <f t="shared" si="7"/>
        <v>0</v>
      </c>
      <c r="K164">
        <f t="shared" si="8"/>
        <v>22</v>
      </c>
      <c r="L164">
        <f>200000/('Ammo Stats'!C164*(MAX('Ammo Input'!D164,'Ammo Input'!F164)*0.5)^2*PI())</f>
        <v>1571.24598668476</v>
      </c>
      <c r="M164">
        <f>IF(B164="Frag",1,('Ammo Input'!M164/1.33)/('Ammo Input'!H164/1000))</f>
        <v>0</v>
      </c>
      <c r="N164" t="s">
        <v>353</v>
      </c>
      <c r="O164" t="s">
        <v>353</v>
      </c>
      <c r="P164" s="3">
        <f>(39493.49*(IF((VLOOKUP(B164,AmmoTypeFactors,6,FALSE)="Bomb_Secondary"),1.33,1)*('Ammo Input'!H164*0.35)/1000)^0.6/1000)*10/3*VLOOKUP(B164,AmmoTypeFactors,4,FALSE)</f>
        <v>0</v>
      </c>
    </row>
    <row r="165" ht="14.4" spans="1:16">
      <c r="A165" t="str">
        <f>'Ammo Input'!A165</f>
        <v>20x128mm Oerlikon</v>
      </c>
      <c r="B165" s="1" t="str">
        <f>'Ammo Input'!B165</f>
        <v>AP</v>
      </c>
      <c r="C165">
        <f>(0.579*('Ammo Stats'!G165*IF(OR(B165="HEAT",B165="HEDP"),10,'Ammo Input'!F165)*VLOOKUP(B165,AmmoTypeFactors,7,FALSE))^(0.346))^IF(B165="HEDP",2.1,1)/IF(B165="HEDP",50,1)</f>
        <v>59.1059118148035</v>
      </c>
      <c r="D165" s="16">
        <f>IF(VLOOKUP(B165,AmmoTypeFactors,8,FALSE),J165,C165)*VLOOKUP('Ammo Input'!B165,AmmoTypeFactors,2,FALSE)</f>
        <v>47.2847294518428</v>
      </c>
      <c r="E165" s="16">
        <f>IF(OR(VLOOKUP(B165,AmmoTypeFactors,6,FALSE)="Bomb",VLOOKUP(B165,AmmoTypeFactors,6,FALSE)="Thermobaric"),J165*VLOOKUP(B165,AmmoTypeFactors,4,FALSE),IF(VLOOKUP(B165,AmmoTypeFactors,11,FALSE),P165,C165*VLOOKUP(B165,AmmoTypeFactors,4,FALSE)))</f>
        <v>0</v>
      </c>
      <c r="F165" s="16">
        <f>'Ammo Stats'!G165/0.005</f>
        <v>12801200</v>
      </c>
      <c r="G165" s="16">
        <f>(IF(B165="HEAT",10,'Ammo Input'!F165)*VLOOKUP(B165,AmmoTypeFactors,7,FALSE)*0.5)^2*PI()/100</f>
        <v>0.785398163397448</v>
      </c>
      <c r="H165" s="10">
        <f t="shared" si="6"/>
        <v>1280.12</v>
      </c>
      <c r="I165" s="10">
        <f>IF(B165&lt;&gt;"Arrow (Flaming)",39493.49*'Ammo Input'!M165^0.6/1000,0)</f>
        <v>0</v>
      </c>
      <c r="J165">
        <f t="shared" si="7"/>
        <v>0</v>
      </c>
      <c r="K165">
        <f t="shared" si="8"/>
        <v>23</v>
      </c>
      <c r="L165">
        <f>200000/('Ammo Stats'!C165*(MAX('Ammo Input'!D165,'Ammo Input'!F165)*0.5)^2*PI())</f>
        <v>546.382693926264</v>
      </c>
      <c r="M165">
        <f>IF(B165="Frag",1,('Ammo Input'!M165/1.33)/('Ammo Input'!H165/1000))</f>
        <v>0</v>
      </c>
      <c r="N165" t="s">
        <v>353</v>
      </c>
      <c r="O165" t="s">
        <v>353</v>
      </c>
      <c r="P165" s="3">
        <f>(39493.49*(IF((VLOOKUP(B165,AmmoTypeFactors,6,FALSE)="Bomb_Secondary"),1.33,1)*('Ammo Input'!H165*0.35)/1000)^0.6/1000)*10/3*VLOOKUP(B165,AmmoTypeFactors,4,FALSE)</f>
        <v>0</v>
      </c>
    </row>
    <row r="166" ht="14.4" spans="1:16">
      <c r="A166" t="str">
        <f>'Ammo Input'!A166</f>
        <v>20x128mm Oerlikon</v>
      </c>
      <c r="B166" s="1" t="str">
        <f>'Ammo Input'!B166</f>
        <v>AP-I</v>
      </c>
      <c r="C166">
        <f>(0.579*('Ammo Stats'!G166*IF(OR(B166="HEAT",B166="HEDP"),10,'Ammo Input'!F166)*VLOOKUP(B166,AmmoTypeFactors,7,FALSE))^(0.346))^IF(B166="HEDP",2.1,1)/IF(B166="HEDP",50,1)</f>
        <v>59.1059118148035</v>
      </c>
      <c r="D166" s="16">
        <f>IF(VLOOKUP(B166,AmmoTypeFactors,8,FALSE),J166,C166)*VLOOKUP('Ammo Input'!B166,AmmoTypeFactors,2,FALSE)</f>
        <v>47.2847294518428</v>
      </c>
      <c r="E166" s="16">
        <f>IF(OR(VLOOKUP(B166,AmmoTypeFactors,6,FALSE)="Bomb",VLOOKUP(B166,AmmoTypeFactors,6,FALSE)="Thermobaric"),J166*VLOOKUP(B166,AmmoTypeFactors,4,FALSE),IF(VLOOKUP(B166,AmmoTypeFactors,11,FALSE),P166,C166*VLOOKUP(B166,AmmoTypeFactors,4,FALSE)))</f>
        <v>25.4805724661444</v>
      </c>
      <c r="F166" s="16">
        <f>'Ammo Stats'!G166/0.005</f>
        <v>12801200</v>
      </c>
      <c r="G166" s="16">
        <f>(IF(B166="HEAT",10,'Ammo Input'!F166)*VLOOKUP(B166,AmmoTypeFactors,7,FALSE)*0.5)^2*PI()/100</f>
        <v>0.785398163397448</v>
      </c>
      <c r="H166" s="10">
        <f t="shared" si="6"/>
        <v>1280.12</v>
      </c>
      <c r="I166" s="10">
        <f>IF(B166&lt;&gt;"Arrow (Flaming)",39493.49*'Ammo Input'!M166^0.6/1000,0)</f>
        <v>0</v>
      </c>
      <c r="J166">
        <f t="shared" si="7"/>
        <v>0</v>
      </c>
      <c r="K166">
        <f t="shared" si="8"/>
        <v>23</v>
      </c>
      <c r="L166">
        <f>200000/('Ammo Stats'!C166*(MAX('Ammo Input'!D166,'Ammo Input'!F166)*0.5)^2*PI())</f>
        <v>546.382693926264</v>
      </c>
      <c r="M166">
        <f>IF(B166="Frag",1,('Ammo Input'!M166/1.33)/('Ammo Input'!H166/1000))</f>
        <v>0</v>
      </c>
      <c r="N166" t="s">
        <v>353</v>
      </c>
      <c r="O166" t="s">
        <v>353</v>
      </c>
      <c r="P166" s="3">
        <f>(39493.49*(IF((VLOOKUP(B166,AmmoTypeFactors,6,FALSE)="Bomb_Secondary"),1.33,1)*('Ammo Input'!H166*0.35)/1000)^0.6/1000)*10/3*VLOOKUP(B166,AmmoTypeFactors,4,FALSE)</f>
        <v>25.4805724661444</v>
      </c>
    </row>
    <row r="167" ht="14.4" spans="1:16">
      <c r="A167" t="str">
        <f>'Ammo Input'!A167</f>
        <v>20x128mm Oerlikon</v>
      </c>
      <c r="B167" s="1" t="str">
        <f>'Ammo Input'!B167</f>
        <v>AP-HE</v>
      </c>
      <c r="C167">
        <f>(0.579*('Ammo Stats'!G167*IF(OR(B167="HEAT",B167="HEDP"),10,'Ammo Input'!F167)*VLOOKUP(B167,AmmoTypeFactors,7,FALSE))^(0.346))^IF(B167="HEDP",2.1,1)/IF(B167="HEDP",50,1)</f>
        <v>75.1254869419215</v>
      </c>
      <c r="D167" s="16">
        <f>IF(VLOOKUP(B167,AmmoTypeFactors,8,FALSE),J167,C167)*VLOOKUP('Ammo Input'!B167,AmmoTypeFactors,2,FALSE)</f>
        <v>75.1254869419215</v>
      </c>
      <c r="E167" s="16">
        <f>IF(OR(VLOOKUP(B167,AmmoTypeFactors,6,FALSE)="Bomb",VLOOKUP(B167,AmmoTypeFactors,6,FALSE)="Thermobaric"),J167*VLOOKUP(B167,AmmoTypeFactors,4,FALSE),IF(VLOOKUP(B167,AmmoTypeFactors,11,FALSE),P167,C167*VLOOKUP(B167,AmmoTypeFactors,4,FALSE)))</f>
        <v>34.8873572352039</v>
      </c>
      <c r="F167" s="16">
        <f>'Ammo Stats'!G167/0.005</f>
        <v>12801200</v>
      </c>
      <c r="G167" s="16">
        <f>(IF(B167="HEAT",10,'Ammo Input'!F167)*VLOOKUP(B167,AmmoTypeFactors,7,FALSE)*0.5)^2*PI()/100</f>
        <v>3.14159265358979</v>
      </c>
      <c r="H167" s="10">
        <f t="shared" si="6"/>
        <v>1280.12</v>
      </c>
      <c r="I167" s="10">
        <f>IF(B167&lt;&gt;"Arrow (Flaming)",39493.49*'Ammo Input'!M167^0.6/1000,0)</f>
        <v>0</v>
      </c>
      <c r="J167">
        <f t="shared" si="7"/>
        <v>0</v>
      </c>
      <c r="K167">
        <f t="shared" si="8"/>
        <v>23</v>
      </c>
      <c r="L167">
        <f>200000/('Ammo Stats'!C167*(MAX('Ammo Input'!D167,'Ammo Input'!F167)*0.5)^2*PI())</f>
        <v>546.382693926264</v>
      </c>
      <c r="M167">
        <f>IF(B167="Frag",1,('Ammo Input'!M167/1.33)/('Ammo Input'!H167/1000))</f>
        <v>0</v>
      </c>
      <c r="N167" t="s">
        <v>353</v>
      </c>
      <c r="O167" t="s">
        <v>353</v>
      </c>
      <c r="P167" s="3">
        <f>(39493.49*(IF((VLOOKUP(B167,AmmoTypeFactors,6,FALSE)="Bomb_Secondary"),1.33,1)*('Ammo Input'!H167*0.35)/1000)^0.6/1000)*10/3*VLOOKUP(B167,AmmoTypeFactors,4,FALSE)</f>
        <v>34.8873572352039</v>
      </c>
    </row>
    <row r="168" ht="14.4" spans="1:16">
      <c r="A168" t="str">
        <f>'Ammo Input'!A168</f>
        <v>20x128mm Oerlikon</v>
      </c>
      <c r="B168" s="1" t="str">
        <f>'Ammo Input'!B168</f>
        <v>Sabot</v>
      </c>
      <c r="C168">
        <f>(0.579*('Ammo Stats'!G168*IF(OR(B168="HEAT",B168="HEDP"),10,'Ammo Input'!F168)*VLOOKUP(B168,AmmoTypeFactors,7,FALSE))^(0.346))^IF(B168="HEDP",2.1,1)/IF(B168="HEDP",50,1)</f>
        <v>56.9489182036113</v>
      </c>
      <c r="D168" s="16">
        <f>IF(VLOOKUP(B168,AmmoTypeFactors,8,FALSE),J168,C168)*VLOOKUP('Ammo Input'!B168,AmmoTypeFactors,2,FALSE)</f>
        <v>39.8642427425279</v>
      </c>
      <c r="E168" s="16">
        <f>IF(OR(VLOOKUP(B168,AmmoTypeFactors,6,FALSE)="Bomb",VLOOKUP(B168,AmmoTypeFactors,6,FALSE)="Thermobaric"),J168*VLOOKUP(B168,AmmoTypeFactors,4,FALSE),IF(VLOOKUP(B168,AmmoTypeFactors,11,FALSE),P168,C168*VLOOKUP(B168,AmmoTypeFactors,4,FALSE)))</f>
        <v>0</v>
      </c>
      <c r="F168" s="16">
        <f>'Ammo Stats'!G168/0.005</f>
        <v>16424400</v>
      </c>
      <c r="G168" s="16">
        <f>(IF(B168="HEAT",10,'Ammo Input'!F168)*VLOOKUP(B168,AmmoTypeFactors,7,FALSE)*0.5)^2*PI()/100</f>
        <v>0.38484510006475</v>
      </c>
      <c r="H168" s="10">
        <f t="shared" si="6"/>
        <v>1642.44</v>
      </c>
      <c r="I168" s="10">
        <f>IF(B168&lt;&gt;"Arrow (Flaming)",39493.49*'Ammo Input'!M168^0.6/1000,0)</f>
        <v>0</v>
      </c>
      <c r="J168">
        <f t="shared" si="7"/>
        <v>0</v>
      </c>
      <c r="K168">
        <f t="shared" si="8"/>
        <v>25</v>
      </c>
      <c r="L168">
        <f>200000/('Ammo Stats'!C168*(MAX('Ammo Input'!D168,'Ammo Input'!F168)*0.5)^2*PI())</f>
        <v>546.382693926264</v>
      </c>
      <c r="M168">
        <f>IF(B168="Frag",1,('Ammo Input'!M168/1.33)/('Ammo Input'!H168/1000))</f>
        <v>0</v>
      </c>
      <c r="N168" t="s">
        <v>353</v>
      </c>
      <c r="O168" t="s">
        <v>353</v>
      </c>
      <c r="P168" s="3">
        <f>(39493.49*(IF((VLOOKUP(B168,AmmoTypeFactors,6,FALSE)="Bomb_Secondary"),1.33,1)*('Ammo Input'!H168*0.35)/1000)^0.6/1000)*10/3*VLOOKUP(B168,AmmoTypeFactors,4,FALSE)</f>
        <v>0</v>
      </c>
    </row>
    <row r="169" ht="14.4" spans="1:16">
      <c r="A169" t="str">
        <f>'Ammo Input'!A169</f>
        <v>20x138mmB</v>
      </c>
      <c r="B169" s="1" t="str">
        <f>'Ammo Input'!B169</f>
        <v>AP</v>
      </c>
      <c r="C169">
        <f>(0.579*('Ammo Stats'!G169*IF(OR(B169="HEAT",B169="HEDP"),10,'Ammo Input'!F169)*VLOOKUP(B169,AmmoTypeFactors,7,FALSE))^(0.346))^IF(B169="HEDP",2.1,1)/IF(B169="HEDP",50,1)</f>
        <v>53.7346856885221</v>
      </c>
      <c r="D169" s="16">
        <f>IF(VLOOKUP(B169,AmmoTypeFactors,8,FALSE),J169,C169)*VLOOKUP('Ammo Input'!B169,AmmoTypeFactors,2,FALSE)</f>
        <v>42.9877485508177</v>
      </c>
      <c r="E169" s="16">
        <f>IF(OR(VLOOKUP(B169,AmmoTypeFactors,6,FALSE)="Bomb",VLOOKUP(B169,AmmoTypeFactors,6,FALSE)="Thermobaric"),J169*VLOOKUP(B169,AmmoTypeFactors,4,FALSE),IF(VLOOKUP(B169,AmmoTypeFactors,11,FALSE),P169,C169*VLOOKUP(B169,AmmoTypeFactors,4,FALSE)))</f>
        <v>0</v>
      </c>
      <c r="F169" s="16">
        <f>'Ammo Stats'!G169/0.005</f>
        <v>9720000</v>
      </c>
      <c r="G169" s="16">
        <f>(IF(B169="HEAT",10,'Ammo Input'!F169)*VLOOKUP(B169,AmmoTypeFactors,7,FALSE)*0.5)^2*PI()/100</f>
        <v>0.785398163397448</v>
      </c>
      <c r="H169" s="10">
        <f t="shared" si="6"/>
        <v>972</v>
      </c>
      <c r="I169" s="10">
        <f>IF(B169&lt;&gt;"Arrow (Flaming)",39493.49*'Ammo Input'!M169^0.6/1000,0)</f>
        <v>0</v>
      </c>
      <c r="J169">
        <f t="shared" si="7"/>
        <v>0</v>
      </c>
      <c r="K169">
        <f t="shared" si="8"/>
        <v>21</v>
      </c>
      <c r="L169">
        <f>200000/('Ammo Stats'!C169*(MAX('Ammo Input'!D169,'Ammo Input'!F169)*0.5)^2*PI())</f>
        <v>1448.83880830128</v>
      </c>
      <c r="M169">
        <f>IF(B169="Frag",1,('Ammo Input'!M169/1.33)/('Ammo Input'!H169/1000))</f>
        <v>0</v>
      </c>
      <c r="N169" t="s">
        <v>353</v>
      </c>
      <c r="O169" t="s">
        <v>353</v>
      </c>
      <c r="P169" s="3">
        <f>(39493.49*(IF((VLOOKUP(B169,AmmoTypeFactors,6,FALSE)="Bomb_Secondary"),1.33,1)*('Ammo Input'!H169*0.35)/1000)^0.6/1000)*10/3*VLOOKUP(B169,AmmoTypeFactors,4,FALSE)</f>
        <v>0</v>
      </c>
    </row>
    <row r="170" ht="14.4" spans="1:16">
      <c r="A170" t="str">
        <f>'Ammo Input'!A170</f>
        <v>20x138mmB</v>
      </c>
      <c r="B170" s="1" t="str">
        <f>'Ammo Input'!B170</f>
        <v>AP-I</v>
      </c>
      <c r="C170">
        <f>(0.579*('Ammo Stats'!G170*IF(OR(B170="HEAT",B170="HEDP"),10,'Ammo Input'!F170)*VLOOKUP(B170,AmmoTypeFactors,7,FALSE))^(0.346))^IF(B170="HEDP",2.1,1)/IF(B170="HEDP",50,1)</f>
        <v>53.7346856885221</v>
      </c>
      <c r="D170" s="16">
        <f>IF(VLOOKUP(B170,AmmoTypeFactors,8,FALSE),J170,C170)*VLOOKUP('Ammo Input'!B170,AmmoTypeFactors,2,FALSE)</f>
        <v>42.9877485508177</v>
      </c>
      <c r="E170" s="16">
        <f>IF(OR(VLOOKUP(B170,AmmoTypeFactors,6,FALSE)="Bomb",VLOOKUP(B170,AmmoTypeFactors,6,FALSE)="Thermobaric"),J170*VLOOKUP(B170,AmmoTypeFactors,4,FALSE),IF(VLOOKUP(B170,AmmoTypeFactors,11,FALSE),P170,C170*VLOOKUP(B170,AmmoTypeFactors,4,FALSE)))</f>
        <v>25.5444870050766</v>
      </c>
      <c r="F170" s="16">
        <f>'Ammo Stats'!G170/0.005</f>
        <v>9720000</v>
      </c>
      <c r="G170" s="16">
        <f>(IF(B170="HEAT",10,'Ammo Input'!F170)*VLOOKUP(B170,AmmoTypeFactors,7,FALSE)*0.5)^2*PI()/100</f>
        <v>0.785398163397448</v>
      </c>
      <c r="H170" s="10">
        <f t="shared" si="6"/>
        <v>972</v>
      </c>
      <c r="I170" s="10">
        <f>IF(B170&lt;&gt;"Arrow (Flaming)",39493.49*'Ammo Input'!M170^0.6/1000,0)</f>
        <v>0</v>
      </c>
      <c r="J170">
        <f t="shared" si="7"/>
        <v>0</v>
      </c>
      <c r="K170">
        <f t="shared" si="8"/>
        <v>21</v>
      </c>
      <c r="L170">
        <f>200000/('Ammo Stats'!C170*(MAX('Ammo Input'!D170,'Ammo Input'!F170)*0.5)^2*PI())</f>
        <v>1448.83880830128</v>
      </c>
      <c r="M170">
        <f>IF(B170="Frag",1,('Ammo Input'!M170/1.33)/('Ammo Input'!H170/1000))</f>
        <v>0</v>
      </c>
      <c r="N170" t="s">
        <v>353</v>
      </c>
      <c r="O170" t="s">
        <v>353</v>
      </c>
      <c r="P170" s="3">
        <f>(39493.49*(IF((VLOOKUP(B170,AmmoTypeFactors,6,FALSE)="Bomb_Secondary"),1.33,1)*('Ammo Input'!H170*0.35)/1000)^0.6/1000)*10/3*VLOOKUP(B170,AmmoTypeFactors,4,FALSE)</f>
        <v>25.5444870050766</v>
      </c>
    </row>
    <row r="171" ht="14.4" spans="1:16">
      <c r="A171" t="str">
        <f>'Ammo Input'!A171</f>
        <v>20x138mmB</v>
      </c>
      <c r="B171" s="1" t="str">
        <f>'Ammo Input'!B171</f>
        <v>AP-HE</v>
      </c>
      <c r="C171">
        <f>(0.579*('Ammo Stats'!G171*IF(OR(B171="HEAT",B171="HEDP"),10,'Ammo Input'!F171)*VLOOKUP(B171,AmmoTypeFactors,7,FALSE))^(0.346))^IF(B171="HEDP",2.1,1)/IF(B171="HEDP",50,1)</f>
        <v>68.2984883249913</v>
      </c>
      <c r="D171" s="16">
        <f>IF(VLOOKUP(B171,AmmoTypeFactors,8,FALSE),J171,C171)*VLOOKUP('Ammo Input'!B171,AmmoTypeFactors,2,FALSE)</f>
        <v>68.2984883249913</v>
      </c>
      <c r="E171" s="16">
        <f>IF(OR(VLOOKUP(B171,AmmoTypeFactors,6,FALSE)="Bomb",VLOOKUP(B171,AmmoTypeFactors,6,FALSE)="Thermobaric"),J171*VLOOKUP(B171,AmmoTypeFactors,4,FALSE),IF(VLOOKUP(B171,AmmoTypeFactors,11,FALSE),P171,C171*VLOOKUP(B171,AmmoTypeFactors,4,FALSE)))</f>
        <v>34.9748674100719</v>
      </c>
      <c r="F171" s="16">
        <f>'Ammo Stats'!G171/0.005</f>
        <v>9720000</v>
      </c>
      <c r="G171" s="16">
        <f>(IF(B171="HEAT",10,'Ammo Input'!F171)*VLOOKUP(B171,AmmoTypeFactors,7,FALSE)*0.5)^2*PI()/100</f>
        <v>3.14159265358979</v>
      </c>
      <c r="H171" s="10">
        <f t="shared" si="6"/>
        <v>972</v>
      </c>
      <c r="I171" s="10">
        <f>IF(B171&lt;&gt;"Arrow (Flaming)",39493.49*'Ammo Input'!M171^0.6/1000,0)</f>
        <v>0</v>
      </c>
      <c r="J171">
        <f t="shared" si="7"/>
        <v>0</v>
      </c>
      <c r="K171">
        <f t="shared" si="8"/>
        <v>21</v>
      </c>
      <c r="L171">
        <f>200000/('Ammo Stats'!C171*(MAX('Ammo Input'!D171,'Ammo Input'!F171)*0.5)^2*PI())</f>
        <v>1448.83880830128</v>
      </c>
      <c r="M171">
        <f>IF(B171="Frag",1,('Ammo Input'!M171/1.33)/('Ammo Input'!H171/1000))</f>
        <v>0</v>
      </c>
      <c r="N171" t="s">
        <v>353</v>
      </c>
      <c r="O171" t="s">
        <v>353</v>
      </c>
      <c r="P171" s="3">
        <f>(39493.49*(IF((VLOOKUP(B171,AmmoTypeFactors,6,FALSE)="Bomb_Secondary"),1.33,1)*('Ammo Input'!H171*0.35)/1000)^0.6/1000)*10/3*VLOOKUP(B171,AmmoTypeFactors,4,FALSE)</f>
        <v>34.9748674100719</v>
      </c>
    </row>
    <row r="172" ht="14.4" spans="1:16">
      <c r="A172" t="str">
        <f>'Ammo Input'!A172</f>
        <v>20x138mmB</v>
      </c>
      <c r="B172" s="1" t="str">
        <f>'Ammo Input'!B172</f>
        <v>Sabot</v>
      </c>
      <c r="C172">
        <f>(0.579*('Ammo Stats'!G172*IF(OR(B172="HEAT",B172="HEDP"),10,'Ammo Input'!F172)*VLOOKUP(B172,AmmoTypeFactors,7,FALSE))^(0.346))^IF(B172="HEDP",2.1,1)/IF(B172="HEDP",50,1)</f>
        <v>51.922818951826</v>
      </c>
      <c r="D172" s="16">
        <f>IF(VLOOKUP(B172,AmmoTypeFactors,8,FALSE),J172,C172)*VLOOKUP('Ammo Input'!B172,AmmoTypeFactors,2,FALSE)</f>
        <v>36.3459732662782</v>
      </c>
      <c r="E172" s="16">
        <f>IF(OR(VLOOKUP(B172,AmmoTypeFactors,6,FALSE)="Bomb",VLOOKUP(B172,AmmoTypeFactors,6,FALSE)="Thermobaric"),J172*VLOOKUP(B172,AmmoTypeFactors,4,FALSE),IF(VLOOKUP(B172,AmmoTypeFactors,11,FALSE),P172,C172*VLOOKUP(B172,AmmoTypeFactors,4,FALSE)))</f>
        <v>0</v>
      </c>
      <c r="F172" s="16">
        <f>'Ammo Stats'!G172/0.005</f>
        <v>12575200</v>
      </c>
      <c r="G172" s="16">
        <f>(IF(B172="HEAT",10,'Ammo Input'!F172)*VLOOKUP(B172,AmmoTypeFactors,7,FALSE)*0.5)^2*PI()/100</f>
        <v>0.38484510006475</v>
      </c>
      <c r="H172" s="10">
        <f t="shared" si="6"/>
        <v>1257.52</v>
      </c>
      <c r="I172" s="10">
        <f>IF(B172&lt;&gt;"Arrow (Flaming)",39493.49*'Ammo Input'!M172^0.6/1000,0)</f>
        <v>0</v>
      </c>
      <c r="J172">
        <f t="shared" si="7"/>
        <v>0</v>
      </c>
      <c r="K172">
        <f t="shared" si="8"/>
        <v>23</v>
      </c>
      <c r="L172">
        <f>200000/('Ammo Stats'!C172*(MAX('Ammo Input'!D172,'Ammo Input'!F172)*0.5)^2*PI())</f>
        <v>1448.83880830128</v>
      </c>
      <c r="M172">
        <f>IF(B172="Frag",1,('Ammo Input'!M172/1.33)/('Ammo Input'!H172/1000))</f>
        <v>0</v>
      </c>
      <c r="N172" t="s">
        <v>353</v>
      </c>
      <c r="O172" t="s">
        <v>353</v>
      </c>
      <c r="P172" s="3">
        <f>(39493.49*(IF((VLOOKUP(B172,AmmoTypeFactors,6,FALSE)="Bomb_Secondary"),1.33,1)*('Ammo Input'!H172*0.35)/1000)^0.6/1000)*10/3*VLOOKUP(B172,AmmoTypeFactors,4,FALSE)</f>
        <v>0</v>
      </c>
    </row>
    <row r="173" ht="14.4" spans="1:16">
      <c r="A173" t="str">
        <f>'Ammo Input'!A173</f>
        <v>20x139mm</v>
      </c>
      <c r="B173" s="1" t="str">
        <f>'Ammo Input'!B173</f>
        <v>AP</v>
      </c>
      <c r="C173">
        <f>(0.579*('Ammo Stats'!G173*IF(OR(B173="HEAT",B173="HEDP"),10,'Ammo Input'!F173)*VLOOKUP(B173,AmmoTypeFactors,7,FALSE))^(0.346))^IF(B173="HEDP",2.1,1)/IF(B173="HEDP",50,1)</f>
        <v>60.126621103892</v>
      </c>
      <c r="D173" s="16">
        <f>IF(VLOOKUP(B173,AmmoTypeFactors,8,FALSE),J173,C173)*VLOOKUP('Ammo Input'!B173,AmmoTypeFactors,2,FALSE)</f>
        <v>48.1012968831136</v>
      </c>
      <c r="E173" s="16">
        <f>IF(OR(VLOOKUP(B173,AmmoTypeFactors,6,FALSE)="Bomb",VLOOKUP(B173,AmmoTypeFactors,6,FALSE)="Thermobaric"),J173*VLOOKUP(B173,AmmoTypeFactors,4,FALSE),IF(VLOOKUP(B173,AmmoTypeFactors,11,FALSE),P173,C173*VLOOKUP(B173,AmmoTypeFactors,4,FALSE)))</f>
        <v>0</v>
      </c>
      <c r="F173" s="16">
        <f>'Ammo Stats'!G173/0.005</f>
        <v>13450600</v>
      </c>
      <c r="G173" s="16">
        <f>(IF(B173="HEAT",10,'Ammo Input'!F173)*VLOOKUP(B173,AmmoTypeFactors,7,FALSE)*0.5)^2*PI()/100</f>
        <v>0.785398163397448</v>
      </c>
      <c r="H173" s="10">
        <f t="shared" si="6"/>
        <v>1345.06</v>
      </c>
      <c r="I173" s="10">
        <f>IF(B173&lt;&gt;"Arrow (Flaming)",39493.49*'Ammo Input'!M173^0.6/1000,0)</f>
        <v>0</v>
      </c>
      <c r="J173">
        <f t="shared" si="7"/>
        <v>0</v>
      </c>
      <c r="K173">
        <f t="shared" si="8"/>
        <v>24</v>
      </c>
      <c r="L173">
        <f>200000/('Ammo Stats'!C173*(MAX('Ammo Input'!D173,'Ammo Input'!F173)*0.5)^2*PI())</f>
        <v>1107.93555928921</v>
      </c>
      <c r="M173">
        <f>IF(B173="Frag",1,('Ammo Input'!M173/1.33)/('Ammo Input'!H173/1000))</f>
        <v>0</v>
      </c>
      <c r="N173" t="s">
        <v>353</v>
      </c>
      <c r="O173" t="s">
        <v>353</v>
      </c>
      <c r="P173" s="3">
        <f>(39493.49*(IF((VLOOKUP(B173,AmmoTypeFactors,6,FALSE)="Bomb_Secondary"),1.33,1)*('Ammo Input'!H173*0.35)/1000)^0.6/1000)*10/3*VLOOKUP(B173,AmmoTypeFactors,4,FALSE)</f>
        <v>0</v>
      </c>
    </row>
    <row r="174" ht="14.4" spans="1:16">
      <c r="A174" t="str">
        <f>'Ammo Input'!A174</f>
        <v>20x139mm</v>
      </c>
      <c r="B174" s="1" t="str">
        <f>'Ammo Input'!B174</f>
        <v>AP-I</v>
      </c>
      <c r="C174">
        <f>(0.579*('Ammo Stats'!G174*IF(OR(B174="HEAT",B174="HEDP"),10,'Ammo Input'!F174)*VLOOKUP(B174,AmmoTypeFactors,7,FALSE))^(0.346))^IF(B174="HEDP",2.1,1)/IF(B174="HEDP",50,1)</f>
        <v>60.126621103892</v>
      </c>
      <c r="D174" s="16">
        <f>IF(VLOOKUP(B174,AmmoTypeFactors,8,FALSE),J174,C174)*VLOOKUP('Ammo Input'!B174,AmmoTypeFactors,2,FALSE)</f>
        <v>48.1012968831136</v>
      </c>
      <c r="E174" s="16">
        <f>IF(OR(VLOOKUP(B174,AmmoTypeFactors,6,FALSE)="Bomb",VLOOKUP(B174,AmmoTypeFactors,6,FALSE)="Thermobaric"),J174*VLOOKUP(B174,AmmoTypeFactors,4,FALSE),IF(VLOOKUP(B174,AmmoTypeFactors,11,FALSE),P174,C174*VLOOKUP(B174,AmmoTypeFactors,4,FALSE)))</f>
        <v>25.799086949387</v>
      </c>
      <c r="F174" s="16">
        <f>'Ammo Stats'!G174/0.005</f>
        <v>13450600</v>
      </c>
      <c r="G174" s="16">
        <f>(IF(B174="HEAT",10,'Ammo Input'!F174)*VLOOKUP(B174,AmmoTypeFactors,7,FALSE)*0.5)^2*PI()/100</f>
        <v>0.785398163397448</v>
      </c>
      <c r="H174" s="10">
        <f t="shared" si="6"/>
        <v>1345.06</v>
      </c>
      <c r="I174" s="10">
        <f>IF(B174&lt;&gt;"Arrow (Flaming)",39493.49*'Ammo Input'!M174^0.6/1000,0)</f>
        <v>0</v>
      </c>
      <c r="J174">
        <f t="shared" si="7"/>
        <v>0</v>
      </c>
      <c r="K174">
        <f t="shared" si="8"/>
        <v>24</v>
      </c>
      <c r="L174">
        <f>200000/('Ammo Stats'!C174*(MAX('Ammo Input'!D174,'Ammo Input'!F174)*0.5)^2*PI())</f>
        <v>1107.93555928921</v>
      </c>
      <c r="M174">
        <f>IF(B174="Frag",1,('Ammo Input'!M174/1.33)/('Ammo Input'!H174/1000))</f>
        <v>0</v>
      </c>
      <c r="N174" t="s">
        <v>353</v>
      </c>
      <c r="O174" t="s">
        <v>353</v>
      </c>
      <c r="P174" s="3">
        <f>(39493.49*(IF((VLOOKUP(B174,AmmoTypeFactors,6,FALSE)="Bomb_Secondary"),1.33,1)*('Ammo Input'!H174*0.35)/1000)^0.6/1000)*10/3*VLOOKUP(B174,AmmoTypeFactors,4,FALSE)</f>
        <v>25.799086949387</v>
      </c>
    </row>
    <row r="175" ht="14.4" spans="1:16">
      <c r="A175" t="str">
        <f>'Ammo Input'!A175</f>
        <v>20x139mm</v>
      </c>
      <c r="B175" s="1" t="str">
        <f>'Ammo Input'!B175</f>
        <v>AP-HE</v>
      </c>
      <c r="C175">
        <f>(0.579*('Ammo Stats'!G175*IF(OR(B175="HEAT",B175="HEDP"),10,'Ammo Input'!F175)*VLOOKUP(B175,AmmoTypeFactors,7,FALSE))^(0.346))^IF(B175="HEDP",2.1,1)/IF(B175="HEDP",50,1)</f>
        <v>76.4228407939216</v>
      </c>
      <c r="D175" s="16">
        <f>IF(VLOOKUP(B175,AmmoTypeFactors,8,FALSE),J175,C175)*VLOOKUP('Ammo Input'!B175,AmmoTypeFactors,2,FALSE)</f>
        <v>76.4228407939216</v>
      </c>
      <c r="E175" s="16">
        <f>IF(OR(VLOOKUP(B175,AmmoTypeFactors,6,FALSE)="Bomb",VLOOKUP(B175,AmmoTypeFactors,6,FALSE)="Thermobaric"),J175*VLOOKUP(B175,AmmoTypeFactors,4,FALSE),IF(VLOOKUP(B175,AmmoTypeFactors,11,FALSE),P175,C175*VLOOKUP(B175,AmmoTypeFactors,4,FALSE)))</f>
        <v>35.3234592331569</v>
      </c>
      <c r="F175" s="16">
        <f>'Ammo Stats'!G175/0.005</f>
        <v>13450600</v>
      </c>
      <c r="G175" s="16">
        <f>(IF(B175="HEAT",10,'Ammo Input'!F175)*VLOOKUP(B175,AmmoTypeFactors,7,FALSE)*0.5)^2*PI()/100</f>
        <v>3.14159265358979</v>
      </c>
      <c r="H175" s="10">
        <f t="shared" si="6"/>
        <v>1345.06</v>
      </c>
      <c r="I175" s="10">
        <f>IF(B175&lt;&gt;"Arrow (Flaming)",39493.49*'Ammo Input'!M175^0.6/1000,0)</f>
        <v>0</v>
      </c>
      <c r="J175">
        <f t="shared" si="7"/>
        <v>0</v>
      </c>
      <c r="K175">
        <f t="shared" si="8"/>
        <v>24</v>
      </c>
      <c r="L175">
        <f>200000/('Ammo Stats'!C175*(MAX('Ammo Input'!D175,'Ammo Input'!F175)*0.5)^2*PI())</f>
        <v>1107.93555928921</v>
      </c>
      <c r="M175">
        <f>IF(B175="Frag",1,('Ammo Input'!M175/1.33)/('Ammo Input'!H175/1000))</f>
        <v>0</v>
      </c>
      <c r="N175" t="s">
        <v>353</v>
      </c>
      <c r="O175" t="s">
        <v>353</v>
      </c>
      <c r="P175" s="3">
        <f>(39493.49*(IF((VLOOKUP(B175,AmmoTypeFactors,6,FALSE)="Bomb_Secondary"),1.33,1)*('Ammo Input'!H175*0.35)/1000)^0.6/1000)*10/3*VLOOKUP(B175,AmmoTypeFactors,4,FALSE)</f>
        <v>35.3234592331569</v>
      </c>
    </row>
    <row r="176" ht="14.4" spans="1:16">
      <c r="A176" t="str">
        <f>'Ammo Input'!A176</f>
        <v>20x139mm</v>
      </c>
      <c r="B176" s="1" t="str">
        <f>'Ammo Input'!B176</f>
        <v>Sabot</v>
      </c>
      <c r="C176">
        <f>(0.579*('Ammo Stats'!G176*IF(OR(B176="HEAT",B176="HEDP"),10,'Ammo Input'!F176)*VLOOKUP(B176,AmmoTypeFactors,7,FALSE))^(0.346))^IF(B176="HEDP",2.1,1)/IF(B176="HEDP",50,1)</f>
        <v>58.0561712975811</v>
      </c>
      <c r="D176" s="16">
        <f>IF(VLOOKUP(B176,AmmoTypeFactors,8,FALSE),J176,C176)*VLOOKUP('Ammo Input'!B176,AmmoTypeFactors,2,FALSE)</f>
        <v>40.6393199083068</v>
      </c>
      <c r="E176" s="16">
        <f>IF(OR(VLOOKUP(B176,AmmoTypeFactors,6,FALSE)="Bomb",VLOOKUP(B176,AmmoTypeFactors,6,FALSE)="Thermobaric"),J176*VLOOKUP(B176,AmmoTypeFactors,4,FALSE),IF(VLOOKUP(B176,AmmoTypeFactors,11,FALSE),P176,C176*VLOOKUP(B176,AmmoTypeFactors,4,FALSE)))</f>
        <v>0</v>
      </c>
      <c r="F176" s="16">
        <f>'Ammo Stats'!G176/0.005</f>
        <v>17364400</v>
      </c>
      <c r="G176" s="16">
        <f>(IF(B176="HEAT",10,'Ammo Input'!F176)*VLOOKUP(B176,AmmoTypeFactors,7,FALSE)*0.5)^2*PI()/100</f>
        <v>0.38484510006475</v>
      </c>
      <c r="H176" s="10">
        <f t="shared" si="6"/>
        <v>1736.44</v>
      </c>
      <c r="I176" s="10">
        <f>IF(B176&lt;&gt;"Arrow (Flaming)",39493.49*'Ammo Input'!M176^0.6/1000,0)</f>
        <v>0</v>
      </c>
      <c r="J176">
        <f t="shared" si="7"/>
        <v>0</v>
      </c>
      <c r="K176">
        <f t="shared" si="8"/>
        <v>26</v>
      </c>
      <c r="L176">
        <f>200000/('Ammo Stats'!C176*(MAX('Ammo Input'!D176,'Ammo Input'!F176)*0.5)^2*PI())</f>
        <v>1107.93555928921</v>
      </c>
      <c r="M176">
        <f>IF(B176="Frag",1,('Ammo Input'!M176/1.33)/('Ammo Input'!H176/1000))</f>
        <v>0</v>
      </c>
      <c r="N176" t="s">
        <v>353</v>
      </c>
      <c r="O176" t="s">
        <v>353</v>
      </c>
      <c r="P176" s="3">
        <f>(39493.49*(IF((VLOOKUP(B176,AmmoTypeFactors,6,FALSE)="Bomb_Secondary"),1.33,1)*('Ammo Input'!H176*0.35)/1000)^0.6/1000)*10/3*VLOOKUP(B176,AmmoTypeFactors,4,FALSE)</f>
        <v>0</v>
      </c>
    </row>
    <row r="177" ht="14.4" spans="1:16">
      <c r="A177" t="str">
        <f>'Ammo Input'!A177</f>
        <v>23x152mmB</v>
      </c>
      <c r="B177" s="1" t="str">
        <f>'Ammo Input'!B177</f>
        <v>AP</v>
      </c>
      <c r="C177">
        <f>(0.579*('Ammo Stats'!G177*IF(OR(B177="HEAT",B177="HEDP"),10,'Ammo Input'!F177)*VLOOKUP(B177,AmmoTypeFactors,7,FALSE))^(0.346))^IF(B177="HEDP",2.1,1)/IF(B177="HEDP",50,1)</f>
        <v>69.6336667251565</v>
      </c>
      <c r="D177" s="16">
        <f>IF(VLOOKUP(B177,AmmoTypeFactors,8,FALSE),J177,C177)*VLOOKUP('Ammo Input'!B177,AmmoTypeFactors,2,FALSE)</f>
        <v>55.7069333801252</v>
      </c>
      <c r="E177" s="16">
        <f>IF(OR(VLOOKUP(B177,AmmoTypeFactors,6,FALSE)="Bomb",VLOOKUP(B177,AmmoTypeFactors,6,FALSE)="Thermobaric"),J177*VLOOKUP(B177,AmmoTypeFactors,4,FALSE),IF(VLOOKUP(B177,AmmoTypeFactors,11,FALSE),P177,C177*VLOOKUP(B177,AmmoTypeFactors,4,FALSE)))</f>
        <v>0</v>
      </c>
      <c r="F177" s="16">
        <f>'Ammo Stats'!G177/0.005</f>
        <v>17877200</v>
      </c>
      <c r="G177" s="16">
        <f>(IF(B177="HEAT",10,'Ammo Input'!F177)*VLOOKUP(B177,AmmoTypeFactors,7,FALSE)*0.5)^2*PI()/100</f>
        <v>1.03868907109313</v>
      </c>
      <c r="H177" s="10">
        <f t="shared" si="6"/>
        <v>1787.72</v>
      </c>
      <c r="I177" s="10">
        <f>IF(B177&lt;&gt;"Arrow (Flaming)",39493.49*'Ammo Input'!M177^0.6/1000,0)</f>
        <v>0</v>
      </c>
      <c r="J177">
        <f t="shared" si="7"/>
        <v>0</v>
      </c>
      <c r="K177">
        <f t="shared" si="8"/>
        <v>26</v>
      </c>
      <c r="L177">
        <f>200000/('Ammo Stats'!C177*(MAX('Ammo Input'!D177,'Ammo Input'!F177)*0.5)^2*PI())</f>
        <v>372.625230245261</v>
      </c>
      <c r="M177">
        <f>IF(B177="Frag",1,('Ammo Input'!M177/1.33)/('Ammo Input'!H177/1000))</f>
        <v>0</v>
      </c>
      <c r="N177" t="s">
        <v>353</v>
      </c>
      <c r="O177" t="s">
        <v>353</v>
      </c>
      <c r="P177" s="3">
        <f>(39493.49*(IF((VLOOKUP(B177,AmmoTypeFactors,6,FALSE)="Bomb_Secondary"),1.33,1)*('Ammo Input'!H177*0.35)/1000)^0.6/1000)*10/3*VLOOKUP(B177,AmmoTypeFactors,4,FALSE)</f>
        <v>0</v>
      </c>
    </row>
    <row r="178" ht="14.4" spans="1:16">
      <c r="A178" t="str">
        <f>'Ammo Input'!A178</f>
        <v>23x152mmB</v>
      </c>
      <c r="B178" s="1" t="str">
        <f>'Ammo Input'!B178</f>
        <v>AP-I</v>
      </c>
      <c r="C178">
        <f>(0.579*('Ammo Stats'!G178*IF(OR(B178="HEAT",B178="HEDP"),10,'Ammo Input'!F178)*VLOOKUP(B178,AmmoTypeFactors,7,FALSE))^(0.346))^IF(B178="HEDP",2.1,1)/IF(B178="HEDP",50,1)</f>
        <v>69.6336667251565</v>
      </c>
      <c r="D178" s="16">
        <f>IF(VLOOKUP(B178,AmmoTypeFactors,8,FALSE),J178,C178)*VLOOKUP('Ammo Input'!B178,AmmoTypeFactors,2,FALSE)</f>
        <v>55.7069333801252</v>
      </c>
      <c r="E178" s="16">
        <f>IF(OR(VLOOKUP(B178,AmmoTypeFactors,6,FALSE)="Bomb",VLOOKUP(B178,AmmoTypeFactors,6,FALSE)="Thermobaric"),J178*VLOOKUP(B178,AmmoTypeFactors,4,FALSE),IF(VLOOKUP(B178,AmmoTypeFactors,11,FALSE),P178,C178*VLOOKUP(B178,AmmoTypeFactors,4,FALSE)))</f>
        <v>33.6543028350234</v>
      </c>
      <c r="F178" s="16">
        <f>'Ammo Stats'!G178/0.005</f>
        <v>17877200</v>
      </c>
      <c r="G178" s="16">
        <f>(IF(B178="HEAT",10,'Ammo Input'!F178)*VLOOKUP(B178,AmmoTypeFactors,7,FALSE)*0.5)^2*PI()/100</f>
        <v>1.03868907109313</v>
      </c>
      <c r="H178" s="10">
        <f t="shared" si="6"/>
        <v>1787.72</v>
      </c>
      <c r="I178" s="10">
        <f>IF(B178&lt;&gt;"Arrow (Flaming)",39493.49*'Ammo Input'!M178^0.6/1000,0)</f>
        <v>0</v>
      </c>
      <c r="J178">
        <f t="shared" si="7"/>
        <v>0</v>
      </c>
      <c r="K178">
        <f t="shared" si="8"/>
        <v>26</v>
      </c>
      <c r="L178">
        <f>200000/('Ammo Stats'!C178*(MAX('Ammo Input'!D178,'Ammo Input'!F178)*0.5)^2*PI())</f>
        <v>372.625230245261</v>
      </c>
      <c r="M178">
        <f>IF(B178="Frag",1,('Ammo Input'!M178/1.33)/('Ammo Input'!H178/1000))</f>
        <v>0</v>
      </c>
      <c r="N178" t="s">
        <v>353</v>
      </c>
      <c r="O178" t="s">
        <v>353</v>
      </c>
      <c r="P178" s="3">
        <f>(39493.49*(IF((VLOOKUP(B178,AmmoTypeFactors,6,FALSE)="Bomb_Secondary"),1.33,1)*('Ammo Input'!H178*0.35)/1000)^0.6/1000)*10/3*VLOOKUP(B178,AmmoTypeFactors,4,FALSE)</f>
        <v>33.6543028350234</v>
      </c>
    </row>
    <row r="179" ht="14.4" spans="1:16">
      <c r="A179" t="str">
        <f>'Ammo Input'!A179</f>
        <v>23x152mmB</v>
      </c>
      <c r="B179" s="1" t="str">
        <f>'Ammo Input'!B179</f>
        <v>AP-HE</v>
      </c>
      <c r="C179">
        <f>(0.579*('Ammo Stats'!G179*IF(OR(B179="HEAT",B179="HEDP"),10,'Ammo Input'!F179)*VLOOKUP(B179,AmmoTypeFactors,7,FALSE))^(0.346))^IF(B179="HEDP",2.1,1)/IF(B179="HEDP",50,1)</f>
        <v>88.5065970502234</v>
      </c>
      <c r="D179" s="16">
        <f>IF(VLOOKUP(B179,AmmoTypeFactors,8,FALSE),J179,C179)*VLOOKUP('Ammo Input'!B179,AmmoTypeFactors,2,FALSE)</f>
        <v>88.5065970502234</v>
      </c>
      <c r="E179" s="16">
        <f>IF(OR(VLOOKUP(B179,AmmoTypeFactors,6,FALSE)="Bomb",VLOOKUP(B179,AmmoTypeFactors,6,FALSE)="Thermobaric"),J179*VLOOKUP(B179,AmmoTypeFactors,4,FALSE),IF(VLOOKUP(B179,AmmoTypeFactors,11,FALSE),P179,C179*VLOOKUP(B179,AmmoTypeFactors,4,FALSE)))</f>
        <v>46.0786227258911</v>
      </c>
      <c r="F179" s="16">
        <f>'Ammo Stats'!G179/0.005</f>
        <v>17877200</v>
      </c>
      <c r="G179" s="16">
        <f>(IF(B179="HEAT",10,'Ammo Input'!F179)*VLOOKUP(B179,AmmoTypeFactors,7,FALSE)*0.5)^2*PI()/100</f>
        <v>4.1547562843725</v>
      </c>
      <c r="H179" s="10">
        <f t="shared" si="6"/>
        <v>1787.72</v>
      </c>
      <c r="I179" s="10">
        <f>IF(B179&lt;&gt;"Arrow (Flaming)",39493.49*'Ammo Input'!M179^0.6/1000,0)</f>
        <v>0</v>
      </c>
      <c r="J179">
        <f t="shared" si="7"/>
        <v>0</v>
      </c>
      <c r="K179">
        <f t="shared" si="8"/>
        <v>26</v>
      </c>
      <c r="L179">
        <f>200000/('Ammo Stats'!C179*(MAX('Ammo Input'!D179,'Ammo Input'!F179)*0.5)^2*PI())</f>
        <v>372.625230245261</v>
      </c>
      <c r="M179">
        <f>IF(B179="Frag",1,('Ammo Input'!M179/1.33)/('Ammo Input'!H179/1000))</f>
        <v>0</v>
      </c>
      <c r="N179" t="s">
        <v>353</v>
      </c>
      <c r="O179" t="s">
        <v>353</v>
      </c>
      <c r="P179" s="3">
        <f>(39493.49*(IF((VLOOKUP(B179,AmmoTypeFactors,6,FALSE)="Bomb_Secondary"),1.33,1)*('Ammo Input'!H179*0.35)/1000)^0.6/1000)*10/3*VLOOKUP(B179,AmmoTypeFactors,4,FALSE)</f>
        <v>46.0786227258911</v>
      </c>
    </row>
    <row r="180" ht="15.15" spans="1:16">
      <c r="A180" t="str">
        <f>'Ammo Input'!A180</f>
        <v>23x152mmB</v>
      </c>
      <c r="B180" s="1" t="str">
        <f>'Ammo Input'!B180</f>
        <v>Sabot</v>
      </c>
      <c r="C180">
        <f>(0.579*('Ammo Stats'!G180*IF(OR(B180="HEAT",B180="HEDP"),10,'Ammo Input'!F180)*VLOOKUP(B180,AmmoTypeFactors,7,FALSE))^(0.346))^IF(B180="HEDP",2.1,1)/IF(B180="HEDP",50,1)</f>
        <v>75.8209093371595</v>
      </c>
      <c r="D180" s="16">
        <f>IF(VLOOKUP(B180,AmmoTypeFactors,8,FALSE),J180,C180)*VLOOKUP('Ammo Input'!B180,AmmoTypeFactors,2,FALSE)</f>
        <v>53.0746365360117</v>
      </c>
      <c r="E180" s="16">
        <f>IF(OR(VLOOKUP(B180,AmmoTypeFactors,6,FALSE)="Bomb",VLOOKUP(B180,AmmoTypeFactors,6,FALSE)="Thermobaric"),J180*VLOOKUP(B180,AmmoTypeFactors,4,FALSE),IF(VLOOKUP(B180,AmmoTypeFactors,11,FALSE),P180,C180*VLOOKUP(B180,AmmoTypeFactors,4,FALSE)))</f>
        <v>0</v>
      </c>
      <c r="F180" s="16">
        <f>'Ammo Stats'!G180/0.005</f>
        <v>22863800</v>
      </c>
      <c r="G180" s="16">
        <f>(IF(B180="HEAT",10,'Ammo Input'!F180)*VLOOKUP(B180,AmmoTypeFactors,7,FALSE)*0.5)^2*PI()/100</f>
        <v>1.03868907109313</v>
      </c>
      <c r="H180" s="10">
        <f t="shared" si="6"/>
        <v>2286.38</v>
      </c>
      <c r="I180" s="10">
        <f>IF(B180&lt;&gt;"Arrow (Flaming)",39493.49*'Ammo Input'!M180^0.6/1000,0)</f>
        <v>0</v>
      </c>
      <c r="J180">
        <f t="shared" si="7"/>
        <v>0</v>
      </c>
      <c r="K180">
        <f t="shared" si="8"/>
        <v>28</v>
      </c>
      <c r="L180">
        <f>200000/('Ammo Stats'!C180*(MAX('Ammo Input'!D180,'Ammo Input'!F180)*0.5)^2*PI())</f>
        <v>372.625230245261</v>
      </c>
      <c r="M180">
        <f>IF(B180="Frag",1,('Ammo Input'!M180/1.33)/('Ammo Input'!H180/1000))</f>
        <v>0</v>
      </c>
      <c r="N180" t="s">
        <v>353</v>
      </c>
      <c r="O180" t="s">
        <v>353</v>
      </c>
      <c r="P180" s="3">
        <f>(39493.49*(IF((VLOOKUP(B180,AmmoTypeFactors,6,FALSE)="Bomb_Secondary"),1.33,1)*('Ammo Input'!H180*0.35)/1000)^0.6/1000)*10/3*VLOOKUP(B180,AmmoTypeFactors,4,FALSE)</f>
        <v>0</v>
      </c>
    </row>
    <row r="181" ht="14.4" spans="1:16">
      <c r="A181" s="17" t="str">
        <f>'Ammo Input'!A181</f>
        <v>30x170mm</v>
      </c>
      <c r="B181" s="1" t="str">
        <f>'Ammo Input'!B181</f>
        <v>AP</v>
      </c>
      <c r="C181">
        <f>(0.579*('Ammo Stats'!G181*IF(OR(B181="HEAT",B181="HEDP"),10,'Ammo Input'!F181)*VLOOKUP(B181,AmmoTypeFactors,7,FALSE))^(0.346))^IF(B181="HEDP",2.1,1)/IF(B181="HEDP",50,1)</f>
        <v>102.579284364731</v>
      </c>
      <c r="D181" s="16">
        <f>IF(VLOOKUP(B181,AmmoTypeFactors,8,FALSE),J181,C181)*VLOOKUP('Ammo Input'!B181,AmmoTypeFactors,2,FALSE)</f>
        <v>82.0634274917852</v>
      </c>
      <c r="E181" s="16">
        <f>IF(OR(VLOOKUP(B181,AmmoTypeFactors,6,FALSE)="Bomb",VLOOKUP(B181,AmmoTypeFactors,6,FALSE)="Thermobaric"),J181*VLOOKUP(B181,AmmoTypeFactors,4,FALSE),IF(VLOOKUP(B181,AmmoTypeFactors,11,FALSE),P181,C181*VLOOKUP(B181,AmmoTypeFactors,4,FALSE)))</f>
        <v>0</v>
      </c>
      <c r="F181" s="16">
        <f>'Ammo Stats'!G181/0.005</f>
        <v>41990400</v>
      </c>
      <c r="G181" s="16">
        <f>(IF(B181="HEAT",10,'Ammo Input'!F181)*VLOOKUP(B181,AmmoTypeFactors,7,FALSE)*0.5)^2*PI()/100</f>
        <v>1.76714586764426</v>
      </c>
      <c r="H181" s="10">
        <f t="shared" si="6"/>
        <v>4199.04</v>
      </c>
      <c r="I181" s="10">
        <f>IF(B181&lt;&gt;"Arrow (Flaming)",39493.49*'Ammo Input'!M181^0.6/1000,0)</f>
        <v>0</v>
      </c>
      <c r="J181">
        <f t="shared" si="7"/>
        <v>0</v>
      </c>
      <c r="K181">
        <f t="shared" si="8"/>
        <v>35</v>
      </c>
      <c r="L181">
        <f>200000/('Ammo Stats'!C181*(MAX('Ammo Input'!D181,'Ammo Input'!F181)*0.5)^2*PI())</f>
        <v>110.177570123108</v>
      </c>
      <c r="M181">
        <f>IF(B181="Frag",1,('Ammo Input'!M181/1.33)/('Ammo Input'!H181/1000))</f>
        <v>0</v>
      </c>
      <c r="N181" t="s">
        <v>353</v>
      </c>
      <c r="O181" t="s">
        <v>353</v>
      </c>
      <c r="P181" s="3">
        <f>(39493.49*(IF((VLOOKUP(B181,AmmoTypeFactors,6,FALSE)="Bomb_Secondary"),1.33,1)*('Ammo Input'!H181*0.35)/1000)^0.6/1000)*10/3*VLOOKUP(B181,AmmoTypeFactors,4,FALSE)</f>
        <v>0</v>
      </c>
    </row>
    <row r="182" ht="14.4" spans="1:16">
      <c r="A182" s="18" t="str">
        <f>'Ammo Input'!A182</f>
        <v>30x170mm</v>
      </c>
      <c r="B182" s="1" t="str">
        <f>'Ammo Input'!B182</f>
        <v>AP-I</v>
      </c>
      <c r="C182">
        <f>(0.579*('Ammo Stats'!G182*IF(OR(B182="HEAT",B182="HEDP"),10,'Ammo Input'!F182)*VLOOKUP(B182,AmmoTypeFactors,7,FALSE))^(0.346))^IF(B182="HEDP",2.1,1)/IF(B182="HEDP",50,1)</f>
        <v>102.579284364731</v>
      </c>
      <c r="D182" s="16">
        <f>IF(VLOOKUP(B182,AmmoTypeFactors,8,FALSE),J182,C182)*VLOOKUP('Ammo Input'!B182,AmmoTypeFactors,2,FALSE)</f>
        <v>82.0634274917852</v>
      </c>
      <c r="E182" s="16">
        <f>IF(OR(VLOOKUP(B182,AmmoTypeFactors,6,FALSE)="Bomb",VLOOKUP(B182,AmmoTypeFactors,6,FALSE)="Thermobaric"),J182*VLOOKUP(B182,AmmoTypeFactors,4,FALSE),IF(VLOOKUP(B182,AmmoTypeFactors,11,FALSE),P182,C182*VLOOKUP(B182,AmmoTypeFactors,4,FALSE)))</f>
        <v>49.3821436252068</v>
      </c>
      <c r="F182" s="16">
        <f>'Ammo Stats'!G182/0.005</f>
        <v>41990400</v>
      </c>
      <c r="G182" s="16">
        <f>(IF(B182="HEAT",10,'Ammo Input'!F182)*VLOOKUP(B182,AmmoTypeFactors,7,FALSE)*0.5)^2*PI()/100</f>
        <v>1.76714586764426</v>
      </c>
      <c r="H182" s="10">
        <f t="shared" si="6"/>
        <v>4199.04</v>
      </c>
      <c r="I182" s="10">
        <f>IF(B182&lt;&gt;"Arrow (Flaming)",39493.49*'Ammo Input'!M182^0.6/1000,0)</f>
        <v>0</v>
      </c>
      <c r="J182">
        <f t="shared" si="7"/>
        <v>0</v>
      </c>
      <c r="K182">
        <f t="shared" si="8"/>
        <v>35</v>
      </c>
      <c r="L182">
        <f>200000/('Ammo Stats'!C182*(MAX('Ammo Input'!D182,'Ammo Input'!F182)*0.5)^2*PI())</f>
        <v>110.177570123108</v>
      </c>
      <c r="M182">
        <f>IF(B182="Frag",1,('Ammo Input'!M182/1.33)/('Ammo Input'!H182/1000))</f>
        <v>0</v>
      </c>
      <c r="N182" t="s">
        <v>353</v>
      </c>
      <c r="O182" t="s">
        <v>353</v>
      </c>
      <c r="P182" s="3">
        <f>(39493.49*(IF((VLOOKUP(B182,AmmoTypeFactors,6,FALSE)="Bomb_Secondary"),1.33,1)*('Ammo Input'!H182*0.35)/1000)^0.6/1000)*10/3*VLOOKUP(B182,AmmoTypeFactors,4,FALSE)</f>
        <v>49.3821436252068</v>
      </c>
    </row>
    <row r="183" ht="14.4" spans="1:16">
      <c r="A183" s="18" t="str">
        <f>'Ammo Input'!A183</f>
        <v>30x170mm</v>
      </c>
      <c r="B183" s="1" t="str">
        <f>'Ammo Input'!B183</f>
        <v>AP-HE</v>
      </c>
      <c r="C183">
        <f>(0.579*('Ammo Stats'!G183*IF(OR(B183="HEAT",B183="HEDP"),10,'Ammo Input'!F183)*VLOOKUP(B183,AmmoTypeFactors,7,FALSE))^(0.346))^IF(B183="HEDP",2.1,1)/IF(B183="HEDP",50,1)</f>
        <v>130.381521093871</v>
      </c>
      <c r="D183" s="16">
        <f>IF(VLOOKUP(B183,AmmoTypeFactors,8,FALSE),J183,C183)*VLOOKUP('Ammo Input'!B183,AmmoTypeFactors,2,FALSE)</f>
        <v>130.381521093871</v>
      </c>
      <c r="E183" s="16">
        <f>IF(OR(VLOOKUP(B183,AmmoTypeFactors,6,FALSE)="Bomb",VLOOKUP(B183,AmmoTypeFactors,6,FALSE)="Thermobaric"),J183*VLOOKUP(B183,AmmoTypeFactors,4,FALSE),IF(VLOOKUP(B183,AmmoTypeFactors,11,FALSE),P183,C183*VLOOKUP(B183,AmmoTypeFactors,4,FALSE)))</f>
        <v>67.6127857010201</v>
      </c>
      <c r="F183" s="16">
        <f>'Ammo Stats'!G183/0.005</f>
        <v>41990400</v>
      </c>
      <c r="G183" s="16">
        <f>(IF(B183="HEAT",10,'Ammo Input'!F183)*VLOOKUP(B183,AmmoTypeFactors,7,FALSE)*0.5)^2*PI()/100</f>
        <v>7.06858347057703</v>
      </c>
      <c r="H183" s="10">
        <f t="shared" si="6"/>
        <v>4199.04</v>
      </c>
      <c r="I183" s="10">
        <f>IF(B183&lt;&gt;"Arrow (Flaming)",39493.49*'Ammo Input'!M183^0.6/1000,0)</f>
        <v>0</v>
      </c>
      <c r="J183">
        <f t="shared" si="7"/>
        <v>0</v>
      </c>
      <c r="K183">
        <f t="shared" si="8"/>
        <v>35</v>
      </c>
      <c r="L183">
        <f>200000/('Ammo Stats'!C183*(MAX('Ammo Input'!D183,'Ammo Input'!F183)*0.5)^2*PI())</f>
        <v>110.177570123108</v>
      </c>
      <c r="M183">
        <f>IF(B183="Frag",1,('Ammo Input'!M183/1.33)/('Ammo Input'!H183/1000))</f>
        <v>0</v>
      </c>
      <c r="N183" t="s">
        <v>353</v>
      </c>
      <c r="O183" t="s">
        <v>353</v>
      </c>
      <c r="P183" s="3">
        <f>(39493.49*(IF((VLOOKUP(B183,AmmoTypeFactors,6,FALSE)="Bomb_Secondary"),1.33,1)*('Ammo Input'!H183*0.35)/1000)^0.6/1000)*10/3*VLOOKUP(B183,AmmoTypeFactors,4,FALSE)</f>
        <v>67.6127857010201</v>
      </c>
    </row>
    <row r="184" ht="15.15" spans="1:16">
      <c r="A184" s="19" t="str">
        <f>'Ammo Input'!A184</f>
        <v>30x170mm</v>
      </c>
      <c r="B184" s="1" t="str">
        <f>'Ammo Input'!B184</f>
        <v>Sabot</v>
      </c>
      <c r="C184">
        <f>(0.579*('Ammo Stats'!G184*IF(OR(B184="HEAT",B184="HEDP"),10,'Ammo Input'!F184)*VLOOKUP(B184,AmmoTypeFactors,7,FALSE))^(0.346))^IF(B184="HEDP",2.1,1)/IF(B184="HEDP",50,1)</f>
        <v>78.6519033032017</v>
      </c>
      <c r="D184" s="16">
        <f>IF(VLOOKUP(B184,AmmoTypeFactors,8,FALSE),J184,C184)*VLOOKUP('Ammo Input'!B184,AmmoTypeFactors,2,FALSE)</f>
        <v>55.0563323122412</v>
      </c>
      <c r="E184" s="16">
        <f>IF(OR(VLOOKUP(B184,AmmoTypeFactors,6,FALSE)="Bomb",VLOOKUP(B184,AmmoTypeFactors,6,FALSE)="Thermobaric"),J184*VLOOKUP(B184,AmmoTypeFactors,4,FALSE),IF(VLOOKUP(B184,AmmoTypeFactors,11,FALSE),P184,C184*VLOOKUP(B184,AmmoTypeFactors,4,FALSE)))</f>
        <v>0</v>
      </c>
      <c r="F184" s="16">
        <f>'Ammo Stats'!G184/0.005</f>
        <v>41760000</v>
      </c>
      <c r="G184" s="16">
        <f>(IF(B184="HEAT",10,'Ammo Input'!F184)*VLOOKUP(B184,AmmoTypeFactors,7,FALSE)*0.5)^2*PI()/100</f>
        <v>0.38484510006475</v>
      </c>
      <c r="H184" s="10">
        <f t="shared" si="6"/>
        <v>4176</v>
      </c>
      <c r="I184" s="10">
        <f>IF(B184&lt;&gt;"Arrow (Flaming)",39493.49*'Ammo Input'!M184^0.6/1000,0)</f>
        <v>0</v>
      </c>
      <c r="J184">
        <f t="shared" si="7"/>
        <v>0</v>
      </c>
      <c r="K184">
        <f t="shared" si="8"/>
        <v>35</v>
      </c>
      <c r="L184">
        <f>200000/('Ammo Stats'!C184*(MAX('Ammo Input'!D184,'Ammo Input'!F184)*0.5)^2*PI())</f>
        <v>110.177570123108</v>
      </c>
      <c r="M184">
        <f>IF(B184="Frag",1,('Ammo Input'!M184/1.33)/('Ammo Input'!H184/1000))</f>
        <v>0</v>
      </c>
      <c r="N184" t="s">
        <v>353</v>
      </c>
      <c r="O184" t="s">
        <v>353</v>
      </c>
      <c r="P184" s="3">
        <f>(39493.49*(IF((VLOOKUP(B184,AmmoTypeFactors,6,FALSE)="Bomb_Secondary"),1.33,1)*('Ammo Input'!H184*0.35)/1000)^0.6/1000)*10/3*VLOOKUP(B184,AmmoTypeFactors,4,FALSE)</f>
        <v>0</v>
      </c>
    </row>
    <row r="185" ht="14.4" spans="1:16384">
      <c r="A185" s="17" t="str">
        <f>'Ammo Input'!A185</f>
        <v>23x115mm</v>
      </c>
      <c r="B185" s="1" t="str">
        <f>'Ammo Input'!B185</f>
        <v>AP</v>
      </c>
      <c r="C185">
        <f>(0.579*('Ammo Stats'!G185*IF(OR(B185="HEAT",B185="HEDP"),10,'Ammo Input'!F185)*VLOOKUP(B185,AmmoTypeFactors,7,FALSE))^(0.346))^IF(B185="HEDP",2.1,1)/IF(B185="HEDP",50,1)</f>
        <v>54.6933965600943</v>
      </c>
      <c r="D185" s="16">
        <f>IF(VLOOKUP(B185,AmmoTypeFactors,8,FALSE),J185,C185)*VLOOKUP('Ammo Input'!B185,AmmoTypeFactors,2,FALSE)</f>
        <v>43.7547172480755</v>
      </c>
      <c r="E185" s="16">
        <f>IF(OR(VLOOKUP(B185,AmmoTypeFactors,6,FALSE)="Bomb",VLOOKUP(B185,AmmoTypeFactors,6,FALSE)="Thermobaric"),J185*VLOOKUP(B185,AmmoTypeFactors,4,FALSE),IF(VLOOKUP(B185,AmmoTypeFactors,11,FALSE),P185,C185*VLOOKUP(B185,AmmoTypeFactors,4,FALSE)))</f>
        <v>0</v>
      </c>
      <c r="F185" s="16">
        <f>'Ammo Stats'!G185/0.005</f>
        <v>8895400</v>
      </c>
      <c r="G185" s="16">
        <f>(IF(B185="HEAT",10,'Ammo Input'!F185)*VLOOKUP(B185,AmmoTypeFactors,7,FALSE)*0.5)^2*PI()/100</f>
        <v>1.03868907109313</v>
      </c>
      <c r="H185" s="10">
        <f t="shared" ref="H185:H219" si="9">F185/10000</f>
        <v>889.54</v>
      </c>
      <c r="I185" s="10">
        <f>IF(B185&lt;&gt;"Arrow (Flaming)",39493.49*'Ammo Input'!M185^0.6/1000,0)</f>
        <v>0</v>
      </c>
      <c r="J185">
        <f t="shared" ref="J185:J219" si="10">I185*10/3</f>
        <v>0</v>
      </c>
      <c r="K185">
        <f t="shared" ref="K185:K219" si="11">ROUND(F185^(1/3)/10,0)</f>
        <v>21</v>
      </c>
      <c r="L185">
        <f>200000/('Ammo Stats'!C185*(MAX('Ammo Input'!D185,'Ammo Input'!F185)*0.5)^2*PI())</f>
        <v>998.032173023839</v>
      </c>
      <c r="M185">
        <f>IF(B185="Frag",1,('Ammo Input'!M185/1.33)/('Ammo Input'!H185/1000))</f>
        <v>0</v>
      </c>
      <c r="N185" t="s">
        <v>353</v>
      </c>
      <c r="O185" t="s">
        <v>353</v>
      </c>
      <c r="P185" s="3">
        <f>(39493.49*(IF((VLOOKUP(B185,AmmoTypeFactors,6,FALSE)="Bomb_Secondary"),1.33,1)*('Ammo Input'!H185*0.35)/1000)^0.6/1000)*10/3*VLOOKUP(B185,AmmoTypeFactors,4,FALSE)</f>
        <v>0</v>
      </c>
      <c r="R185" s="1"/>
      <c r="T185" s="16"/>
      <c r="U185" s="16"/>
      <c r="V185" s="16"/>
      <c r="W185" s="16"/>
      <c r="X185" s="10"/>
      <c r="Y185" s="10"/>
      <c r="AF185" s="3"/>
      <c r="AH185" s="1"/>
      <c r="AJ185" s="16"/>
      <c r="AK185" s="16"/>
      <c r="AL185" s="16"/>
      <c r="AM185" s="16"/>
      <c r="AN185" s="10"/>
      <c r="AO185" s="10"/>
      <c r="AV185" s="3"/>
      <c r="AX185" s="1"/>
      <c r="AZ185" s="16"/>
      <c r="BA185" s="16"/>
      <c r="BB185" s="16"/>
      <c r="BC185" s="16"/>
      <c r="BD185" s="10"/>
      <c r="BE185" s="10"/>
      <c r="BL185" s="3"/>
      <c r="BN185" s="1"/>
      <c r="BP185" s="16"/>
      <c r="BQ185" s="16"/>
      <c r="BR185" s="16"/>
      <c r="BS185" s="16"/>
      <c r="BT185" s="10"/>
      <c r="BU185" s="10"/>
      <c r="CB185" s="3"/>
      <c r="CD185" s="1"/>
      <c r="CF185" s="16"/>
      <c r="CG185" s="16"/>
      <c r="CH185" s="16"/>
      <c r="CI185" s="16"/>
      <c r="CJ185" s="10"/>
      <c r="CK185" s="10"/>
      <c r="CR185" s="3"/>
      <c r="CT185" s="1"/>
      <c r="CV185" s="16"/>
      <c r="CW185" s="16"/>
      <c r="CX185" s="16"/>
      <c r="CY185" s="16"/>
      <c r="CZ185" s="10"/>
      <c r="DA185" s="10"/>
      <c r="DH185" s="3"/>
      <c r="DJ185" s="1"/>
      <c r="DL185" s="16"/>
      <c r="DM185" s="16"/>
      <c r="DN185" s="16"/>
      <c r="DO185" s="16"/>
      <c r="DP185" s="10"/>
      <c r="DQ185" s="10"/>
      <c r="DX185" s="3"/>
      <c r="DZ185" s="1"/>
      <c r="EB185" s="16"/>
      <c r="EC185" s="16"/>
      <c r="ED185" s="16"/>
      <c r="EE185" s="16"/>
      <c r="EF185" s="10"/>
      <c r="EG185" s="10"/>
      <c r="EN185" s="3"/>
      <c r="EP185" s="1"/>
      <c r="ER185" s="16"/>
      <c r="ES185" s="16"/>
      <c r="ET185" s="16"/>
      <c r="EU185" s="16"/>
      <c r="EV185" s="10"/>
      <c r="EW185" s="10"/>
      <c r="FD185" s="3"/>
      <c r="FF185" s="1"/>
      <c r="FH185" s="16"/>
      <c r="FI185" s="16"/>
      <c r="FJ185" s="16"/>
      <c r="FK185" s="16"/>
      <c r="FL185" s="10"/>
      <c r="FM185" s="10"/>
      <c r="FT185" s="3"/>
      <c r="FV185" s="1"/>
      <c r="FX185" s="16"/>
      <c r="FY185" s="16"/>
      <c r="FZ185" s="16"/>
      <c r="GA185" s="16"/>
      <c r="GB185" s="10"/>
      <c r="GC185" s="10"/>
      <c r="GJ185" s="3"/>
      <c r="GL185" s="1"/>
      <c r="GN185" s="16"/>
      <c r="GO185" s="16"/>
      <c r="GP185" s="16"/>
      <c r="GQ185" s="16"/>
      <c r="GR185" s="10"/>
      <c r="GS185" s="10"/>
      <c r="GZ185" s="3"/>
      <c r="HB185" s="1"/>
      <c r="HD185" s="16"/>
      <c r="HE185" s="16"/>
      <c r="HF185" s="16"/>
      <c r="HG185" s="16"/>
      <c r="HH185" s="10"/>
      <c r="HI185" s="10"/>
      <c r="HP185" s="3"/>
      <c r="HR185" s="1"/>
      <c r="HT185" s="16"/>
      <c r="HU185" s="16"/>
      <c r="HV185" s="16"/>
      <c r="HW185" s="16"/>
      <c r="HX185" s="10"/>
      <c r="HY185" s="10"/>
      <c r="IF185" s="3"/>
      <c r="IH185" s="1"/>
      <c r="IJ185" s="16"/>
      <c r="IK185" s="16"/>
      <c r="IL185" s="16"/>
      <c r="IM185" s="16"/>
      <c r="IN185" s="10"/>
      <c r="IO185" s="10"/>
      <c r="IV185" s="3"/>
      <c r="IX185" s="1"/>
      <c r="IZ185" s="16"/>
      <c r="JA185" s="16"/>
      <c r="JB185" s="16"/>
      <c r="JC185" s="16"/>
      <c r="JD185" s="10"/>
      <c r="JE185" s="10"/>
      <c r="JL185" s="3"/>
      <c r="JN185" s="1"/>
      <c r="JP185" s="16"/>
      <c r="JQ185" s="16"/>
      <c r="JR185" s="16"/>
      <c r="JS185" s="16"/>
      <c r="JT185" s="10"/>
      <c r="JU185" s="10"/>
      <c r="KB185" s="3"/>
      <c r="KD185" s="1"/>
      <c r="KF185" s="16"/>
      <c r="KG185" s="16"/>
      <c r="KH185" s="16"/>
      <c r="KI185" s="16"/>
      <c r="KJ185" s="10"/>
      <c r="KK185" s="10"/>
      <c r="KR185" s="3"/>
      <c r="KT185" s="1"/>
      <c r="KV185" s="16"/>
      <c r="KW185" s="16"/>
      <c r="KX185" s="16"/>
      <c r="KY185" s="16"/>
      <c r="KZ185" s="10"/>
      <c r="LA185" s="10"/>
      <c r="LH185" s="3"/>
      <c r="LJ185" s="1"/>
      <c r="LL185" s="16"/>
      <c r="LM185" s="16"/>
      <c r="LN185" s="16"/>
      <c r="LO185" s="16"/>
      <c r="LP185" s="10"/>
      <c r="LQ185" s="10"/>
      <c r="LX185" s="3"/>
      <c r="LZ185" s="1"/>
      <c r="MB185" s="16"/>
      <c r="MC185" s="16"/>
      <c r="MD185" s="16"/>
      <c r="ME185" s="16"/>
      <c r="MF185" s="10"/>
      <c r="MG185" s="10"/>
      <c r="MN185" s="3"/>
      <c r="MP185" s="1"/>
      <c r="MR185" s="16"/>
      <c r="MS185" s="16"/>
      <c r="MT185" s="16"/>
      <c r="MU185" s="16"/>
      <c r="MV185" s="10"/>
      <c r="MW185" s="10"/>
      <c r="ND185" s="3"/>
      <c r="NF185" s="1"/>
      <c r="NH185" s="16"/>
      <c r="NI185" s="16"/>
      <c r="NJ185" s="16"/>
      <c r="NK185" s="16"/>
      <c r="NL185" s="10"/>
      <c r="NM185" s="10"/>
      <c r="NT185" s="3"/>
      <c r="NV185" s="1"/>
      <c r="NX185" s="16"/>
      <c r="NY185" s="16"/>
      <c r="NZ185" s="16"/>
      <c r="OA185" s="16"/>
      <c r="OB185" s="10"/>
      <c r="OC185" s="10"/>
      <c r="OJ185" s="3"/>
      <c r="OL185" s="1"/>
      <c r="ON185" s="16"/>
      <c r="OO185" s="16"/>
      <c r="OP185" s="16"/>
      <c r="OQ185" s="16"/>
      <c r="OR185" s="10"/>
      <c r="OS185" s="10"/>
      <c r="OZ185" s="3"/>
      <c r="PB185" s="1"/>
      <c r="PD185" s="16"/>
      <c r="PE185" s="16"/>
      <c r="PF185" s="16"/>
      <c r="PG185" s="16"/>
      <c r="PH185" s="10"/>
      <c r="PI185" s="10"/>
      <c r="PP185" s="3"/>
      <c r="PR185" s="1"/>
      <c r="PT185" s="16"/>
      <c r="PU185" s="16"/>
      <c r="PV185" s="16"/>
      <c r="PW185" s="16"/>
      <c r="PX185" s="10"/>
      <c r="PY185" s="10"/>
      <c r="QF185" s="3"/>
      <c r="QH185" s="1"/>
      <c r="QJ185" s="16"/>
      <c r="QK185" s="16"/>
      <c r="QL185" s="16"/>
      <c r="QM185" s="16"/>
      <c r="QN185" s="10"/>
      <c r="QO185" s="10"/>
      <c r="QV185" s="3"/>
      <c r="QX185" s="1"/>
      <c r="QZ185" s="16"/>
      <c r="RA185" s="16"/>
      <c r="RB185" s="16"/>
      <c r="RC185" s="16"/>
      <c r="RD185" s="10"/>
      <c r="RE185" s="10"/>
      <c r="RL185" s="3"/>
      <c r="RN185" s="1"/>
      <c r="RP185" s="16"/>
      <c r="RQ185" s="16"/>
      <c r="RR185" s="16"/>
      <c r="RS185" s="16"/>
      <c r="RT185" s="10"/>
      <c r="RU185" s="10"/>
      <c r="SB185" s="3"/>
      <c r="SD185" s="1"/>
      <c r="SF185" s="16"/>
      <c r="SG185" s="16"/>
      <c r="SH185" s="16"/>
      <c r="SI185" s="16"/>
      <c r="SJ185" s="10"/>
      <c r="SK185" s="10"/>
      <c r="SR185" s="3"/>
      <c r="ST185" s="1"/>
      <c r="SV185" s="16"/>
      <c r="SW185" s="16"/>
      <c r="SX185" s="16"/>
      <c r="SY185" s="16"/>
      <c r="SZ185" s="10"/>
      <c r="TA185" s="10"/>
      <c r="TH185" s="3"/>
      <c r="TJ185" s="1"/>
      <c r="TL185" s="16"/>
      <c r="TM185" s="16"/>
      <c r="TN185" s="16"/>
      <c r="TO185" s="16"/>
      <c r="TP185" s="10"/>
      <c r="TQ185" s="10"/>
      <c r="TX185" s="3"/>
      <c r="TZ185" s="1"/>
      <c r="UB185" s="16"/>
      <c r="UC185" s="16"/>
      <c r="UD185" s="16"/>
      <c r="UE185" s="16"/>
      <c r="UF185" s="10"/>
      <c r="UG185" s="10"/>
      <c r="UN185" s="3"/>
      <c r="UP185" s="1"/>
      <c r="UR185" s="16"/>
      <c r="US185" s="16"/>
      <c r="UT185" s="16"/>
      <c r="UU185" s="16"/>
      <c r="UV185" s="10"/>
      <c r="UW185" s="10"/>
      <c r="VD185" s="3"/>
      <c r="VF185" s="1"/>
      <c r="VH185" s="16"/>
      <c r="VI185" s="16"/>
      <c r="VJ185" s="16"/>
      <c r="VK185" s="16"/>
      <c r="VL185" s="10"/>
      <c r="VM185" s="10"/>
      <c r="VT185" s="3"/>
      <c r="VV185" s="1"/>
      <c r="VX185" s="16"/>
      <c r="VY185" s="16"/>
      <c r="VZ185" s="16"/>
      <c r="WA185" s="16"/>
      <c r="WB185" s="10"/>
      <c r="WC185" s="10"/>
      <c r="WJ185" s="3"/>
      <c r="WL185" s="1"/>
      <c r="WN185" s="16"/>
      <c r="WO185" s="16"/>
      <c r="WP185" s="16"/>
      <c r="WQ185" s="16"/>
      <c r="WR185" s="10"/>
      <c r="WS185" s="10"/>
      <c r="WZ185" s="3"/>
      <c r="XB185" s="1"/>
      <c r="XD185" s="16"/>
      <c r="XE185" s="16"/>
      <c r="XF185" s="16"/>
      <c r="XG185" s="16"/>
      <c r="XH185" s="10"/>
      <c r="XI185" s="10"/>
      <c r="XP185" s="3"/>
      <c r="XR185" s="1"/>
      <c r="XT185" s="16"/>
      <c r="XU185" s="16"/>
      <c r="XV185" s="16"/>
      <c r="XW185" s="16"/>
      <c r="XX185" s="10"/>
      <c r="XY185" s="10"/>
      <c r="YF185" s="3"/>
      <c r="YH185" s="1"/>
      <c r="YJ185" s="16"/>
      <c r="YK185" s="16"/>
      <c r="YL185" s="16"/>
      <c r="YM185" s="16"/>
      <c r="YN185" s="10"/>
      <c r="YO185" s="10"/>
      <c r="YV185" s="3"/>
      <c r="YX185" s="1"/>
      <c r="YZ185" s="16"/>
      <c r="ZA185" s="16"/>
      <c r="ZB185" s="16"/>
      <c r="ZC185" s="16"/>
      <c r="ZD185" s="10"/>
      <c r="ZE185" s="10"/>
      <c r="ZL185" s="3"/>
      <c r="ZN185" s="1"/>
      <c r="ZP185" s="16"/>
      <c r="ZQ185" s="16"/>
      <c r="ZR185" s="16"/>
      <c r="ZS185" s="16"/>
      <c r="ZT185" s="10"/>
      <c r="ZU185" s="10"/>
      <c r="AAB185" s="3"/>
      <c r="AAD185" s="1"/>
      <c r="AAF185" s="16"/>
      <c r="AAG185" s="16"/>
      <c r="AAH185" s="16"/>
      <c r="AAI185" s="16"/>
      <c r="AAJ185" s="10"/>
      <c r="AAK185" s="10"/>
      <c r="AAR185" s="3"/>
      <c r="AAT185" s="1"/>
      <c r="AAV185" s="16"/>
      <c r="AAW185" s="16"/>
      <c r="AAX185" s="16"/>
      <c r="AAY185" s="16"/>
      <c r="AAZ185" s="10"/>
      <c r="ABA185" s="10"/>
      <c r="ABH185" s="3"/>
      <c r="ABJ185" s="1"/>
      <c r="ABL185" s="16"/>
      <c r="ABM185" s="16"/>
      <c r="ABN185" s="16"/>
      <c r="ABO185" s="16"/>
      <c r="ABP185" s="10"/>
      <c r="ABQ185" s="10"/>
      <c r="ABX185" s="3"/>
      <c r="ABZ185" s="1"/>
      <c r="ACB185" s="16"/>
      <c r="ACC185" s="16"/>
      <c r="ACD185" s="16"/>
      <c r="ACE185" s="16"/>
      <c r="ACF185" s="10"/>
      <c r="ACG185" s="10"/>
      <c r="ACN185" s="3"/>
      <c r="ACP185" s="1"/>
      <c r="ACR185" s="16"/>
      <c r="ACS185" s="16"/>
      <c r="ACT185" s="16"/>
      <c r="ACU185" s="16"/>
      <c r="ACV185" s="10"/>
      <c r="ACW185" s="10"/>
      <c r="ADD185" s="3"/>
      <c r="ADF185" s="1"/>
      <c r="ADH185" s="16"/>
      <c r="ADI185" s="16"/>
      <c r="ADJ185" s="16"/>
      <c r="ADK185" s="16"/>
      <c r="ADL185" s="10"/>
      <c r="ADM185" s="10"/>
      <c r="ADT185" s="3"/>
      <c r="ADV185" s="1"/>
      <c r="ADX185" s="16"/>
      <c r="ADY185" s="16"/>
      <c r="ADZ185" s="16"/>
      <c r="AEA185" s="16"/>
      <c r="AEB185" s="10"/>
      <c r="AEC185" s="10"/>
      <c r="AEJ185" s="3"/>
      <c r="AEL185" s="1"/>
      <c r="AEN185" s="16"/>
      <c r="AEO185" s="16"/>
      <c r="AEP185" s="16"/>
      <c r="AEQ185" s="16"/>
      <c r="AER185" s="10"/>
      <c r="AES185" s="10"/>
      <c r="AEZ185" s="3"/>
      <c r="AFB185" s="1"/>
      <c r="AFD185" s="16"/>
      <c r="AFE185" s="16"/>
      <c r="AFF185" s="16"/>
      <c r="AFG185" s="16"/>
      <c r="AFH185" s="10"/>
      <c r="AFI185" s="10"/>
      <c r="AFP185" s="3"/>
      <c r="AFR185" s="1"/>
      <c r="AFT185" s="16"/>
      <c r="AFU185" s="16"/>
      <c r="AFV185" s="16"/>
      <c r="AFW185" s="16"/>
      <c r="AFX185" s="10"/>
      <c r="AFY185" s="10"/>
      <c r="AGF185" s="3"/>
      <c r="AGH185" s="1"/>
      <c r="AGJ185" s="16"/>
      <c r="AGK185" s="16"/>
      <c r="AGL185" s="16"/>
      <c r="AGM185" s="16"/>
      <c r="AGN185" s="10"/>
      <c r="AGO185" s="10"/>
      <c r="AGV185" s="3"/>
      <c r="AGX185" s="1"/>
      <c r="AGZ185" s="16"/>
      <c r="AHA185" s="16"/>
      <c r="AHB185" s="16"/>
      <c r="AHC185" s="16"/>
      <c r="AHD185" s="10"/>
      <c r="AHE185" s="10"/>
      <c r="AHL185" s="3"/>
      <c r="AHN185" s="1"/>
      <c r="AHP185" s="16"/>
      <c r="AHQ185" s="16"/>
      <c r="AHR185" s="16"/>
      <c r="AHS185" s="16"/>
      <c r="AHT185" s="10"/>
      <c r="AHU185" s="10"/>
      <c r="AIB185" s="3"/>
      <c r="AID185" s="1"/>
      <c r="AIF185" s="16"/>
      <c r="AIG185" s="16"/>
      <c r="AIH185" s="16"/>
      <c r="AII185" s="16"/>
      <c r="AIJ185" s="10"/>
      <c r="AIK185" s="10"/>
      <c r="AIR185" s="3"/>
      <c r="AIT185" s="1"/>
      <c r="AIV185" s="16"/>
      <c r="AIW185" s="16"/>
      <c r="AIX185" s="16"/>
      <c r="AIY185" s="16"/>
      <c r="AIZ185" s="10"/>
      <c r="AJA185" s="10"/>
      <c r="AJH185" s="3"/>
      <c r="AJJ185" s="1"/>
      <c r="AJL185" s="16"/>
      <c r="AJM185" s="16"/>
      <c r="AJN185" s="16"/>
      <c r="AJO185" s="16"/>
      <c r="AJP185" s="10"/>
      <c r="AJQ185" s="10"/>
      <c r="AJX185" s="3"/>
      <c r="AJZ185" s="1"/>
      <c r="AKB185" s="16"/>
      <c r="AKC185" s="16"/>
      <c r="AKD185" s="16"/>
      <c r="AKE185" s="16"/>
      <c r="AKF185" s="10"/>
      <c r="AKG185" s="10"/>
      <c r="AKN185" s="3"/>
      <c r="AKP185" s="1"/>
      <c r="AKR185" s="16"/>
      <c r="AKS185" s="16"/>
      <c r="AKT185" s="16"/>
      <c r="AKU185" s="16"/>
      <c r="AKV185" s="10"/>
      <c r="AKW185" s="10"/>
      <c r="ALD185" s="3"/>
      <c r="ALF185" s="1"/>
      <c r="ALH185" s="16"/>
      <c r="ALI185" s="16"/>
      <c r="ALJ185" s="16"/>
      <c r="ALK185" s="16"/>
      <c r="ALL185" s="10"/>
      <c r="ALM185" s="10"/>
      <c r="ALT185" s="3"/>
      <c r="ALV185" s="1"/>
      <c r="ALX185" s="16"/>
      <c r="ALY185" s="16"/>
      <c r="ALZ185" s="16"/>
      <c r="AMA185" s="16"/>
      <c r="AMB185" s="10"/>
      <c r="AMC185" s="10"/>
      <c r="AMJ185" s="3"/>
      <c r="AML185" s="1"/>
      <c r="AMN185" s="16"/>
      <c r="AMO185" s="16"/>
      <c r="AMP185" s="16"/>
      <c r="AMQ185" s="16"/>
      <c r="AMR185" s="10"/>
      <c r="AMS185" s="10"/>
      <c r="AMZ185" s="3"/>
      <c r="ANB185" s="1"/>
      <c r="AND185" s="16"/>
      <c r="ANE185" s="16"/>
      <c r="ANF185" s="16"/>
      <c r="ANG185" s="16"/>
      <c r="ANH185" s="10"/>
      <c r="ANI185" s="10"/>
      <c r="ANP185" s="3"/>
      <c r="ANR185" s="1"/>
      <c r="ANT185" s="16"/>
      <c r="ANU185" s="16"/>
      <c r="ANV185" s="16"/>
      <c r="ANW185" s="16"/>
      <c r="ANX185" s="10"/>
      <c r="ANY185" s="10"/>
      <c r="AOF185" s="3"/>
      <c r="AOH185" s="1"/>
      <c r="AOJ185" s="16"/>
      <c r="AOK185" s="16"/>
      <c r="AOL185" s="16"/>
      <c r="AOM185" s="16"/>
      <c r="AON185" s="10"/>
      <c r="AOO185" s="10"/>
      <c r="AOV185" s="3"/>
      <c r="AOX185" s="1"/>
      <c r="AOZ185" s="16"/>
      <c r="APA185" s="16"/>
      <c r="APB185" s="16"/>
      <c r="APC185" s="16"/>
      <c r="APD185" s="10"/>
      <c r="APE185" s="10"/>
      <c r="APL185" s="3"/>
      <c r="APN185" s="1"/>
      <c r="APP185" s="16"/>
      <c r="APQ185" s="16"/>
      <c r="APR185" s="16"/>
      <c r="APS185" s="16"/>
      <c r="APT185" s="10"/>
      <c r="APU185" s="10"/>
      <c r="AQB185" s="3"/>
      <c r="AQD185" s="1"/>
      <c r="AQF185" s="16"/>
      <c r="AQG185" s="16"/>
      <c r="AQH185" s="16"/>
      <c r="AQI185" s="16"/>
      <c r="AQJ185" s="10"/>
      <c r="AQK185" s="10"/>
      <c r="AQR185" s="3"/>
      <c r="AQT185" s="1"/>
      <c r="AQV185" s="16"/>
      <c r="AQW185" s="16"/>
      <c r="AQX185" s="16"/>
      <c r="AQY185" s="16"/>
      <c r="AQZ185" s="10"/>
      <c r="ARA185" s="10"/>
      <c r="ARH185" s="3"/>
      <c r="ARJ185" s="1"/>
      <c r="ARL185" s="16"/>
      <c r="ARM185" s="16"/>
      <c r="ARN185" s="16"/>
      <c r="ARO185" s="16"/>
      <c r="ARP185" s="10"/>
      <c r="ARQ185" s="10"/>
      <c r="ARX185" s="3"/>
      <c r="ARZ185" s="1"/>
      <c r="ASB185" s="16"/>
      <c r="ASC185" s="16"/>
      <c r="ASD185" s="16"/>
      <c r="ASE185" s="16"/>
      <c r="ASF185" s="10"/>
      <c r="ASG185" s="10"/>
      <c r="ASN185" s="3"/>
      <c r="ASP185" s="1"/>
      <c r="ASR185" s="16"/>
      <c r="ASS185" s="16"/>
      <c r="AST185" s="16"/>
      <c r="ASU185" s="16"/>
      <c r="ASV185" s="10"/>
      <c r="ASW185" s="10"/>
      <c r="ATD185" s="3"/>
      <c r="ATF185" s="1"/>
      <c r="ATH185" s="16"/>
      <c r="ATI185" s="16"/>
      <c r="ATJ185" s="16"/>
      <c r="ATK185" s="16"/>
      <c r="ATL185" s="10"/>
      <c r="ATM185" s="10"/>
      <c r="ATT185" s="3"/>
      <c r="ATV185" s="1"/>
      <c r="ATX185" s="16"/>
      <c r="ATY185" s="16"/>
      <c r="ATZ185" s="16"/>
      <c r="AUA185" s="16"/>
      <c r="AUB185" s="10"/>
      <c r="AUC185" s="10"/>
      <c r="AUJ185" s="3"/>
      <c r="AUL185" s="1"/>
      <c r="AUN185" s="16"/>
      <c r="AUO185" s="16"/>
      <c r="AUP185" s="16"/>
      <c r="AUQ185" s="16"/>
      <c r="AUR185" s="10"/>
      <c r="AUS185" s="10"/>
      <c r="AUZ185" s="3"/>
      <c r="AVB185" s="1"/>
      <c r="AVD185" s="16"/>
      <c r="AVE185" s="16"/>
      <c r="AVF185" s="16"/>
      <c r="AVG185" s="16"/>
      <c r="AVH185" s="10"/>
      <c r="AVI185" s="10"/>
      <c r="AVP185" s="3"/>
      <c r="AVR185" s="1"/>
      <c r="AVT185" s="16"/>
      <c r="AVU185" s="16"/>
      <c r="AVV185" s="16"/>
      <c r="AVW185" s="16"/>
      <c r="AVX185" s="10"/>
      <c r="AVY185" s="10"/>
      <c r="AWF185" s="3"/>
      <c r="AWH185" s="1"/>
      <c r="AWJ185" s="16"/>
      <c r="AWK185" s="16"/>
      <c r="AWL185" s="16"/>
      <c r="AWM185" s="16"/>
      <c r="AWN185" s="10"/>
      <c r="AWO185" s="10"/>
      <c r="AWV185" s="3"/>
      <c r="AWX185" s="1"/>
      <c r="AWZ185" s="16"/>
      <c r="AXA185" s="16"/>
      <c r="AXB185" s="16"/>
      <c r="AXC185" s="16"/>
      <c r="AXD185" s="10"/>
      <c r="AXE185" s="10"/>
      <c r="AXL185" s="3"/>
      <c r="AXN185" s="1"/>
      <c r="AXP185" s="16"/>
      <c r="AXQ185" s="16"/>
      <c r="AXR185" s="16"/>
      <c r="AXS185" s="16"/>
      <c r="AXT185" s="10"/>
      <c r="AXU185" s="10"/>
      <c r="AYB185" s="3"/>
      <c r="AYD185" s="1"/>
      <c r="AYF185" s="16"/>
      <c r="AYG185" s="16"/>
      <c r="AYH185" s="16"/>
      <c r="AYI185" s="16"/>
      <c r="AYJ185" s="10"/>
      <c r="AYK185" s="10"/>
      <c r="AYR185" s="3"/>
      <c r="AYT185" s="1"/>
      <c r="AYV185" s="16"/>
      <c r="AYW185" s="16"/>
      <c r="AYX185" s="16"/>
      <c r="AYY185" s="16"/>
      <c r="AYZ185" s="10"/>
      <c r="AZA185" s="10"/>
      <c r="AZH185" s="3"/>
      <c r="AZJ185" s="1"/>
      <c r="AZL185" s="16"/>
      <c r="AZM185" s="16"/>
      <c r="AZN185" s="16"/>
      <c r="AZO185" s="16"/>
      <c r="AZP185" s="10"/>
      <c r="AZQ185" s="10"/>
      <c r="AZX185" s="3"/>
      <c r="AZZ185" s="1"/>
      <c r="BAB185" s="16"/>
      <c r="BAC185" s="16"/>
      <c r="BAD185" s="16"/>
      <c r="BAE185" s="16"/>
      <c r="BAF185" s="10"/>
      <c r="BAG185" s="10"/>
      <c r="BAN185" s="3"/>
      <c r="BAP185" s="1"/>
      <c r="BAR185" s="16"/>
      <c r="BAS185" s="16"/>
      <c r="BAT185" s="16"/>
      <c r="BAU185" s="16"/>
      <c r="BAV185" s="10"/>
      <c r="BAW185" s="10"/>
      <c r="BBD185" s="3"/>
      <c r="BBF185" s="1"/>
      <c r="BBH185" s="16"/>
      <c r="BBI185" s="16"/>
      <c r="BBJ185" s="16"/>
      <c r="BBK185" s="16"/>
      <c r="BBL185" s="10"/>
      <c r="BBM185" s="10"/>
      <c r="BBT185" s="3"/>
      <c r="BBV185" s="1"/>
      <c r="BBX185" s="16"/>
      <c r="BBY185" s="16"/>
      <c r="BBZ185" s="16"/>
      <c r="BCA185" s="16"/>
      <c r="BCB185" s="10"/>
      <c r="BCC185" s="10"/>
      <c r="BCJ185" s="3"/>
      <c r="BCL185" s="1"/>
      <c r="BCN185" s="16"/>
      <c r="BCO185" s="16"/>
      <c r="BCP185" s="16"/>
      <c r="BCQ185" s="16"/>
      <c r="BCR185" s="10"/>
      <c r="BCS185" s="10"/>
      <c r="BCZ185" s="3"/>
      <c r="BDB185" s="1"/>
      <c r="BDD185" s="16"/>
      <c r="BDE185" s="16"/>
      <c r="BDF185" s="16"/>
      <c r="BDG185" s="16"/>
      <c r="BDH185" s="10"/>
      <c r="BDI185" s="10"/>
      <c r="BDP185" s="3"/>
      <c r="BDR185" s="1"/>
      <c r="BDT185" s="16"/>
      <c r="BDU185" s="16"/>
      <c r="BDV185" s="16"/>
      <c r="BDW185" s="16"/>
      <c r="BDX185" s="10"/>
      <c r="BDY185" s="10"/>
      <c r="BEF185" s="3"/>
      <c r="BEH185" s="1"/>
      <c r="BEJ185" s="16"/>
      <c r="BEK185" s="16"/>
      <c r="BEL185" s="16"/>
      <c r="BEM185" s="16"/>
      <c r="BEN185" s="10"/>
      <c r="BEO185" s="10"/>
      <c r="BEV185" s="3"/>
      <c r="BEX185" s="1"/>
      <c r="BEZ185" s="16"/>
      <c r="BFA185" s="16"/>
      <c r="BFB185" s="16"/>
      <c r="BFC185" s="16"/>
      <c r="BFD185" s="10"/>
      <c r="BFE185" s="10"/>
      <c r="BFL185" s="3"/>
      <c r="BFN185" s="1"/>
      <c r="BFP185" s="16"/>
      <c r="BFQ185" s="16"/>
      <c r="BFR185" s="16"/>
      <c r="BFS185" s="16"/>
      <c r="BFT185" s="10"/>
      <c r="BFU185" s="10"/>
      <c r="BGB185" s="3"/>
      <c r="BGD185" s="1"/>
      <c r="BGF185" s="16"/>
      <c r="BGG185" s="16"/>
      <c r="BGH185" s="16"/>
      <c r="BGI185" s="16"/>
      <c r="BGJ185" s="10"/>
      <c r="BGK185" s="10"/>
      <c r="BGR185" s="3"/>
      <c r="BGT185" s="1"/>
      <c r="BGV185" s="16"/>
      <c r="BGW185" s="16"/>
      <c r="BGX185" s="16"/>
      <c r="BGY185" s="16"/>
      <c r="BGZ185" s="10"/>
      <c r="BHA185" s="10"/>
      <c r="BHH185" s="3"/>
      <c r="BHJ185" s="1"/>
      <c r="BHL185" s="16"/>
      <c r="BHM185" s="16"/>
      <c r="BHN185" s="16"/>
      <c r="BHO185" s="16"/>
      <c r="BHP185" s="10"/>
      <c r="BHQ185" s="10"/>
      <c r="BHX185" s="3"/>
      <c r="BHZ185" s="1"/>
      <c r="BIB185" s="16"/>
      <c r="BIC185" s="16"/>
      <c r="BID185" s="16"/>
      <c r="BIE185" s="16"/>
      <c r="BIF185" s="10"/>
      <c r="BIG185" s="10"/>
      <c r="BIN185" s="3"/>
      <c r="BIP185" s="1"/>
      <c r="BIR185" s="16"/>
      <c r="BIS185" s="16"/>
      <c r="BIT185" s="16"/>
      <c r="BIU185" s="16"/>
      <c r="BIV185" s="10"/>
      <c r="BIW185" s="10"/>
      <c r="BJD185" s="3"/>
      <c r="BJF185" s="1"/>
      <c r="BJH185" s="16"/>
      <c r="BJI185" s="16"/>
      <c r="BJJ185" s="16"/>
      <c r="BJK185" s="16"/>
      <c r="BJL185" s="10"/>
      <c r="BJM185" s="10"/>
      <c r="BJT185" s="3"/>
      <c r="BJV185" s="1"/>
      <c r="BJX185" s="16"/>
      <c r="BJY185" s="16"/>
      <c r="BJZ185" s="16"/>
      <c r="BKA185" s="16"/>
      <c r="BKB185" s="10"/>
      <c r="BKC185" s="10"/>
      <c r="BKJ185" s="3"/>
      <c r="BKL185" s="1"/>
      <c r="BKN185" s="16"/>
      <c r="BKO185" s="16"/>
      <c r="BKP185" s="16"/>
      <c r="BKQ185" s="16"/>
      <c r="BKR185" s="10"/>
      <c r="BKS185" s="10"/>
      <c r="BKZ185" s="3"/>
      <c r="BLB185" s="1"/>
      <c r="BLD185" s="16"/>
      <c r="BLE185" s="16"/>
      <c r="BLF185" s="16"/>
      <c r="BLG185" s="16"/>
      <c r="BLH185" s="10"/>
      <c r="BLI185" s="10"/>
      <c r="BLP185" s="3"/>
      <c r="BLR185" s="1"/>
      <c r="BLT185" s="16"/>
      <c r="BLU185" s="16"/>
      <c r="BLV185" s="16"/>
      <c r="BLW185" s="16"/>
      <c r="BLX185" s="10"/>
      <c r="BLY185" s="10"/>
      <c r="BMF185" s="3"/>
      <c r="BMH185" s="1"/>
      <c r="BMJ185" s="16"/>
      <c r="BMK185" s="16"/>
      <c r="BML185" s="16"/>
      <c r="BMM185" s="16"/>
      <c r="BMN185" s="10"/>
      <c r="BMO185" s="10"/>
      <c r="BMV185" s="3"/>
      <c r="BMX185" s="1"/>
      <c r="BMZ185" s="16"/>
      <c r="BNA185" s="16"/>
      <c r="BNB185" s="16"/>
      <c r="BNC185" s="16"/>
      <c r="BND185" s="10"/>
      <c r="BNE185" s="10"/>
      <c r="BNL185" s="3"/>
      <c r="BNN185" s="1"/>
      <c r="BNP185" s="16"/>
      <c r="BNQ185" s="16"/>
      <c r="BNR185" s="16"/>
      <c r="BNS185" s="16"/>
      <c r="BNT185" s="10"/>
      <c r="BNU185" s="10"/>
      <c r="BOB185" s="3"/>
      <c r="BOD185" s="1"/>
      <c r="BOF185" s="16"/>
      <c r="BOG185" s="16"/>
      <c r="BOH185" s="16"/>
      <c r="BOI185" s="16"/>
      <c r="BOJ185" s="10"/>
      <c r="BOK185" s="10"/>
      <c r="BOR185" s="3"/>
      <c r="BOT185" s="1"/>
      <c r="BOV185" s="16"/>
      <c r="BOW185" s="16"/>
      <c r="BOX185" s="16"/>
      <c r="BOY185" s="16"/>
      <c r="BOZ185" s="10"/>
      <c r="BPA185" s="10"/>
      <c r="BPH185" s="3"/>
      <c r="BPJ185" s="1"/>
      <c r="BPL185" s="16"/>
      <c r="BPM185" s="16"/>
      <c r="BPN185" s="16"/>
      <c r="BPO185" s="16"/>
      <c r="BPP185" s="10"/>
      <c r="BPQ185" s="10"/>
      <c r="BPX185" s="3"/>
      <c r="BPZ185" s="1"/>
      <c r="BQB185" s="16"/>
      <c r="BQC185" s="16"/>
      <c r="BQD185" s="16"/>
      <c r="BQE185" s="16"/>
      <c r="BQF185" s="10"/>
      <c r="BQG185" s="10"/>
      <c r="BQN185" s="3"/>
      <c r="BQP185" s="1"/>
      <c r="BQR185" s="16"/>
      <c r="BQS185" s="16"/>
      <c r="BQT185" s="16"/>
      <c r="BQU185" s="16"/>
      <c r="BQV185" s="10"/>
      <c r="BQW185" s="10"/>
      <c r="BRD185" s="3"/>
      <c r="BRF185" s="1"/>
      <c r="BRH185" s="16"/>
      <c r="BRI185" s="16"/>
      <c r="BRJ185" s="16"/>
      <c r="BRK185" s="16"/>
      <c r="BRL185" s="10"/>
      <c r="BRM185" s="10"/>
      <c r="BRT185" s="3"/>
      <c r="BRV185" s="1"/>
      <c r="BRX185" s="16"/>
      <c r="BRY185" s="16"/>
      <c r="BRZ185" s="16"/>
      <c r="BSA185" s="16"/>
      <c r="BSB185" s="10"/>
      <c r="BSC185" s="10"/>
      <c r="BSJ185" s="3"/>
      <c r="BSL185" s="1"/>
      <c r="BSN185" s="16"/>
      <c r="BSO185" s="16"/>
      <c r="BSP185" s="16"/>
      <c r="BSQ185" s="16"/>
      <c r="BSR185" s="10"/>
      <c r="BSS185" s="10"/>
      <c r="BSZ185" s="3"/>
      <c r="BTB185" s="1"/>
      <c r="BTD185" s="16"/>
      <c r="BTE185" s="16"/>
      <c r="BTF185" s="16"/>
      <c r="BTG185" s="16"/>
      <c r="BTH185" s="10"/>
      <c r="BTI185" s="10"/>
      <c r="BTP185" s="3"/>
      <c r="BTR185" s="1"/>
      <c r="BTT185" s="16"/>
      <c r="BTU185" s="16"/>
      <c r="BTV185" s="16"/>
      <c r="BTW185" s="16"/>
      <c r="BTX185" s="10"/>
      <c r="BTY185" s="10"/>
      <c r="BUF185" s="3"/>
      <c r="BUH185" s="1"/>
      <c r="BUJ185" s="16"/>
      <c r="BUK185" s="16"/>
      <c r="BUL185" s="16"/>
      <c r="BUM185" s="16"/>
      <c r="BUN185" s="10"/>
      <c r="BUO185" s="10"/>
      <c r="BUV185" s="3"/>
      <c r="BUX185" s="1"/>
      <c r="BUZ185" s="16"/>
      <c r="BVA185" s="16"/>
      <c r="BVB185" s="16"/>
      <c r="BVC185" s="16"/>
      <c r="BVD185" s="10"/>
      <c r="BVE185" s="10"/>
      <c r="BVL185" s="3"/>
      <c r="BVN185" s="1"/>
      <c r="BVP185" s="16"/>
      <c r="BVQ185" s="16"/>
      <c r="BVR185" s="16"/>
      <c r="BVS185" s="16"/>
      <c r="BVT185" s="10"/>
      <c r="BVU185" s="10"/>
      <c r="BWB185" s="3"/>
      <c r="BWD185" s="1"/>
      <c r="BWF185" s="16"/>
      <c r="BWG185" s="16"/>
      <c r="BWH185" s="16"/>
      <c r="BWI185" s="16"/>
      <c r="BWJ185" s="10"/>
      <c r="BWK185" s="10"/>
      <c r="BWR185" s="3"/>
      <c r="BWT185" s="1"/>
      <c r="BWV185" s="16"/>
      <c r="BWW185" s="16"/>
      <c r="BWX185" s="16"/>
      <c r="BWY185" s="16"/>
      <c r="BWZ185" s="10"/>
      <c r="BXA185" s="10"/>
      <c r="BXH185" s="3"/>
      <c r="BXJ185" s="1"/>
      <c r="BXL185" s="16"/>
      <c r="BXM185" s="16"/>
      <c r="BXN185" s="16"/>
      <c r="BXO185" s="16"/>
      <c r="BXP185" s="10"/>
      <c r="BXQ185" s="10"/>
      <c r="BXX185" s="3"/>
      <c r="BXZ185" s="1"/>
      <c r="BYB185" s="16"/>
      <c r="BYC185" s="16"/>
      <c r="BYD185" s="16"/>
      <c r="BYE185" s="16"/>
      <c r="BYF185" s="10"/>
      <c r="BYG185" s="10"/>
      <c r="BYN185" s="3"/>
      <c r="BYP185" s="1"/>
      <c r="BYR185" s="16"/>
      <c r="BYS185" s="16"/>
      <c r="BYT185" s="16"/>
      <c r="BYU185" s="16"/>
      <c r="BYV185" s="10"/>
      <c r="BYW185" s="10"/>
      <c r="BZD185" s="3"/>
      <c r="BZF185" s="1"/>
      <c r="BZH185" s="16"/>
      <c r="BZI185" s="16"/>
      <c r="BZJ185" s="16"/>
      <c r="BZK185" s="16"/>
      <c r="BZL185" s="10"/>
      <c r="BZM185" s="10"/>
      <c r="BZT185" s="3"/>
      <c r="BZV185" s="1"/>
      <c r="BZX185" s="16"/>
      <c r="BZY185" s="16"/>
      <c r="BZZ185" s="16"/>
      <c r="CAA185" s="16"/>
      <c r="CAB185" s="10"/>
      <c r="CAC185" s="10"/>
      <c r="CAJ185" s="3"/>
      <c r="CAL185" s="1"/>
      <c r="CAN185" s="16"/>
      <c r="CAO185" s="16"/>
      <c r="CAP185" s="16"/>
      <c r="CAQ185" s="16"/>
      <c r="CAR185" s="10"/>
      <c r="CAS185" s="10"/>
      <c r="CAZ185" s="3"/>
      <c r="CBB185" s="1"/>
      <c r="CBD185" s="16"/>
      <c r="CBE185" s="16"/>
      <c r="CBF185" s="16"/>
      <c r="CBG185" s="16"/>
      <c r="CBH185" s="10"/>
      <c r="CBI185" s="10"/>
      <c r="CBP185" s="3"/>
      <c r="CBR185" s="1"/>
      <c r="CBT185" s="16"/>
      <c r="CBU185" s="16"/>
      <c r="CBV185" s="16"/>
      <c r="CBW185" s="16"/>
      <c r="CBX185" s="10"/>
      <c r="CBY185" s="10"/>
      <c r="CCF185" s="3"/>
      <c r="CCH185" s="1"/>
      <c r="CCJ185" s="16"/>
      <c r="CCK185" s="16"/>
      <c r="CCL185" s="16"/>
      <c r="CCM185" s="16"/>
      <c r="CCN185" s="10"/>
      <c r="CCO185" s="10"/>
      <c r="CCV185" s="3"/>
      <c r="CCX185" s="1"/>
      <c r="CCZ185" s="16"/>
      <c r="CDA185" s="16"/>
      <c r="CDB185" s="16"/>
      <c r="CDC185" s="16"/>
      <c r="CDD185" s="10"/>
      <c r="CDE185" s="10"/>
      <c r="CDL185" s="3"/>
      <c r="CDN185" s="1"/>
      <c r="CDP185" s="16"/>
      <c r="CDQ185" s="16"/>
      <c r="CDR185" s="16"/>
      <c r="CDS185" s="16"/>
      <c r="CDT185" s="10"/>
      <c r="CDU185" s="10"/>
      <c r="CEB185" s="3"/>
      <c r="CED185" s="1"/>
      <c r="CEF185" s="16"/>
      <c r="CEG185" s="16"/>
      <c r="CEH185" s="16"/>
      <c r="CEI185" s="16"/>
      <c r="CEJ185" s="10"/>
      <c r="CEK185" s="10"/>
      <c r="CER185" s="3"/>
      <c r="CET185" s="1"/>
      <c r="CEV185" s="16"/>
      <c r="CEW185" s="16"/>
      <c r="CEX185" s="16"/>
      <c r="CEY185" s="16"/>
      <c r="CEZ185" s="10"/>
      <c r="CFA185" s="10"/>
      <c r="CFH185" s="3"/>
      <c r="CFJ185" s="1"/>
      <c r="CFL185" s="16"/>
      <c r="CFM185" s="16"/>
      <c r="CFN185" s="16"/>
      <c r="CFO185" s="16"/>
      <c r="CFP185" s="10"/>
      <c r="CFQ185" s="10"/>
      <c r="CFX185" s="3"/>
      <c r="CFZ185" s="1"/>
      <c r="CGB185" s="16"/>
      <c r="CGC185" s="16"/>
      <c r="CGD185" s="16"/>
      <c r="CGE185" s="16"/>
      <c r="CGF185" s="10"/>
      <c r="CGG185" s="10"/>
      <c r="CGN185" s="3"/>
      <c r="CGP185" s="1"/>
      <c r="CGR185" s="16"/>
      <c r="CGS185" s="16"/>
      <c r="CGT185" s="16"/>
      <c r="CGU185" s="16"/>
      <c r="CGV185" s="10"/>
      <c r="CGW185" s="10"/>
      <c r="CHD185" s="3"/>
      <c r="CHF185" s="1"/>
      <c r="CHH185" s="16"/>
      <c r="CHI185" s="16"/>
      <c r="CHJ185" s="16"/>
      <c r="CHK185" s="16"/>
      <c r="CHL185" s="10"/>
      <c r="CHM185" s="10"/>
      <c r="CHT185" s="3"/>
      <c r="CHV185" s="1"/>
      <c r="CHX185" s="16"/>
      <c r="CHY185" s="16"/>
      <c r="CHZ185" s="16"/>
      <c r="CIA185" s="16"/>
      <c r="CIB185" s="10"/>
      <c r="CIC185" s="10"/>
      <c r="CIJ185" s="3"/>
      <c r="CIL185" s="1"/>
      <c r="CIN185" s="16"/>
      <c r="CIO185" s="16"/>
      <c r="CIP185" s="16"/>
      <c r="CIQ185" s="16"/>
      <c r="CIR185" s="10"/>
      <c r="CIS185" s="10"/>
      <c r="CIZ185" s="3"/>
      <c r="CJB185" s="1"/>
      <c r="CJD185" s="16"/>
      <c r="CJE185" s="16"/>
      <c r="CJF185" s="16"/>
      <c r="CJG185" s="16"/>
      <c r="CJH185" s="10"/>
      <c r="CJI185" s="10"/>
      <c r="CJP185" s="3"/>
      <c r="CJR185" s="1"/>
      <c r="CJT185" s="16"/>
      <c r="CJU185" s="16"/>
      <c r="CJV185" s="16"/>
      <c r="CJW185" s="16"/>
      <c r="CJX185" s="10"/>
      <c r="CJY185" s="10"/>
      <c r="CKF185" s="3"/>
      <c r="CKH185" s="1"/>
      <c r="CKJ185" s="16"/>
      <c r="CKK185" s="16"/>
      <c r="CKL185" s="16"/>
      <c r="CKM185" s="16"/>
      <c r="CKN185" s="10"/>
      <c r="CKO185" s="10"/>
      <c r="CKV185" s="3"/>
      <c r="CKX185" s="1"/>
      <c r="CKZ185" s="16"/>
      <c r="CLA185" s="16"/>
      <c r="CLB185" s="16"/>
      <c r="CLC185" s="16"/>
      <c r="CLD185" s="10"/>
      <c r="CLE185" s="10"/>
      <c r="CLL185" s="3"/>
      <c r="CLN185" s="1"/>
      <c r="CLP185" s="16"/>
      <c r="CLQ185" s="16"/>
      <c r="CLR185" s="16"/>
      <c r="CLS185" s="16"/>
      <c r="CLT185" s="10"/>
      <c r="CLU185" s="10"/>
      <c r="CMB185" s="3"/>
      <c r="CMD185" s="1"/>
      <c r="CMF185" s="16"/>
      <c r="CMG185" s="16"/>
      <c r="CMH185" s="16"/>
      <c r="CMI185" s="16"/>
      <c r="CMJ185" s="10"/>
      <c r="CMK185" s="10"/>
      <c r="CMR185" s="3"/>
      <c r="CMT185" s="1"/>
      <c r="CMV185" s="16"/>
      <c r="CMW185" s="16"/>
      <c r="CMX185" s="16"/>
      <c r="CMY185" s="16"/>
      <c r="CMZ185" s="10"/>
      <c r="CNA185" s="10"/>
      <c r="CNH185" s="3"/>
      <c r="CNJ185" s="1"/>
      <c r="CNL185" s="16"/>
      <c r="CNM185" s="16"/>
      <c r="CNN185" s="16"/>
      <c r="CNO185" s="16"/>
      <c r="CNP185" s="10"/>
      <c r="CNQ185" s="10"/>
      <c r="CNX185" s="3"/>
      <c r="CNZ185" s="1"/>
      <c r="COB185" s="16"/>
      <c r="COC185" s="16"/>
      <c r="COD185" s="16"/>
      <c r="COE185" s="16"/>
      <c r="COF185" s="10"/>
      <c r="COG185" s="10"/>
      <c r="CON185" s="3"/>
      <c r="COP185" s="1"/>
      <c r="COR185" s="16"/>
      <c r="COS185" s="16"/>
      <c r="COT185" s="16"/>
      <c r="COU185" s="16"/>
      <c r="COV185" s="10"/>
      <c r="COW185" s="10"/>
      <c r="CPD185" s="3"/>
      <c r="CPF185" s="1"/>
      <c r="CPH185" s="16"/>
      <c r="CPI185" s="16"/>
      <c r="CPJ185" s="16"/>
      <c r="CPK185" s="16"/>
      <c r="CPL185" s="10"/>
      <c r="CPM185" s="10"/>
      <c r="CPT185" s="3"/>
      <c r="CPV185" s="1"/>
      <c r="CPX185" s="16"/>
      <c r="CPY185" s="16"/>
      <c r="CPZ185" s="16"/>
      <c r="CQA185" s="16"/>
      <c r="CQB185" s="10"/>
      <c r="CQC185" s="10"/>
      <c r="CQJ185" s="3"/>
      <c r="CQL185" s="1"/>
      <c r="CQN185" s="16"/>
      <c r="CQO185" s="16"/>
      <c r="CQP185" s="16"/>
      <c r="CQQ185" s="16"/>
      <c r="CQR185" s="10"/>
      <c r="CQS185" s="10"/>
      <c r="CQZ185" s="3"/>
      <c r="CRB185" s="1"/>
      <c r="CRD185" s="16"/>
      <c r="CRE185" s="16"/>
      <c r="CRF185" s="16"/>
      <c r="CRG185" s="16"/>
      <c r="CRH185" s="10"/>
      <c r="CRI185" s="10"/>
      <c r="CRP185" s="3"/>
      <c r="CRR185" s="1"/>
      <c r="CRT185" s="16"/>
      <c r="CRU185" s="16"/>
      <c r="CRV185" s="16"/>
      <c r="CRW185" s="16"/>
      <c r="CRX185" s="10"/>
      <c r="CRY185" s="10"/>
      <c r="CSF185" s="3"/>
      <c r="CSH185" s="1"/>
      <c r="CSJ185" s="16"/>
      <c r="CSK185" s="16"/>
      <c r="CSL185" s="16"/>
      <c r="CSM185" s="16"/>
      <c r="CSN185" s="10"/>
      <c r="CSO185" s="10"/>
      <c r="CSV185" s="3"/>
      <c r="CSX185" s="1"/>
      <c r="CSZ185" s="16"/>
      <c r="CTA185" s="16"/>
      <c r="CTB185" s="16"/>
      <c r="CTC185" s="16"/>
      <c r="CTD185" s="10"/>
      <c r="CTE185" s="10"/>
      <c r="CTL185" s="3"/>
      <c r="CTN185" s="1"/>
      <c r="CTP185" s="16"/>
      <c r="CTQ185" s="16"/>
      <c r="CTR185" s="16"/>
      <c r="CTS185" s="16"/>
      <c r="CTT185" s="10"/>
      <c r="CTU185" s="10"/>
      <c r="CUB185" s="3"/>
      <c r="CUD185" s="1"/>
      <c r="CUF185" s="16"/>
      <c r="CUG185" s="16"/>
      <c r="CUH185" s="16"/>
      <c r="CUI185" s="16"/>
      <c r="CUJ185" s="10"/>
      <c r="CUK185" s="10"/>
      <c r="CUR185" s="3"/>
      <c r="CUT185" s="1"/>
      <c r="CUV185" s="16"/>
      <c r="CUW185" s="16"/>
      <c r="CUX185" s="16"/>
      <c r="CUY185" s="16"/>
      <c r="CUZ185" s="10"/>
      <c r="CVA185" s="10"/>
      <c r="CVH185" s="3"/>
      <c r="CVJ185" s="1"/>
      <c r="CVL185" s="16"/>
      <c r="CVM185" s="16"/>
      <c r="CVN185" s="16"/>
      <c r="CVO185" s="16"/>
      <c r="CVP185" s="10"/>
      <c r="CVQ185" s="10"/>
      <c r="CVX185" s="3"/>
      <c r="CVZ185" s="1"/>
      <c r="CWB185" s="16"/>
      <c r="CWC185" s="16"/>
      <c r="CWD185" s="16"/>
      <c r="CWE185" s="16"/>
      <c r="CWF185" s="10"/>
      <c r="CWG185" s="10"/>
      <c r="CWN185" s="3"/>
      <c r="CWP185" s="1"/>
      <c r="CWR185" s="16"/>
      <c r="CWS185" s="16"/>
      <c r="CWT185" s="16"/>
      <c r="CWU185" s="16"/>
      <c r="CWV185" s="10"/>
      <c r="CWW185" s="10"/>
      <c r="CXD185" s="3"/>
      <c r="CXF185" s="1"/>
      <c r="CXH185" s="16"/>
      <c r="CXI185" s="16"/>
      <c r="CXJ185" s="16"/>
      <c r="CXK185" s="16"/>
      <c r="CXL185" s="10"/>
      <c r="CXM185" s="10"/>
      <c r="CXT185" s="3"/>
      <c r="CXV185" s="1"/>
      <c r="CXX185" s="16"/>
      <c r="CXY185" s="16"/>
      <c r="CXZ185" s="16"/>
      <c r="CYA185" s="16"/>
      <c r="CYB185" s="10"/>
      <c r="CYC185" s="10"/>
      <c r="CYJ185" s="3"/>
      <c r="CYL185" s="1"/>
      <c r="CYN185" s="16"/>
      <c r="CYO185" s="16"/>
      <c r="CYP185" s="16"/>
      <c r="CYQ185" s="16"/>
      <c r="CYR185" s="10"/>
      <c r="CYS185" s="10"/>
      <c r="CYZ185" s="3"/>
      <c r="CZB185" s="1"/>
      <c r="CZD185" s="16"/>
      <c r="CZE185" s="16"/>
      <c r="CZF185" s="16"/>
      <c r="CZG185" s="16"/>
      <c r="CZH185" s="10"/>
      <c r="CZI185" s="10"/>
      <c r="CZP185" s="3"/>
      <c r="CZR185" s="1"/>
      <c r="CZT185" s="16"/>
      <c r="CZU185" s="16"/>
      <c r="CZV185" s="16"/>
      <c r="CZW185" s="16"/>
      <c r="CZX185" s="10"/>
      <c r="CZY185" s="10"/>
      <c r="DAF185" s="3"/>
      <c r="DAH185" s="1"/>
      <c r="DAJ185" s="16"/>
      <c r="DAK185" s="16"/>
      <c r="DAL185" s="16"/>
      <c r="DAM185" s="16"/>
      <c r="DAN185" s="10"/>
      <c r="DAO185" s="10"/>
      <c r="DAV185" s="3"/>
      <c r="DAX185" s="1"/>
      <c r="DAZ185" s="16"/>
      <c r="DBA185" s="16"/>
      <c r="DBB185" s="16"/>
      <c r="DBC185" s="16"/>
      <c r="DBD185" s="10"/>
      <c r="DBE185" s="10"/>
      <c r="DBL185" s="3"/>
      <c r="DBN185" s="1"/>
      <c r="DBP185" s="16"/>
      <c r="DBQ185" s="16"/>
      <c r="DBR185" s="16"/>
      <c r="DBS185" s="16"/>
      <c r="DBT185" s="10"/>
      <c r="DBU185" s="10"/>
      <c r="DCB185" s="3"/>
      <c r="DCD185" s="1"/>
      <c r="DCF185" s="16"/>
      <c r="DCG185" s="16"/>
      <c r="DCH185" s="16"/>
      <c r="DCI185" s="16"/>
      <c r="DCJ185" s="10"/>
      <c r="DCK185" s="10"/>
      <c r="DCR185" s="3"/>
      <c r="DCT185" s="1"/>
      <c r="DCV185" s="16"/>
      <c r="DCW185" s="16"/>
      <c r="DCX185" s="16"/>
      <c r="DCY185" s="16"/>
      <c r="DCZ185" s="10"/>
      <c r="DDA185" s="10"/>
      <c r="DDH185" s="3"/>
      <c r="DDJ185" s="1"/>
      <c r="DDL185" s="16"/>
      <c r="DDM185" s="16"/>
      <c r="DDN185" s="16"/>
      <c r="DDO185" s="16"/>
      <c r="DDP185" s="10"/>
      <c r="DDQ185" s="10"/>
      <c r="DDX185" s="3"/>
      <c r="DDZ185" s="1"/>
      <c r="DEB185" s="16"/>
      <c r="DEC185" s="16"/>
      <c r="DED185" s="16"/>
      <c r="DEE185" s="16"/>
      <c r="DEF185" s="10"/>
      <c r="DEG185" s="10"/>
      <c r="DEN185" s="3"/>
      <c r="DEP185" s="1"/>
      <c r="DER185" s="16"/>
      <c r="DES185" s="16"/>
      <c r="DET185" s="16"/>
      <c r="DEU185" s="16"/>
      <c r="DEV185" s="10"/>
      <c r="DEW185" s="10"/>
      <c r="DFD185" s="3"/>
      <c r="DFF185" s="1"/>
      <c r="DFH185" s="16"/>
      <c r="DFI185" s="16"/>
      <c r="DFJ185" s="16"/>
      <c r="DFK185" s="16"/>
      <c r="DFL185" s="10"/>
      <c r="DFM185" s="10"/>
      <c r="DFT185" s="3"/>
      <c r="DFV185" s="1"/>
      <c r="DFX185" s="16"/>
      <c r="DFY185" s="16"/>
      <c r="DFZ185" s="16"/>
      <c r="DGA185" s="16"/>
      <c r="DGB185" s="10"/>
      <c r="DGC185" s="10"/>
      <c r="DGJ185" s="3"/>
      <c r="DGL185" s="1"/>
      <c r="DGN185" s="16"/>
      <c r="DGO185" s="16"/>
      <c r="DGP185" s="16"/>
      <c r="DGQ185" s="16"/>
      <c r="DGR185" s="10"/>
      <c r="DGS185" s="10"/>
      <c r="DGZ185" s="3"/>
      <c r="DHB185" s="1"/>
      <c r="DHD185" s="16"/>
      <c r="DHE185" s="16"/>
      <c r="DHF185" s="16"/>
      <c r="DHG185" s="16"/>
      <c r="DHH185" s="10"/>
      <c r="DHI185" s="10"/>
      <c r="DHP185" s="3"/>
      <c r="DHR185" s="1"/>
      <c r="DHT185" s="16"/>
      <c r="DHU185" s="16"/>
      <c r="DHV185" s="16"/>
      <c r="DHW185" s="16"/>
      <c r="DHX185" s="10"/>
      <c r="DHY185" s="10"/>
      <c r="DIF185" s="3"/>
      <c r="DIH185" s="1"/>
      <c r="DIJ185" s="16"/>
      <c r="DIK185" s="16"/>
      <c r="DIL185" s="16"/>
      <c r="DIM185" s="16"/>
      <c r="DIN185" s="10"/>
      <c r="DIO185" s="10"/>
      <c r="DIV185" s="3"/>
      <c r="DIX185" s="1"/>
      <c r="DIZ185" s="16"/>
      <c r="DJA185" s="16"/>
      <c r="DJB185" s="16"/>
      <c r="DJC185" s="16"/>
      <c r="DJD185" s="10"/>
      <c r="DJE185" s="10"/>
      <c r="DJL185" s="3"/>
      <c r="DJN185" s="1"/>
      <c r="DJP185" s="16"/>
      <c r="DJQ185" s="16"/>
      <c r="DJR185" s="16"/>
      <c r="DJS185" s="16"/>
      <c r="DJT185" s="10"/>
      <c r="DJU185" s="10"/>
      <c r="DKB185" s="3"/>
      <c r="DKD185" s="1"/>
      <c r="DKF185" s="16"/>
      <c r="DKG185" s="16"/>
      <c r="DKH185" s="16"/>
      <c r="DKI185" s="16"/>
      <c r="DKJ185" s="10"/>
      <c r="DKK185" s="10"/>
      <c r="DKR185" s="3"/>
      <c r="DKT185" s="1"/>
      <c r="DKV185" s="16"/>
      <c r="DKW185" s="16"/>
      <c r="DKX185" s="16"/>
      <c r="DKY185" s="16"/>
      <c r="DKZ185" s="10"/>
      <c r="DLA185" s="10"/>
      <c r="DLH185" s="3"/>
      <c r="DLJ185" s="1"/>
      <c r="DLL185" s="16"/>
      <c r="DLM185" s="16"/>
      <c r="DLN185" s="16"/>
      <c r="DLO185" s="16"/>
      <c r="DLP185" s="10"/>
      <c r="DLQ185" s="10"/>
      <c r="DLX185" s="3"/>
      <c r="DLZ185" s="1"/>
      <c r="DMB185" s="16"/>
      <c r="DMC185" s="16"/>
      <c r="DMD185" s="16"/>
      <c r="DME185" s="16"/>
      <c r="DMF185" s="10"/>
      <c r="DMG185" s="10"/>
      <c r="DMN185" s="3"/>
      <c r="DMP185" s="1"/>
      <c r="DMR185" s="16"/>
      <c r="DMS185" s="16"/>
      <c r="DMT185" s="16"/>
      <c r="DMU185" s="16"/>
      <c r="DMV185" s="10"/>
      <c r="DMW185" s="10"/>
      <c r="DND185" s="3"/>
      <c r="DNF185" s="1"/>
      <c r="DNH185" s="16"/>
      <c r="DNI185" s="16"/>
      <c r="DNJ185" s="16"/>
      <c r="DNK185" s="16"/>
      <c r="DNL185" s="10"/>
      <c r="DNM185" s="10"/>
      <c r="DNT185" s="3"/>
      <c r="DNV185" s="1"/>
      <c r="DNX185" s="16"/>
      <c r="DNY185" s="16"/>
      <c r="DNZ185" s="16"/>
      <c r="DOA185" s="16"/>
      <c r="DOB185" s="10"/>
      <c r="DOC185" s="10"/>
      <c r="DOJ185" s="3"/>
      <c r="DOL185" s="1"/>
      <c r="DON185" s="16"/>
      <c r="DOO185" s="16"/>
      <c r="DOP185" s="16"/>
      <c r="DOQ185" s="16"/>
      <c r="DOR185" s="10"/>
      <c r="DOS185" s="10"/>
      <c r="DOZ185" s="3"/>
      <c r="DPB185" s="1"/>
      <c r="DPD185" s="16"/>
      <c r="DPE185" s="16"/>
      <c r="DPF185" s="16"/>
      <c r="DPG185" s="16"/>
      <c r="DPH185" s="10"/>
      <c r="DPI185" s="10"/>
      <c r="DPP185" s="3"/>
      <c r="DPR185" s="1"/>
      <c r="DPT185" s="16"/>
      <c r="DPU185" s="16"/>
      <c r="DPV185" s="16"/>
      <c r="DPW185" s="16"/>
      <c r="DPX185" s="10"/>
      <c r="DPY185" s="10"/>
      <c r="DQF185" s="3"/>
      <c r="DQH185" s="1"/>
      <c r="DQJ185" s="16"/>
      <c r="DQK185" s="16"/>
      <c r="DQL185" s="16"/>
      <c r="DQM185" s="16"/>
      <c r="DQN185" s="10"/>
      <c r="DQO185" s="10"/>
      <c r="DQV185" s="3"/>
      <c r="DQX185" s="1"/>
      <c r="DQZ185" s="16"/>
      <c r="DRA185" s="16"/>
      <c r="DRB185" s="16"/>
      <c r="DRC185" s="16"/>
      <c r="DRD185" s="10"/>
      <c r="DRE185" s="10"/>
      <c r="DRL185" s="3"/>
      <c r="DRN185" s="1"/>
      <c r="DRP185" s="16"/>
      <c r="DRQ185" s="16"/>
      <c r="DRR185" s="16"/>
      <c r="DRS185" s="16"/>
      <c r="DRT185" s="10"/>
      <c r="DRU185" s="10"/>
      <c r="DSB185" s="3"/>
      <c r="DSD185" s="1"/>
      <c r="DSF185" s="16"/>
      <c r="DSG185" s="16"/>
      <c r="DSH185" s="16"/>
      <c r="DSI185" s="16"/>
      <c r="DSJ185" s="10"/>
      <c r="DSK185" s="10"/>
      <c r="DSR185" s="3"/>
      <c r="DST185" s="1"/>
      <c r="DSV185" s="16"/>
      <c r="DSW185" s="16"/>
      <c r="DSX185" s="16"/>
      <c r="DSY185" s="16"/>
      <c r="DSZ185" s="10"/>
      <c r="DTA185" s="10"/>
      <c r="DTH185" s="3"/>
      <c r="DTJ185" s="1"/>
      <c r="DTL185" s="16"/>
      <c r="DTM185" s="16"/>
      <c r="DTN185" s="16"/>
      <c r="DTO185" s="16"/>
      <c r="DTP185" s="10"/>
      <c r="DTQ185" s="10"/>
      <c r="DTX185" s="3"/>
      <c r="DTZ185" s="1"/>
      <c r="DUB185" s="16"/>
      <c r="DUC185" s="16"/>
      <c r="DUD185" s="16"/>
      <c r="DUE185" s="16"/>
      <c r="DUF185" s="10"/>
      <c r="DUG185" s="10"/>
      <c r="DUN185" s="3"/>
      <c r="DUP185" s="1"/>
      <c r="DUR185" s="16"/>
      <c r="DUS185" s="16"/>
      <c r="DUT185" s="16"/>
      <c r="DUU185" s="16"/>
      <c r="DUV185" s="10"/>
      <c r="DUW185" s="10"/>
      <c r="DVD185" s="3"/>
      <c r="DVF185" s="1"/>
      <c r="DVH185" s="16"/>
      <c r="DVI185" s="16"/>
      <c r="DVJ185" s="16"/>
      <c r="DVK185" s="16"/>
      <c r="DVL185" s="10"/>
      <c r="DVM185" s="10"/>
      <c r="DVT185" s="3"/>
      <c r="DVV185" s="1"/>
      <c r="DVX185" s="16"/>
      <c r="DVY185" s="16"/>
      <c r="DVZ185" s="16"/>
      <c r="DWA185" s="16"/>
      <c r="DWB185" s="10"/>
      <c r="DWC185" s="10"/>
      <c r="DWJ185" s="3"/>
      <c r="DWL185" s="1"/>
      <c r="DWN185" s="16"/>
      <c r="DWO185" s="16"/>
      <c r="DWP185" s="16"/>
      <c r="DWQ185" s="16"/>
      <c r="DWR185" s="10"/>
      <c r="DWS185" s="10"/>
      <c r="DWZ185" s="3"/>
      <c r="DXB185" s="1"/>
      <c r="DXD185" s="16"/>
      <c r="DXE185" s="16"/>
      <c r="DXF185" s="16"/>
      <c r="DXG185" s="16"/>
      <c r="DXH185" s="10"/>
      <c r="DXI185" s="10"/>
      <c r="DXP185" s="3"/>
      <c r="DXR185" s="1"/>
      <c r="DXT185" s="16"/>
      <c r="DXU185" s="16"/>
      <c r="DXV185" s="16"/>
      <c r="DXW185" s="16"/>
      <c r="DXX185" s="10"/>
      <c r="DXY185" s="10"/>
      <c r="DYF185" s="3"/>
      <c r="DYH185" s="1"/>
      <c r="DYJ185" s="16"/>
      <c r="DYK185" s="16"/>
      <c r="DYL185" s="16"/>
      <c r="DYM185" s="16"/>
      <c r="DYN185" s="10"/>
      <c r="DYO185" s="10"/>
      <c r="DYV185" s="3"/>
      <c r="DYX185" s="1"/>
      <c r="DYZ185" s="16"/>
      <c r="DZA185" s="16"/>
      <c r="DZB185" s="16"/>
      <c r="DZC185" s="16"/>
      <c r="DZD185" s="10"/>
      <c r="DZE185" s="10"/>
      <c r="DZL185" s="3"/>
      <c r="DZN185" s="1"/>
      <c r="DZP185" s="16"/>
      <c r="DZQ185" s="16"/>
      <c r="DZR185" s="16"/>
      <c r="DZS185" s="16"/>
      <c r="DZT185" s="10"/>
      <c r="DZU185" s="10"/>
      <c r="EAB185" s="3"/>
      <c r="EAD185" s="1"/>
      <c r="EAF185" s="16"/>
      <c r="EAG185" s="16"/>
      <c r="EAH185" s="16"/>
      <c r="EAI185" s="16"/>
      <c r="EAJ185" s="10"/>
      <c r="EAK185" s="10"/>
      <c r="EAR185" s="3"/>
      <c r="EAT185" s="1"/>
      <c r="EAV185" s="16"/>
      <c r="EAW185" s="16"/>
      <c r="EAX185" s="16"/>
      <c r="EAY185" s="16"/>
      <c r="EAZ185" s="10"/>
      <c r="EBA185" s="10"/>
      <c r="EBH185" s="3"/>
      <c r="EBJ185" s="1"/>
      <c r="EBL185" s="16"/>
      <c r="EBM185" s="16"/>
      <c r="EBN185" s="16"/>
      <c r="EBO185" s="16"/>
      <c r="EBP185" s="10"/>
      <c r="EBQ185" s="10"/>
      <c r="EBX185" s="3"/>
      <c r="EBZ185" s="1"/>
      <c r="ECB185" s="16"/>
      <c r="ECC185" s="16"/>
      <c r="ECD185" s="16"/>
      <c r="ECE185" s="16"/>
      <c r="ECF185" s="10"/>
      <c r="ECG185" s="10"/>
      <c r="ECN185" s="3"/>
      <c r="ECP185" s="1"/>
      <c r="ECR185" s="16"/>
      <c r="ECS185" s="16"/>
      <c r="ECT185" s="16"/>
      <c r="ECU185" s="16"/>
      <c r="ECV185" s="10"/>
      <c r="ECW185" s="10"/>
      <c r="EDD185" s="3"/>
      <c r="EDF185" s="1"/>
      <c r="EDH185" s="16"/>
      <c r="EDI185" s="16"/>
      <c r="EDJ185" s="16"/>
      <c r="EDK185" s="16"/>
      <c r="EDL185" s="10"/>
      <c r="EDM185" s="10"/>
      <c r="EDT185" s="3"/>
      <c r="EDV185" s="1"/>
      <c r="EDX185" s="16"/>
      <c r="EDY185" s="16"/>
      <c r="EDZ185" s="16"/>
      <c r="EEA185" s="16"/>
      <c r="EEB185" s="10"/>
      <c r="EEC185" s="10"/>
      <c r="EEJ185" s="3"/>
      <c r="EEL185" s="1"/>
      <c r="EEN185" s="16"/>
      <c r="EEO185" s="16"/>
      <c r="EEP185" s="16"/>
      <c r="EEQ185" s="16"/>
      <c r="EER185" s="10"/>
      <c r="EES185" s="10"/>
      <c r="EEZ185" s="3"/>
      <c r="EFB185" s="1"/>
      <c r="EFD185" s="16"/>
      <c r="EFE185" s="16"/>
      <c r="EFF185" s="16"/>
      <c r="EFG185" s="16"/>
      <c r="EFH185" s="10"/>
      <c r="EFI185" s="10"/>
      <c r="EFP185" s="3"/>
      <c r="EFR185" s="1"/>
      <c r="EFT185" s="16"/>
      <c r="EFU185" s="16"/>
      <c r="EFV185" s="16"/>
      <c r="EFW185" s="16"/>
      <c r="EFX185" s="10"/>
      <c r="EFY185" s="10"/>
      <c r="EGF185" s="3"/>
      <c r="EGH185" s="1"/>
      <c r="EGJ185" s="16"/>
      <c r="EGK185" s="16"/>
      <c r="EGL185" s="16"/>
      <c r="EGM185" s="16"/>
      <c r="EGN185" s="10"/>
      <c r="EGO185" s="10"/>
      <c r="EGV185" s="3"/>
      <c r="EGX185" s="1"/>
      <c r="EGZ185" s="16"/>
      <c r="EHA185" s="16"/>
      <c r="EHB185" s="16"/>
      <c r="EHC185" s="16"/>
      <c r="EHD185" s="10"/>
      <c r="EHE185" s="10"/>
      <c r="EHL185" s="3"/>
      <c r="EHN185" s="1"/>
      <c r="EHP185" s="16"/>
      <c r="EHQ185" s="16"/>
      <c r="EHR185" s="16"/>
      <c r="EHS185" s="16"/>
      <c r="EHT185" s="10"/>
      <c r="EHU185" s="10"/>
      <c r="EIB185" s="3"/>
      <c r="EID185" s="1"/>
      <c r="EIF185" s="16"/>
      <c r="EIG185" s="16"/>
      <c r="EIH185" s="16"/>
      <c r="EII185" s="16"/>
      <c r="EIJ185" s="10"/>
      <c r="EIK185" s="10"/>
      <c r="EIR185" s="3"/>
      <c r="EIT185" s="1"/>
      <c r="EIV185" s="16"/>
      <c r="EIW185" s="16"/>
      <c r="EIX185" s="16"/>
      <c r="EIY185" s="16"/>
      <c r="EIZ185" s="10"/>
      <c r="EJA185" s="10"/>
      <c r="EJH185" s="3"/>
      <c r="EJJ185" s="1"/>
      <c r="EJL185" s="16"/>
      <c r="EJM185" s="16"/>
      <c r="EJN185" s="16"/>
      <c r="EJO185" s="16"/>
      <c r="EJP185" s="10"/>
      <c r="EJQ185" s="10"/>
      <c r="EJX185" s="3"/>
      <c r="EJZ185" s="1"/>
      <c r="EKB185" s="16"/>
      <c r="EKC185" s="16"/>
      <c r="EKD185" s="16"/>
      <c r="EKE185" s="16"/>
      <c r="EKF185" s="10"/>
      <c r="EKG185" s="10"/>
      <c r="EKN185" s="3"/>
      <c r="EKP185" s="1"/>
      <c r="EKR185" s="16"/>
      <c r="EKS185" s="16"/>
      <c r="EKT185" s="16"/>
      <c r="EKU185" s="16"/>
      <c r="EKV185" s="10"/>
      <c r="EKW185" s="10"/>
      <c r="ELD185" s="3"/>
      <c r="ELF185" s="1"/>
      <c r="ELH185" s="16"/>
      <c r="ELI185" s="16"/>
      <c r="ELJ185" s="16"/>
      <c r="ELK185" s="16"/>
      <c r="ELL185" s="10"/>
      <c r="ELM185" s="10"/>
      <c r="ELT185" s="3"/>
      <c r="ELV185" s="1"/>
      <c r="ELX185" s="16"/>
      <c r="ELY185" s="16"/>
      <c r="ELZ185" s="16"/>
      <c r="EMA185" s="16"/>
      <c r="EMB185" s="10"/>
      <c r="EMC185" s="10"/>
      <c r="EMJ185" s="3"/>
      <c r="EML185" s="1"/>
      <c r="EMN185" s="16"/>
      <c r="EMO185" s="16"/>
      <c r="EMP185" s="16"/>
      <c r="EMQ185" s="16"/>
      <c r="EMR185" s="10"/>
      <c r="EMS185" s="10"/>
      <c r="EMZ185" s="3"/>
      <c r="ENB185" s="1"/>
      <c r="END185" s="16"/>
      <c r="ENE185" s="16"/>
      <c r="ENF185" s="16"/>
      <c r="ENG185" s="16"/>
      <c r="ENH185" s="10"/>
      <c r="ENI185" s="10"/>
      <c r="ENP185" s="3"/>
      <c r="ENR185" s="1"/>
      <c r="ENT185" s="16"/>
      <c r="ENU185" s="16"/>
      <c r="ENV185" s="16"/>
      <c r="ENW185" s="16"/>
      <c r="ENX185" s="10"/>
      <c r="ENY185" s="10"/>
      <c r="EOF185" s="3"/>
      <c r="EOH185" s="1"/>
      <c r="EOJ185" s="16"/>
      <c r="EOK185" s="16"/>
      <c r="EOL185" s="16"/>
      <c r="EOM185" s="16"/>
      <c r="EON185" s="10"/>
      <c r="EOO185" s="10"/>
      <c r="EOV185" s="3"/>
      <c r="EOX185" s="1"/>
      <c r="EOZ185" s="16"/>
      <c r="EPA185" s="16"/>
      <c r="EPB185" s="16"/>
      <c r="EPC185" s="16"/>
      <c r="EPD185" s="10"/>
      <c r="EPE185" s="10"/>
      <c r="EPL185" s="3"/>
      <c r="EPN185" s="1"/>
      <c r="EPP185" s="16"/>
      <c r="EPQ185" s="16"/>
      <c r="EPR185" s="16"/>
      <c r="EPS185" s="16"/>
      <c r="EPT185" s="10"/>
      <c r="EPU185" s="10"/>
      <c r="EQB185" s="3"/>
      <c r="EQD185" s="1"/>
      <c r="EQF185" s="16"/>
      <c r="EQG185" s="16"/>
      <c r="EQH185" s="16"/>
      <c r="EQI185" s="16"/>
      <c r="EQJ185" s="10"/>
      <c r="EQK185" s="10"/>
      <c r="EQR185" s="3"/>
      <c r="EQT185" s="1"/>
      <c r="EQV185" s="16"/>
      <c r="EQW185" s="16"/>
      <c r="EQX185" s="16"/>
      <c r="EQY185" s="16"/>
      <c r="EQZ185" s="10"/>
      <c r="ERA185" s="10"/>
      <c r="ERH185" s="3"/>
      <c r="ERJ185" s="1"/>
      <c r="ERL185" s="16"/>
      <c r="ERM185" s="16"/>
      <c r="ERN185" s="16"/>
      <c r="ERO185" s="16"/>
      <c r="ERP185" s="10"/>
      <c r="ERQ185" s="10"/>
      <c r="ERX185" s="3"/>
      <c r="ERZ185" s="1"/>
      <c r="ESB185" s="16"/>
      <c r="ESC185" s="16"/>
      <c r="ESD185" s="16"/>
      <c r="ESE185" s="16"/>
      <c r="ESF185" s="10"/>
      <c r="ESG185" s="10"/>
      <c r="ESN185" s="3"/>
      <c r="ESP185" s="1"/>
      <c r="ESR185" s="16"/>
      <c r="ESS185" s="16"/>
      <c r="EST185" s="16"/>
      <c r="ESU185" s="16"/>
      <c r="ESV185" s="10"/>
      <c r="ESW185" s="10"/>
      <c r="ETD185" s="3"/>
      <c r="ETF185" s="1"/>
      <c r="ETH185" s="16"/>
      <c r="ETI185" s="16"/>
      <c r="ETJ185" s="16"/>
      <c r="ETK185" s="16"/>
      <c r="ETL185" s="10"/>
      <c r="ETM185" s="10"/>
      <c r="ETT185" s="3"/>
      <c r="ETV185" s="1"/>
      <c r="ETX185" s="16"/>
      <c r="ETY185" s="16"/>
      <c r="ETZ185" s="16"/>
      <c r="EUA185" s="16"/>
      <c r="EUB185" s="10"/>
      <c r="EUC185" s="10"/>
      <c r="EUJ185" s="3"/>
      <c r="EUL185" s="1"/>
      <c r="EUN185" s="16"/>
      <c r="EUO185" s="16"/>
      <c r="EUP185" s="16"/>
      <c r="EUQ185" s="16"/>
      <c r="EUR185" s="10"/>
      <c r="EUS185" s="10"/>
      <c r="EUZ185" s="3"/>
      <c r="EVB185" s="1"/>
      <c r="EVD185" s="16"/>
      <c r="EVE185" s="16"/>
      <c r="EVF185" s="16"/>
      <c r="EVG185" s="16"/>
      <c r="EVH185" s="10"/>
      <c r="EVI185" s="10"/>
      <c r="EVP185" s="3"/>
      <c r="EVR185" s="1"/>
      <c r="EVT185" s="16"/>
      <c r="EVU185" s="16"/>
      <c r="EVV185" s="16"/>
      <c r="EVW185" s="16"/>
      <c r="EVX185" s="10"/>
      <c r="EVY185" s="10"/>
      <c r="EWF185" s="3"/>
      <c r="EWH185" s="1"/>
      <c r="EWJ185" s="16"/>
      <c r="EWK185" s="16"/>
      <c r="EWL185" s="16"/>
      <c r="EWM185" s="16"/>
      <c r="EWN185" s="10"/>
      <c r="EWO185" s="10"/>
      <c r="EWV185" s="3"/>
      <c r="EWX185" s="1"/>
      <c r="EWZ185" s="16"/>
      <c r="EXA185" s="16"/>
      <c r="EXB185" s="16"/>
      <c r="EXC185" s="16"/>
      <c r="EXD185" s="10"/>
      <c r="EXE185" s="10"/>
      <c r="EXL185" s="3"/>
      <c r="EXN185" s="1"/>
      <c r="EXP185" s="16"/>
      <c r="EXQ185" s="16"/>
      <c r="EXR185" s="16"/>
      <c r="EXS185" s="16"/>
      <c r="EXT185" s="10"/>
      <c r="EXU185" s="10"/>
      <c r="EYB185" s="3"/>
      <c r="EYD185" s="1"/>
      <c r="EYF185" s="16"/>
      <c r="EYG185" s="16"/>
      <c r="EYH185" s="16"/>
      <c r="EYI185" s="16"/>
      <c r="EYJ185" s="10"/>
      <c r="EYK185" s="10"/>
      <c r="EYR185" s="3"/>
      <c r="EYT185" s="1"/>
      <c r="EYV185" s="16"/>
      <c r="EYW185" s="16"/>
      <c r="EYX185" s="16"/>
      <c r="EYY185" s="16"/>
      <c r="EYZ185" s="10"/>
      <c r="EZA185" s="10"/>
      <c r="EZH185" s="3"/>
      <c r="EZJ185" s="1"/>
      <c r="EZL185" s="16"/>
      <c r="EZM185" s="16"/>
      <c r="EZN185" s="16"/>
      <c r="EZO185" s="16"/>
      <c r="EZP185" s="10"/>
      <c r="EZQ185" s="10"/>
      <c r="EZX185" s="3"/>
      <c r="EZZ185" s="1"/>
      <c r="FAB185" s="16"/>
      <c r="FAC185" s="16"/>
      <c r="FAD185" s="16"/>
      <c r="FAE185" s="16"/>
      <c r="FAF185" s="10"/>
      <c r="FAG185" s="10"/>
      <c r="FAN185" s="3"/>
      <c r="FAP185" s="1"/>
      <c r="FAR185" s="16"/>
      <c r="FAS185" s="16"/>
      <c r="FAT185" s="16"/>
      <c r="FAU185" s="16"/>
      <c r="FAV185" s="10"/>
      <c r="FAW185" s="10"/>
      <c r="FBD185" s="3"/>
      <c r="FBF185" s="1"/>
      <c r="FBH185" s="16"/>
      <c r="FBI185" s="16"/>
      <c r="FBJ185" s="16"/>
      <c r="FBK185" s="16"/>
      <c r="FBL185" s="10"/>
      <c r="FBM185" s="10"/>
      <c r="FBT185" s="3"/>
      <c r="FBV185" s="1"/>
      <c r="FBX185" s="16"/>
      <c r="FBY185" s="16"/>
      <c r="FBZ185" s="16"/>
      <c r="FCA185" s="16"/>
      <c r="FCB185" s="10"/>
      <c r="FCC185" s="10"/>
      <c r="FCJ185" s="3"/>
      <c r="FCL185" s="1"/>
      <c r="FCN185" s="16"/>
      <c r="FCO185" s="16"/>
      <c r="FCP185" s="16"/>
      <c r="FCQ185" s="16"/>
      <c r="FCR185" s="10"/>
      <c r="FCS185" s="10"/>
      <c r="FCZ185" s="3"/>
      <c r="FDB185" s="1"/>
      <c r="FDD185" s="16"/>
      <c r="FDE185" s="16"/>
      <c r="FDF185" s="16"/>
      <c r="FDG185" s="16"/>
      <c r="FDH185" s="10"/>
      <c r="FDI185" s="10"/>
      <c r="FDP185" s="3"/>
      <c r="FDR185" s="1"/>
      <c r="FDT185" s="16"/>
      <c r="FDU185" s="16"/>
      <c r="FDV185" s="16"/>
      <c r="FDW185" s="16"/>
      <c r="FDX185" s="10"/>
      <c r="FDY185" s="10"/>
      <c r="FEF185" s="3"/>
      <c r="FEH185" s="1"/>
      <c r="FEJ185" s="16"/>
      <c r="FEK185" s="16"/>
      <c r="FEL185" s="16"/>
      <c r="FEM185" s="16"/>
      <c r="FEN185" s="10"/>
      <c r="FEO185" s="10"/>
      <c r="FEV185" s="3"/>
      <c r="FEX185" s="1"/>
      <c r="FEZ185" s="16"/>
      <c r="FFA185" s="16"/>
      <c r="FFB185" s="16"/>
      <c r="FFC185" s="16"/>
      <c r="FFD185" s="10"/>
      <c r="FFE185" s="10"/>
      <c r="FFL185" s="3"/>
      <c r="FFN185" s="1"/>
      <c r="FFP185" s="16"/>
      <c r="FFQ185" s="16"/>
      <c r="FFR185" s="16"/>
      <c r="FFS185" s="16"/>
      <c r="FFT185" s="10"/>
      <c r="FFU185" s="10"/>
      <c r="FGB185" s="3"/>
      <c r="FGD185" s="1"/>
      <c r="FGF185" s="16"/>
      <c r="FGG185" s="16"/>
      <c r="FGH185" s="16"/>
      <c r="FGI185" s="16"/>
      <c r="FGJ185" s="10"/>
      <c r="FGK185" s="10"/>
      <c r="FGR185" s="3"/>
      <c r="FGT185" s="1"/>
      <c r="FGV185" s="16"/>
      <c r="FGW185" s="16"/>
      <c r="FGX185" s="16"/>
      <c r="FGY185" s="16"/>
      <c r="FGZ185" s="10"/>
      <c r="FHA185" s="10"/>
      <c r="FHH185" s="3"/>
      <c r="FHJ185" s="1"/>
      <c r="FHL185" s="16"/>
      <c r="FHM185" s="16"/>
      <c r="FHN185" s="16"/>
      <c r="FHO185" s="16"/>
      <c r="FHP185" s="10"/>
      <c r="FHQ185" s="10"/>
      <c r="FHX185" s="3"/>
      <c r="FHZ185" s="1"/>
      <c r="FIB185" s="16"/>
      <c r="FIC185" s="16"/>
      <c r="FID185" s="16"/>
      <c r="FIE185" s="16"/>
      <c r="FIF185" s="10"/>
      <c r="FIG185" s="10"/>
      <c r="FIN185" s="3"/>
      <c r="FIP185" s="1"/>
      <c r="FIR185" s="16"/>
      <c r="FIS185" s="16"/>
      <c r="FIT185" s="16"/>
      <c r="FIU185" s="16"/>
      <c r="FIV185" s="10"/>
      <c r="FIW185" s="10"/>
      <c r="FJD185" s="3"/>
      <c r="FJF185" s="1"/>
      <c r="FJH185" s="16"/>
      <c r="FJI185" s="16"/>
      <c r="FJJ185" s="16"/>
      <c r="FJK185" s="16"/>
      <c r="FJL185" s="10"/>
      <c r="FJM185" s="10"/>
      <c r="FJT185" s="3"/>
      <c r="FJV185" s="1"/>
      <c r="FJX185" s="16"/>
      <c r="FJY185" s="16"/>
      <c r="FJZ185" s="16"/>
      <c r="FKA185" s="16"/>
      <c r="FKB185" s="10"/>
      <c r="FKC185" s="10"/>
      <c r="FKJ185" s="3"/>
      <c r="FKL185" s="1"/>
      <c r="FKN185" s="16"/>
      <c r="FKO185" s="16"/>
      <c r="FKP185" s="16"/>
      <c r="FKQ185" s="16"/>
      <c r="FKR185" s="10"/>
      <c r="FKS185" s="10"/>
      <c r="FKZ185" s="3"/>
      <c r="FLB185" s="1"/>
      <c r="FLD185" s="16"/>
      <c r="FLE185" s="16"/>
      <c r="FLF185" s="16"/>
      <c r="FLG185" s="16"/>
      <c r="FLH185" s="10"/>
      <c r="FLI185" s="10"/>
      <c r="FLP185" s="3"/>
      <c r="FLR185" s="1"/>
      <c r="FLT185" s="16"/>
      <c r="FLU185" s="16"/>
      <c r="FLV185" s="16"/>
      <c r="FLW185" s="16"/>
      <c r="FLX185" s="10"/>
      <c r="FLY185" s="10"/>
      <c r="FMF185" s="3"/>
      <c r="FMH185" s="1"/>
      <c r="FMJ185" s="16"/>
      <c r="FMK185" s="16"/>
      <c r="FML185" s="16"/>
      <c r="FMM185" s="16"/>
      <c r="FMN185" s="10"/>
      <c r="FMO185" s="10"/>
      <c r="FMV185" s="3"/>
      <c r="FMX185" s="1"/>
      <c r="FMZ185" s="16"/>
      <c r="FNA185" s="16"/>
      <c r="FNB185" s="16"/>
      <c r="FNC185" s="16"/>
      <c r="FND185" s="10"/>
      <c r="FNE185" s="10"/>
      <c r="FNL185" s="3"/>
      <c r="FNN185" s="1"/>
      <c r="FNP185" s="16"/>
      <c r="FNQ185" s="16"/>
      <c r="FNR185" s="16"/>
      <c r="FNS185" s="16"/>
      <c r="FNT185" s="10"/>
      <c r="FNU185" s="10"/>
      <c r="FOB185" s="3"/>
      <c r="FOD185" s="1"/>
      <c r="FOF185" s="16"/>
      <c r="FOG185" s="16"/>
      <c r="FOH185" s="16"/>
      <c r="FOI185" s="16"/>
      <c r="FOJ185" s="10"/>
      <c r="FOK185" s="10"/>
      <c r="FOR185" s="3"/>
      <c r="FOT185" s="1"/>
      <c r="FOV185" s="16"/>
      <c r="FOW185" s="16"/>
      <c r="FOX185" s="16"/>
      <c r="FOY185" s="16"/>
      <c r="FOZ185" s="10"/>
      <c r="FPA185" s="10"/>
      <c r="FPH185" s="3"/>
      <c r="FPJ185" s="1"/>
      <c r="FPL185" s="16"/>
      <c r="FPM185" s="16"/>
      <c r="FPN185" s="16"/>
      <c r="FPO185" s="16"/>
      <c r="FPP185" s="10"/>
      <c r="FPQ185" s="10"/>
      <c r="FPX185" s="3"/>
      <c r="FPZ185" s="1"/>
      <c r="FQB185" s="16"/>
      <c r="FQC185" s="16"/>
      <c r="FQD185" s="16"/>
      <c r="FQE185" s="16"/>
      <c r="FQF185" s="10"/>
      <c r="FQG185" s="10"/>
      <c r="FQN185" s="3"/>
      <c r="FQP185" s="1"/>
      <c r="FQR185" s="16"/>
      <c r="FQS185" s="16"/>
      <c r="FQT185" s="16"/>
      <c r="FQU185" s="16"/>
      <c r="FQV185" s="10"/>
      <c r="FQW185" s="10"/>
      <c r="FRD185" s="3"/>
      <c r="FRF185" s="1"/>
      <c r="FRH185" s="16"/>
      <c r="FRI185" s="16"/>
      <c r="FRJ185" s="16"/>
      <c r="FRK185" s="16"/>
      <c r="FRL185" s="10"/>
      <c r="FRM185" s="10"/>
      <c r="FRT185" s="3"/>
      <c r="FRV185" s="1"/>
      <c r="FRX185" s="16"/>
      <c r="FRY185" s="16"/>
      <c r="FRZ185" s="16"/>
      <c r="FSA185" s="16"/>
      <c r="FSB185" s="10"/>
      <c r="FSC185" s="10"/>
      <c r="FSJ185" s="3"/>
      <c r="FSL185" s="1"/>
      <c r="FSN185" s="16"/>
      <c r="FSO185" s="16"/>
      <c r="FSP185" s="16"/>
      <c r="FSQ185" s="16"/>
      <c r="FSR185" s="10"/>
      <c r="FSS185" s="10"/>
      <c r="FSZ185" s="3"/>
      <c r="FTB185" s="1"/>
      <c r="FTD185" s="16"/>
      <c r="FTE185" s="16"/>
      <c r="FTF185" s="16"/>
      <c r="FTG185" s="16"/>
      <c r="FTH185" s="10"/>
      <c r="FTI185" s="10"/>
      <c r="FTP185" s="3"/>
      <c r="FTR185" s="1"/>
      <c r="FTT185" s="16"/>
      <c r="FTU185" s="16"/>
      <c r="FTV185" s="16"/>
      <c r="FTW185" s="16"/>
      <c r="FTX185" s="10"/>
      <c r="FTY185" s="10"/>
      <c r="FUF185" s="3"/>
      <c r="FUH185" s="1"/>
      <c r="FUJ185" s="16"/>
      <c r="FUK185" s="16"/>
      <c r="FUL185" s="16"/>
      <c r="FUM185" s="16"/>
      <c r="FUN185" s="10"/>
      <c r="FUO185" s="10"/>
      <c r="FUV185" s="3"/>
      <c r="FUX185" s="1"/>
      <c r="FUZ185" s="16"/>
      <c r="FVA185" s="16"/>
      <c r="FVB185" s="16"/>
      <c r="FVC185" s="16"/>
      <c r="FVD185" s="10"/>
      <c r="FVE185" s="10"/>
      <c r="FVL185" s="3"/>
      <c r="FVN185" s="1"/>
      <c r="FVP185" s="16"/>
      <c r="FVQ185" s="16"/>
      <c r="FVR185" s="16"/>
      <c r="FVS185" s="16"/>
      <c r="FVT185" s="10"/>
      <c r="FVU185" s="10"/>
      <c r="FWB185" s="3"/>
      <c r="FWD185" s="1"/>
      <c r="FWF185" s="16"/>
      <c r="FWG185" s="16"/>
      <c r="FWH185" s="16"/>
      <c r="FWI185" s="16"/>
      <c r="FWJ185" s="10"/>
      <c r="FWK185" s="10"/>
      <c r="FWR185" s="3"/>
      <c r="FWT185" s="1"/>
      <c r="FWV185" s="16"/>
      <c r="FWW185" s="16"/>
      <c r="FWX185" s="16"/>
      <c r="FWY185" s="16"/>
      <c r="FWZ185" s="10"/>
      <c r="FXA185" s="10"/>
      <c r="FXH185" s="3"/>
      <c r="FXJ185" s="1"/>
      <c r="FXL185" s="16"/>
      <c r="FXM185" s="16"/>
      <c r="FXN185" s="16"/>
      <c r="FXO185" s="16"/>
      <c r="FXP185" s="10"/>
      <c r="FXQ185" s="10"/>
      <c r="FXX185" s="3"/>
      <c r="FXZ185" s="1"/>
      <c r="FYB185" s="16"/>
      <c r="FYC185" s="16"/>
      <c r="FYD185" s="16"/>
      <c r="FYE185" s="16"/>
      <c r="FYF185" s="10"/>
      <c r="FYG185" s="10"/>
      <c r="FYN185" s="3"/>
      <c r="FYP185" s="1"/>
      <c r="FYR185" s="16"/>
      <c r="FYS185" s="16"/>
      <c r="FYT185" s="16"/>
      <c r="FYU185" s="16"/>
      <c r="FYV185" s="10"/>
      <c r="FYW185" s="10"/>
      <c r="FZD185" s="3"/>
      <c r="FZF185" s="1"/>
      <c r="FZH185" s="16"/>
      <c r="FZI185" s="16"/>
      <c r="FZJ185" s="16"/>
      <c r="FZK185" s="16"/>
      <c r="FZL185" s="10"/>
      <c r="FZM185" s="10"/>
      <c r="FZT185" s="3"/>
      <c r="FZV185" s="1"/>
      <c r="FZX185" s="16"/>
      <c r="FZY185" s="16"/>
      <c r="FZZ185" s="16"/>
      <c r="GAA185" s="16"/>
      <c r="GAB185" s="10"/>
      <c r="GAC185" s="10"/>
      <c r="GAJ185" s="3"/>
      <c r="GAL185" s="1"/>
      <c r="GAN185" s="16"/>
      <c r="GAO185" s="16"/>
      <c r="GAP185" s="16"/>
      <c r="GAQ185" s="16"/>
      <c r="GAR185" s="10"/>
      <c r="GAS185" s="10"/>
      <c r="GAZ185" s="3"/>
      <c r="GBB185" s="1"/>
      <c r="GBD185" s="16"/>
      <c r="GBE185" s="16"/>
      <c r="GBF185" s="16"/>
      <c r="GBG185" s="16"/>
      <c r="GBH185" s="10"/>
      <c r="GBI185" s="10"/>
      <c r="GBP185" s="3"/>
      <c r="GBR185" s="1"/>
      <c r="GBT185" s="16"/>
      <c r="GBU185" s="16"/>
      <c r="GBV185" s="16"/>
      <c r="GBW185" s="16"/>
      <c r="GBX185" s="10"/>
      <c r="GBY185" s="10"/>
      <c r="GCF185" s="3"/>
      <c r="GCH185" s="1"/>
      <c r="GCJ185" s="16"/>
      <c r="GCK185" s="16"/>
      <c r="GCL185" s="16"/>
      <c r="GCM185" s="16"/>
      <c r="GCN185" s="10"/>
      <c r="GCO185" s="10"/>
      <c r="GCV185" s="3"/>
      <c r="GCX185" s="1"/>
      <c r="GCZ185" s="16"/>
      <c r="GDA185" s="16"/>
      <c r="GDB185" s="16"/>
      <c r="GDC185" s="16"/>
      <c r="GDD185" s="10"/>
      <c r="GDE185" s="10"/>
      <c r="GDL185" s="3"/>
      <c r="GDN185" s="1"/>
      <c r="GDP185" s="16"/>
      <c r="GDQ185" s="16"/>
      <c r="GDR185" s="16"/>
      <c r="GDS185" s="16"/>
      <c r="GDT185" s="10"/>
      <c r="GDU185" s="10"/>
      <c r="GEB185" s="3"/>
      <c r="GED185" s="1"/>
      <c r="GEF185" s="16"/>
      <c r="GEG185" s="16"/>
      <c r="GEH185" s="16"/>
      <c r="GEI185" s="16"/>
      <c r="GEJ185" s="10"/>
      <c r="GEK185" s="10"/>
      <c r="GER185" s="3"/>
      <c r="GET185" s="1"/>
      <c r="GEV185" s="16"/>
      <c r="GEW185" s="16"/>
      <c r="GEX185" s="16"/>
      <c r="GEY185" s="16"/>
      <c r="GEZ185" s="10"/>
      <c r="GFA185" s="10"/>
      <c r="GFH185" s="3"/>
      <c r="GFJ185" s="1"/>
      <c r="GFL185" s="16"/>
      <c r="GFM185" s="16"/>
      <c r="GFN185" s="16"/>
      <c r="GFO185" s="16"/>
      <c r="GFP185" s="10"/>
      <c r="GFQ185" s="10"/>
      <c r="GFX185" s="3"/>
      <c r="GFZ185" s="1"/>
      <c r="GGB185" s="16"/>
      <c r="GGC185" s="16"/>
      <c r="GGD185" s="16"/>
      <c r="GGE185" s="16"/>
      <c r="GGF185" s="10"/>
      <c r="GGG185" s="10"/>
      <c r="GGN185" s="3"/>
      <c r="GGP185" s="1"/>
      <c r="GGR185" s="16"/>
      <c r="GGS185" s="16"/>
      <c r="GGT185" s="16"/>
      <c r="GGU185" s="16"/>
      <c r="GGV185" s="10"/>
      <c r="GGW185" s="10"/>
      <c r="GHD185" s="3"/>
      <c r="GHF185" s="1"/>
      <c r="GHH185" s="16"/>
      <c r="GHI185" s="16"/>
      <c r="GHJ185" s="16"/>
      <c r="GHK185" s="16"/>
      <c r="GHL185" s="10"/>
      <c r="GHM185" s="10"/>
      <c r="GHT185" s="3"/>
      <c r="GHV185" s="1"/>
      <c r="GHX185" s="16"/>
      <c r="GHY185" s="16"/>
      <c r="GHZ185" s="16"/>
      <c r="GIA185" s="16"/>
      <c r="GIB185" s="10"/>
      <c r="GIC185" s="10"/>
      <c r="GIJ185" s="3"/>
      <c r="GIL185" s="1"/>
      <c r="GIN185" s="16"/>
      <c r="GIO185" s="16"/>
      <c r="GIP185" s="16"/>
      <c r="GIQ185" s="16"/>
      <c r="GIR185" s="10"/>
      <c r="GIS185" s="10"/>
      <c r="GIZ185" s="3"/>
      <c r="GJB185" s="1"/>
      <c r="GJD185" s="16"/>
      <c r="GJE185" s="16"/>
      <c r="GJF185" s="16"/>
      <c r="GJG185" s="16"/>
      <c r="GJH185" s="10"/>
      <c r="GJI185" s="10"/>
      <c r="GJP185" s="3"/>
      <c r="GJR185" s="1"/>
      <c r="GJT185" s="16"/>
      <c r="GJU185" s="16"/>
      <c r="GJV185" s="16"/>
      <c r="GJW185" s="16"/>
      <c r="GJX185" s="10"/>
      <c r="GJY185" s="10"/>
      <c r="GKF185" s="3"/>
      <c r="GKH185" s="1"/>
      <c r="GKJ185" s="16"/>
      <c r="GKK185" s="16"/>
      <c r="GKL185" s="16"/>
      <c r="GKM185" s="16"/>
      <c r="GKN185" s="10"/>
      <c r="GKO185" s="10"/>
      <c r="GKV185" s="3"/>
      <c r="GKX185" s="1"/>
      <c r="GKZ185" s="16"/>
      <c r="GLA185" s="16"/>
      <c r="GLB185" s="16"/>
      <c r="GLC185" s="16"/>
      <c r="GLD185" s="10"/>
      <c r="GLE185" s="10"/>
      <c r="GLL185" s="3"/>
      <c r="GLN185" s="1"/>
      <c r="GLP185" s="16"/>
      <c r="GLQ185" s="16"/>
      <c r="GLR185" s="16"/>
      <c r="GLS185" s="16"/>
      <c r="GLT185" s="10"/>
      <c r="GLU185" s="10"/>
      <c r="GMB185" s="3"/>
      <c r="GMD185" s="1"/>
      <c r="GMF185" s="16"/>
      <c r="GMG185" s="16"/>
      <c r="GMH185" s="16"/>
      <c r="GMI185" s="16"/>
      <c r="GMJ185" s="10"/>
      <c r="GMK185" s="10"/>
      <c r="GMR185" s="3"/>
      <c r="GMT185" s="1"/>
      <c r="GMV185" s="16"/>
      <c r="GMW185" s="16"/>
      <c r="GMX185" s="16"/>
      <c r="GMY185" s="16"/>
      <c r="GMZ185" s="10"/>
      <c r="GNA185" s="10"/>
      <c r="GNH185" s="3"/>
      <c r="GNJ185" s="1"/>
      <c r="GNL185" s="16"/>
      <c r="GNM185" s="16"/>
      <c r="GNN185" s="16"/>
      <c r="GNO185" s="16"/>
      <c r="GNP185" s="10"/>
      <c r="GNQ185" s="10"/>
      <c r="GNX185" s="3"/>
      <c r="GNZ185" s="1"/>
      <c r="GOB185" s="16"/>
      <c r="GOC185" s="16"/>
      <c r="GOD185" s="16"/>
      <c r="GOE185" s="16"/>
      <c r="GOF185" s="10"/>
      <c r="GOG185" s="10"/>
      <c r="GON185" s="3"/>
      <c r="GOP185" s="1"/>
      <c r="GOR185" s="16"/>
      <c r="GOS185" s="16"/>
      <c r="GOT185" s="16"/>
      <c r="GOU185" s="16"/>
      <c r="GOV185" s="10"/>
      <c r="GOW185" s="10"/>
      <c r="GPD185" s="3"/>
      <c r="GPF185" s="1"/>
      <c r="GPH185" s="16"/>
      <c r="GPI185" s="16"/>
      <c r="GPJ185" s="16"/>
      <c r="GPK185" s="16"/>
      <c r="GPL185" s="10"/>
      <c r="GPM185" s="10"/>
      <c r="GPT185" s="3"/>
      <c r="GPV185" s="1"/>
      <c r="GPX185" s="16"/>
      <c r="GPY185" s="16"/>
      <c r="GPZ185" s="16"/>
      <c r="GQA185" s="16"/>
      <c r="GQB185" s="10"/>
      <c r="GQC185" s="10"/>
      <c r="GQJ185" s="3"/>
      <c r="GQL185" s="1"/>
      <c r="GQN185" s="16"/>
      <c r="GQO185" s="16"/>
      <c r="GQP185" s="16"/>
      <c r="GQQ185" s="16"/>
      <c r="GQR185" s="10"/>
      <c r="GQS185" s="10"/>
      <c r="GQZ185" s="3"/>
      <c r="GRB185" s="1"/>
      <c r="GRD185" s="16"/>
      <c r="GRE185" s="16"/>
      <c r="GRF185" s="16"/>
      <c r="GRG185" s="16"/>
      <c r="GRH185" s="10"/>
      <c r="GRI185" s="10"/>
      <c r="GRP185" s="3"/>
      <c r="GRR185" s="1"/>
      <c r="GRT185" s="16"/>
      <c r="GRU185" s="16"/>
      <c r="GRV185" s="16"/>
      <c r="GRW185" s="16"/>
      <c r="GRX185" s="10"/>
      <c r="GRY185" s="10"/>
      <c r="GSF185" s="3"/>
      <c r="GSH185" s="1"/>
      <c r="GSJ185" s="16"/>
      <c r="GSK185" s="16"/>
      <c r="GSL185" s="16"/>
      <c r="GSM185" s="16"/>
      <c r="GSN185" s="10"/>
      <c r="GSO185" s="10"/>
      <c r="GSV185" s="3"/>
      <c r="GSX185" s="1"/>
      <c r="GSZ185" s="16"/>
      <c r="GTA185" s="16"/>
      <c r="GTB185" s="16"/>
      <c r="GTC185" s="16"/>
      <c r="GTD185" s="10"/>
      <c r="GTE185" s="10"/>
      <c r="GTL185" s="3"/>
      <c r="GTN185" s="1"/>
      <c r="GTP185" s="16"/>
      <c r="GTQ185" s="16"/>
      <c r="GTR185" s="16"/>
      <c r="GTS185" s="16"/>
      <c r="GTT185" s="10"/>
      <c r="GTU185" s="10"/>
      <c r="GUB185" s="3"/>
      <c r="GUD185" s="1"/>
      <c r="GUF185" s="16"/>
      <c r="GUG185" s="16"/>
      <c r="GUH185" s="16"/>
      <c r="GUI185" s="16"/>
      <c r="GUJ185" s="10"/>
      <c r="GUK185" s="10"/>
      <c r="GUR185" s="3"/>
      <c r="GUT185" s="1"/>
      <c r="GUV185" s="16"/>
      <c r="GUW185" s="16"/>
      <c r="GUX185" s="16"/>
      <c r="GUY185" s="16"/>
      <c r="GUZ185" s="10"/>
      <c r="GVA185" s="10"/>
      <c r="GVH185" s="3"/>
      <c r="GVJ185" s="1"/>
      <c r="GVL185" s="16"/>
      <c r="GVM185" s="16"/>
      <c r="GVN185" s="16"/>
      <c r="GVO185" s="16"/>
      <c r="GVP185" s="10"/>
      <c r="GVQ185" s="10"/>
      <c r="GVX185" s="3"/>
      <c r="GVZ185" s="1"/>
      <c r="GWB185" s="16"/>
      <c r="GWC185" s="16"/>
      <c r="GWD185" s="16"/>
      <c r="GWE185" s="16"/>
      <c r="GWF185" s="10"/>
      <c r="GWG185" s="10"/>
      <c r="GWN185" s="3"/>
      <c r="GWP185" s="1"/>
      <c r="GWR185" s="16"/>
      <c r="GWS185" s="16"/>
      <c r="GWT185" s="16"/>
      <c r="GWU185" s="16"/>
      <c r="GWV185" s="10"/>
      <c r="GWW185" s="10"/>
      <c r="GXD185" s="3"/>
      <c r="GXF185" s="1"/>
      <c r="GXH185" s="16"/>
      <c r="GXI185" s="16"/>
      <c r="GXJ185" s="16"/>
      <c r="GXK185" s="16"/>
      <c r="GXL185" s="10"/>
      <c r="GXM185" s="10"/>
      <c r="GXT185" s="3"/>
      <c r="GXV185" s="1"/>
      <c r="GXX185" s="16"/>
      <c r="GXY185" s="16"/>
      <c r="GXZ185" s="16"/>
      <c r="GYA185" s="16"/>
      <c r="GYB185" s="10"/>
      <c r="GYC185" s="10"/>
      <c r="GYJ185" s="3"/>
      <c r="GYL185" s="1"/>
      <c r="GYN185" s="16"/>
      <c r="GYO185" s="16"/>
      <c r="GYP185" s="16"/>
      <c r="GYQ185" s="16"/>
      <c r="GYR185" s="10"/>
      <c r="GYS185" s="10"/>
      <c r="GYZ185" s="3"/>
      <c r="GZB185" s="1"/>
      <c r="GZD185" s="16"/>
      <c r="GZE185" s="16"/>
      <c r="GZF185" s="16"/>
      <c r="GZG185" s="16"/>
      <c r="GZH185" s="10"/>
      <c r="GZI185" s="10"/>
      <c r="GZP185" s="3"/>
      <c r="GZR185" s="1"/>
      <c r="GZT185" s="16"/>
      <c r="GZU185" s="16"/>
      <c r="GZV185" s="16"/>
      <c r="GZW185" s="16"/>
      <c r="GZX185" s="10"/>
      <c r="GZY185" s="10"/>
      <c r="HAF185" s="3"/>
      <c r="HAH185" s="1"/>
      <c r="HAJ185" s="16"/>
      <c r="HAK185" s="16"/>
      <c r="HAL185" s="16"/>
      <c r="HAM185" s="16"/>
      <c r="HAN185" s="10"/>
      <c r="HAO185" s="10"/>
      <c r="HAV185" s="3"/>
      <c r="HAX185" s="1"/>
      <c r="HAZ185" s="16"/>
      <c r="HBA185" s="16"/>
      <c r="HBB185" s="16"/>
      <c r="HBC185" s="16"/>
      <c r="HBD185" s="10"/>
      <c r="HBE185" s="10"/>
      <c r="HBL185" s="3"/>
      <c r="HBN185" s="1"/>
      <c r="HBP185" s="16"/>
      <c r="HBQ185" s="16"/>
      <c r="HBR185" s="16"/>
      <c r="HBS185" s="16"/>
      <c r="HBT185" s="10"/>
      <c r="HBU185" s="10"/>
      <c r="HCB185" s="3"/>
      <c r="HCD185" s="1"/>
      <c r="HCF185" s="16"/>
      <c r="HCG185" s="16"/>
      <c r="HCH185" s="16"/>
      <c r="HCI185" s="16"/>
      <c r="HCJ185" s="10"/>
      <c r="HCK185" s="10"/>
      <c r="HCR185" s="3"/>
      <c r="HCT185" s="1"/>
      <c r="HCV185" s="16"/>
      <c r="HCW185" s="16"/>
      <c r="HCX185" s="16"/>
      <c r="HCY185" s="16"/>
      <c r="HCZ185" s="10"/>
      <c r="HDA185" s="10"/>
      <c r="HDH185" s="3"/>
      <c r="HDJ185" s="1"/>
      <c r="HDL185" s="16"/>
      <c r="HDM185" s="16"/>
      <c r="HDN185" s="16"/>
      <c r="HDO185" s="16"/>
      <c r="HDP185" s="10"/>
      <c r="HDQ185" s="10"/>
      <c r="HDX185" s="3"/>
      <c r="HDZ185" s="1"/>
      <c r="HEB185" s="16"/>
      <c r="HEC185" s="16"/>
      <c r="HED185" s="16"/>
      <c r="HEE185" s="16"/>
      <c r="HEF185" s="10"/>
      <c r="HEG185" s="10"/>
      <c r="HEN185" s="3"/>
      <c r="HEP185" s="1"/>
      <c r="HER185" s="16"/>
      <c r="HES185" s="16"/>
      <c r="HET185" s="16"/>
      <c r="HEU185" s="16"/>
      <c r="HEV185" s="10"/>
      <c r="HEW185" s="10"/>
      <c r="HFD185" s="3"/>
      <c r="HFF185" s="1"/>
      <c r="HFH185" s="16"/>
      <c r="HFI185" s="16"/>
      <c r="HFJ185" s="16"/>
      <c r="HFK185" s="16"/>
      <c r="HFL185" s="10"/>
      <c r="HFM185" s="10"/>
      <c r="HFT185" s="3"/>
      <c r="HFV185" s="1"/>
      <c r="HFX185" s="16"/>
      <c r="HFY185" s="16"/>
      <c r="HFZ185" s="16"/>
      <c r="HGA185" s="16"/>
      <c r="HGB185" s="10"/>
      <c r="HGC185" s="10"/>
      <c r="HGJ185" s="3"/>
      <c r="HGL185" s="1"/>
      <c r="HGN185" s="16"/>
      <c r="HGO185" s="16"/>
      <c r="HGP185" s="16"/>
      <c r="HGQ185" s="16"/>
      <c r="HGR185" s="10"/>
      <c r="HGS185" s="10"/>
      <c r="HGZ185" s="3"/>
      <c r="HHB185" s="1"/>
      <c r="HHD185" s="16"/>
      <c r="HHE185" s="16"/>
      <c r="HHF185" s="16"/>
      <c r="HHG185" s="16"/>
      <c r="HHH185" s="10"/>
      <c r="HHI185" s="10"/>
      <c r="HHP185" s="3"/>
      <c r="HHR185" s="1"/>
      <c r="HHT185" s="16"/>
      <c r="HHU185" s="16"/>
      <c r="HHV185" s="16"/>
      <c r="HHW185" s="16"/>
      <c r="HHX185" s="10"/>
      <c r="HHY185" s="10"/>
      <c r="HIF185" s="3"/>
      <c r="HIH185" s="1"/>
      <c r="HIJ185" s="16"/>
      <c r="HIK185" s="16"/>
      <c r="HIL185" s="16"/>
      <c r="HIM185" s="16"/>
      <c r="HIN185" s="10"/>
      <c r="HIO185" s="10"/>
      <c r="HIV185" s="3"/>
      <c r="HIX185" s="1"/>
      <c r="HIZ185" s="16"/>
      <c r="HJA185" s="16"/>
      <c r="HJB185" s="16"/>
      <c r="HJC185" s="16"/>
      <c r="HJD185" s="10"/>
      <c r="HJE185" s="10"/>
      <c r="HJL185" s="3"/>
      <c r="HJN185" s="1"/>
      <c r="HJP185" s="16"/>
      <c r="HJQ185" s="16"/>
      <c r="HJR185" s="16"/>
      <c r="HJS185" s="16"/>
      <c r="HJT185" s="10"/>
      <c r="HJU185" s="10"/>
      <c r="HKB185" s="3"/>
      <c r="HKD185" s="1"/>
      <c r="HKF185" s="16"/>
      <c r="HKG185" s="16"/>
      <c r="HKH185" s="16"/>
      <c r="HKI185" s="16"/>
      <c r="HKJ185" s="10"/>
      <c r="HKK185" s="10"/>
      <c r="HKR185" s="3"/>
      <c r="HKT185" s="1"/>
      <c r="HKV185" s="16"/>
      <c r="HKW185" s="16"/>
      <c r="HKX185" s="16"/>
      <c r="HKY185" s="16"/>
      <c r="HKZ185" s="10"/>
      <c r="HLA185" s="10"/>
      <c r="HLH185" s="3"/>
      <c r="HLJ185" s="1"/>
      <c r="HLL185" s="16"/>
      <c r="HLM185" s="16"/>
      <c r="HLN185" s="16"/>
      <c r="HLO185" s="16"/>
      <c r="HLP185" s="10"/>
      <c r="HLQ185" s="10"/>
      <c r="HLX185" s="3"/>
      <c r="HLZ185" s="1"/>
      <c r="HMB185" s="16"/>
      <c r="HMC185" s="16"/>
      <c r="HMD185" s="16"/>
      <c r="HME185" s="16"/>
      <c r="HMF185" s="10"/>
      <c r="HMG185" s="10"/>
      <c r="HMN185" s="3"/>
      <c r="HMP185" s="1"/>
      <c r="HMR185" s="16"/>
      <c r="HMS185" s="16"/>
      <c r="HMT185" s="16"/>
      <c r="HMU185" s="16"/>
      <c r="HMV185" s="10"/>
      <c r="HMW185" s="10"/>
      <c r="HND185" s="3"/>
      <c r="HNF185" s="1"/>
      <c r="HNH185" s="16"/>
      <c r="HNI185" s="16"/>
      <c r="HNJ185" s="16"/>
      <c r="HNK185" s="16"/>
      <c r="HNL185" s="10"/>
      <c r="HNM185" s="10"/>
      <c r="HNT185" s="3"/>
      <c r="HNV185" s="1"/>
      <c r="HNX185" s="16"/>
      <c r="HNY185" s="16"/>
      <c r="HNZ185" s="16"/>
      <c r="HOA185" s="16"/>
      <c r="HOB185" s="10"/>
      <c r="HOC185" s="10"/>
      <c r="HOJ185" s="3"/>
      <c r="HOL185" s="1"/>
      <c r="HON185" s="16"/>
      <c r="HOO185" s="16"/>
      <c r="HOP185" s="16"/>
      <c r="HOQ185" s="16"/>
      <c r="HOR185" s="10"/>
      <c r="HOS185" s="10"/>
      <c r="HOZ185" s="3"/>
      <c r="HPB185" s="1"/>
      <c r="HPD185" s="16"/>
      <c r="HPE185" s="16"/>
      <c r="HPF185" s="16"/>
      <c r="HPG185" s="16"/>
      <c r="HPH185" s="10"/>
      <c r="HPI185" s="10"/>
      <c r="HPP185" s="3"/>
      <c r="HPR185" s="1"/>
      <c r="HPT185" s="16"/>
      <c r="HPU185" s="16"/>
      <c r="HPV185" s="16"/>
      <c r="HPW185" s="16"/>
      <c r="HPX185" s="10"/>
      <c r="HPY185" s="10"/>
      <c r="HQF185" s="3"/>
      <c r="HQH185" s="1"/>
      <c r="HQJ185" s="16"/>
      <c r="HQK185" s="16"/>
      <c r="HQL185" s="16"/>
      <c r="HQM185" s="16"/>
      <c r="HQN185" s="10"/>
      <c r="HQO185" s="10"/>
      <c r="HQV185" s="3"/>
      <c r="HQX185" s="1"/>
      <c r="HQZ185" s="16"/>
      <c r="HRA185" s="16"/>
      <c r="HRB185" s="16"/>
      <c r="HRC185" s="16"/>
      <c r="HRD185" s="10"/>
      <c r="HRE185" s="10"/>
      <c r="HRL185" s="3"/>
      <c r="HRN185" s="1"/>
      <c r="HRP185" s="16"/>
      <c r="HRQ185" s="16"/>
      <c r="HRR185" s="16"/>
      <c r="HRS185" s="16"/>
      <c r="HRT185" s="10"/>
      <c r="HRU185" s="10"/>
      <c r="HSB185" s="3"/>
      <c r="HSD185" s="1"/>
      <c r="HSF185" s="16"/>
      <c r="HSG185" s="16"/>
      <c r="HSH185" s="16"/>
      <c r="HSI185" s="16"/>
      <c r="HSJ185" s="10"/>
      <c r="HSK185" s="10"/>
      <c r="HSR185" s="3"/>
      <c r="HST185" s="1"/>
      <c r="HSV185" s="16"/>
      <c r="HSW185" s="16"/>
      <c r="HSX185" s="16"/>
      <c r="HSY185" s="16"/>
      <c r="HSZ185" s="10"/>
      <c r="HTA185" s="10"/>
      <c r="HTH185" s="3"/>
      <c r="HTJ185" s="1"/>
      <c r="HTL185" s="16"/>
      <c r="HTM185" s="16"/>
      <c r="HTN185" s="16"/>
      <c r="HTO185" s="16"/>
      <c r="HTP185" s="10"/>
      <c r="HTQ185" s="10"/>
      <c r="HTX185" s="3"/>
      <c r="HTZ185" s="1"/>
      <c r="HUB185" s="16"/>
      <c r="HUC185" s="16"/>
      <c r="HUD185" s="16"/>
      <c r="HUE185" s="16"/>
      <c r="HUF185" s="10"/>
      <c r="HUG185" s="10"/>
      <c r="HUN185" s="3"/>
      <c r="HUP185" s="1"/>
      <c r="HUR185" s="16"/>
      <c r="HUS185" s="16"/>
      <c r="HUT185" s="16"/>
      <c r="HUU185" s="16"/>
      <c r="HUV185" s="10"/>
      <c r="HUW185" s="10"/>
      <c r="HVD185" s="3"/>
      <c r="HVF185" s="1"/>
      <c r="HVH185" s="16"/>
      <c r="HVI185" s="16"/>
      <c r="HVJ185" s="16"/>
      <c r="HVK185" s="16"/>
      <c r="HVL185" s="10"/>
      <c r="HVM185" s="10"/>
      <c r="HVT185" s="3"/>
      <c r="HVV185" s="1"/>
      <c r="HVX185" s="16"/>
      <c r="HVY185" s="16"/>
      <c r="HVZ185" s="16"/>
      <c r="HWA185" s="16"/>
      <c r="HWB185" s="10"/>
      <c r="HWC185" s="10"/>
      <c r="HWJ185" s="3"/>
      <c r="HWL185" s="1"/>
      <c r="HWN185" s="16"/>
      <c r="HWO185" s="16"/>
      <c r="HWP185" s="16"/>
      <c r="HWQ185" s="16"/>
      <c r="HWR185" s="10"/>
      <c r="HWS185" s="10"/>
      <c r="HWZ185" s="3"/>
      <c r="HXB185" s="1"/>
      <c r="HXD185" s="16"/>
      <c r="HXE185" s="16"/>
      <c r="HXF185" s="16"/>
      <c r="HXG185" s="16"/>
      <c r="HXH185" s="10"/>
      <c r="HXI185" s="10"/>
      <c r="HXP185" s="3"/>
      <c r="HXR185" s="1"/>
      <c r="HXT185" s="16"/>
      <c r="HXU185" s="16"/>
      <c r="HXV185" s="16"/>
      <c r="HXW185" s="16"/>
      <c r="HXX185" s="10"/>
      <c r="HXY185" s="10"/>
      <c r="HYF185" s="3"/>
      <c r="HYH185" s="1"/>
      <c r="HYJ185" s="16"/>
      <c r="HYK185" s="16"/>
      <c r="HYL185" s="16"/>
      <c r="HYM185" s="16"/>
      <c r="HYN185" s="10"/>
      <c r="HYO185" s="10"/>
      <c r="HYV185" s="3"/>
      <c r="HYX185" s="1"/>
      <c r="HYZ185" s="16"/>
      <c r="HZA185" s="16"/>
      <c r="HZB185" s="16"/>
      <c r="HZC185" s="16"/>
      <c r="HZD185" s="10"/>
      <c r="HZE185" s="10"/>
      <c r="HZL185" s="3"/>
      <c r="HZN185" s="1"/>
      <c r="HZP185" s="16"/>
      <c r="HZQ185" s="16"/>
      <c r="HZR185" s="16"/>
      <c r="HZS185" s="16"/>
      <c r="HZT185" s="10"/>
      <c r="HZU185" s="10"/>
      <c r="IAB185" s="3"/>
      <c r="IAD185" s="1"/>
      <c r="IAF185" s="16"/>
      <c r="IAG185" s="16"/>
      <c r="IAH185" s="16"/>
      <c r="IAI185" s="16"/>
      <c r="IAJ185" s="10"/>
      <c r="IAK185" s="10"/>
      <c r="IAR185" s="3"/>
      <c r="IAT185" s="1"/>
      <c r="IAV185" s="16"/>
      <c r="IAW185" s="16"/>
      <c r="IAX185" s="16"/>
      <c r="IAY185" s="16"/>
      <c r="IAZ185" s="10"/>
      <c r="IBA185" s="10"/>
      <c r="IBH185" s="3"/>
      <c r="IBJ185" s="1"/>
      <c r="IBL185" s="16"/>
      <c r="IBM185" s="16"/>
      <c r="IBN185" s="16"/>
      <c r="IBO185" s="16"/>
      <c r="IBP185" s="10"/>
      <c r="IBQ185" s="10"/>
      <c r="IBX185" s="3"/>
      <c r="IBZ185" s="1"/>
      <c r="ICB185" s="16"/>
      <c r="ICC185" s="16"/>
      <c r="ICD185" s="16"/>
      <c r="ICE185" s="16"/>
      <c r="ICF185" s="10"/>
      <c r="ICG185" s="10"/>
      <c r="ICN185" s="3"/>
      <c r="ICP185" s="1"/>
      <c r="ICR185" s="16"/>
      <c r="ICS185" s="16"/>
      <c r="ICT185" s="16"/>
      <c r="ICU185" s="16"/>
      <c r="ICV185" s="10"/>
      <c r="ICW185" s="10"/>
      <c r="IDD185" s="3"/>
      <c r="IDF185" s="1"/>
      <c r="IDH185" s="16"/>
      <c r="IDI185" s="16"/>
      <c r="IDJ185" s="16"/>
      <c r="IDK185" s="16"/>
      <c r="IDL185" s="10"/>
      <c r="IDM185" s="10"/>
      <c r="IDT185" s="3"/>
      <c r="IDV185" s="1"/>
      <c r="IDX185" s="16"/>
      <c r="IDY185" s="16"/>
      <c r="IDZ185" s="16"/>
      <c r="IEA185" s="16"/>
      <c r="IEB185" s="10"/>
      <c r="IEC185" s="10"/>
      <c r="IEJ185" s="3"/>
      <c r="IEL185" s="1"/>
      <c r="IEN185" s="16"/>
      <c r="IEO185" s="16"/>
      <c r="IEP185" s="16"/>
      <c r="IEQ185" s="16"/>
      <c r="IER185" s="10"/>
      <c r="IES185" s="10"/>
      <c r="IEZ185" s="3"/>
      <c r="IFB185" s="1"/>
      <c r="IFD185" s="16"/>
      <c r="IFE185" s="16"/>
      <c r="IFF185" s="16"/>
      <c r="IFG185" s="16"/>
      <c r="IFH185" s="10"/>
      <c r="IFI185" s="10"/>
      <c r="IFP185" s="3"/>
      <c r="IFR185" s="1"/>
      <c r="IFT185" s="16"/>
      <c r="IFU185" s="16"/>
      <c r="IFV185" s="16"/>
      <c r="IFW185" s="16"/>
      <c r="IFX185" s="10"/>
      <c r="IFY185" s="10"/>
      <c r="IGF185" s="3"/>
      <c r="IGH185" s="1"/>
      <c r="IGJ185" s="16"/>
      <c r="IGK185" s="16"/>
      <c r="IGL185" s="16"/>
      <c r="IGM185" s="16"/>
      <c r="IGN185" s="10"/>
      <c r="IGO185" s="10"/>
      <c r="IGV185" s="3"/>
      <c r="IGX185" s="1"/>
      <c r="IGZ185" s="16"/>
      <c r="IHA185" s="16"/>
      <c r="IHB185" s="16"/>
      <c r="IHC185" s="16"/>
      <c r="IHD185" s="10"/>
      <c r="IHE185" s="10"/>
      <c r="IHL185" s="3"/>
      <c r="IHN185" s="1"/>
      <c r="IHP185" s="16"/>
      <c r="IHQ185" s="16"/>
      <c r="IHR185" s="16"/>
      <c r="IHS185" s="16"/>
      <c r="IHT185" s="10"/>
      <c r="IHU185" s="10"/>
      <c r="IIB185" s="3"/>
      <c r="IID185" s="1"/>
      <c r="IIF185" s="16"/>
      <c r="IIG185" s="16"/>
      <c r="IIH185" s="16"/>
      <c r="III185" s="16"/>
      <c r="IIJ185" s="10"/>
      <c r="IIK185" s="10"/>
      <c r="IIR185" s="3"/>
      <c r="IIT185" s="1"/>
      <c r="IIV185" s="16"/>
      <c r="IIW185" s="16"/>
      <c r="IIX185" s="16"/>
      <c r="IIY185" s="16"/>
      <c r="IIZ185" s="10"/>
      <c r="IJA185" s="10"/>
      <c r="IJH185" s="3"/>
      <c r="IJJ185" s="1"/>
      <c r="IJL185" s="16"/>
      <c r="IJM185" s="16"/>
      <c r="IJN185" s="16"/>
      <c r="IJO185" s="16"/>
      <c r="IJP185" s="10"/>
      <c r="IJQ185" s="10"/>
      <c r="IJX185" s="3"/>
      <c r="IJZ185" s="1"/>
      <c r="IKB185" s="16"/>
      <c r="IKC185" s="16"/>
      <c r="IKD185" s="16"/>
      <c r="IKE185" s="16"/>
      <c r="IKF185" s="10"/>
      <c r="IKG185" s="10"/>
      <c r="IKN185" s="3"/>
      <c r="IKP185" s="1"/>
      <c r="IKR185" s="16"/>
      <c r="IKS185" s="16"/>
      <c r="IKT185" s="16"/>
      <c r="IKU185" s="16"/>
      <c r="IKV185" s="10"/>
      <c r="IKW185" s="10"/>
      <c r="ILD185" s="3"/>
      <c r="ILF185" s="1"/>
      <c r="ILH185" s="16"/>
      <c r="ILI185" s="16"/>
      <c r="ILJ185" s="16"/>
      <c r="ILK185" s="16"/>
      <c r="ILL185" s="10"/>
      <c r="ILM185" s="10"/>
      <c r="ILT185" s="3"/>
      <c r="ILV185" s="1"/>
      <c r="ILX185" s="16"/>
      <c r="ILY185" s="16"/>
      <c r="ILZ185" s="16"/>
      <c r="IMA185" s="16"/>
      <c r="IMB185" s="10"/>
      <c r="IMC185" s="10"/>
      <c r="IMJ185" s="3"/>
      <c r="IML185" s="1"/>
      <c r="IMN185" s="16"/>
      <c r="IMO185" s="16"/>
      <c r="IMP185" s="16"/>
      <c r="IMQ185" s="16"/>
      <c r="IMR185" s="10"/>
      <c r="IMS185" s="10"/>
      <c r="IMZ185" s="3"/>
      <c r="INB185" s="1"/>
      <c r="IND185" s="16"/>
      <c r="INE185" s="16"/>
      <c r="INF185" s="16"/>
      <c r="ING185" s="16"/>
      <c r="INH185" s="10"/>
      <c r="INI185" s="10"/>
      <c r="INP185" s="3"/>
      <c r="INR185" s="1"/>
      <c r="INT185" s="16"/>
      <c r="INU185" s="16"/>
      <c r="INV185" s="16"/>
      <c r="INW185" s="16"/>
      <c r="INX185" s="10"/>
      <c r="INY185" s="10"/>
      <c r="IOF185" s="3"/>
      <c r="IOH185" s="1"/>
      <c r="IOJ185" s="16"/>
      <c r="IOK185" s="16"/>
      <c r="IOL185" s="16"/>
      <c r="IOM185" s="16"/>
      <c r="ION185" s="10"/>
      <c r="IOO185" s="10"/>
      <c r="IOV185" s="3"/>
      <c r="IOX185" s="1"/>
      <c r="IOZ185" s="16"/>
      <c r="IPA185" s="16"/>
      <c r="IPB185" s="16"/>
      <c r="IPC185" s="16"/>
      <c r="IPD185" s="10"/>
      <c r="IPE185" s="10"/>
      <c r="IPL185" s="3"/>
      <c r="IPN185" s="1"/>
      <c r="IPP185" s="16"/>
      <c r="IPQ185" s="16"/>
      <c r="IPR185" s="16"/>
      <c r="IPS185" s="16"/>
      <c r="IPT185" s="10"/>
      <c r="IPU185" s="10"/>
      <c r="IQB185" s="3"/>
      <c r="IQD185" s="1"/>
      <c r="IQF185" s="16"/>
      <c r="IQG185" s="16"/>
      <c r="IQH185" s="16"/>
      <c r="IQI185" s="16"/>
      <c r="IQJ185" s="10"/>
      <c r="IQK185" s="10"/>
      <c r="IQR185" s="3"/>
      <c r="IQT185" s="1"/>
      <c r="IQV185" s="16"/>
      <c r="IQW185" s="16"/>
      <c r="IQX185" s="16"/>
      <c r="IQY185" s="16"/>
      <c r="IQZ185" s="10"/>
      <c r="IRA185" s="10"/>
      <c r="IRH185" s="3"/>
      <c r="IRJ185" s="1"/>
      <c r="IRL185" s="16"/>
      <c r="IRM185" s="16"/>
      <c r="IRN185" s="16"/>
      <c r="IRO185" s="16"/>
      <c r="IRP185" s="10"/>
      <c r="IRQ185" s="10"/>
      <c r="IRX185" s="3"/>
      <c r="IRZ185" s="1"/>
      <c r="ISB185" s="16"/>
      <c r="ISC185" s="16"/>
      <c r="ISD185" s="16"/>
      <c r="ISE185" s="16"/>
      <c r="ISF185" s="10"/>
      <c r="ISG185" s="10"/>
      <c r="ISN185" s="3"/>
      <c r="ISP185" s="1"/>
      <c r="ISR185" s="16"/>
      <c r="ISS185" s="16"/>
      <c r="IST185" s="16"/>
      <c r="ISU185" s="16"/>
      <c r="ISV185" s="10"/>
      <c r="ISW185" s="10"/>
      <c r="ITD185" s="3"/>
      <c r="ITF185" s="1"/>
      <c r="ITH185" s="16"/>
      <c r="ITI185" s="16"/>
      <c r="ITJ185" s="16"/>
      <c r="ITK185" s="16"/>
      <c r="ITL185" s="10"/>
      <c r="ITM185" s="10"/>
      <c r="ITT185" s="3"/>
      <c r="ITV185" s="1"/>
      <c r="ITX185" s="16"/>
      <c r="ITY185" s="16"/>
      <c r="ITZ185" s="16"/>
      <c r="IUA185" s="16"/>
      <c r="IUB185" s="10"/>
      <c r="IUC185" s="10"/>
      <c r="IUJ185" s="3"/>
      <c r="IUL185" s="1"/>
      <c r="IUN185" s="16"/>
      <c r="IUO185" s="16"/>
      <c r="IUP185" s="16"/>
      <c r="IUQ185" s="16"/>
      <c r="IUR185" s="10"/>
      <c r="IUS185" s="10"/>
      <c r="IUZ185" s="3"/>
      <c r="IVB185" s="1"/>
      <c r="IVD185" s="16"/>
      <c r="IVE185" s="16"/>
      <c r="IVF185" s="16"/>
      <c r="IVG185" s="16"/>
      <c r="IVH185" s="10"/>
      <c r="IVI185" s="10"/>
      <c r="IVP185" s="3"/>
      <c r="IVR185" s="1"/>
      <c r="IVT185" s="16"/>
      <c r="IVU185" s="16"/>
      <c r="IVV185" s="16"/>
      <c r="IVW185" s="16"/>
      <c r="IVX185" s="10"/>
      <c r="IVY185" s="10"/>
      <c r="IWF185" s="3"/>
      <c r="IWH185" s="1"/>
      <c r="IWJ185" s="16"/>
      <c r="IWK185" s="16"/>
      <c r="IWL185" s="16"/>
      <c r="IWM185" s="16"/>
      <c r="IWN185" s="10"/>
      <c r="IWO185" s="10"/>
      <c r="IWV185" s="3"/>
      <c r="IWX185" s="1"/>
      <c r="IWZ185" s="16"/>
      <c r="IXA185" s="16"/>
      <c r="IXB185" s="16"/>
      <c r="IXC185" s="16"/>
      <c r="IXD185" s="10"/>
      <c r="IXE185" s="10"/>
      <c r="IXL185" s="3"/>
      <c r="IXN185" s="1"/>
      <c r="IXP185" s="16"/>
      <c r="IXQ185" s="16"/>
      <c r="IXR185" s="16"/>
      <c r="IXS185" s="16"/>
      <c r="IXT185" s="10"/>
      <c r="IXU185" s="10"/>
      <c r="IYB185" s="3"/>
      <c r="IYD185" s="1"/>
      <c r="IYF185" s="16"/>
      <c r="IYG185" s="16"/>
      <c r="IYH185" s="16"/>
      <c r="IYI185" s="16"/>
      <c r="IYJ185" s="10"/>
      <c r="IYK185" s="10"/>
      <c r="IYR185" s="3"/>
      <c r="IYT185" s="1"/>
      <c r="IYV185" s="16"/>
      <c r="IYW185" s="16"/>
      <c r="IYX185" s="16"/>
      <c r="IYY185" s="16"/>
      <c r="IYZ185" s="10"/>
      <c r="IZA185" s="10"/>
      <c r="IZH185" s="3"/>
      <c r="IZJ185" s="1"/>
      <c r="IZL185" s="16"/>
      <c r="IZM185" s="16"/>
      <c r="IZN185" s="16"/>
      <c r="IZO185" s="16"/>
      <c r="IZP185" s="10"/>
      <c r="IZQ185" s="10"/>
      <c r="IZX185" s="3"/>
      <c r="IZZ185" s="1"/>
      <c r="JAB185" s="16"/>
      <c r="JAC185" s="16"/>
      <c r="JAD185" s="16"/>
      <c r="JAE185" s="16"/>
      <c r="JAF185" s="10"/>
      <c r="JAG185" s="10"/>
      <c r="JAN185" s="3"/>
      <c r="JAP185" s="1"/>
      <c r="JAR185" s="16"/>
      <c r="JAS185" s="16"/>
      <c r="JAT185" s="16"/>
      <c r="JAU185" s="16"/>
      <c r="JAV185" s="10"/>
      <c r="JAW185" s="10"/>
      <c r="JBD185" s="3"/>
      <c r="JBF185" s="1"/>
      <c r="JBH185" s="16"/>
      <c r="JBI185" s="16"/>
      <c r="JBJ185" s="16"/>
      <c r="JBK185" s="16"/>
      <c r="JBL185" s="10"/>
      <c r="JBM185" s="10"/>
      <c r="JBT185" s="3"/>
      <c r="JBV185" s="1"/>
      <c r="JBX185" s="16"/>
      <c r="JBY185" s="16"/>
      <c r="JBZ185" s="16"/>
      <c r="JCA185" s="16"/>
      <c r="JCB185" s="10"/>
      <c r="JCC185" s="10"/>
      <c r="JCJ185" s="3"/>
      <c r="JCL185" s="1"/>
      <c r="JCN185" s="16"/>
      <c r="JCO185" s="16"/>
      <c r="JCP185" s="16"/>
      <c r="JCQ185" s="16"/>
      <c r="JCR185" s="10"/>
      <c r="JCS185" s="10"/>
      <c r="JCZ185" s="3"/>
      <c r="JDB185" s="1"/>
      <c r="JDD185" s="16"/>
      <c r="JDE185" s="16"/>
      <c r="JDF185" s="16"/>
      <c r="JDG185" s="16"/>
      <c r="JDH185" s="10"/>
      <c r="JDI185" s="10"/>
      <c r="JDP185" s="3"/>
      <c r="JDR185" s="1"/>
      <c r="JDT185" s="16"/>
      <c r="JDU185" s="16"/>
      <c r="JDV185" s="16"/>
      <c r="JDW185" s="16"/>
      <c r="JDX185" s="10"/>
      <c r="JDY185" s="10"/>
      <c r="JEF185" s="3"/>
      <c r="JEH185" s="1"/>
      <c r="JEJ185" s="16"/>
      <c r="JEK185" s="16"/>
      <c r="JEL185" s="16"/>
      <c r="JEM185" s="16"/>
      <c r="JEN185" s="10"/>
      <c r="JEO185" s="10"/>
      <c r="JEV185" s="3"/>
      <c r="JEX185" s="1"/>
      <c r="JEZ185" s="16"/>
      <c r="JFA185" s="16"/>
      <c r="JFB185" s="16"/>
      <c r="JFC185" s="16"/>
      <c r="JFD185" s="10"/>
      <c r="JFE185" s="10"/>
      <c r="JFL185" s="3"/>
      <c r="JFN185" s="1"/>
      <c r="JFP185" s="16"/>
      <c r="JFQ185" s="16"/>
      <c r="JFR185" s="16"/>
      <c r="JFS185" s="16"/>
      <c r="JFT185" s="10"/>
      <c r="JFU185" s="10"/>
      <c r="JGB185" s="3"/>
      <c r="JGD185" s="1"/>
      <c r="JGF185" s="16"/>
      <c r="JGG185" s="16"/>
      <c r="JGH185" s="16"/>
      <c r="JGI185" s="16"/>
      <c r="JGJ185" s="10"/>
      <c r="JGK185" s="10"/>
      <c r="JGR185" s="3"/>
      <c r="JGT185" s="1"/>
      <c r="JGV185" s="16"/>
      <c r="JGW185" s="16"/>
      <c r="JGX185" s="16"/>
      <c r="JGY185" s="16"/>
      <c r="JGZ185" s="10"/>
      <c r="JHA185" s="10"/>
      <c r="JHH185" s="3"/>
      <c r="JHJ185" s="1"/>
      <c r="JHL185" s="16"/>
      <c r="JHM185" s="16"/>
      <c r="JHN185" s="16"/>
      <c r="JHO185" s="16"/>
      <c r="JHP185" s="10"/>
      <c r="JHQ185" s="10"/>
      <c r="JHX185" s="3"/>
      <c r="JHZ185" s="1"/>
      <c r="JIB185" s="16"/>
      <c r="JIC185" s="16"/>
      <c r="JID185" s="16"/>
      <c r="JIE185" s="16"/>
      <c r="JIF185" s="10"/>
      <c r="JIG185" s="10"/>
      <c r="JIN185" s="3"/>
      <c r="JIP185" s="1"/>
      <c r="JIR185" s="16"/>
      <c r="JIS185" s="16"/>
      <c r="JIT185" s="16"/>
      <c r="JIU185" s="16"/>
      <c r="JIV185" s="10"/>
      <c r="JIW185" s="10"/>
      <c r="JJD185" s="3"/>
      <c r="JJF185" s="1"/>
      <c r="JJH185" s="16"/>
      <c r="JJI185" s="16"/>
      <c r="JJJ185" s="16"/>
      <c r="JJK185" s="16"/>
      <c r="JJL185" s="10"/>
      <c r="JJM185" s="10"/>
      <c r="JJT185" s="3"/>
      <c r="JJV185" s="1"/>
      <c r="JJX185" s="16"/>
      <c r="JJY185" s="16"/>
      <c r="JJZ185" s="16"/>
      <c r="JKA185" s="16"/>
      <c r="JKB185" s="10"/>
      <c r="JKC185" s="10"/>
      <c r="JKJ185" s="3"/>
      <c r="JKL185" s="1"/>
      <c r="JKN185" s="16"/>
      <c r="JKO185" s="16"/>
      <c r="JKP185" s="16"/>
      <c r="JKQ185" s="16"/>
      <c r="JKR185" s="10"/>
      <c r="JKS185" s="10"/>
      <c r="JKZ185" s="3"/>
      <c r="JLB185" s="1"/>
      <c r="JLD185" s="16"/>
      <c r="JLE185" s="16"/>
      <c r="JLF185" s="16"/>
      <c r="JLG185" s="16"/>
      <c r="JLH185" s="10"/>
      <c r="JLI185" s="10"/>
      <c r="JLP185" s="3"/>
      <c r="JLR185" s="1"/>
      <c r="JLT185" s="16"/>
      <c r="JLU185" s="16"/>
      <c r="JLV185" s="16"/>
      <c r="JLW185" s="16"/>
      <c r="JLX185" s="10"/>
      <c r="JLY185" s="10"/>
      <c r="JMF185" s="3"/>
      <c r="JMH185" s="1"/>
      <c r="JMJ185" s="16"/>
      <c r="JMK185" s="16"/>
      <c r="JML185" s="16"/>
      <c r="JMM185" s="16"/>
      <c r="JMN185" s="10"/>
      <c r="JMO185" s="10"/>
      <c r="JMV185" s="3"/>
      <c r="JMX185" s="1"/>
      <c r="JMZ185" s="16"/>
      <c r="JNA185" s="16"/>
      <c r="JNB185" s="16"/>
      <c r="JNC185" s="16"/>
      <c r="JND185" s="10"/>
      <c r="JNE185" s="10"/>
      <c r="JNL185" s="3"/>
      <c r="JNN185" s="1"/>
      <c r="JNP185" s="16"/>
      <c r="JNQ185" s="16"/>
      <c r="JNR185" s="16"/>
      <c r="JNS185" s="16"/>
      <c r="JNT185" s="10"/>
      <c r="JNU185" s="10"/>
      <c r="JOB185" s="3"/>
      <c r="JOD185" s="1"/>
      <c r="JOF185" s="16"/>
      <c r="JOG185" s="16"/>
      <c r="JOH185" s="16"/>
      <c r="JOI185" s="16"/>
      <c r="JOJ185" s="10"/>
      <c r="JOK185" s="10"/>
      <c r="JOR185" s="3"/>
      <c r="JOT185" s="1"/>
      <c r="JOV185" s="16"/>
      <c r="JOW185" s="16"/>
      <c r="JOX185" s="16"/>
      <c r="JOY185" s="16"/>
      <c r="JOZ185" s="10"/>
      <c r="JPA185" s="10"/>
      <c r="JPH185" s="3"/>
      <c r="JPJ185" s="1"/>
      <c r="JPL185" s="16"/>
      <c r="JPM185" s="16"/>
      <c r="JPN185" s="16"/>
      <c r="JPO185" s="16"/>
      <c r="JPP185" s="10"/>
      <c r="JPQ185" s="10"/>
      <c r="JPX185" s="3"/>
      <c r="JPZ185" s="1"/>
      <c r="JQB185" s="16"/>
      <c r="JQC185" s="16"/>
      <c r="JQD185" s="16"/>
      <c r="JQE185" s="16"/>
      <c r="JQF185" s="10"/>
      <c r="JQG185" s="10"/>
      <c r="JQN185" s="3"/>
      <c r="JQP185" s="1"/>
      <c r="JQR185" s="16"/>
      <c r="JQS185" s="16"/>
      <c r="JQT185" s="16"/>
      <c r="JQU185" s="16"/>
      <c r="JQV185" s="10"/>
      <c r="JQW185" s="10"/>
      <c r="JRD185" s="3"/>
      <c r="JRF185" s="1"/>
      <c r="JRH185" s="16"/>
      <c r="JRI185" s="16"/>
      <c r="JRJ185" s="16"/>
      <c r="JRK185" s="16"/>
      <c r="JRL185" s="10"/>
      <c r="JRM185" s="10"/>
      <c r="JRT185" s="3"/>
      <c r="JRV185" s="1"/>
      <c r="JRX185" s="16"/>
      <c r="JRY185" s="16"/>
      <c r="JRZ185" s="16"/>
      <c r="JSA185" s="16"/>
      <c r="JSB185" s="10"/>
      <c r="JSC185" s="10"/>
      <c r="JSJ185" s="3"/>
      <c r="JSL185" s="1"/>
      <c r="JSN185" s="16"/>
      <c r="JSO185" s="16"/>
      <c r="JSP185" s="16"/>
      <c r="JSQ185" s="16"/>
      <c r="JSR185" s="10"/>
      <c r="JSS185" s="10"/>
      <c r="JSZ185" s="3"/>
      <c r="JTB185" s="1"/>
      <c r="JTD185" s="16"/>
      <c r="JTE185" s="16"/>
      <c r="JTF185" s="16"/>
      <c r="JTG185" s="16"/>
      <c r="JTH185" s="10"/>
      <c r="JTI185" s="10"/>
      <c r="JTP185" s="3"/>
      <c r="JTR185" s="1"/>
      <c r="JTT185" s="16"/>
      <c r="JTU185" s="16"/>
      <c r="JTV185" s="16"/>
      <c r="JTW185" s="16"/>
      <c r="JTX185" s="10"/>
      <c r="JTY185" s="10"/>
      <c r="JUF185" s="3"/>
      <c r="JUH185" s="1"/>
      <c r="JUJ185" s="16"/>
      <c r="JUK185" s="16"/>
      <c r="JUL185" s="16"/>
      <c r="JUM185" s="16"/>
      <c r="JUN185" s="10"/>
      <c r="JUO185" s="10"/>
      <c r="JUV185" s="3"/>
      <c r="JUX185" s="1"/>
      <c r="JUZ185" s="16"/>
      <c r="JVA185" s="16"/>
      <c r="JVB185" s="16"/>
      <c r="JVC185" s="16"/>
      <c r="JVD185" s="10"/>
      <c r="JVE185" s="10"/>
      <c r="JVL185" s="3"/>
      <c r="JVN185" s="1"/>
      <c r="JVP185" s="16"/>
      <c r="JVQ185" s="16"/>
      <c r="JVR185" s="16"/>
      <c r="JVS185" s="16"/>
      <c r="JVT185" s="10"/>
      <c r="JVU185" s="10"/>
      <c r="JWB185" s="3"/>
      <c r="JWD185" s="1"/>
      <c r="JWF185" s="16"/>
      <c r="JWG185" s="16"/>
      <c r="JWH185" s="16"/>
      <c r="JWI185" s="16"/>
      <c r="JWJ185" s="10"/>
      <c r="JWK185" s="10"/>
      <c r="JWR185" s="3"/>
      <c r="JWT185" s="1"/>
      <c r="JWV185" s="16"/>
      <c r="JWW185" s="16"/>
      <c r="JWX185" s="16"/>
      <c r="JWY185" s="16"/>
      <c r="JWZ185" s="10"/>
      <c r="JXA185" s="10"/>
      <c r="JXH185" s="3"/>
      <c r="JXJ185" s="1"/>
      <c r="JXL185" s="16"/>
      <c r="JXM185" s="16"/>
      <c r="JXN185" s="16"/>
      <c r="JXO185" s="16"/>
      <c r="JXP185" s="10"/>
      <c r="JXQ185" s="10"/>
      <c r="JXX185" s="3"/>
      <c r="JXZ185" s="1"/>
      <c r="JYB185" s="16"/>
      <c r="JYC185" s="16"/>
      <c r="JYD185" s="16"/>
      <c r="JYE185" s="16"/>
      <c r="JYF185" s="10"/>
      <c r="JYG185" s="10"/>
      <c r="JYN185" s="3"/>
      <c r="JYP185" s="1"/>
      <c r="JYR185" s="16"/>
      <c r="JYS185" s="16"/>
      <c r="JYT185" s="16"/>
      <c r="JYU185" s="16"/>
      <c r="JYV185" s="10"/>
      <c r="JYW185" s="10"/>
      <c r="JZD185" s="3"/>
      <c r="JZF185" s="1"/>
      <c r="JZH185" s="16"/>
      <c r="JZI185" s="16"/>
      <c r="JZJ185" s="16"/>
      <c r="JZK185" s="16"/>
      <c r="JZL185" s="10"/>
      <c r="JZM185" s="10"/>
      <c r="JZT185" s="3"/>
      <c r="JZV185" s="1"/>
      <c r="JZX185" s="16"/>
      <c r="JZY185" s="16"/>
      <c r="JZZ185" s="16"/>
      <c r="KAA185" s="16"/>
      <c r="KAB185" s="10"/>
      <c r="KAC185" s="10"/>
      <c r="KAJ185" s="3"/>
      <c r="KAL185" s="1"/>
      <c r="KAN185" s="16"/>
      <c r="KAO185" s="16"/>
      <c r="KAP185" s="16"/>
      <c r="KAQ185" s="16"/>
      <c r="KAR185" s="10"/>
      <c r="KAS185" s="10"/>
      <c r="KAZ185" s="3"/>
      <c r="KBB185" s="1"/>
      <c r="KBD185" s="16"/>
      <c r="KBE185" s="16"/>
      <c r="KBF185" s="16"/>
      <c r="KBG185" s="16"/>
      <c r="KBH185" s="10"/>
      <c r="KBI185" s="10"/>
      <c r="KBP185" s="3"/>
      <c r="KBR185" s="1"/>
      <c r="KBT185" s="16"/>
      <c r="KBU185" s="16"/>
      <c r="KBV185" s="16"/>
      <c r="KBW185" s="16"/>
      <c r="KBX185" s="10"/>
      <c r="KBY185" s="10"/>
      <c r="KCF185" s="3"/>
      <c r="KCH185" s="1"/>
      <c r="KCJ185" s="16"/>
      <c r="KCK185" s="16"/>
      <c r="KCL185" s="16"/>
      <c r="KCM185" s="16"/>
      <c r="KCN185" s="10"/>
      <c r="KCO185" s="10"/>
      <c r="KCV185" s="3"/>
      <c r="KCX185" s="1"/>
      <c r="KCZ185" s="16"/>
      <c r="KDA185" s="16"/>
      <c r="KDB185" s="16"/>
      <c r="KDC185" s="16"/>
      <c r="KDD185" s="10"/>
      <c r="KDE185" s="10"/>
      <c r="KDL185" s="3"/>
      <c r="KDN185" s="1"/>
      <c r="KDP185" s="16"/>
      <c r="KDQ185" s="16"/>
      <c r="KDR185" s="16"/>
      <c r="KDS185" s="16"/>
      <c r="KDT185" s="10"/>
      <c r="KDU185" s="10"/>
      <c r="KEB185" s="3"/>
      <c r="KED185" s="1"/>
      <c r="KEF185" s="16"/>
      <c r="KEG185" s="16"/>
      <c r="KEH185" s="16"/>
      <c r="KEI185" s="16"/>
      <c r="KEJ185" s="10"/>
      <c r="KEK185" s="10"/>
      <c r="KER185" s="3"/>
      <c r="KET185" s="1"/>
      <c r="KEV185" s="16"/>
      <c r="KEW185" s="16"/>
      <c r="KEX185" s="16"/>
      <c r="KEY185" s="16"/>
      <c r="KEZ185" s="10"/>
      <c r="KFA185" s="10"/>
      <c r="KFH185" s="3"/>
      <c r="KFJ185" s="1"/>
      <c r="KFL185" s="16"/>
      <c r="KFM185" s="16"/>
      <c r="KFN185" s="16"/>
      <c r="KFO185" s="16"/>
      <c r="KFP185" s="10"/>
      <c r="KFQ185" s="10"/>
      <c r="KFX185" s="3"/>
      <c r="KFZ185" s="1"/>
      <c r="KGB185" s="16"/>
      <c r="KGC185" s="16"/>
      <c r="KGD185" s="16"/>
      <c r="KGE185" s="16"/>
      <c r="KGF185" s="10"/>
      <c r="KGG185" s="10"/>
      <c r="KGN185" s="3"/>
      <c r="KGP185" s="1"/>
      <c r="KGR185" s="16"/>
      <c r="KGS185" s="16"/>
      <c r="KGT185" s="16"/>
      <c r="KGU185" s="16"/>
      <c r="KGV185" s="10"/>
      <c r="KGW185" s="10"/>
      <c r="KHD185" s="3"/>
      <c r="KHF185" s="1"/>
      <c r="KHH185" s="16"/>
      <c r="KHI185" s="16"/>
      <c r="KHJ185" s="16"/>
      <c r="KHK185" s="16"/>
      <c r="KHL185" s="10"/>
      <c r="KHM185" s="10"/>
      <c r="KHT185" s="3"/>
      <c r="KHV185" s="1"/>
      <c r="KHX185" s="16"/>
      <c r="KHY185" s="16"/>
      <c r="KHZ185" s="16"/>
      <c r="KIA185" s="16"/>
      <c r="KIB185" s="10"/>
      <c r="KIC185" s="10"/>
      <c r="KIJ185" s="3"/>
      <c r="KIL185" s="1"/>
      <c r="KIN185" s="16"/>
      <c r="KIO185" s="16"/>
      <c r="KIP185" s="16"/>
      <c r="KIQ185" s="16"/>
      <c r="KIR185" s="10"/>
      <c r="KIS185" s="10"/>
      <c r="KIZ185" s="3"/>
      <c r="KJB185" s="1"/>
      <c r="KJD185" s="16"/>
      <c r="KJE185" s="16"/>
      <c r="KJF185" s="16"/>
      <c r="KJG185" s="16"/>
      <c r="KJH185" s="10"/>
      <c r="KJI185" s="10"/>
      <c r="KJP185" s="3"/>
      <c r="KJR185" s="1"/>
      <c r="KJT185" s="16"/>
      <c r="KJU185" s="16"/>
      <c r="KJV185" s="16"/>
      <c r="KJW185" s="16"/>
      <c r="KJX185" s="10"/>
      <c r="KJY185" s="10"/>
      <c r="KKF185" s="3"/>
      <c r="KKH185" s="1"/>
      <c r="KKJ185" s="16"/>
      <c r="KKK185" s="16"/>
      <c r="KKL185" s="16"/>
      <c r="KKM185" s="16"/>
      <c r="KKN185" s="10"/>
      <c r="KKO185" s="10"/>
      <c r="KKV185" s="3"/>
      <c r="KKX185" s="1"/>
      <c r="KKZ185" s="16"/>
      <c r="KLA185" s="16"/>
      <c r="KLB185" s="16"/>
      <c r="KLC185" s="16"/>
      <c r="KLD185" s="10"/>
      <c r="KLE185" s="10"/>
      <c r="KLL185" s="3"/>
      <c r="KLN185" s="1"/>
      <c r="KLP185" s="16"/>
      <c r="KLQ185" s="16"/>
      <c r="KLR185" s="16"/>
      <c r="KLS185" s="16"/>
      <c r="KLT185" s="10"/>
      <c r="KLU185" s="10"/>
      <c r="KMB185" s="3"/>
      <c r="KMD185" s="1"/>
      <c r="KMF185" s="16"/>
      <c r="KMG185" s="16"/>
      <c r="KMH185" s="16"/>
      <c r="KMI185" s="16"/>
      <c r="KMJ185" s="10"/>
      <c r="KMK185" s="10"/>
      <c r="KMR185" s="3"/>
      <c r="KMT185" s="1"/>
      <c r="KMV185" s="16"/>
      <c r="KMW185" s="16"/>
      <c r="KMX185" s="16"/>
      <c r="KMY185" s="16"/>
      <c r="KMZ185" s="10"/>
      <c r="KNA185" s="10"/>
      <c r="KNH185" s="3"/>
      <c r="KNJ185" s="1"/>
      <c r="KNL185" s="16"/>
      <c r="KNM185" s="16"/>
      <c r="KNN185" s="16"/>
      <c r="KNO185" s="16"/>
      <c r="KNP185" s="10"/>
      <c r="KNQ185" s="10"/>
      <c r="KNX185" s="3"/>
      <c r="KNZ185" s="1"/>
      <c r="KOB185" s="16"/>
      <c r="KOC185" s="16"/>
      <c r="KOD185" s="16"/>
      <c r="KOE185" s="16"/>
      <c r="KOF185" s="10"/>
      <c r="KOG185" s="10"/>
      <c r="KON185" s="3"/>
      <c r="KOP185" s="1"/>
      <c r="KOR185" s="16"/>
      <c r="KOS185" s="16"/>
      <c r="KOT185" s="16"/>
      <c r="KOU185" s="16"/>
      <c r="KOV185" s="10"/>
      <c r="KOW185" s="10"/>
      <c r="KPD185" s="3"/>
      <c r="KPF185" s="1"/>
      <c r="KPH185" s="16"/>
      <c r="KPI185" s="16"/>
      <c r="KPJ185" s="16"/>
      <c r="KPK185" s="16"/>
      <c r="KPL185" s="10"/>
      <c r="KPM185" s="10"/>
      <c r="KPT185" s="3"/>
      <c r="KPV185" s="1"/>
      <c r="KPX185" s="16"/>
      <c r="KPY185" s="16"/>
      <c r="KPZ185" s="16"/>
      <c r="KQA185" s="16"/>
      <c r="KQB185" s="10"/>
      <c r="KQC185" s="10"/>
      <c r="KQJ185" s="3"/>
      <c r="KQL185" s="1"/>
      <c r="KQN185" s="16"/>
      <c r="KQO185" s="16"/>
      <c r="KQP185" s="16"/>
      <c r="KQQ185" s="16"/>
      <c r="KQR185" s="10"/>
      <c r="KQS185" s="10"/>
      <c r="KQZ185" s="3"/>
      <c r="KRB185" s="1"/>
      <c r="KRD185" s="16"/>
      <c r="KRE185" s="16"/>
      <c r="KRF185" s="16"/>
      <c r="KRG185" s="16"/>
      <c r="KRH185" s="10"/>
      <c r="KRI185" s="10"/>
      <c r="KRP185" s="3"/>
      <c r="KRR185" s="1"/>
      <c r="KRT185" s="16"/>
      <c r="KRU185" s="16"/>
      <c r="KRV185" s="16"/>
      <c r="KRW185" s="16"/>
      <c r="KRX185" s="10"/>
      <c r="KRY185" s="10"/>
      <c r="KSF185" s="3"/>
      <c r="KSH185" s="1"/>
      <c r="KSJ185" s="16"/>
      <c r="KSK185" s="16"/>
      <c r="KSL185" s="16"/>
      <c r="KSM185" s="16"/>
      <c r="KSN185" s="10"/>
      <c r="KSO185" s="10"/>
      <c r="KSV185" s="3"/>
      <c r="KSX185" s="1"/>
      <c r="KSZ185" s="16"/>
      <c r="KTA185" s="16"/>
      <c r="KTB185" s="16"/>
      <c r="KTC185" s="16"/>
      <c r="KTD185" s="10"/>
      <c r="KTE185" s="10"/>
      <c r="KTL185" s="3"/>
      <c r="KTN185" s="1"/>
      <c r="KTP185" s="16"/>
      <c r="KTQ185" s="16"/>
      <c r="KTR185" s="16"/>
      <c r="KTS185" s="16"/>
      <c r="KTT185" s="10"/>
      <c r="KTU185" s="10"/>
      <c r="KUB185" s="3"/>
      <c r="KUD185" s="1"/>
      <c r="KUF185" s="16"/>
      <c r="KUG185" s="16"/>
      <c r="KUH185" s="16"/>
      <c r="KUI185" s="16"/>
      <c r="KUJ185" s="10"/>
      <c r="KUK185" s="10"/>
      <c r="KUR185" s="3"/>
      <c r="KUT185" s="1"/>
      <c r="KUV185" s="16"/>
      <c r="KUW185" s="16"/>
      <c r="KUX185" s="16"/>
      <c r="KUY185" s="16"/>
      <c r="KUZ185" s="10"/>
      <c r="KVA185" s="10"/>
      <c r="KVH185" s="3"/>
      <c r="KVJ185" s="1"/>
      <c r="KVL185" s="16"/>
      <c r="KVM185" s="16"/>
      <c r="KVN185" s="16"/>
      <c r="KVO185" s="16"/>
      <c r="KVP185" s="10"/>
      <c r="KVQ185" s="10"/>
      <c r="KVX185" s="3"/>
      <c r="KVZ185" s="1"/>
      <c r="KWB185" s="16"/>
      <c r="KWC185" s="16"/>
      <c r="KWD185" s="16"/>
      <c r="KWE185" s="16"/>
      <c r="KWF185" s="10"/>
      <c r="KWG185" s="10"/>
      <c r="KWN185" s="3"/>
      <c r="KWP185" s="1"/>
      <c r="KWR185" s="16"/>
      <c r="KWS185" s="16"/>
      <c r="KWT185" s="16"/>
      <c r="KWU185" s="16"/>
      <c r="KWV185" s="10"/>
      <c r="KWW185" s="10"/>
      <c r="KXD185" s="3"/>
      <c r="KXF185" s="1"/>
      <c r="KXH185" s="16"/>
      <c r="KXI185" s="16"/>
      <c r="KXJ185" s="16"/>
      <c r="KXK185" s="16"/>
      <c r="KXL185" s="10"/>
      <c r="KXM185" s="10"/>
      <c r="KXT185" s="3"/>
      <c r="KXV185" s="1"/>
      <c r="KXX185" s="16"/>
      <c r="KXY185" s="16"/>
      <c r="KXZ185" s="16"/>
      <c r="KYA185" s="16"/>
      <c r="KYB185" s="10"/>
      <c r="KYC185" s="10"/>
      <c r="KYJ185" s="3"/>
      <c r="KYL185" s="1"/>
      <c r="KYN185" s="16"/>
      <c r="KYO185" s="16"/>
      <c r="KYP185" s="16"/>
      <c r="KYQ185" s="16"/>
      <c r="KYR185" s="10"/>
      <c r="KYS185" s="10"/>
      <c r="KYZ185" s="3"/>
      <c r="KZB185" s="1"/>
      <c r="KZD185" s="16"/>
      <c r="KZE185" s="16"/>
      <c r="KZF185" s="16"/>
      <c r="KZG185" s="16"/>
      <c r="KZH185" s="10"/>
      <c r="KZI185" s="10"/>
      <c r="KZP185" s="3"/>
      <c r="KZR185" s="1"/>
      <c r="KZT185" s="16"/>
      <c r="KZU185" s="16"/>
      <c r="KZV185" s="16"/>
      <c r="KZW185" s="16"/>
      <c r="KZX185" s="10"/>
      <c r="KZY185" s="10"/>
      <c r="LAF185" s="3"/>
      <c r="LAH185" s="1"/>
      <c r="LAJ185" s="16"/>
      <c r="LAK185" s="16"/>
      <c r="LAL185" s="16"/>
      <c r="LAM185" s="16"/>
      <c r="LAN185" s="10"/>
      <c r="LAO185" s="10"/>
      <c r="LAV185" s="3"/>
      <c r="LAX185" s="1"/>
      <c r="LAZ185" s="16"/>
      <c r="LBA185" s="16"/>
      <c r="LBB185" s="16"/>
      <c r="LBC185" s="16"/>
      <c r="LBD185" s="10"/>
      <c r="LBE185" s="10"/>
      <c r="LBL185" s="3"/>
      <c r="LBN185" s="1"/>
      <c r="LBP185" s="16"/>
      <c r="LBQ185" s="16"/>
      <c r="LBR185" s="16"/>
      <c r="LBS185" s="16"/>
      <c r="LBT185" s="10"/>
      <c r="LBU185" s="10"/>
      <c r="LCB185" s="3"/>
      <c r="LCD185" s="1"/>
      <c r="LCF185" s="16"/>
      <c r="LCG185" s="16"/>
      <c r="LCH185" s="16"/>
      <c r="LCI185" s="16"/>
      <c r="LCJ185" s="10"/>
      <c r="LCK185" s="10"/>
      <c r="LCR185" s="3"/>
      <c r="LCT185" s="1"/>
      <c r="LCV185" s="16"/>
      <c r="LCW185" s="16"/>
      <c r="LCX185" s="16"/>
      <c r="LCY185" s="16"/>
      <c r="LCZ185" s="10"/>
      <c r="LDA185" s="10"/>
      <c r="LDH185" s="3"/>
      <c r="LDJ185" s="1"/>
      <c r="LDL185" s="16"/>
      <c r="LDM185" s="16"/>
      <c r="LDN185" s="16"/>
      <c r="LDO185" s="16"/>
      <c r="LDP185" s="10"/>
      <c r="LDQ185" s="10"/>
      <c r="LDX185" s="3"/>
      <c r="LDZ185" s="1"/>
      <c r="LEB185" s="16"/>
      <c r="LEC185" s="16"/>
      <c r="LED185" s="16"/>
      <c r="LEE185" s="16"/>
      <c r="LEF185" s="10"/>
      <c r="LEG185" s="10"/>
      <c r="LEN185" s="3"/>
      <c r="LEP185" s="1"/>
      <c r="LER185" s="16"/>
      <c r="LES185" s="16"/>
      <c r="LET185" s="16"/>
      <c r="LEU185" s="16"/>
      <c r="LEV185" s="10"/>
      <c r="LEW185" s="10"/>
      <c r="LFD185" s="3"/>
      <c r="LFF185" s="1"/>
      <c r="LFH185" s="16"/>
      <c r="LFI185" s="16"/>
      <c r="LFJ185" s="16"/>
      <c r="LFK185" s="16"/>
      <c r="LFL185" s="10"/>
      <c r="LFM185" s="10"/>
      <c r="LFT185" s="3"/>
      <c r="LFV185" s="1"/>
      <c r="LFX185" s="16"/>
      <c r="LFY185" s="16"/>
      <c r="LFZ185" s="16"/>
      <c r="LGA185" s="16"/>
      <c r="LGB185" s="10"/>
      <c r="LGC185" s="10"/>
      <c r="LGJ185" s="3"/>
      <c r="LGL185" s="1"/>
      <c r="LGN185" s="16"/>
      <c r="LGO185" s="16"/>
      <c r="LGP185" s="16"/>
      <c r="LGQ185" s="16"/>
      <c r="LGR185" s="10"/>
      <c r="LGS185" s="10"/>
      <c r="LGZ185" s="3"/>
      <c r="LHB185" s="1"/>
      <c r="LHD185" s="16"/>
      <c r="LHE185" s="16"/>
      <c r="LHF185" s="16"/>
      <c r="LHG185" s="16"/>
      <c r="LHH185" s="10"/>
      <c r="LHI185" s="10"/>
      <c r="LHP185" s="3"/>
      <c r="LHR185" s="1"/>
      <c r="LHT185" s="16"/>
      <c r="LHU185" s="16"/>
      <c r="LHV185" s="16"/>
      <c r="LHW185" s="16"/>
      <c r="LHX185" s="10"/>
      <c r="LHY185" s="10"/>
      <c r="LIF185" s="3"/>
      <c r="LIH185" s="1"/>
      <c r="LIJ185" s="16"/>
      <c r="LIK185" s="16"/>
      <c r="LIL185" s="16"/>
      <c r="LIM185" s="16"/>
      <c r="LIN185" s="10"/>
      <c r="LIO185" s="10"/>
      <c r="LIV185" s="3"/>
      <c r="LIX185" s="1"/>
      <c r="LIZ185" s="16"/>
      <c r="LJA185" s="16"/>
      <c r="LJB185" s="16"/>
      <c r="LJC185" s="16"/>
      <c r="LJD185" s="10"/>
      <c r="LJE185" s="10"/>
      <c r="LJL185" s="3"/>
      <c r="LJN185" s="1"/>
      <c r="LJP185" s="16"/>
      <c r="LJQ185" s="16"/>
      <c r="LJR185" s="16"/>
      <c r="LJS185" s="16"/>
      <c r="LJT185" s="10"/>
      <c r="LJU185" s="10"/>
      <c r="LKB185" s="3"/>
      <c r="LKD185" s="1"/>
      <c r="LKF185" s="16"/>
      <c r="LKG185" s="16"/>
      <c r="LKH185" s="16"/>
      <c r="LKI185" s="16"/>
      <c r="LKJ185" s="10"/>
      <c r="LKK185" s="10"/>
      <c r="LKR185" s="3"/>
      <c r="LKT185" s="1"/>
      <c r="LKV185" s="16"/>
      <c r="LKW185" s="16"/>
      <c r="LKX185" s="16"/>
      <c r="LKY185" s="16"/>
      <c r="LKZ185" s="10"/>
      <c r="LLA185" s="10"/>
      <c r="LLH185" s="3"/>
      <c r="LLJ185" s="1"/>
      <c r="LLL185" s="16"/>
      <c r="LLM185" s="16"/>
      <c r="LLN185" s="16"/>
      <c r="LLO185" s="16"/>
      <c r="LLP185" s="10"/>
      <c r="LLQ185" s="10"/>
      <c r="LLX185" s="3"/>
      <c r="LLZ185" s="1"/>
      <c r="LMB185" s="16"/>
      <c r="LMC185" s="16"/>
      <c r="LMD185" s="16"/>
      <c r="LME185" s="16"/>
      <c r="LMF185" s="10"/>
      <c r="LMG185" s="10"/>
      <c r="LMN185" s="3"/>
      <c r="LMP185" s="1"/>
      <c r="LMR185" s="16"/>
      <c r="LMS185" s="16"/>
      <c r="LMT185" s="16"/>
      <c r="LMU185" s="16"/>
      <c r="LMV185" s="10"/>
      <c r="LMW185" s="10"/>
      <c r="LND185" s="3"/>
      <c r="LNF185" s="1"/>
      <c r="LNH185" s="16"/>
      <c r="LNI185" s="16"/>
      <c r="LNJ185" s="16"/>
      <c r="LNK185" s="16"/>
      <c r="LNL185" s="10"/>
      <c r="LNM185" s="10"/>
      <c r="LNT185" s="3"/>
      <c r="LNV185" s="1"/>
      <c r="LNX185" s="16"/>
      <c r="LNY185" s="16"/>
      <c r="LNZ185" s="16"/>
      <c r="LOA185" s="16"/>
      <c r="LOB185" s="10"/>
      <c r="LOC185" s="10"/>
      <c r="LOJ185" s="3"/>
      <c r="LOL185" s="1"/>
      <c r="LON185" s="16"/>
      <c r="LOO185" s="16"/>
      <c r="LOP185" s="16"/>
      <c r="LOQ185" s="16"/>
      <c r="LOR185" s="10"/>
      <c r="LOS185" s="10"/>
      <c r="LOZ185" s="3"/>
      <c r="LPB185" s="1"/>
      <c r="LPD185" s="16"/>
      <c r="LPE185" s="16"/>
      <c r="LPF185" s="16"/>
      <c r="LPG185" s="16"/>
      <c r="LPH185" s="10"/>
      <c r="LPI185" s="10"/>
      <c r="LPP185" s="3"/>
      <c r="LPR185" s="1"/>
      <c r="LPT185" s="16"/>
      <c r="LPU185" s="16"/>
      <c r="LPV185" s="16"/>
      <c r="LPW185" s="16"/>
      <c r="LPX185" s="10"/>
      <c r="LPY185" s="10"/>
      <c r="LQF185" s="3"/>
      <c r="LQH185" s="1"/>
      <c r="LQJ185" s="16"/>
      <c r="LQK185" s="16"/>
      <c r="LQL185" s="16"/>
      <c r="LQM185" s="16"/>
      <c r="LQN185" s="10"/>
      <c r="LQO185" s="10"/>
      <c r="LQV185" s="3"/>
      <c r="LQX185" s="1"/>
      <c r="LQZ185" s="16"/>
      <c r="LRA185" s="16"/>
      <c r="LRB185" s="16"/>
      <c r="LRC185" s="16"/>
      <c r="LRD185" s="10"/>
      <c r="LRE185" s="10"/>
      <c r="LRL185" s="3"/>
      <c r="LRN185" s="1"/>
      <c r="LRP185" s="16"/>
      <c r="LRQ185" s="16"/>
      <c r="LRR185" s="16"/>
      <c r="LRS185" s="16"/>
      <c r="LRT185" s="10"/>
      <c r="LRU185" s="10"/>
      <c r="LSB185" s="3"/>
      <c r="LSD185" s="1"/>
      <c r="LSF185" s="16"/>
      <c r="LSG185" s="16"/>
      <c r="LSH185" s="16"/>
      <c r="LSI185" s="16"/>
      <c r="LSJ185" s="10"/>
      <c r="LSK185" s="10"/>
      <c r="LSR185" s="3"/>
      <c r="LST185" s="1"/>
      <c r="LSV185" s="16"/>
      <c r="LSW185" s="16"/>
      <c r="LSX185" s="16"/>
      <c r="LSY185" s="16"/>
      <c r="LSZ185" s="10"/>
      <c r="LTA185" s="10"/>
      <c r="LTH185" s="3"/>
      <c r="LTJ185" s="1"/>
      <c r="LTL185" s="16"/>
      <c r="LTM185" s="16"/>
      <c r="LTN185" s="16"/>
      <c r="LTO185" s="16"/>
      <c r="LTP185" s="10"/>
      <c r="LTQ185" s="10"/>
      <c r="LTX185" s="3"/>
      <c r="LTZ185" s="1"/>
      <c r="LUB185" s="16"/>
      <c r="LUC185" s="16"/>
      <c r="LUD185" s="16"/>
      <c r="LUE185" s="16"/>
      <c r="LUF185" s="10"/>
      <c r="LUG185" s="10"/>
      <c r="LUN185" s="3"/>
      <c r="LUP185" s="1"/>
      <c r="LUR185" s="16"/>
      <c r="LUS185" s="16"/>
      <c r="LUT185" s="16"/>
      <c r="LUU185" s="16"/>
      <c r="LUV185" s="10"/>
      <c r="LUW185" s="10"/>
      <c r="LVD185" s="3"/>
      <c r="LVF185" s="1"/>
      <c r="LVH185" s="16"/>
      <c r="LVI185" s="16"/>
      <c r="LVJ185" s="16"/>
      <c r="LVK185" s="16"/>
      <c r="LVL185" s="10"/>
      <c r="LVM185" s="10"/>
      <c r="LVT185" s="3"/>
      <c r="LVV185" s="1"/>
      <c r="LVX185" s="16"/>
      <c r="LVY185" s="16"/>
      <c r="LVZ185" s="16"/>
      <c r="LWA185" s="16"/>
      <c r="LWB185" s="10"/>
      <c r="LWC185" s="10"/>
      <c r="LWJ185" s="3"/>
      <c r="LWL185" s="1"/>
      <c r="LWN185" s="16"/>
      <c r="LWO185" s="16"/>
      <c r="LWP185" s="16"/>
      <c r="LWQ185" s="16"/>
      <c r="LWR185" s="10"/>
      <c r="LWS185" s="10"/>
      <c r="LWZ185" s="3"/>
      <c r="LXB185" s="1"/>
      <c r="LXD185" s="16"/>
      <c r="LXE185" s="16"/>
      <c r="LXF185" s="16"/>
      <c r="LXG185" s="16"/>
      <c r="LXH185" s="10"/>
      <c r="LXI185" s="10"/>
      <c r="LXP185" s="3"/>
      <c r="LXR185" s="1"/>
      <c r="LXT185" s="16"/>
      <c r="LXU185" s="16"/>
      <c r="LXV185" s="16"/>
      <c r="LXW185" s="16"/>
      <c r="LXX185" s="10"/>
      <c r="LXY185" s="10"/>
      <c r="LYF185" s="3"/>
      <c r="LYH185" s="1"/>
      <c r="LYJ185" s="16"/>
      <c r="LYK185" s="16"/>
      <c r="LYL185" s="16"/>
      <c r="LYM185" s="16"/>
      <c r="LYN185" s="10"/>
      <c r="LYO185" s="10"/>
      <c r="LYV185" s="3"/>
      <c r="LYX185" s="1"/>
      <c r="LYZ185" s="16"/>
      <c r="LZA185" s="16"/>
      <c r="LZB185" s="16"/>
      <c r="LZC185" s="16"/>
      <c r="LZD185" s="10"/>
      <c r="LZE185" s="10"/>
      <c r="LZL185" s="3"/>
      <c r="LZN185" s="1"/>
      <c r="LZP185" s="16"/>
      <c r="LZQ185" s="16"/>
      <c r="LZR185" s="16"/>
      <c r="LZS185" s="16"/>
      <c r="LZT185" s="10"/>
      <c r="LZU185" s="10"/>
      <c r="MAB185" s="3"/>
      <c r="MAD185" s="1"/>
      <c r="MAF185" s="16"/>
      <c r="MAG185" s="16"/>
      <c r="MAH185" s="16"/>
      <c r="MAI185" s="16"/>
      <c r="MAJ185" s="10"/>
      <c r="MAK185" s="10"/>
      <c r="MAR185" s="3"/>
      <c r="MAT185" s="1"/>
      <c r="MAV185" s="16"/>
      <c r="MAW185" s="16"/>
      <c r="MAX185" s="16"/>
      <c r="MAY185" s="16"/>
      <c r="MAZ185" s="10"/>
      <c r="MBA185" s="10"/>
      <c r="MBH185" s="3"/>
      <c r="MBJ185" s="1"/>
      <c r="MBL185" s="16"/>
      <c r="MBM185" s="16"/>
      <c r="MBN185" s="16"/>
      <c r="MBO185" s="16"/>
      <c r="MBP185" s="10"/>
      <c r="MBQ185" s="10"/>
      <c r="MBX185" s="3"/>
      <c r="MBZ185" s="1"/>
      <c r="MCB185" s="16"/>
      <c r="MCC185" s="16"/>
      <c r="MCD185" s="16"/>
      <c r="MCE185" s="16"/>
      <c r="MCF185" s="10"/>
      <c r="MCG185" s="10"/>
      <c r="MCN185" s="3"/>
      <c r="MCP185" s="1"/>
      <c r="MCR185" s="16"/>
      <c r="MCS185" s="16"/>
      <c r="MCT185" s="16"/>
      <c r="MCU185" s="16"/>
      <c r="MCV185" s="10"/>
      <c r="MCW185" s="10"/>
      <c r="MDD185" s="3"/>
      <c r="MDF185" s="1"/>
      <c r="MDH185" s="16"/>
      <c r="MDI185" s="16"/>
      <c r="MDJ185" s="16"/>
      <c r="MDK185" s="16"/>
      <c r="MDL185" s="10"/>
      <c r="MDM185" s="10"/>
      <c r="MDT185" s="3"/>
      <c r="MDV185" s="1"/>
      <c r="MDX185" s="16"/>
      <c r="MDY185" s="16"/>
      <c r="MDZ185" s="16"/>
      <c r="MEA185" s="16"/>
      <c r="MEB185" s="10"/>
      <c r="MEC185" s="10"/>
      <c r="MEJ185" s="3"/>
      <c r="MEL185" s="1"/>
      <c r="MEN185" s="16"/>
      <c r="MEO185" s="16"/>
      <c r="MEP185" s="16"/>
      <c r="MEQ185" s="16"/>
      <c r="MER185" s="10"/>
      <c r="MES185" s="10"/>
      <c r="MEZ185" s="3"/>
      <c r="MFB185" s="1"/>
      <c r="MFD185" s="16"/>
      <c r="MFE185" s="16"/>
      <c r="MFF185" s="16"/>
      <c r="MFG185" s="16"/>
      <c r="MFH185" s="10"/>
      <c r="MFI185" s="10"/>
      <c r="MFP185" s="3"/>
      <c r="MFR185" s="1"/>
      <c r="MFT185" s="16"/>
      <c r="MFU185" s="16"/>
      <c r="MFV185" s="16"/>
      <c r="MFW185" s="16"/>
      <c r="MFX185" s="10"/>
      <c r="MFY185" s="10"/>
      <c r="MGF185" s="3"/>
      <c r="MGH185" s="1"/>
      <c r="MGJ185" s="16"/>
      <c r="MGK185" s="16"/>
      <c r="MGL185" s="16"/>
      <c r="MGM185" s="16"/>
      <c r="MGN185" s="10"/>
      <c r="MGO185" s="10"/>
      <c r="MGV185" s="3"/>
      <c r="MGX185" s="1"/>
      <c r="MGZ185" s="16"/>
      <c r="MHA185" s="16"/>
      <c r="MHB185" s="16"/>
      <c r="MHC185" s="16"/>
      <c r="MHD185" s="10"/>
      <c r="MHE185" s="10"/>
      <c r="MHL185" s="3"/>
      <c r="MHN185" s="1"/>
      <c r="MHP185" s="16"/>
      <c r="MHQ185" s="16"/>
      <c r="MHR185" s="16"/>
      <c r="MHS185" s="16"/>
      <c r="MHT185" s="10"/>
      <c r="MHU185" s="10"/>
      <c r="MIB185" s="3"/>
      <c r="MID185" s="1"/>
      <c r="MIF185" s="16"/>
      <c r="MIG185" s="16"/>
      <c r="MIH185" s="16"/>
      <c r="MII185" s="16"/>
      <c r="MIJ185" s="10"/>
      <c r="MIK185" s="10"/>
      <c r="MIR185" s="3"/>
      <c r="MIT185" s="1"/>
      <c r="MIV185" s="16"/>
      <c r="MIW185" s="16"/>
      <c r="MIX185" s="16"/>
      <c r="MIY185" s="16"/>
      <c r="MIZ185" s="10"/>
      <c r="MJA185" s="10"/>
      <c r="MJH185" s="3"/>
      <c r="MJJ185" s="1"/>
      <c r="MJL185" s="16"/>
      <c r="MJM185" s="16"/>
      <c r="MJN185" s="16"/>
      <c r="MJO185" s="16"/>
      <c r="MJP185" s="10"/>
      <c r="MJQ185" s="10"/>
      <c r="MJX185" s="3"/>
      <c r="MJZ185" s="1"/>
      <c r="MKB185" s="16"/>
      <c r="MKC185" s="16"/>
      <c r="MKD185" s="16"/>
      <c r="MKE185" s="16"/>
      <c r="MKF185" s="10"/>
      <c r="MKG185" s="10"/>
      <c r="MKN185" s="3"/>
      <c r="MKP185" s="1"/>
      <c r="MKR185" s="16"/>
      <c r="MKS185" s="16"/>
      <c r="MKT185" s="16"/>
      <c r="MKU185" s="16"/>
      <c r="MKV185" s="10"/>
      <c r="MKW185" s="10"/>
      <c r="MLD185" s="3"/>
      <c r="MLF185" s="1"/>
      <c r="MLH185" s="16"/>
      <c r="MLI185" s="16"/>
      <c r="MLJ185" s="16"/>
      <c r="MLK185" s="16"/>
      <c r="MLL185" s="10"/>
      <c r="MLM185" s="10"/>
      <c r="MLT185" s="3"/>
      <c r="MLV185" s="1"/>
      <c r="MLX185" s="16"/>
      <c r="MLY185" s="16"/>
      <c r="MLZ185" s="16"/>
      <c r="MMA185" s="16"/>
      <c r="MMB185" s="10"/>
      <c r="MMC185" s="10"/>
      <c r="MMJ185" s="3"/>
      <c r="MML185" s="1"/>
      <c r="MMN185" s="16"/>
      <c r="MMO185" s="16"/>
      <c r="MMP185" s="16"/>
      <c r="MMQ185" s="16"/>
      <c r="MMR185" s="10"/>
      <c r="MMS185" s="10"/>
      <c r="MMZ185" s="3"/>
      <c r="MNB185" s="1"/>
      <c r="MND185" s="16"/>
      <c r="MNE185" s="16"/>
      <c r="MNF185" s="16"/>
      <c r="MNG185" s="16"/>
      <c r="MNH185" s="10"/>
      <c r="MNI185" s="10"/>
      <c r="MNP185" s="3"/>
      <c r="MNR185" s="1"/>
      <c r="MNT185" s="16"/>
      <c r="MNU185" s="16"/>
      <c r="MNV185" s="16"/>
      <c r="MNW185" s="16"/>
      <c r="MNX185" s="10"/>
      <c r="MNY185" s="10"/>
      <c r="MOF185" s="3"/>
      <c r="MOH185" s="1"/>
      <c r="MOJ185" s="16"/>
      <c r="MOK185" s="16"/>
      <c r="MOL185" s="16"/>
      <c r="MOM185" s="16"/>
      <c r="MON185" s="10"/>
      <c r="MOO185" s="10"/>
      <c r="MOV185" s="3"/>
      <c r="MOX185" s="1"/>
      <c r="MOZ185" s="16"/>
      <c r="MPA185" s="16"/>
      <c r="MPB185" s="16"/>
      <c r="MPC185" s="16"/>
      <c r="MPD185" s="10"/>
      <c r="MPE185" s="10"/>
      <c r="MPL185" s="3"/>
      <c r="MPN185" s="1"/>
      <c r="MPP185" s="16"/>
      <c r="MPQ185" s="16"/>
      <c r="MPR185" s="16"/>
      <c r="MPS185" s="16"/>
      <c r="MPT185" s="10"/>
      <c r="MPU185" s="10"/>
      <c r="MQB185" s="3"/>
      <c r="MQD185" s="1"/>
      <c r="MQF185" s="16"/>
      <c r="MQG185" s="16"/>
      <c r="MQH185" s="16"/>
      <c r="MQI185" s="16"/>
      <c r="MQJ185" s="10"/>
      <c r="MQK185" s="10"/>
      <c r="MQR185" s="3"/>
      <c r="MQT185" s="1"/>
      <c r="MQV185" s="16"/>
      <c r="MQW185" s="16"/>
      <c r="MQX185" s="16"/>
      <c r="MQY185" s="16"/>
      <c r="MQZ185" s="10"/>
      <c r="MRA185" s="10"/>
      <c r="MRH185" s="3"/>
      <c r="MRJ185" s="1"/>
      <c r="MRL185" s="16"/>
      <c r="MRM185" s="16"/>
      <c r="MRN185" s="16"/>
      <c r="MRO185" s="16"/>
      <c r="MRP185" s="10"/>
      <c r="MRQ185" s="10"/>
      <c r="MRX185" s="3"/>
      <c r="MRZ185" s="1"/>
      <c r="MSB185" s="16"/>
      <c r="MSC185" s="16"/>
      <c r="MSD185" s="16"/>
      <c r="MSE185" s="16"/>
      <c r="MSF185" s="10"/>
      <c r="MSG185" s="10"/>
      <c r="MSN185" s="3"/>
      <c r="MSP185" s="1"/>
      <c r="MSR185" s="16"/>
      <c r="MSS185" s="16"/>
      <c r="MST185" s="16"/>
      <c r="MSU185" s="16"/>
      <c r="MSV185" s="10"/>
      <c r="MSW185" s="10"/>
      <c r="MTD185" s="3"/>
      <c r="MTF185" s="1"/>
      <c r="MTH185" s="16"/>
      <c r="MTI185" s="16"/>
      <c r="MTJ185" s="16"/>
      <c r="MTK185" s="16"/>
      <c r="MTL185" s="10"/>
      <c r="MTM185" s="10"/>
      <c r="MTT185" s="3"/>
      <c r="MTV185" s="1"/>
      <c r="MTX185" s="16"/>
      <c r="MTY185" s="16"/>
      <c r="MTZ185" s="16"/>
      <c r="MUA185" s="16"/>
      <c r="MUB185" s="10"/>
      <c r="MUC185" s="10"/>
      <c r="MUJ185" s="3"/>
      <c r="MUL185" s="1"/>
      <c r="MUN185" s="16"/>
      <c r="MUO185" s="16"/>
      <c r="MUP185" s="16"/>
      <c r="MUQ185" s="16"/>
      <c r="MUR185" s="10"/>
      <c r="MUS185" s="10"/>
      <c r="MUZ185" s="3"/>
      <c r="MVB185" s="1"/>
      <c r="MVD185" s="16"/>
      <c r="MVE185" s="16"/>
      <c r="MVF185" s="16"/>
      <c r="MVG185" s="16"/>
      <c r="MVH185" s="10"/>
      <c r="MVI185" s="10"/>
      <c r="MVP185" s="3"/>
      <c r="MVR185" s="1"/>
      <c r="MVT185" s="16"/>
      <c r="MVU185" s="16"/>
      <c r="MVV185" s="16"/>
      <c r="MVW185" s="16"/>
      <c r="MVX185" s="10"/>
      <c r="MVY185" s="10"/>
      <c r="MWF185" s="3"/>
      <c r="MWH185" s="1"/>
      <c r="MWJ185" s="16"/>
      <c r="MWK185" s="16"/>
      <c r="MWL185" s="16"/>
      <c r="MWM185" s="16"/>
      <c r="MWN185" s="10"/>
      <c r="MWO185" s="10"/>
      <c r="MWV185" s="3"/>
      <c r="MWX185" s="1"/>
      <c r="MWZ185" s="16"/>
      <c r="MXA185" s="16"/>
      <c r="MXB185" s="16"/>
      <c r="MXC185" s="16"/>
      <c r="MXD185" s="10"/>
      <c r="MXE185" s="10"/>
      <c r="MXL185" s="3"/>
      <c r="MXN185" s="1"/>
      <c r="MXP185" s="16"/>
      <c r="MXQ185" s="16"/>
      <c r="MXR185" s="16"/>
      <c r="MXS185" s="16"/>
      <c r="MXT185" s="10"/>
      <c r="MXU185" s="10"/>
      <c r="MYB185" s="3"/>
      <c r="MYD185" s="1"/>
      <c r="MYF185" s="16"/>
      <c r="MYG185" s="16"/>
      <c r="MYH185" s="16"/>
      <c r="MYI185" s="16"/>
      <c r="MYJ185" s="10"/>
      <c r="MYK185" s="10"/>
      <c r="MYR185" s="3"/>
      <c r="MYT185" s="1"/>
      <c r="MYV185" s="16"/>
      <c r="MYW185" s="16"/>
      <c r="MYX185" s="16"/>
      <c r="MYY185" s="16"/>
      <c r="MYZ185" s="10"/>
      <c r="MZA185" s="10"/>
      <c r="MZH185" s="3"/>
      <c r="MZJ185" s="1"/>
      <c r="MZL185" s="16"/>
      <c r="MZM185" s="16"/>
      <c r="MZN185" s="16"/>
      <c r="MZO185" s="16"/>
      <c r="MZP185" s="10"/>
      <c r="MZQ185" s="10"/>
      <c r="MZX185" s="3"/>
      <c r="MZZ185" s="1"/>
      <c r="NAB185" s="16"/>
      <c r="NAC185" s="16"/>
      <c r="NAD185" s="16"/>
      <c r="NAE185" s="16"/>
      <c r="NAF185" s="10"/>
      <c r="NAG185" s="10"/>
      <c r="NAN185" s="3"/>
      <c r="NAP185" s="1"/>
      <c r="NAR185" s="16"/>
      <c r="NAS185" s="16"/>
      <c r="NAT185" s="16"/>
      <c r="NAU185" s="16"/>
      <c r="NAV185" s="10"/>
      <c r="NAW185" s="10"/>
      <c r="NBD185" s="3"/>
      <c r="NBF185" s="1"/>
      <c r="NBH185" s="16"/>
      <c r="NBI185" s="16"/>
      <c r="NBJ185" s="16"/>
      <c r="NBK185" s="16"/>
      <c r="NBL185" s="10"/>
      <c r="NBM185" s="10"/>
      <c r="NBT185" s="3"/>
      <c r="NBV185" s="1"/>
      <c r="NBX185" s="16"/>
      <c r="NBY185" s="16"/>
      <c r="NBZ185" s="16"/>
      <c r="NCA185" s="16"/>
      <c r="NCB185" s="10"/>
      <c r="NCC185" s="10"/>
      <c r="NCJ185" s="3"/>
      <c r="NCL185" s="1"/>
      <c r="NCN185" s="16"/>
      <c r="NCO185" s="16"/>
      <c r="NCP185" s="16"/>
      <c r="NCQ185" s="16"/>
      <c r="NCR185" s="10"/>
      <c r="NCS185" s="10"/>
      <c r="NCZ185" s="3"/>
      <c r="NDB185" s="1"/>
      <c r="NDD185" s="16"/>
      <c r="NDE185" s="16"/>
      <c r="NDF185" s="16"/>
      <c r="NDG185" s="16"/>
      <c r="NDH185" s="10"/>
      <c r="NDI185" s="10"/>
      <c r="NDP185" s="3"/>
      <c r="NDR185" s="1"/>
      <c r="NDT185" s="16"/>
      <c r="NDU185" s="16"/>
      <c r="NDV185" s="16"/>
      <c r="NDW185" s="16"/>
      <c r="NDX185" s="10"/>
      <c r="NDY185" s="10"/>
      <c r="NEF185" s="3"/>
      <c r="NEH185" s="1"/>
      <c r="NEJ185" s="16"/>
      <c r="NEK185" s="16"/>
      <c r="NEL185" s="16"/>
      <c r="NEM185" s="16"/>
      <c r="NEN185" s="10"/>
      <c r="NEO185" s="10"/>
      <c r="NEV185" s="3"/>
      <c r="NEX185" s="1"/>
      <c r="NEZ185" s="16"/>
      <c r="NFA185" s="16"/>
      <c r="NFB185" s="16"/>
      <c r="NFC185" s="16"/>
      <c r="NFD185" s="10"/>
      <c r="NFE185" s="10"/>
      <c r="NFL185" s="3"/>
      <c r="NFN185" s="1"/>
      <c r="NFP185" s="16"/>
      <c r="NFQ185" s="16"/>
      <c r="NFR185" s="16"/>
      <c r="NFS185" s="16"/>
      <c r="NFT185" s="10"/>
      <c r="NFU185" s="10"/>
      <c r="NGB185" s="3"/>
      <c r="NGD185" s="1"/>
      <c r="NGF185" s="16"/>
      <c r="NGG185" s="16"/>
      <c r="NGH185" s="16"/>
      <c r="NGI185" s="16"/>
      <c r="NGJ185" s="10"/>
      <c r="NGK185" s="10"/>
      <c r="NGR185" s="3"/>
      <c r="NGT185" s="1"/>
      <c r="NGV185" s="16"/>
      <c r="NGW185" s="16"/>
      <c r="NGX185" s="16"/>
      <c r="NGY185" s="16"/>
      <c r="NGZ185" s="10"/>
      <c r="NHA185" s="10"/>
      <c r="NHH185" s="3"/>
      <c r="NHJ185" s="1"/>
      <c r="NHL185" s="16"/>
      <c r="NHM185" s="16"/>
      <c r="NHN185" s="16"/>
      <c r="NHO185" s="16"/>
      <c r="NHP185" s="10"/>
      <c r="NHQ185" s="10"/>
      <c r="NHX185" s="3"/>
      <c r="NHZ185" s="1"/>
      <c r="NIB185" s="16"/>
      <c r="NIC185" s="16"/>
      <c r="NID185" s="16"/>
      <c r="NIE185" s="16"/>
      <c r="NIF185" s="10"/>
      <c r="NIG185" s="10"/>
      <c r="NIN185" s="3"/>
      <c r="NIP185" s="1"/>
      <c r="NIR185" s="16"/>
      <c r="NIS185" s="16"/>
      <c r="NIT185" s="16"/>
      <c r="NIU185" s="16"/>
      <c r="NIV185" s="10"/>
      <c r="NIW185" s="10"/>
      <c r="NJD185" s="3"/>
      <c r="NJF185" s="1"/>
      <c r="NJH185" s="16"/>
      <c r="NJI185" s="16"/>
      <c r="NJJ185" s="16"/>
      <c r="NJK185" s="16"/>
      <c r="NJL185" s="10"/>
      <c r="NJM185" s="10"/>
      <c r="NJT185" s="3"/>
      <c r="NJV185" s="1"/>
      <c r="NJX185" s="16"/>
      <c r="NJY185" s="16"/>
      <c r="NJZ185" s="16"/>
      <c r="NKA185" s="16"/>
      <c r="NKB185" s="10"/>
      <c r="NKC185" s="10"/>
      <c r="NKJ185" s="3"/>
      <c r="NKL185" s="1"/>
      <c r="NKN185" s="16"/>
      <c r="NKO185" s="16"/>
      <c r="NKP185" s="16"/>
      <c r="NKQ185" s="16"/>
      <c r="NKR185" s="10"/>
      <c r="NKS185" s="10"/>
      <c r="NKZ185" s="3"/>
      <c r="NLB185" s="1"/>
      <c r="NLD185" s="16"/>
      <c r="NLE185" s="16"/>
      <c r="NLF185" s="16"/>
      <c r="NLG185" s="16"/>
      <c r="NLH185" s="10"/>
      <c r="NLI185" s="10"/>
      <c r="NLP185" s="3"/>
      <c r="NLR185" s="1"/>
      <c r="NLT185" s="16"/>
      <c r="NLU185" s="16"/>
      <c r="NLV185" s="16"/>
      <c r="NLW185" s="16"/>
      <c r="NLX185" s="10"/>
      <c r="NLY185" s="10"/>
      <c r="NMF185" s="3"/>
      <c r="NMH185" s="1"/>
      <c r="NMJ185" s="16"/>
      <c r="NMK185" s="16"/>
      <c r="NML185" s="16"/>
      <c r="NMM185" s="16"/>
      <c r="NMN185" s="10"/>
      <c r="NMO185" s="10"/>
      <c r="NMV185" s="3"/>
      <c r="NMX185" s="1"/>
      <c r="NMZ185" s="16"/>
      <c r="NNA185" s="16"/>
      <c r="NNB185" s="16"/>
      <c r="NNC185" s="16"/>
      <c r="NND185" s="10"/>
      <c r="NNE185" s="10"/>
      <c r="NNL185" s="3"/>
      <c r="NNN185" s="1"/>
      <c r="NNP185" s="16"/>
      <c r="NNQ185" s="16"/>
      <c r="NNR185" s="16"/>
      <c r="NNS185" s="16"/>
      <c r="NNT185" s="10"/>
      <c r="NNU185" s="10"/>
      <c r="NOB185" s="3"/>
      <c r="NOD185" s="1"/>
      <c r="NOF185" s="16"/>
      <c r="NOG185" s="16"/>
      <c r="NOH185" s="16"/>
      <c r="NOI185" s="16"/>
      <c r="NOJ185" s="10"/>
      <c r="NOK185" s="10"/>
      <c r="NOR185" s="3"/>
      <c r="NOT185" s="1"/>
      <c r="NOV185" s="16"/>
      <c r="NOW185" s="16"/>
      <c r="NOX185" s="16"/>
      <c r="NOY185" s="16"/>
      <c r="NOZ185" s="10"/>
      <c r="NPA185" s="10"/>
      <c r="NPH185" s="3"/>
      <c r="NPJ185" s="1"/>
      <c r="NPL185" s="16"/>
      <c r="NPM185" s="16"/>
      <c r="NPN185" s="16"/>
      <c r="NPO185" s="16"/>
      <c r="NPP185" s="10"/>
      <c r="NPQ185" s="10"/>
      <c r="NPX185" s="3"/>
      <c r="NPZ185" s="1"/>
      <c r="NQB185" s="16"/>
      <c r="NQC185" s="16"/>
      <c r="NQD185" s="16"/>
      <c r="NQE185" s="16"/>
      <c r="NQF185" s="10"/>
      <c r="NQG185" s="10"/>
      <c r="NQN185" s="3"/>
      <c r="NQP185" s="1"/>
      <c r="NQR185" s="16"/>
      <c r="NQS185" s="16"/>
      <c r="NQT185" s="16"/>
      <c r="NQU185" s="16"/>
      <c r="NQV185" s="10"/>
      <c r="NQW185" s="10"/>
      <c r="NRD185" s="3"/>
      <c r="NRF185" s="1"/>
      <c r="NRH185" s="16"/>
      <c r="NRI185" s="16"/>
      <c r="NRJ185" s="16"/>
      <c r="NRK185" s="16"/>
      <c r="NRL185" s="10"/>
      <c r="NRM185" s="10"/>
      <c r="NRT185" s="3"/>
      <c r="NRV185" s="1"/>
      <c r="NRX185" s="16"/>
      <c r="NRY185" s="16"/>
      <c r="NRZ185" s="16"/>
      <c r="NSA185" s="16"/>
      <c r="NSB185" s="10"/>
      <c r="NSC185" s="10"/>
      <c r="NSJ185" s="3"/>
      <c r="NSL185" s="1"/>
      <c r="NSN185" s="16"/>
      <c r="NSO185" s="16"/>
      <c r="NSP185" s="16"/>
      <c r="NSQ185" s="16"/>
      <c r="NSR185" s="10"/>
      <c r="NSS185" s="10"/>
      <c r="NSZ185" s="3"/>
      <c r="NTB185" s="1"/>
      <c r="NTD185" s="16"/>
      <c r="NTE185" s="16"/>
      <c r="NTF185" s="16"/>
      <c r="NTG185" s="16"/>
      <c r="NTH185" s="10"/>
      <c r="NTI185" s="10"/>
      <c r="NTP185" s="3"/>
      <c r="NTR185" s="1"/>
      <c r="NTT185" s="16"/>
      <c r="NTU185" s="16"/>
      <c r="NTV185" s="16"/>
      <c r="NTW185" s="16"/>
      <c r="NTX185" s="10"/>
      <c r="NTY185" s="10"/>
      <c r="NUF185" s="3"/>
      <c r="NUH185" s="1"/>
      <c r="NUJ185" s="16"/>
      <c r="NUK185" s="16"/>
      <c r="NUL185" s="16"/>
      <c r="NUM185" s="16"/>
      <c r="NUN185" s="10"/>
      <c r="NUO185" s="10"/>
      <c r="NUV185" s="3"/>
      <c r="NUX185" s="1"/>
      <c r="NUZ185" s="16"/>
      <c r="NVA185" s="16"/>
      <c r="NVB185" s="16"/>
      <c r="NVC185" s="16"/>
      <c r="NVD185" s="10"/>
      <c r="NVE185" s="10"/>
      <c r="NVL185" s="3"/>
      <c r="NVN185" s="1"/>
      <c r="NVP185" s="16"/>
      <c r="NVQ185" s="16"/>
      <c r="NVR185" s="16"/>
      <c r="NVS185" s="16"/>
      <c r="NVT185" s="10"/>
      <c r="NVU185" s="10"/>
      <c r="NWB185" s="3"/>
      <c r="NWD185" s="1"/>
      <c r="NWF185" s="16"/>
      <c r="NWG185" s="16"/>
      <c r="NWH185" s="16"/>
      <c r="NWI185" s="16"/>
      <c r="NWJ185" s="10"/>
      <c r="NWK185" s="10"/>
      <c r="NWR185" s="3"/>
      <c r="NWT185" s="1"/>
      <c r="NWV185" s="16"/>
      <c r="NWW185" s="16"/>
      <c r="NWX185" s="16"/>
      <c r="NWY185" s="16"/>
      <c r="NWZ185" s="10"/>
      <c r="NXA185" s="10"/>
      <c r="NXH185" s="3"/>
      <c r="NXJ185" s="1"/>
      <c r="NXL185" s="16"/>
      <c r="NXM185" s="16"/>
      <c r="NXN185" s="16"/>
      <c r="NXO185" s="16"/>
      <c r="NXP185" s="10"/>
      <c r="NXQ185" s="10"/>
      <c r="NXX185" s="3"/>
      <c r="NXZ185" s="1"/>
      <c r="NYB185" s="16"/>
      <c r="NYC185" s="16"/>
      <c r="NYD185" s="16"/>
      <c r="NYE185" s="16"/>
      <c r="NYF185" s="10"/>
      <c r="NYG185" s="10"/>
      <c r="NYN185" s="3"/>
      <c r="NYP185" s="1"/>
      <c r="NYR185" s="16"/>
      <c r="NYS185" s="16"/>
      <c r="NYT185" s="16"/>
      <c r="NYU185" s="16"/>
      <c r="NYV185" s="10"/>
      <c r="NYW185" s="10"/>
      <c r="NZD185" s="3"/>
      <c r="NZF185" s="1"/>
      <c r="NZH185" s="16"/>
      <c r="NZI185" s="16"/>
      <c r="NZJ185" s="16"/>
      <c r="NZK185" s="16"/>
      <c r="NZL185" s="10"/>
      <c r="NZM185" s="10"/>
      <c r="NZT185" s="3"/>
      <c r="NZV185" s="1"/>
      <c r="NZX185" s="16"/>
      <c r="NZY185" s="16"/>
      <c r="NZZ185" s="16"/>
      <c r="OAA185" s="16"/>
      <c r="OAB185" s="10"/>
      <c r="OAC185" s="10"/>
      <c r="OAJ185" s="3"/>
      <c r="OAL185" s="1"/>
      <c r="OAN185" s="16"/>
      <c r="OAO185" s="16"/>
      <c r="OAP185" s="16"/>
      <c r="OAQ185" s="16"/>
      <c r="OAR185" s="10"/>
      <c r="OAS185" s="10"/>
      <c r="OAZ185" s="3"/>
      <c r="OBB185" s="1"/>
      <c r="OBD185" s="16"/>
      <c r="OBE185" s="16"/>
      <c r="OBF185" s="16"/>
      <c r="OBG185" s="16"/>
      <c r="OBH185" s="10"/>
      <c r="OBI185" s="10"/>
      <c r="OBP185" s="3"/>
      <c r="OBR185" s="1"/>
      <c r="OBT185" s="16"/>
      <c r="OBU185" s="16"/>
      <c r="OBV185" s="16"/>
      <c r="OBW185" s="16"/>
      <c r="OBX185" s="10"/>
      <c r="OBY185" s="10"/>
      <c r="OCF185" s="3"/>
      <c r="OCH185" s="1"/>
      <c r="OCJ185" s="16"/>
      <c r="OCK185" s="16"/>
      <c r="OCL185" s="16"/>
      <c r="OCM185" s="16"/>
      <c r="OCN185" s="10"/>
      <c r="OCO185" s="10"/>
      <c r="OCV185" s="3"/>
      <c r="OCX185" s="1"/>
      <c r="OCZ185" s="16"/>
      <c r="ODA185" s="16"/>
      <c r="ODB185" s="16"/>
      <c r="ODC185" s="16"/>
      <c r="ODD185" s="10"/>
      <c r="ODE185" s="10"/>
      <c r="ODL185" s="3"/>
      <c r="ODN185" s="1"/>
      <c r="ODP185" s="16"/>
      <c r="ODQ185" s="16"/>
      <c r="ODR185" s="16"/>
      <c r="ODS185" s="16"/>
      <c r="ODT185" s="10"/>
      <c r="ODU185" s="10"/>
      <c r="OEB185" s="3"/>
      <c r="OED185" s="1"/>
      <c r="OEF185" s="16"/>
      <c r="OEG185" s="16"/>
      <c r="OEH185" s="16"/>
      <c r="OEI185" s="16"/>
      <c r="OEJ185" s="10"/>
      <c r="OEK185" s="10"/>
      <c r="OER185" s="3"/>
      <c r="OET185" s="1"/>
      <c r="OEV185" s="16"/>
      <c r="OEW185" s="16"/>
      <c r="OEX185" s="16"/>
      <c r="OEY185" s="16"/>
      <c r="OEZ185" s="10"/>
      <c r="OFA185" s="10"/>
      <c r="OFH185" s="3"/>
      <c r="OFJ185" s="1"/>
      <c r="OFL185" s="16"/>
      <c r="OFM185" s="16"/>
      <c r="OFN185" s="16"/>
      <c r="OFO185" s="16"/>
      <c r="OFP185" s="10"/>
      <c r="OFQ185" s="10"/>
      <c r="OFX185" s="3"/>
      <c r="OFZ185" s="1"/>
      <c r="OGB185" s="16"/>
      <c r="OGC185" s="16"/>
      <c r="OGD185" s="16"/>
      <c r="OGE185" s="16"/>
      <c r="OGF185" s="10"/>
      <c r="OGG185" s="10"/>
      <c r="OGN185" s="3"/>
      <c r="OGP185" s="1"/>
      <c r="OGR185" s="16"/>
      <c r="OGS185" s="16"/>
      <c r="OGT185" s="16"/>
      <c r="OGU185" s="16"/>
      <c r="OGV185" s="10"/>
      <c r="OGW185" s="10"/>
      <c r="OHD185" s="3"/>
      <c r="OHF185" s="1"/>
      <c r="OHH185" s="16"/>
      <c r="OHI185" s="16"/>
      <c r="OHJ185" s="16"/>
      <c r="OHK185" s="16"/>
      <c r="OHL185" s="10"/>
      <c r="OHM185" s="10"/>
      <c r="OHT185" s="3"/>
      <c r="OHV185" s="1"/>
      <c r="OHX185" s="16"/>
      <c r="OHY185" s="16"/>
      <c r="OHZ185" s="16"/>
      <c r="OIA185" s="16"/>
      <c r="OIB185" s="10"/>
      <c r="OIC185" s="10"/>
      <c r="OIJ185" s="3"/>
      <c r="OIL185" s="1"/>
      <c r="OIN185" s="16"/>
      <c r="OIO185" s="16"/>
      <c r="OIP185" s="16"/>
      <c r="OIQ185" s="16"/>
      <c r="OIR185" s="10"/>
      <c r="OIS185" s="10"/>
      <c r="OIZ185" s="3"/>
      <c r="OJB185" s="1"/>
      <c r="OJD185" s="16"/>
      <c r="OJE185" s="16"/>
      <c r="OJF185" s="16"/>
      <c r="OJG185" s="16"/>
      <c r="OJH185" s="10"/>
      <c r="OJI185" s="10"/>
      <c r="OJP185" s="3"/>
      <c r="OJR185" s="1"/>
      <c r="OJT185" s="16"/>
      <c r="OJU185" s="16"/>
      <c r="OJV185" s="16"/>
      <c r="OJW185" s="16"/>
      <c r="OJX185" s="10"/>
      <c r="OJY185" s="10"/>
      <c r="OKF185" s="3"/>
      <c r="OKH185" s="1"/>
      <c r="OKJ185" s="16"/>
      <c r="OKK185" s="16"/>
      <c r="OKL185" s="16"/>
      <c r="OKM185" s="16"/>
      <c r="OKN185" s="10"/>
      <c r="OKO185" s="10"/>
      <c r="OKV185" s="3"/>
      <c r="OKX185" s="1"/>
      <c r="OKZ185" s="16"/>
      <c r="OLA185" s="16"/>
      <c r="OLB185" s="16"/>
      <c r="OLC185" s="16"/>
      <c r="OLD185" s="10"/>
      <c r="OLE185" s="10"/>
      <c r="OLL185" s="3"/>
      <c r="OLN185" s="1"/>
      <c r="OLP185" s="16"/>
      <c r="OLQ185" s="16"/>
      <c r="OLR185" s="16"/>
      <c r="OLS185" s="16"/>
      <c r="OLT185" s="10"/>
      <c r="OLU185" s="10"/>
      <c r="OMB185" s="3"/>
      <c r="OMD185" s="1"/>
      <c r="OMF185" s="16"/>
      <c r="OMG185" s="16"/>
      <c r="OMH185" s="16"/>
      <c r="OMI185" s="16"/>
      <c r="OMJ185" s="10"/>
      <c r="OMK185" s="10"/>
      <c r="OMR185" s="3"/>
      <c r="OMT185" s="1"/>
      <c r="OMV185" s="16"/>
      <c r="OMW185" s="16"/>
      <c r="OMX185" s="16"/>
      <c r="OMY185" s="16"/>
      <c r="OMZ185" s="10"/>
      <c r="ONA185" s="10"/>
      <c r="ONH185" s="3"/>
      <c r="ONJ185" s="1"/>
      <c r="ONL185" s="16"/>
      <c r="ONM185" s="16"/>
      <c r="ONN185" s="16"/>
      <c r="ONO185" s="16"/>
      <c r="ONP185" s="10"/>
      <c r="ONQ185" s="10"/>
      <c r="ONX185" s="3"/>
      <c r="ONZ185" s="1"/>
      <c r="OOB185" s="16"/>
      <c r="OOC185" s="16"/>
      <c r="OOD185" s="16"/>
      <c r="OOE185" s="16"/>
      <c r="OOF185" s="10"/>
      <c r="OOG185" s="10"/>
      <c r="OON185" s="3"/>
      <c r="OOP185" s="1"/>
      <c r="OOR185" s="16"/>
      <c r="OOS185" s="16"/>
      <c r="OOT185" s="16"/>
      <c r="OOU185" s="16"/>
      <c r="OOV185" s="10"/>
      <c r="OOW185" s="10"/>
      <c r="OPD185" s="3"/>
      <c r="OPF185" s="1"/>
      <c r="OPH185" s="16"/>
      <c r="OPI185" s="16"/>
      <c r="OPJ185" s="16"/>
      <c r="OPK185" s="16"/>
      <c r="OPL185" s="10"/>
      <c r="OPM185" s="10"/>
      <c r="OPT185" s="3"/>
      <c r="OPV185" s="1"/>
      <c r="OPX185" s="16"/>
      <c r="OPY185" s="16"/>
      <c r="OPZ185" s="16"/>
      <c r="OQA185" s="16"/>
      <c r="OQB185" s="10"/>
      <c r="OQC185" s="10"/>
      <c r="OQJ185" s="3"/>
      <c r="OQL185" s="1"/>
      <c r="OQN185" s="16"/>
      <c r="OQO185" s="16"/>
      <c r="OQP185" s="16"/>
      <c r="OQQ185" s="16"/>
      <c r="OQR185" s="10"/>
      <c r="OQS185" s="10"/>
      <c r="OQZ185" s="3"/>
      <c r="ORB185" s="1"/>
      <c r="ORD185" s="16"/>
      <c r="ORE185" s="16"/>
      <c r="ORF185" s="16"/>
      <c r="ORG185" s="16"/>
      <c r="ORH185" s="10"/>
      <c r="ORI185" s="10"/>
      <c r="ORP185" s="3"/>
      <c r="ORR185" s="1"/>
      <c r="ORT185" s="16"/>
      <c r="ORU185" s="16"/>
      <c r="ORV185" s="16"/>
      <c r="ORW185" s="16"/>
      <c r="ORX185" s="10"/>
      <c r="ORY185" s="10"/>
      <c r="OSF185" s="3"/>
      <c r="OSH185" s="1"/>
      <c r="OSJ185" s="16"/>
      <c r="OSK185" s="16"/>
      <c r="OSL185" s="16"/>
      <c r="OSM185" s="16"/>
      <c r="OSN185" s="10"/>
      <c r="OSO185" s="10"/>
      <c r="OSV185" s="3"/>
      <c r="OSX185" s="1"/>
      <c r="OSZ185" s="16"/>
      <c r="OTA185" s="16"/>
      <c r="OTB185" s="16"/>
      <c r="OTC185" s="16"/>
      <c r="OTD185" s="10"/>
      <c r="OTE185" s="10"/>
      <c r="OTL185" s="3"/>
      <c r="OTN185" s="1"/>
      <c r="OTP185" s="16"/>
      <c r="OTQ185" s="16"/>
      <c r="OTR185" s="16"/>
      <c r="OTS185" s="16"/>
      <c r="OTT185" s="10"/>
      <c r="OTU185" s="10"/>
      <c r="OUB185" s="3"/>
      <c r="OUD185" s="1"/>
      <c r="OUF185" s="16"/>
      <c r="OUG185" s="16"/>
      <c r="OUH185" s="16"/>
      <c r="OUI185" s="16"/>
      <c r="OUJ185" s="10"/>
      <c r="OUK185" s="10"/>
      <c r="OUR185" s="3"/>
      <c r="OUT185" s="1"/>
      <c r="OUV185" s="16"/>
      <c r="OUW185" s="16"/>
      <c r="OUX185" s="16"/>
      <c r="OUY185" s="16"/>
      <c r="OUZ185" s="10"/>
      <c r="OVA185" s="10"/>
      <c r="OVH185" s="3"/>
      <c r="OVJ185" s="1"/>
      <c r="OVL185" s="16"/>
      <c r="OVM185" s="16"/>
      <c r="OVN185" s="16"/>
      <c r="OVO185" s="16"/>
      <c r="OVP185" s="10"/>
      <c r="OVQ185" s="10"/>
      <c r="OVX185" s="3"/>
      <c r="OVZ185" s="1"/>
      <c r="OWB185" s="16"/>
      <c r="OWC185" s="16"/>
      <c r="OWD185" s="16"/>
      <c r="OWE185" s="16"/>
      <c r="OWF185" s="10"/>
      <c r="OWG185" s="10"/>
      <c r="OWN185" s="3"/>
      <c r="OWP185" s="1"/>
      <c r="OWR185" s="16"/>
      <c r="OWS185" s="16"/>
      <c r="OWT185" s="16"/>
      <c r="OWU185" s="16"/>
      <c r="OWV185" s="10"/>
      <c r="OWW185" s="10"/>
      <c r="OXD185" s="3"/>
      <c r="OXF185" s="1"/>
      <c r="OXH185" s="16"/>
      <c r="OXI185" s="16"/>
      <c r="OXJ185" s="16"/>
      <c r="OXK185" s="16"/>
      <c r="OXL185" s="10"/>
      <c r="OXM185" s="10"/>
      <c r="OXT185" s="3"/>
      <c r="OXV185" s="1"/>
      <c r="OXX185" s="16"/>
      <c r="OXY185" s="16"/>
      <c r="OXZ185" s="16"/>
      <c r="OYA185" s="16"/>
      <c r="OYB185" s="10"/>
      <c r="OYC185" s="10"/>
      <c r="OYJ185" s="3"/>
      <c r="OYL185" s="1"/>
      <c r="OYN185" s="16"/>
      <c r="OYO185" s="16"/>
      <c r="OYP185" s="16"/>
      <c r="OYQ185" s="16"/>
      <c r="OYR185" s="10"/>
      <c r="OYS185" s="10"/>
      <c r="OYZ185" s="3"/>
      <c r="OZB185" s="1"/>
      <c r="OZD185" s="16"/>
      <c r="OZE185" s="16"/>
      <c r="OZF185" s="16"/>
      <c r="OZG185" s="16"/>
      <c r="OZH185" s="10"/>
      <c r="OZI185" s="10"/>
      <c r="OZP185" s="3"/>
      <c r="OZR185" s="1"/>
      <c r="OZT185" s="16"/>
      <c r="OZU185" s="16"/>
      <c r="OZV185" s="16"/>
      <c r="OZW185" s="16"/>
      <c r="OZX185" s="10"/>
      <c r="OZY185" s="10"/>
      <c r="PAF185" s="3"/>
      <c r="PAH185" s="1"/>
      <c r="PAJ185" s="16"/>
      <c r="PAK185" s="16"/>
      <c r="PAL185" s="16"/>
      <c r="PAM185" s="16"/>
      <c r="PAN185" s="10"/>
      <c r="PAO185" s="10"/>
      <c r="PAV185" s="3"/>
      <c r="PAX185" s="1"/>
      <c r="PAZ185" s="16"/>
      <c r="PBA185" s="16"/>
      <c r="PBB185" s="16"/>
      <c r="PBC185" s="16"/>
      <c r="PBD185" s="10"/>
      <c r="PBE185" s="10"/>
      <c r="PBL185" s="3"/>
      <c r="PBN185" s="1"/>
      <c r="PBP185" s="16"/>
      <c r="PBQ185" s="16"/>
      <c r="PBR185" s="16"/>
      <c r="PBS185" s="16"/>
      <c r="PBT185" s="10"/>
      <c r="PBU185" s="10"/>
      <c r="PCB185" s="3"/>
      <c r="PCD185" s="1"/>
      <c r="PCF185" s="16"/>
      <c r="PCG185" s="16"/>
      <c r="PCH185" s="16"/>
      <c r="PCI185" s="16"/>
      <c r="PCJ185" s="10"/>
      <c r="PCK185" s="10"/>
      <c r="PCR185" s="3"/>
      <c r="PCT185" s="1"/>
      <c r="PCV185" s="16"/>
      <c r="PCW185" s="16"/>
      <c r="PCX185" s="16"/>
      <c r="PCY185" s="16"/>
      <c r="PCZ185" s="10"/>
      <c r="PDA185" s="10"/>
      <c r="PDH185" s="3"/>
      <c r="PDJ185" s="1"/>
      <c r="PDL185" s="16"/>
      <c r="PDM185" s="16"/>
      <c r="PDN185" s="16"/>
      <c r="PDO185" s="16"/>
      <c r="PDP185" s="10"/>
      <c r="PDQ185" s="10"/>
      <c r="PDX185" s="3"/>
      <c r="PDZ185" s="1"/>
      <c r="PEB185" s="16"/>
      <c r="PEC185" s="16"/>
      <c r="PED185" s="16"/>
      <c r="PEE185" s="16"/>
      <c r="PEF185" s="10"/>
      <c r="PEG185" s="10"/>
      <c r="PEN185" s="3"/>
      <c r="PEP185" s="1"/>
      <c r="PER185" s="16"/>
      <c r="PES185" s="16"/>
      <c r="PET185" s="16"/>
      <c r="PEU185" s="16"/>
      <c r="PEV185" s="10"/>
      <c r="PEW185" s="10"/>
      <c r="PFD185" s="3"/>
      <c r="PFF185" s="1"/>
      <c r="PFH185" s="16"/>
      <c r="PFI185" s="16"/>
      <c r="PFJ185" s="16"/>
      <c r="PFK185" s="16"/>
      <c r="PFL185" s="10"/>
      <c r="PFM185" s="10"/>
      <c r="PFT185" s="3"/>
      <c r="PFV185" s="1"/>
      <c r="PFX185" s="16"/>
      <c r="PFY185" s="16"/>
      <c r="PFZ185" s="16"/>
      <c r="PGA185" s="16"/>
      <c r="PGB185" s="10"/>
      <c r="PGC185" s="10"/>
      <c r="PGJ185" s="3"/>
      <c r="PGL185" s="1"/>
      <c r="PGN185" s="16"/>
      <c r="PGO185" s="16"/>
      <c r="PGP185" s="16"/>
      <c r="PGQ185" s="16"/>
      <c r="PGR185" s="10"/>
      <c r="PGS185" s="10"/>
      <c r="PGZ185" s="3"/>
      <c r="PHB185" s="1"/>
      <c r="PHD185" s="16"/>
      <c r="PHE185" s="16"/>
      <c r="PHF185" s="16"/>
      <c r="PHG185" s="16"/>
      <c r="PHH185" s="10"/>
      <c r="PHI185" s="10"/>
      <c r="PHP185" s="3"/>
      <c r="PHR185" s="1"/>
      <c r="PHT185" s="16"/>
      <c r="PHU185" s="16"/>
      <c r="PHV185" s="16"/>
      <c r="PHW185" s="16"/>
      <c r="PHX185" s="10"/>
      <c r="PHY185" s="10"/>
      <c r="PIF185" s="3"/>
      <c r="PIH185" s="1"/>
      <c r="PIJ185" s="16"/>
      <c r="PIK185" s="16"/>
      <c r="PIL185" s="16"/>
      <c r="PIM185" s="16"/>
      <c r="PIN185" s="10"/>
      <c r="PIO185" s="10"/>
      <c r="PIV185" s="3"/>
      <c r="PIX185" s="1"/>
      <c r="PIZ185" s="16"/>
      <c r="PJA185" s="16"/>
      <c r="PJB185" s="16"/>
      <c r="PJC185" s="16"/>
      <c r="PJD185" s="10"/>
      <c r="PJE185" s="10"/>
      <c r="PJL185" s="3"/>
      <c r="PJN185" s="1"/>
      <c r="PJP185" s="16"/>
      <c r="PJQ185" s="16"/>
      <c r="PJR185" s="16"/>
      <c r="PJS185" s="16"/>
      <c r="PJT185" s="10"/>
      <c r="PJU185" s="10"/>
      <c r="PKB185" s="3"/>
      <c r="PKD185" s="1"/>
      <c r="PKF185" s="16"/>
      <c r="PKG185" s="16"/>
      <c r="PKH185" s="16"/>
      <c r="PKI185" s="16"/>
      <c r="PKJ185" s="10"/>
      <c r="PKK185" s="10"/>
      <c r="PKR185" s="3"/>
      <c r="PKT185" s="1"/>
      <c r="PKV185" s="16"/>
      <c r="PKW185" s="16"/>
      <c r="PKX185" s="16"/>
      <c r="PKY185" s="16"/>
      <c r="PKZ185" s="10"/>
      <c r="PLA185" s="10"/>
      <c r="PLH185" s="3"/>
      <c r="PLJ185" s="1"/>
      <c r="PLL185" s="16"/>
      <c r="PLM185" s="16"/>
      <c r="PLN185" s="16"/>
      <c r="PLO185" s="16"/>
      <c r="PLP185" s="10"/>
      <c r="PLQ185" s="10"/>
      <c r="PLX185" s="3"/>
      <c r="PLZ185" s="1"/>
      <c r="PMB185" s="16"/>
      <c r="PMC185" s="16"/>
      <c r="PMD185" s="16"/>
      <c r="PME185" s="16"/>
      <c r="PMF185" s="10"/>
      <c r="PMG185" s="10"/>
      <c r="PMN185" s="3"/>
      <c r="PMP185" s="1"/>
      <c r="PMR185" s="16"/>
      <c r="PMS185" s="16"/>
      <c r="PMT185" s="16"/>
      <c r="PMU185" s="16"/>
      <c r="PMV185" s="10"/>
      <c r="PMW185" s="10"/>
      <c r="PND185" s="3"/>
      <c r="PNF185" s="1"/>
      <c r="PNH185" s="16"/>
      <c r="PNI185" s="16"/>
      <c r="PNJ185" s="16"/>
      <c r="PNK185" s="16"/>
      <c r="PNL185" s="10"/>
      <c r="PNM185" s="10"/>
      <c r="PNT185" s="3"/>
      <c r="PNV185" s="1"/>
      <c r="PNX185" s="16"/>
      <c r="PNY185" s="16"/>
      <c r="PNZ185" s="16"/>
      <c r="POA185" s="16"/>
      <c r="POB185" s="10"/>
      <c r="POC185" s="10"/>
      <c r="POJ185" s="3"/>
      <c r="POL185" s="1"/>
      <c r="PON185" s="16"/>
      <c r="POO185" s="16"/>
      <c r="POP185" s="16"/>
      <c r="POQ185" s="16"/>
      <c r="POR185" s="10"/>
      <c r="POS185" s="10"/>
      <c r="POZ185" s="3"/>
      <c r="PPB185" s="1"/>
      <c r="PPD185" s="16"/>
      <c r="PPE185" s="16"/>
      <c r="PPF185" s="16"/>
      <c r="PPG185" s="16"/>
      <c r="PPH185" s="10"/>
      <c r="PPI185" s="10"/>
      <c r="PPP185" s="3"/>
      <c r="PPR185" s="1"/>
      <c r="PPT185" s="16"/>
      <c r="PPU185" s="16"/>
      <c r="PPV185" s="16"/>
      <c r="PPW185" s="16"/>
      <c r="PPX185" s="10"/>
      <c r="PPY185" s="10"/>
      <c r="PQF185" s="3"/>
      <c r="PQH185" s="1"/>
      <c r="PQJ185" s="16"/>
      <c r="PQK185" s="16"/>
      <c r="PQL185" s="16"/>
      <c r="PQM185" s="16"/>
      <c r="PQN185" s="10"/>
      <c r="PQO185" s="10"/>
      <c r="PQV185" s="3"/>
      <c r="PQX185" s="1"/>
      <c r="PQZ185" s="16"/>
      <c r="PRA185" s="16"/>
      <c r="PRB185" s="16"/>
      <c r="PRC185" s="16"/>
      <c r="PRD185" s="10"/>
      <c r="PRE185" s="10"/>
      <c r="PRL185" s="3"/>
      <c r="PRN185" s="1"/>
      <c r="PRP185" s="16"/>
      <c r="PRQ185" s="16"/>
      <c r="PRR185" s="16"/>
      <c r="PRS185" s="16"/>
      <c r="PRT185" s="10"/>
      <c r="PRU185" s="10"/>
      <c r="PSB185" s="3"/>
      <c r="PSD185" s="1"/>
      <c r="PSF185" s="16"/>
      <c r="PSG185" s="16"/>
      <c r="PSH185" s="16"/>
      <c r="PSI185" s="16"/>
      <c r="PSJ185" s="10"/>
      <c r="PSK185" s="10"/>
      <c r="PSR185" s="3"/>
      <c r="PST185" s="1"/>
      <c r="PSV185" s="16"/>
      <c r="PSW185" s="16"/>
      <c r="PSX185" s="16"/>
      <c r="PSY185" s="16"/>
      <c r="PSZ185" s="10"/>
      <c r="PTA185" s="10"/>
      <c r="PTH185" s="3"/>
      <c r="PTJ185" s="1"/>
      <c r="PTL185" s="16"/>
      <c r="PTM185" s="16"/>
      <c r="PTN185" s="16"/>
      <c r="PTO185" s="16"/>
      <c r="PTP185" s="10"/>
      <c r="PTQ185" s="10"/>
      <c r="PTX185" s="3"/>
      <c r="PTZ185" s="1"/>
      <c r="PUB185" s="16"/>
      <c r="PUC185" s="16"/>
      <c r="PUD185" s="16"/>
      <c r="PUE185" s="16"/>
      <c r="PUF185" s="10"/>
      <c r="PUG185" s="10"/>
      <c r="PUN185" s="3"/>
      <c r="PUP185" s="1"/>
      <c r="PUR185" s="16"/>
      <c r="PUS185" s="16"/>
      <c r="PUT185" s="16"/>
      <c r="PUU185" s="16"/>
      <c r="PUV185" s="10"/>
      <c r="PUW185" s="10"/>
      <c r="PVD185" s="3"/>
      <c r="PVF185" s="1"/>
      <c r="PVH185" s="16"/>
      <c r="PVI185" s="16"/>
      <c r="PVJ185" s="16"/>
      <c r="PVK185" s="16"/>
      <c r="PVL185" s="10"/>
      <c r="PVM185" s="10"/>
      <c r="PVT185" s="3"/>
      <c r="PVV185" s="1"/>
      <c r="PVX185" s="16"/>
      <c r="PVY185" s="16"/>
      <c r="PVZ185" s="16"/>
      <c r="PWA185" s="16"/>
      <c r="PWB185" s="10"/>
      <c r="PWC185" s="10"/>
      <c r="PWJ185" s="3"/>
      <c r="PWL185" s="1"/>
      <c r="PWN185" s="16"/>
      <c r="PWO185" s="16"/>
      <c r="PWP185" s="16"/>
      <c r="PWQ185" s="16"/>
      <c r="PWR185" s="10"/>
      <c r="PWS185" s="10"/>
      <c r="PWZ185" s="3"/>
      <c r="PXB185" s="1"/>
      <c r="PXD185" s="16"/>
      <c r="PXE185" s="16"/>
      <c r="PXF185" s="16"/>
      <c r="PXG185" s="16"/>
      <c r="PXH185" s="10"/>
      <c r="PXI185" s="10"/>
      <c r="PXP185" s="3"/>
      <c r="PXR185" s="1"/>
      <c r="PXT185" s="16"/>
      <c r="PXU185" s="16"/>
      <c r="PXV185" s="16"/>
      <c r="PXW185" s="16"/>
      <c r="PXX185" s="10"/>
      <c r="PXY185" s="10"/>
      <c r="PYF185" s="3"/>
      <c r="PYH185" s="1"/>
      <c r="PYJ185" s="16"/>
      <c r="PYK185" s="16"/>
      <c r="PYL185" s="16"/>
      <c r="PYM185" s="16"/>
      <c r="PYN185" s="10"/>
      <c r="PYO185" s="10"/>
      <c r="PYV185" s="3"/>
      <c r="PYX185" s="1"/>
      <c r="PYZ185" s="16"/>
      <c r="PZA185" s="16"/>
      <c r="PZB185" s="16"/>
      <c r="PZC185" s="16"/>
      <c r="PZD185" s="10"/>
      <c r="PZE185" s="10"/>
      <c r="PZL185" s="3"/>
      <c r="PZN185" s="1"/>
      <c r="PZP185" s="16"/>
      <c r="PZQ185" s="16"/>
      <c r="PZR185" s="16"/>
      <c r="PZS185" s="16"/>
      <c r="PZT185" s="10"/>
      <c r="PZU185" s="10"/>
      <c r="QAB185" s="3"/>
      <c r="QAD185" s="1"/>
      <c r="QAF185" s="16"/>
      <c r="QAG185" s="16"/>
      <c r="QAH185" s="16"/>
      <c r="QAI185" s="16"/>
      <c r="QAJ185" s="10"/>
      <c r="QAK185" s="10"/>
      <c r="QAR185" s="3"/>
      <c r="QAT185" s="1"/>
      <c r="QAV185" s="16"/>
      <c r="QAW185" s="16"/>
      <c r="QAX185" s="16"/>
      <c r="QAY185" s="16"/>
      <c r="QAZ185" s="10"/>
      <c r="QBA185" s="10"/>
      <c r="QBH185" s="3"/>
      <c r="QBJ185" s="1"/>
      <c r="QBL185" s="16"/>
      <c r="QBM185" s="16"/>
      <c r="QBN185" s="16"/>
      <c r="QBO185" s="16"/>
      <c r="QBP185" s="10"/>
      <c r="QBQ185" s="10"/>
      <c r="QBX185" s="3"/>
      <c r="QBZ185" s="1"/>
      <c r="QCB185" s="16"/>
      <c r="QCC185" s="16"/>
      <c r="QCD185" s="16"/>
      <c r="QCE185" s="16"/>
      <c r="QCF185" s="10"/>
      <c r="QCG185" s="10"/>
      <c r="QCN185" s="3"/>
      <c r="QCP185" s="1"/>
      <c r="QCR185" s="16"/>
      <c r="QCS185" s="16"/>
      <c r="QCT185" s="16"/>
      <c r="QCU185" s="16"/>
      <c r="QCV185" s="10"/>
      <c r="QCW185" s="10"/>
      <c r="QDD185" s="3"/>
      <c r="QDF185" s="1"/>
      <c r="QDH185" s="16"/>
      <c r="QDI185" s="16"/>
      <c r="QDJ185" s="16"/>
      <c r="QDK185" s="16"/>
      <c r="QDL185" s="10"/>
      <c r="QDM185" s="10"/>
      <c r="QDT185" s="3"/>
      <c r="QDV185" s="1"/>
      <c r="QDX185" s="16"/>
      <c r="QDY185" s="16"/>
      <c r="QDZ185" s="16"/>
      <c r="QEA185" s="16"/>
      <c r="QEB185" s="10"/>
      <c r="QEC185" s="10"/>
      <c r="QEJ185" s="3"/>
      <c r="QEL185" s="1"/>
      <c r="QEN185" s="16"/>
      <c r="QEO185" s="16"/>
      <c r="QEP185" s="16"/>
      <c r="QEQ185" s="16"/>
      <c r="QER185" s="10"/>
      <c r="QES185" s="10"/>
      <c r="QEZ185" s="3"/>
      <c r="QFB185" s="1"/>
      <c r="QFD185" s="16"/>
      <c r="QFE185" s="16"/>
      <c r="QFF185" s="16"/>
      <c r="QFG185" s="16"/>
      <c r="QFH185" s="10"/>
      <c r="QFI185" s="10"/>
      <c r="QFP185" s="3"/>
      <c r="QFR185" s="1"/>
      <c r="QFT185" s="16"/>
      <c r="QFU185" s="16"/>
      <c r="QFV185" s="16"/>
      <c r="QFW185" s="16"/>
      <c r="QFX185" s="10"/>
      <c r="QFY185" s="10"/>
      <c r="QGF185" s="3"/>
      <c r="QGH185" s="1"/>
      <c r="QGJ185" s="16"/>
      <c r="QGK185" s="16"/>
      <c r="QGL185" s="16"/>
      <c r="QGM185" s="16"/>
      <c r="QGN185" s="10"/>
      <c r="QGO185" s="10"/>
      <c r="QGV185" s="3"/>
      <c r="QGX185" s="1"/>
      <c r="QGZ185" s="16"/>
      <c r="QHA185" s="16"/>
      <c r="QHB185" s="16"/>
      <c r="QHC185" s="16"/>
      <c r="QHD185" s="10"/>
      <c r="QHE185" s="10"/>
      <c r="QHL185" s="3"/>
      <c r="QHN185" s="1"/>
      <c r="QHP185" s="16"/>
      <c r="QHQ185" s="16"/>
      <c r="QHR185" s="16"/>
      <c r="QHS185" s="16"/>
      <c r="QHT185" s="10"/>
      <c r="QHU185" s="10"/>
      <c r="QIB185" s="3"/>
      <c r="QID185" s="1"/>
      <c r="QIF185" s="16"/>
      <c r="QIG185" s="16"/>
      <c r="QIH185" s="16"/>
      <c r="QII185" s="16"/>
      <c r="QIJ185" s="10"/>
      <c r="QIK185" s="10"/>
      <c r="QIR185" s="3"/>
      <c r="QIT185" s="1"/>
      <c r="QIV185" s="16"/>
      <c r="QIW185" s="16"/>
      <c r="QIX185" s="16"/>
      <c r="QIY185" s="16"/>
      <c r="QIZ185" s="10"/>
      <c r="QJA185" s="10"/>
      <c r="QJH185" s="3"/>
      <c r="QJJ185" s="1"/>
      <c r="QJL185" s="16"/>
      <c r="QJM185" s="16"/>
      <c r="QJN185" s="16"/>
      <c r="QJO185" s="16"/>
      <c r="QJP185" s="10"/>
      <c r="QJQ185" s="10"/>
      <c r="QJX185" s="3"/>
      <c r="QJZ185" s="1"/>
      <c r="QKB185" s="16"/>
      <c r="QKC185" s="16"/>
      <c r="QKD185" s="16"/>
      <c r="QKE185" s="16"/>
      <c r="QKF185" s="10"/>
      <c r="QKG185" s="10"/>
      <c r="QKN185" s="3"/>
      <c r="QKP185" s="1"/>
      <c r="QKR185" s="16"/>
      <c r="QKS185" s="16"/>
      <c r="QKT185" s="16"/>
      <c r="QKU185" s="16"/>
      <c r="QKV185" s="10"/>
      <c r="QKW185" s="10"/>
      <c r="QLD185" s="3"/>
      <c r="QLF185" s="1"/>
      <c r="QLH185" s="16"/>
      <c r="QLI185" s="16"/>
      <c r="QLJ185" s="16"/>
      <c r="QLK185" s="16"/>
      <c r="QLL185" s="10"/>
      <c r="QLM185" s="10"/>
      <c r="QLT185" s="3"/>
      <c r="QLV185" s="1"/>
      <c r="QLX185" s="16"/>
      <c r="QLY185" s="16"/>
      <c r="QLZ185" s="16"/>
      <c r="QMA185" s="16"/>
      <c r="QMB185" s="10"/>
      <c r="QMC185" s="10"/>
      <c r="QMJ185" s="3"/>
      <c r="QML185" s="1"/>
      <c r="QMN185" s="16"/>
      <c r="QMO185" s="16"/>
      <c r="QMP185" s="16"/>
      <c r="QMQ185" s="16"/>
      <c r="QMR185" s="10"/>
      <c r="QMS185" s="10"/>
      <c r="QMZ185" s="3"/>
      <c r="QNB185" s="1"/>
      <c r="QND185" s="16"/>
      <c r="QNE185" s="16"/>
      <c r="QNF185" s="16"/>
      <c r="QNG185" s="16"/>
      <c r="QNH185" s="10"/>
      <c r="QNI185" s="10"/>
      <c r="QNP185" s="3"/>
      <c r="QNR185" s="1"/>
      <c r="QNT185" s="16"/>
      <c r="QNU185" s="16"/>
      <c r="QNV185" s="16"/>
      <c r="QNW185" s="16"/>
      <c r="QNX185" s="10"/>
      <c r="QNY185" s="10"/>
      <c r="QOF185" s="3"/>
      <c r="QOH185" s="1"/>
      <c r="QOJ185" s="16"/>
      <c r="QOK185" s="16"/>
      <c r="QOL185" s="16"/>
      <c r="QOM185" s="16"/>
      <c r="QON185" s="10"/>
      <c r="QOO185" s="10"/>
      <c r="QOV185" s="3"/>
      <c r="QOX185" s="1"/>
      <c r="QOZ185" s="16"/>
      <c r="QPA185" s="16"/>
      <c r="QPB185" s="16"/>
      <c r="QPC185" s="16"/>
      <c r="QPD185" s="10"/>
      <c r="QPE185" s="10"/>
      <c r="QPL185" s="3"/>
      <c r="QPN185" s="1"/>
      <c r="QPP185" s="16"/>
      <c r="QPQ185" s="16"/>
      <c r="QPR185" s="16"/>
      <c r="QPS185" s="16"/>
      <c r="QPT185" s="10"/>
      <c r="QPU185" s="10"/>
      <c r="QQB185" s="3"/>
      <c r="QQD185" s="1"/>
      <c r="QQF185" s="16"/>
      <c r="QQG185" s="16"/>
      <c r="QQH185" s="16"/>
      <c r="QQI185" s="16"/>
      <c r="QQJ185" s="10"/>
      <c r="QQK185" s="10"/>
      <c r="QQR185" s="3"/>
      <c r="QQT185" s="1"/>
      <c r="QQV185" s="16"/>
      <c r="QQW185" s="16"/>
      <c r="QQX185" s="16"/>
      <c r="QQY185" s="16"/>
      <c r="QQZ185" s="10"/>
      <c r="QRA185" s="10"/>
      <c r="QRH185" s="3"/>
      <c r="QRJ185" s="1"/>
      <c r="QRL185" s="16"/>
      <c r="QRM185" s="16"/>
      <c r="QRN185" s="16"/>
      <c r="QRO185" s="16"/>
      <c r="QRP185" s="10"/>
      <c r="QRQ185" s="10"/>
      <c r="QRX185" s="3"/>
      <c r="QRZ185" s="1"/>
      <c r="QSB185" s="16"/>
      <c r="QSC185" s="16"/>
      <c r="QSD185" s="16"/>
      <c r="QSE185" s="16"/>
      <c r="QSF185" s="10"/>
      <c r="QSG185" s="10"/>
      <c r="QSN185" s="3"/>
      <c r="QSP185" s="1"/>
      <c r="QSR185" s="16"/>
      <c r="QSS185" s="16"/>
      <c r="QST185" s="16"/>
      <c r="QSU185" s="16"/>
      <c r="QSV185" s="10"/>
      <c r="QSW185" s="10"/>
      <c r="QTD185" s="3"/>
      <c r="QTF185" s="1"/>
      <c r="QTH185" s="16"/>
      <c r="QTI185" s="16"/>
      <c r="QTJ185" s="16"/>
      <c r="QTK185" s="16"/>
      <c r="QTL185" s="10"/>
      <c r="QTM185" s="10"/>
      <c r="QTT185" s="3"/>
      <c r="QTV185" s="1"/>
      <c r="QTX185" s="16"/>
      <c r="QTY185" s="16"/>
      <c r="QTZ185" s="16"/>
      <c r="QUA185" s="16"/>
      <c r="QUB185" s="10"/>
      <c r="QUC185" s="10"/>
      <c r="QUJ185" s="3"/>
      <c r="QUL185" s="1"/>
      <c r="QUN185" s="16"/>
      <c r="QUO185" s="16"/>
      <c r="QUP185" s="16"/>
      <c r="QUQ185" s="16"/>
      <c r="QUR185" s="10"/>
      <c r="QUS185" s="10"/>
      <c r="QUZ185" s="3"/>
      <c r="QVB185" s="1"/>
      <c r="QVD185" s="16"/>
      <c r="QVE185" s="16"/>
      <c r="QVF185" s="16"/>
      <c r="QVG185" s="16"/>
      <c r="QVH185" s="10"/>
      <c r="QVI185" s="10"/>
      <c r="QVP185" s="3"/>
      <c r="QVR185" s="1"/>
      <c r="QVT185" s="16"/>
      <c r="QVU185" s="16"/>
      <c r="QVV185" s="16"/>
      <c r="QVW185" s="16"/>
      <c r="QVX185" s="10"/>
      <c r="QVY185" s="10"/>
      <c r="QWF185" s="3"/>
      <c r="QWH185" s="1"/>
      <c r="QWJ185" s="16"/>
      <c r="QWK185" s="16"/>
      <c r="QWL185" s="16"/>
      <c r="QWM185" s="16"/>
      <c r="QWN185" s="10"/>
      <c r="QWO185" s="10"/>
      <c r="QWV185" s="3"/>
      <c r="QWX185" s="1"/>
      <c r="QWZ185" s="16"/>
      <c r="QXA185" s="16"/>
      <c r="QXB185" s="16"/>
      <c r="QXC185" s="16"/>
      <c r="QXD185" s="10"/>
      <c r="QXE185" s="10"/>
      <c r="QXL185" s="3"/>
      <c r="QXN185" s="1"/>
      <c r="QXP185" s="16"/>
      <c r="QXQ185" s="16"/>
      <c r="QXR185" s="16"/>
      <c r="QXS185" s="16"/>
      <c r="QXT185" s="10"/>
      <c r="QXU185" s="10"/>
      <c r="QYB185" s="3"/>
      <c r="QYD185" s="1"/>
      <c r="QYF185" s="16"/>
      <c r="QYG185" s="16"/>
      <c r="QYH185" s="16"/>
      <c r="QYI185" s="16"/>
      <c r="QYJ185" s="10"/>
      <c r="QYK185" s="10"/>
      <c r="QYR185" s="3"/>
      <c r="QYT185" s="1"/>
      <c r="QYV185" s="16"/>
      <c r="QYW185" s="16"/>
      <c r="QYX185" s="16"/>
      <c r="QYY185" s="16"/>
      <c r="QYZ185" s="10"/>
      <c r="QZA185" s="10"/>
      <c r="QZH185" s="3"/>
      <c r="QZJ185" s="1"/>
      <c r="QZL185" s="16"/>
      <c r="QZM185" s="16"/>
      <c r="QZN185" s="16"/>
      <c r="QZO185" s="16"/>
      <c r="QZP185" s="10"/>
      <c r="QZQ185" s="10"/>
      <c r="QZX185" s="3"/>
      <c r="QZZ185" s="1"/>
      <c r="RAB185" s="16"/>
      <c r="RAC185" s="16"/>
      <c r="RAD185" s="16"/>
      <c r="RAE185" s="16"/>
      <c r="RAF185" s="10"/>
      <c r="RAG185" s="10"/>
      <c r="RAN185" s="3"/>
      <c r="RAP185" s="1"/>
      <c r="RAR185" s="16"/>
      <c r="RAS185" s="16"/>
      <c r="RAT185" s="16"/>
      <c r="RAU185" s="16"/>
      <c r="RAV185" s="10"/>
      <c r="RAW185" s="10"/>
      <c r="RBD185" s="3"/>
      <c r="RBF185" s="1"/>
      <c r="RBH185" s="16"/>
      <c r="RBI185" s="16"/>
      <c r="RBJ185" s="16"/>
      <c r="RBK185" s="16"/>
      <c r="RBL185" s="10"/>
      <c r="RBM185" s="10"/>
      <c r="RBT185" s="3"/>
      <c r="RBV185" s="1"/>
      <c r="RBX185" s="16"/>
      <c r="RBY185" s="16"/>
      <c r="RBZ185" s="16"/>
      <c r="RCA185" s="16"/>
      <c r="RCB185" s="10"/>
      <c r="RCC185" s="10"/>
      <c r="RCJ185" s="3"/>
      <c r="RCL185" s="1"/>
      <c r="RCN185" s="16"/>
      <c r="RCO185" s="16"/>
      <c r="RCP185" s="16"/>
      <c r="RCQ185" s="16"/>
      <c r="RCR185" s="10"/>
      <c r="RCS185" s="10"/>
      <c r="RCZ185" s="3"/>
      <c r="RDB185" s="1"/>
      <c r="RDD185" s="16"/>
      <c r="RDE185" s="16"/>
      <c r="RDF185" s="16"/>
      <c r="RDG185" s="16"/>
      <c r="RDH185" s="10"/>
      <c r="RDI185" s="10"/>
      <c r="RDP185" s="3"/>
      <c r="RDR185" s="1"/>
      <c r="RDT185" s="16"/>
      <c r="RDU185" s="16"/>
      <c r="RDV185" s="16"/>
      <c r="RDW185" s="16"/>
      <c r="RDX185" s="10"/>
      <c r="RDY185" s="10"/>
      <c r="REF185" s="3"/>
      <c r="REH185" s="1"/>
      <c r="REJ185" s="16"/>
      <c r="REK185" s="16"/>
      <c r="REL185" s="16"/>
      <c r="REM185" s="16"/>
      <c r="REN185" s="10"/>
      <c r="REO185" s="10"/>
      <c r="REV185" s="3"/>
      <c r="REX185" s="1"/>
      <c r="REZ185" s="16"/>
      <c r="RFA185" s="16"/>
      <c r="RFB185" s="16"/>
      <c r="RFC185" s="16"/>
      <c r="RFD185" s="10"/>
      <c r="RFE185" s="10"/>
      <c r="RFL185" s="3"/>
      <c r="RFN185" s="1"/>
      <c r="RFP185" s="16"/>
      <c r="RFQ185" s="16"/>
      <c r="RFR185" s="16"/>
      <c r="RFS185" s="16"/>
      <c r="RFT185" s="10"/>
      <c r="RFU185" s="10"/>
      <c r="RGB185" s="3"/>
      <c r="RGD185" s="1"/>
      <c r="RGF185" s="16"/>
      <c r="RGG185" s="16"/>
      <c r="RGH185" s="16"/>
      <c r="RGI185" s="16"/>
      <c r="RGJ185" s="10"/>
      <c r="RGK185" s="10"/>
      <c r="RGR185" s="3"/>
      <c r="RGT185" s="1"/>
      <c r="RGV185" s="16"/>
      <c r="RGW185" s="16"/>
      <c r="RGX185" s="16"/>
      <c r="RGY185" s="16"/>
      <c r="RGZ185" s="10"/>
      <c r="RHA185" s="10"/>
      <c r="RHH185" s="3"/>
      <c r="RHJ185" s="1"/>
      <c r="RHL185" s="16"/>
      <c r="RHM185" s="16"/>
      <c r="RHN185" s="16"/>
      <c r="RHO185" s="16"/>
      <c r="RHP185" s="10"/>
      <c r="RHQ185" s="10"/>
      <c r="RHX185" s="3"/>
      <c r="RHZ185" s="1"/>
      <c r="RIB185" s="16"/>
      <c r="RIC185" s="16"/>
      <c r="RID185" s="16"/>
      <c r="RIE185" s="16"/>
      <c r="RIF185" s="10"/>
      <c r="RIG185" s="10"/>
      <c r="RIN185" s="3"/>
      <c r="RIP185" s="1"/>
      <c r="RIR185" s="16"/>
      <c r="RIS185" s="16"/>
      <c r="RIT185" s="16"/>
      <c r="RIU185" s="16"/>
      <c r="RIV185" s="10"/>
      <c r="RIW185" s="10"/>
      <c r="RJD185" s="3"/>
      <c r="RJF185" s="1"/>
      <c r="RJH185" s="16"/>
      <c r="RJI185" s="16"/>
      <c r="RJJ185" s="16"/>
      <c r="RJK185" s="16"/>
      <c r="RJL185" s="10"/>
      <c r="RJM185" s="10"/>
      <c r="RJT185" s="3"/>
      <c r="RJV185" s="1"/>
      <c r="RJX185" s="16"/>
      <c r="RJY185" s="16"/>
      <c r="RJZ185" s="16"/>
      <c r="RKA185" s="16"/>
      <c r="RKB185" s="10"/>
      <c r="RKC185" s="10"/>
      <c r="RKJ185" s="3"/>
      <c r="RKL185" s="1"/>
      <c r="RKN185" s="16"/>
      <c r="RKO185" s="16"/>
      <c r="RKP185" s="16"/>
      <c r="RKQ185" s="16"/>
      <c r="RKR185" s="10"/>
      <c r="RKS185" s="10"/>
      <c r="RKZ185" s="3"/>
      <c r="RLB185" s="1"/>
      <c r="RLD185" s="16"/>
      <c r="RLE185" s="16"/>
      <c r="RLF185" s="16"/>
      <c r="RLG185" s="16"/>
      <c r="RLH185" s="10"/>
      <c r="RLI185" s="10"/>
      <c r="RLP185" s="3"/>
      <c r="RLR185" s="1"/>
      <c r="RLT185" s="16"/>
      <c r="RLU185" s="16"/>
      <c r="RLV185" s="16"/>
      <c r="RLW185" s="16"/>
      <c r="RLX185" s="10"/>
      <c r="RLY185" s="10"/>
      <c r="RMF185" s="3"/>
      <c r="RMH185" s="1"/>
      <c r="RMJ185" s="16"/>
      <c r="RMK185" s="16"/>
      <c r="RML185" s="16"/>
      <c r="RMM185" s="16"/>
      <c r="RMN185" s="10"/>
      <c r="RMO185" s="10"/>
      <c r="RMV185" s="3"/>
      <c r="RMX185" s="1"/>
      <c r="RMZ185" s="16"/>
      <c r="RNA185" s="16"/>
      <c r="RNB185" s="16"/>
      <c r="RNC185" s="16"/>
      <c r="RND185" s="10"/>
      <c r="RNE185" s="10"/>
      <c r="RNL185" s="3"/>
      <c r="RNN185" s="1"/>
      <c r="RNP185" s="16"/>
      <c r="RNQ185" s="16"/>
      <c r="RNR185" s="16"/>
      <c r="RNS185" s="16"/>
      <c r="RNT185" s="10"/>
      <c r="RNU185" s="10"/>
      <c r="ROB185" s="3"/>
      <c r="ROD185" s="1"/>
      <c r="ROF185" s="16"/>
      <c r="ROG185" s="16"/>
      <c r="ROH185" s="16"/>
      <c r="ROI185" s="16"/>
      <c r="ROJ185" s="10"/>
      <c r="ROK185" s="10"/>
      <c r="ROR185" s="3"/>
      <c r="ROT185" s="1"/>
      <c r="ROV185" s="16"/>
      <c r="ROW185" s="16"/>
      <c r="ROX185" s="16"/>
      <c r="ROY185" s="16"/>
      <c r="ROZ185" s="10"/>
      <c r="RPA185" s="10"/>
      <c r="RPH185" s="3"/>
      <c r="RPJ185" s="1"/>
      <c r="RPL185" s="16"/>
      <c r="RPM185" s="16"/>
      <c r="RPN185" s="16"/>
      <c r="RPO185" s="16"/>
      <c r="RPP185" s="10"/>
      <c r="RPQ185" s="10"/>
      <c r="RPX185" s="3"/>
      <c r="RPZ185" s="1"/>
      <c r="RQB185" s="16"/>
      <c r="RQC185" s="16"/>
      <c r="RQD185" s="16"/>
      <c r="RQE185" s="16"/>
      <c r="RQF185" s="10"/>
      <c r="RQG185" s="10"/>
      <c r="RQN185" s="3"/>
      <c r="RQP185" s="1"/>
      <c r="RQR185" s="16"/>
      <c r="RQS185" s="16"/>
      <c r="RQT185" s="16"/>
      <c r="RQU185" s="16"/>
      <c r="RQV185" s="10"/>
      <c r="RQW185" s="10"/>
      <c r="RRD185" s="3"/>
      <c r="RRF185" s="1"/>
      <c r="RRH185" s="16"/>
      <c r="RRI185" s="16"/>
      <c r="RRJ185" s="16"/>
      <c r="RRK185" s="16"/>
      <c r="RRL185" s="10"/>
      <c r="RRM185" s="10"/>
      <c r="RRT185" s="3"/>
      <c r="RRV185" s="1"/>
      <c r="RRX185" s="16"/>
      <c r="RRY185" s="16"/>
      <c r="RRZ185" s="16"/>
      <c r="RSA185" s="16"/>
      <c r="RSB185" s="10"/>
      <c r="RSC185" s="10"/>
      <c r="RSJ185" s="3"/>
      <c r="RSL185" s="1"/>
      <c r="RSN185" s="16"/>
      <c r="RSO185" s="16"/>
      <c r="RSP185" s="16"/>
      <c r="RSQ185" s="16"/>
      <c r="RSR185" s="10"/>
      <c r="RSS185" s="10"/>
      <c r="RSZ185" s="3"/>
      <c r="RTB185" s="1"/>
      <c r="RTD185" s="16"/>
      <c r="RTE185" s="16"/>
      <c r="RTF185" s="16"/>
      <c r="RTG185" s="16"/>
      <c r="RTH185" s="10"/>
      <c r="RTI185" s="10"/>
      <c r="RTP185" s="3"/>
      <c r="RTR185" s="1"/>
      <c r="RTT185" s="16"/>
      <c r="RTU185" s="16"/>
      <c r="RTV185" s="16"/>
      <c r="RTW185" s="16"/>
      <c r="RTX185" s="10"/>
      <c r="RTY185" s="10"/>
      <c r="RUF185" s="3"/>
      <c r="RUH185" s="1"/>
      <c r="RUJ185" s="16"/>
      <c r="RUK185" s="16"/>
      <c r="RUL185" s="16"/>
      <c r="RUM185" s="16"/>
      <c r="RUN185" s="10"/>
      <c r="RUO185" s="10"/>
      <c r="RUV185" s="3"/>
      <c r="RUX185" s="1"/>
      <c r="RUZ185" s="16"/>
      <c r="RVA185" s="16"/>
      <c r="RVB185" s="16"/>
      <c r="RVC185" s="16"/>
      <c r="RVD185" s="10"/>
      <c r="RVE185" s="10"/>
      <c r="RVL185" s="3"/>
      <c r="RVN185" s="1"/>
      <c r="RVP185" s="16"/>
      <c r="RVQ185" s="16"/>
      <c r="RVR185" s="16"/>
      <c r="RVS185" s="16"/>
      <c r="RVT185" s="10"/>
      <c r="RVU185" s="10"/>
      <c r="RWB185" s="3"/>
      <c r="RWD185" s="1"/>
      <c r="RWF185" s="16"/>
      <c r="RWG185" s="16"/>
      <c r="RWH185" s="16"/>
      <c r="RWI185" s="16"/>
      <c r="RWJ185" s="10"/>
      <c r="RWK185" s="10"/>
      <c r="RWR185" s="3"/>
      <c r="RWT185" s="1"/>
      <c r="RWV185" s="16"/>
      <c r="RWW185" s="16"/>
      <c r="RWX185" s="16"/>
      <c r="RWY185" s="16"/>
      <c r="RWZ185" s="10"/>
      <c r="RXA185" s="10"/>
      <c r="RXH185" s="3"/>
      <c r="RXJ185" s="1"/>
      <c r="RXL185" s="16"/>
      <c r="RXM185" s="16"/>
      <c r="RXN185" s="16"/>
      <c r="RXO185" s="16"/>
      <c r="RXP185" s="10"/>
      <c r="RXQ185" s="10"/>
      <c r="RXX185" s="3"/>
      <c r="RXZ185" s="1"/>
      <c r="RYB185" s="16"/>
      <c r="RYC185" s="16"/>
      <c r="RYD185" s="16"/>
      <c r="RYE185" s="16"/>
      <c r="RYF185" s="10"/>
      <c r="RYG185" s="10"/>
      <c r="RYN185" s="3"/>
      <c r="RYP185" s="1"/>
      <c r="RYR185" s="16"/>
      <c r="RYS185" s="16"/>
      <c r="RYT185" s="16"/>
      <c r="RYU185" s="16"/>
      <c r="RYV185" s="10"/>
      <c r="RYW185" s="10"/>
      <c r="RZD185" s="3"/>
      <c r="RZF185" s="1"/>
      <c r="RZH185" s="16"/>
      <c r="RZI185" s="16"/>
      <c r="RZJ185" s="16"/>
      <c r="RZK185" s="16"/>
      <c r="RZL185" s="10"/>
      <c r="RZM185" s="10"/>
      <c r="RZT185" s="3"/>
      <c r="RZV185" s="1"/>
      <c r="RZX185" s="16"/>
      <c r="RZY185" s="16"/>
      <c r="RZZ185" s="16"/>
      <c r="SAA185" s="16"/>
      <c r="SAB185" s="10"/>
      <c r="SAC185" s="10"/>
      <c r="SAJ185" s="3"/>
      <c r="SAL185" s="1"/>
      <c r="SAN185" s="16"/>
      <c r="SAO185" s="16"/>
      <c r="SAP185" s="16"/>
      <c r="SAQ185" s="16"/>
      <c r="SAR185" s="10"/>
      <c r="SAS185" s="10"/>
      <c r="SAZ185" s="3"/>
      <c r="SBB185" s="1"/>
      <c r="SBD185" s="16"/>
      <c r="SBE185" s="16"/>
      <c r="SBF185" s="16"/>
      <c r="SBG185" s="16"/>
      <c r="SBH185" s="10"/>
      <c r="SBI185" s="10"/>
      <c r="SBP185" s="3"/>
      <c r="SBR185" s="1"/>
      <c r="SBT185" s="16"/>
      <c r="SBU185" s="16"/>
      <c r="SBV185" s="16"/>
      <c r="SBW185" s="16"/>
      <c r="SBX185" s="10"/>
      <c r="SBY185" s="10"/>
      <c r="SCF185" s="3"/>
      <c r="SCH185" s="1"/>
      <c r="SCJ185" s="16"/>
      <c r="SCK185" s="16"/>
      <c r="SCL185" s="16"/>
      <c r="SCM185" s="16"/>
      <c r="SCN185" s="10"/>
      <c r="SCO185" s="10"/>
      <c r="SCV185" s="3"/>
      <c r="SCX185" s="1"/>
      <c r="SCZ185" s="16"/>
      <c r="SDA185" s="16"/>
      <c r="SDB185" s="16"/>
      <c r="SDC185" s="16"/>
      <c r="SDD185" s="10"/>
      <c r="SDE185" s="10"/>
      <c r="SDL185" s="3"/>
      <c r="SDN185" s="1"/>
      <c r="SDP185" s="16"/>
      <c r="SDQ185" s="16"/>
      <c r="SDR185" s="16"/>
      <c r="SDS185" s="16"/>
      <c r="SDT185" s="10"/>
      <c r="SDU185" s="10"/>
      <c r="SEB185" s="3"/>
      <c r="SED185" s="1"/>
      <c r="SEF185" s="16"/>
      <c r="SEG185" s="16"/>
      <c r="SEH185" s="16"/>
      <c r="SEI185" s="16"/>
      <c r="SEJ185" s="10"/>
      <c r="SEK185" s="10"/>
      <c r="SER185" s="3"/>
      <c r="SET185" s="1"/>
      <c r="SEV185" s="16"/>
      <c r="SEW185" s="16"/>
      <c r="SEX185" s="16"/>
      <c r="SEY185" s="16"/>
      <c r="SEZ185" s="10"/>
      <c r="SFA185" s="10"/>
      <c r="SFH185" s="3"/>
      <c r="SFJ185" s="1"/>
      <c r="SFL185" s="16"/>
      <c r="SFM185" s="16"/>
      <c r="SFN185" s="16"/>
      <c r="SFO185" s="16"/>
      <c r="SFP185" s="10"/>
      <c r="SFQ185" s="10"/>
      <c r="SFX185" s="3"/>
      <c r="SFZ185" s="1"/>
      <c r="SGB185" s="16"/>
      <c r="SGC185" s="16"/>
      <c r="SGD185" s="16"/>
      <c r="SGE185" s="16"/>
      <c r="SGF185" s="10"/>
      <c r="SGG185" s="10"/>
      <c r="SGN185" s="3"/>
      <c r="SGP185" s="1"/>
      <c r="SGR185" s="16"/>
      <c r="SGS185" s="16"/>
      <c r="SGT185" s="16"/>
      <c r="SGU185" s="16"/>
      <c r="SGV185" s="10"/>
      <c r="SGW185" s="10"/>
      <c r="SHD185" s="3"/>
      <c r="SHF185" s="1"/>
      <c r="SHH185" s="16"/>
      <c r="SHI185" s="16"/>
      <c r="SHJ185" s="16"/>
      <c r="SHK185" s="16"/>
      <c r="SHL185" s="10"/>
      <c r="SHM185" s="10"/>
      <c r="SHT185" s="3"/>
      <c r="SHV185" s="1"/>
      <c r="SHX185" s="16"/>
      <c r="SHY185" s="16"/>
      <c r="SHZ185" s="16"/>
      <c r="SIA185" s="16"/>
      <c r="SIB185" s="10"/>
      <c r="SIC185" s="10"/>
      <c r="SIJ185" s="3"/>
      <c r="SIL185" s="1"/>
      <c r="SIN185" s="16"/>
      <c r="SIO185" s="16"/>
      <c r="SIP185" s="16"/>
      <c r="SIQ185" s="16"/>
      <c r="SIR185" s="10"/>
      <c r="SIS185" s="10"/>
      <c r="SIZ185" s="3"/>
      <c r="SJB185" s="1"/>
      <c r="SJD185" s="16"/>
      <c r="SJE185" s="16"/>
      <c r="SJF185" s="16"/>
      <c r="SJG185" s="16"/>
      <c r="SJH185" s="10"/>
      <c r="SJI185" s="10"/>
      <c r="SJP185" s="3"/>
      <c r="SJR185" s="1"/>
      <c r="SJT185" s="16"/>
      <c r="SJU185" s="16"/>
      <c r="SJV185" s="16"/>
      <c r="SJW185" s="16"/>
      <c r="SJX185" s="10"/>
      <c r="SJY185" s="10"/>
      <c r="SKF185" s="3"/>
      <c r="SKH185" s="1"/>
      <c r="SKJ185" s="16"/>
      <c r="SKK185" s="16"/>
      <c r="SKL185" s="16"/>
      <c r="SKM185" s="16"/>
      <c r="SKN185" s="10"/>
      <c r="SKO185" s="10"/>
      <c r="SKV185" s="3"/>
      <c r="SKX185" s="1"/>
      <c r="SKZ185" s="16"/>
      <c r="SLA185" s="16"/>
      <c r="SLB185" s="16"/>
      <c r="SLC185" s="16"/>
      <c r="SLD185" s="10"/>
      <c r="SLE185" s="10"/>
      <c r="SLL185" s="3"/>
      <c r="SLN185" s="1"/>
      <c r="SLP185" s="16"/>
      <c r="SLQ185" s="16"/>
      <c r="SLR185" s="16"/>
      <c r="SLS185" s="16"/>
      <c r="SLT185" s="10"/>
      <c r="SLU185" s="10"/>
      <c r="SMB185" s="3"/>
      <c r="SMD185" s="1"/>
      <c r="SMF185" s="16"/>
      <c r="SMG185" s="16"/>
      <c r="SMH185" s="16"/>
      <c r="SMI185" s="16"/>
      <c r="SMJ185" s="10"/>
      <c r="SMK185" s="10"/>
      <c r="SMR185" s="3"/>
      <c r="SMT185" s="1"/>
      <c r="SMV185" s="16"/>
      <c r="SMW185" s="16"/>
      <c r="SMX185" s="16"/>
      <c r="SMY185" s="16"/>
      <c r="SMZ185" s="10"/>
      <c r="SNA185" s="10"/>
      <c r="SNH185" s="3"/>
      <c r="SNJ185" s="1"/>
      <c r="SNL185" s="16"/>
      <c r="SNM185" s="16"/>
      <c r="SNN185" s="16"/>
      <c r="SNO185" s="16"/>
      <c r="SNP185" s="10"/>
      <c r="SNQ185" s="10"/>
      <c r="SNX185" s="3"/>
      <c r="SNZ185" s="1"/>
      <c r="SOB185" s="16"/>
      <c r="SOC185" s="16"/>
      <c r="SOD185" s="16"/>
      <c r="SOE185" s="16"/>
      <c r="SOF185" s="10"/>
      <c r="SOG185" s="10"/>
      <c r="SON185" s="3"/>
      <c r="SOP185" s="1"/>
      <c r="SOR185" s="16"/>
      <c r="SOS185" s="16"/>
      <c r="SOT185" s="16"/>
      <c r="SOU185" s="16"/>
      <c r="SOV185" s="10"/>
      <c r="SOW185" s="10"/>
      <c r="SPD185" s="3"/>
      <c r="SPF185" s="1"/>
      <c r="SPH185" s="16"/>
      <c r="SPI185" s="16"/>
      <c r="SPJ185" s="16"/>
      <c r="SPK185" s="16"/>
      <c r="SPL185" s="10"/>
      <c r="SPM185" s="10"/>
      <c r="SPT185" s="3"/>
      <c r="SPV185" s="1"/>
      <c r="SPX185" s="16"/>
      <c r="SPY185" s="16"/>
      <c r="SPZ185" s="16"/>
      <c r="SQA185" s="16"/>
      <c r="SQB185" s="10"/>
      <c r="SQC185" s="10"/>
      <c r="SQJ185" s="3"/>
      <c r="SQL185" s="1"/>
      <c r="SQN185" s="16"/>
      <c r="SQO185" s="16"/>
      <c r="SQP185" s="16"/>
      <c r="SQQ185" s="16"/>
      <c r="SQR185" s="10"/>
      <c r="SQS185" s="10"/>
      <c r="SQZ185" s="3"/>
      <c r="SRB185" s="1"/>
      <c r="SRD185" s="16"/>
      <c r="SRE185" s="16"/>
      <c r="SRF185" s="16"/>
      <c r="SRG185" s="16"/>
      <c r="SRH185" s="10"/>
      <c r="SRI185" s="10"/>
      <c r="SRP185" s="3"/>
      <c r="SRR185" s="1"/>
      <c r="SRT185" s="16"/>
      <c r="SRU185" s="16"/>
      <c r="SRV185" s="16"/>
      <c r="SRW185" s="16"/>
      <c r="SRX185" s="10"/>
      <c r="SRY185" s="10"/>
      <c r="SSF185" s="3"/>
      <c r="SSH185" s="1"/>
      <c r="SSJ185" s="16"/>
      <c r="SSK185" s="16"/>
      <c r="SSL185" s="16"/>
      <c r="SSM185" s="16"/>
      <c r="SSN185" s="10"/>
      <c r="SSO185" s="10"/>
      <c r="SSV185" s="3"/>
      <c r="SSX185" s="1"/>
      <c r="SSZ185" s="16"/>
      <c r="STA185" s="16"/>
      <c r="STB185" s="16"/>
      <c r="STC185" s="16"/>
      <c r="STD185" s="10"/>
      <c r="STE185" s="10"/>
      <c r="STL185" s="3"/>
      <c r="STN185" s="1"/>
      <c r="STP185" s="16"/>
      <c r="STQ185" s="16"/>
      <c r="STR185" s="16"/>
      <c r="STS185" s="16"/>
      <c r="STT185" s="10"/>
      <c r="STU185" s="10"/>
      <c r="SUB185" s="3"/>
      <c r="SUD185" s="1"/>
      <c r="SUF185" s="16"/>
      <c r="SUG185" s="16"/>
      <c r="SUH185" s="16"/>
      <c r="SUI185" s="16"/>
      <c r="SUJ185" s="10"/>
      <c r="SUK185" s="10"/>
      <c r="SUR185" s="3"/>
      <c r="SUT185" s="1"/>
      <c r="SUV185" s="16"/>
      <c r="SUW185" s="16"/>
      <c r="SUX185" s="16"/>
      <c r="SUY185" s="16"/>
      <c r="SUZ185" s="10"/>
      <c r="SVA185" s="10"/>
      <c r="SVH185" s="3"/>
      <c r="SVJ185" s="1"/>
      <c r="SVL185" s="16"/>
      <c r="SVM185" s="16"/>
      <c r="SVN185" s="16"/>
      <c r="SVO185" s="16"/>
      <c r="SVP185" s="10"/>
      <c r="SVQ185" s="10"/>
      <c r="SVX185" s="3"/>
      <c r="SVZ185" s="1"/>
      <c r="SWB185" s="16"/>
      <c r="SWC185" s="16"/>
      <c r="SWD185" s="16"/>
      <c r="SWE185" s="16"/>
      <c r="SWF185" s="10"/>
      <c r="SWG185" s="10"/>
      <c r="SWN185" s="3"/>
      <c r="SWP185" s="1"/>
      <c r="SWR185" s="16"/>
      <c r="SWS185" s="16"/>
      <c r="SWT185" s="16"/>
      <c r="SWU185" s="16"/>
      <c r="SWV185" s="10"/>
      <c r="SWW185" s="10"/>
      <c r="SXD185" s="3"/>
      <c r="SXF185" s="1"/>
      <c r="SXH185" s="16"/>
      <c r="SXI185" s="16"/>
      <c r="SXJ185" s="16"/>
      <c r="SXK185" s="16"/>
      <c r="SXL185" s="10"/>
      <c r="SXM185" s="10"/>
      <c r="SXT185" s="3"/>
      <c r="SXV185" s="1"/>
      <c r="SXX185" s="16"/>
      <c r="SXY185" s="16"/>
      <c r="SXZ185" s="16"/>
      <c r="SYA185" s="16"/>
      <c r="SYB185" s="10"/>
      <c r="SYC185" s="10"/>
      <c r="SYJ185" s="3"/>
      <c r="SYL185" s="1"/>
      <c r="SYN185" s="16"/>
      <c r="SYO185" s="16"/>
      <c r="SYP185" s="16"/>
      <c r="SYQ185" s="16"/>
      <c r="SYR185" s="10"/>
      <c r="SYS185" s="10"/>
      <c r="SYZ185" s="3"/>
      <c r="SZB185" s="1"/>
      <c r="SZD185" s="16"/>
      <c r="SZE185" s="16"/>
      <c r="SZF185" s="16"/>
      <c r="SZG185" s="16"/>
      <c r="SZH185" s="10"/>
      <c r="SZI185" s="10"/>
      <c r="SZP185" s="3"/>
      <c r="SZR185" s="1"/>
      <c r="SZT185" s="16"/>
      <c r="SZU185" s="16"/>
      <c r="SZV185" s="16"/>
      <c r="SZW185" s="16"/>
      <c r="SZX185" s="10"/>
      <c r="SZY185" s="10"/>
      <c r="TAF185" s="3"/>
      <c r="TAH185" s="1"/>
      <c r="TAJ185" s="16"/>
      <c r="TAK185" s="16"/>
      <c r="TAL185" s="16"/>
      <c r="TAM185" s="16"/>
      <c r="TAN185" s="10"/>
      <c r="TAO185" s="10"/>
      <c r="TAV185" s="3"/>
      <c r="TAX185" s="1"/>
      <c r="TAZ185" s="16"/>
      <c r="TBA185" s="16"/>
      <c r="TBB185" s="16"/>
      <c r="TBC185" s="16"/>
      <c r="TBD185" s="10"/>
      <c r="TBE185" s="10"/>
      <c r="TBL185" s="3"/>
      <c r="TBN185" s="1"/>
      <c r="TBP185" s="16"/>
      <c r="TBQ185" s="16"/>
      <c r="TBR185" s="16"/>
      <c r="TBS185" s="16"/>
      <c r="TBT185" s="10"/>
      <c r="TBU185" s="10"/>
      <c r="TCB185" s="3"/>
      <c r="TCD185" s="1"/>
      <c r="TCF185" s="16"/>
      <c r="TCG185" s="16"/>
      <c r="TCH185" s="16"/>
      <c r="TCI185" s="16"/>
      <c r="TCJ185" s="10"/>
      <c r="TCK185" s="10"/>
      <c r="TCR185" s="3"/>
      <c r="TCT185" s="1"/>
      <c r="TCV185" s="16"/>
      <c r="TCW185" s="16"/>
      <c r="TCX185" s="16"/>
      <c r="TCY185" s="16"/>
      <c r="TCZ185" s="10"/>
      <c r="TDA185" s="10"/>
      <c r="TDH185" s="3"/>
      <c r="TDJ185" s="1"/>
      <c r="TDL185" s="16"/>
      <c r="TDM185" s="16"/>
      <c r="TDN185" s="16"/>
      <c r="TDO185" s="16"/>
      <c r="TDP185" s="10"/>
      <c r="TDQ185" s="10"/>
      <c r="TDX185" s="3"/>
      <c r="TDZ185" s="1"/>
      <c r="TEB185" s="16"/>
      <c r="TEC185" s="16"/>
      <c r="TED185" s="16"/>
      <c r="TEE185" s="16"/>
      <c r="TEF185" s="10"/>
      <c r="TEG185" s="10"/>
      <c r="TEN185" s="3"/>
      <c r="TEP185" s="1"/>
      <c r="TER185" s="16"/>
      <c r="TES185" s="16"/>
      <c r="TET185" s="16"/>
      <c r="TEU185" s="16"/>
      <c r="TEV185" s="10"/>
      <c r="TEW185" s="10"/>
      <c r="TFD185" s="3"/>
      <c r="TFF185" s="1"/>
      <c r="TFH185" s="16"/>
      <c r="TFI185" s="16"/>
      <c r="TFJ185" s="16"/>
      <c r="TFK185" s="16"/>
      <c r="TFL185" s="10"/>
      <c r="TFM185" s="10"/>
      <c r="TFT185" s="3"/>
      <c r="TFV185" s="1"/>
      <c r="TFX185" s="16"/>
      <c r="TFY185" s="16"/>
      <c r="TFZ185" s="16"/>
      <c r="TGA185" s="16"/>
      <c r="TGB185" s="10"/>
      <c r="TGC185" s="10"/>
      <c r="TGJ185" s="3"/>
      <c r="TGL185" s="1"/>
      <c r="TGN185" s="16"/>
      <c r="TGO185" s="16"/>
      <c r="TGP185" s="16"/>
      <c r="TGQ185" s="16"/>
      <c r="TGR185" s="10"/>
      <c r="TGS185" s="10"/>
      <c r="TGZ185" s="3"/>
      <c r="THB185" s="1"/>
      <c r="THD185" s="16"/>
      <c r="THE185" s="16"/>
      <c r="THF185" s="16"/>
      <c r="THG185" s="16"/>
      <c r="THH185" s="10"/>
      <c r="THI185" s="10"/>
      <c r="THP185" s="3"/>
      <c r="THR185" s="1"/>
      <c r="THT185" s="16"/>
      <c r="THU185" s="16"/>
      <c r="THV185" s="16"/>
      <c r="THW185" s="16"/>
      <c r="THX185" s="10"/>
      <c r="THY185" s="10"/>
      <c r="TIF185" s="3"/>
      <c r="TIH185" s="1"/>
      <c r="TIJ185" s="16"/>
      <c r="TIK185" s="16"/>
      <c r="TIL185" s="16"/>
      <c r="TIM185" s="16"/>
      <c r="TIN185" s="10"/>
      <c r="TIO185" s="10"/>
      <c r="TIV185" s="3"/>
      <c r="TIX185" s="1"/>
      <c r="TIZ185" s="16"/>
      <c r="TJA185" s="16"/>
      <c r="TJB185" s="16"/>
      <c r="TJC185" s="16"/>
      <c r="TJD185" s="10"/>
      <c r="TJE185" s="10"/>
      <c r="TJL185" s="3"/>
      <c r="TJN185" s="1"/>
      <c r="TJP185" s="16"/>
      <c r="TJQ185" s="16"/>
      <c r="TJR185" s="16"/>
      <c r="TJS185" s="16"/>
      <c r="TJT185" s="10"/>
      <c r="TJU185" s="10"/>
      <c r="TKB185" s="3"/>
      <c r="TKD185" s="1"/>
      <c r="TKF185" s="16"/>
      <c r="TKG185" s="16"/>
      <c r="TKH185" s="16"/>
      <c r="TKI185" s="16"/>
      <c r="TKJ185" s="10"/>
      <c r="TKK185" s="10"/>
      <c r="TKR185" s="3"/>
      <c r="TKT185" s="1"/>
      <c r="TKV185" s="16"/>
      <c r="TKW185" s="16"/>
      <c r="TKX185" s="16"/>
      <c r="TKY185" s="16"/>
      <c r="TKZ185" s="10"/>
      <c r="TLA185" s="10"/>
      <c r="TLH185" s="3"/>
      <c r="TLJ185" s="1"/>
      <c r="TLL185" s="16"/>
      <c r="TLM185" s="16"/>
      <c r="TLN185" s="16"/>
      <c r="TLO185" s="16"/>
      <c r="TLP185" s="10"/>
      <c r="TLQ185" s="10"/>
      <c r="TLX185" s="3"/>
      <c r="TLZ185" s="1"/>
      <c r="TMB185" s="16"/>
      <c r="TMC185" s="16"/>
      <c r="TMD185" s="16"/>
      <c r="TME185" s="16"/>
      <c r="TMF185" s="10"/>
      <c r="TMG185" s="10"/>
      <c r="TMN185" s="3"/>
      <c r="TMP185" s="1"/>
      <c r="TMR185" s="16"/>
      <c r="TMS185" s="16"/>
      <c r="TMT185" s="16"/>
      <c r="TMU185" s="16"/>
      <c r="TMV185" s="10"/>
      <c r="TMW185" s="10"/>
      <c r="TND185" s="3"/>
      <c r="TNF185" s="1"/>
      <c r="TNH185" s="16"/>
      <c r="TNI185" s="16"/>
      <c r="TNJ185" s="16"/>
      <c r="TNK185" s="16"/>
      <c r="TNL185" s="10"/>
      <c r="TNM185" s="10"/>
      <c r="TNT185" s="3"/>
      <c r="TNV185" s="1"/>
      <c r="TNX185" s="16"/>
      <c r="TNY185" s="16"/>
      <c r="TNZ185" s="16"/>
      <c r="TOA185" s="16"/>
      <c r="TOB185" s="10"/>
      <c r="TOC185" s="10"/>
      <c r="TOJ185" s="3"/>
      <c r="TOL185" s="1"/>
      <c r="TON185" s="16"/>
      <c r="TOO185" s="16"/>
      <c r="TOP185" s="16"/>
      <c r="TOQ185" s="16"/>
      <c r="TOR185" s="10"/>
      <c r="TOS185" s="10"/>
      <c r="TOZ185" s="3"/>
      <c r="TPB185" s="1"/>
      <c r="TPD185" s="16"/>
      <c r="TPE185" s="16"/>
      <c r="TPF185" s="16"/>
      <c r="TPG185" s="16"/>
      <c r="TPH185" s="10"/>
      <c r="TPI185" s="10"/>
      <c r="TPP185" s="3"/>
      <c r="TPR185" s="1"/>
      <c r="TPT185" s="16"/>
      <c r="TPU185" s="16"/>
      <c r="TPV185" s="16"/>
      <c r="TPW185" s="16"/>
      <c r="TPX185" s="10"/>
      <c r="TPY185" s="10"/>
      <c r="TQF185" s="3"/>
      <c r="TQH185" s="1"/>
      <c r="TQJ185" s="16"/>
      <c r="TQK185" s="16"/>
      <c r="TQL185" s="16"/>
      <c r="TQM185" s="16"/>
      <c r="TQN185" s="10"/>
      <c r="TQO185" s="10"/>
      <c r="TQV185" s="3"/>
      <c r="TQX185" s="1"/>
      <c r="TQZ185" s="16"/>
      <c r="TRA185" s="16"/>
      <c r="TRB185" s="16"/>
      <c r="TRC185" s="16"/>
      <c r="TRD185" s="10"/>
      <c r="TRE185" s="10"/>
      <c r="TRL185" s="3"/>
      <c r="TRN185" s="1"/>
      <c r="TRP185" s="16"/>
      <c r="TRQ185" s="16"/>
      <c r="TRR185" s="16"/>
      <c r="TRS185" s="16"/>
      <c r="TRT185" s="10"/>
      <c r="TRU185" s="10"/>
      <c r="TSB185" s="3"/>
      <c r="TSD185" s="1"/>
      <c r="TSF185" s="16"/>
      <c r="TSG185" s="16"/>
      <c r="TSH185" s="16"/>
      <c r="TSI185" s="16"/>
      <c r="TSJ185" s="10"/>
      <c r="TSK185" s="10"/>
      <c r="TSR185" s="3"/>
      <c r="TST185" s="1"/>
      <c r="TSV185" s="16"/>
      <c r="TSW185" s="16"/>
      <c r="TSX185" s="16"/>
      <c r="TSY185" s="16"/>
      <c r="TSZ185" s="10"/>
      <c r="TTA185" s="10"/>
      <c r="TTH185" s="3"/>
      <c r="TTJ185" s="1"/>
      <c r="TTL185" s="16"/>
      <c r="TTM185" s="16"/>
      <c r="TTN185" s="16"/>
      <c r="TTO185" s="16"/>
      <c r="TTP185" s="10"/>
      <c r="TTQ185" s="10"/>
      <c r="TTX185" s="3"/>
      <c r="TTZ185" s="1"/>
      <c r="TUB185" s="16"/>
      <c r="TUC185" s="16"/>
      <c r="TUD185" s="16"/>
      <c r="TUE185" s="16"/>
      <c r="TUF185" s="10"/>
      <c r="TUG185" s="10"/>
      <c r="TUN185" s="3"/>
      <c r="TUP185" s="1"/>
      <c r="TUR185" s="16"/>
      <c r="TUS185" s="16"/>
      <c r="TUT185" s="16"/>
      <c r="TUU185" s="16"/>
      <c r="TUV185" s="10"/>
      <c r="TUW185" s="10"/>
      <c r="TVD185" s="3"/>
      <c r="TVF185" s="1"/>
      <c r="TVH185" s="16"/>
      <c r="TVI185" s="16"/>
      <c r="TVJ185" s="16"/>
      <c r="TVK185" s="16"/>
      <c r="TVL185" s="10"/>
      <c r="TVM185" s="10"/>
      <c r="TVT185" s="3"/>
      <c r="TVV185" s="1"/>
      <c r="TVX185" s="16"/>
      <c r="TVY185" s="16"/>
      <c r="TVZ185" s="16"/>
      <c r="TWA185" s="16"/>
      <c r="TWB185" s="10"/>
      <c r="TWC185" s="10"/>
      <c r="TWJ185" s="3"/>
      <c r="TWL185" s="1"/>
      <c r="TWN185" s="16"/>
      <c r="TWO185" s="16"/>
      <c r="TWP185" s="16"/>
      <c r="TWQ185" s="16"/>
      <c r="TWR185" s="10"/>
      <c r="TWS185" s="10"/>
      <c r="TWZ185" s="3"/>
      <c r="TXB185" s="1"/>
      <c r="TXD185" s="16"/>
      <c r="TXE185" s="16"/>
      <c r="TXF185" s="16"/>
      <c r="TXG185" s="16"/>
      <c r="TXH185" s="10"/>
      <c r="TXI185" s="10"/>
      <c r="TXP185" s="3"/>
      <c r="TXR185" s="1"/>
      <c r="TXT185" s="16"/>
      <c r="TXU185" s="16"/>
      <c r="TXV185" s="16"/>
      <c r="TXW185" s="16"/>
      <c r="TXX185" s="10"/>
      <c r="TXY185" s="10"/>
      <c r="TYF185" s="3"/>
      <c r="TYH185" s="1"/>
      <c r="TYJ185" s="16"/>
      <c r="TYK185" s="16"/>
      <c r="TYL185" s="16"/>
      <c r="TYM185" s="16"/>
      <c r="TYN185" s="10"/>
      <c r="TYO185" s="10"/>
      <c r="TYV185" s="3"/>
      <c r="TYX185" s="1"/>
      <c r="TYZ185" s="16"/>
      <c r="TZA185" s="16"/>
      <c r="TZB185" s="16"/>
      <c r="TZC185" s="16"/>
      <c r="TZD185" s="10"/>
      <c r="TZE185" s="10"/>
      <c r="TZL185" s="3"/>
      <c r="TZN185" s="1"/>
      <c r="TZP185" s="16"/>
      <c r="TZQ185" s="16"/>
      <c r="TZR185" s="16"/>
      <c r="TZS185" s="16"/>
      <c r="TZT185" s="10"/>
      <c r="TZU185" s="10"/>
      <c r="UAB185" s="3"/>
      <c r="UAD185" s="1"/>
      <c r="UAF185" s="16"/>
      <c r="UAG185" s="16"/>
      <c r="UAH185" s="16"/>
      <c r="UAI185" s="16"/>
      <c r="UAJ185" s="10"/>
      <c r="UAK185" s="10"/>
      <c r="UAR185" s="3"/>
      <c r="UAT185" s="1"/>
      <c r="UAV185" s="16"/>
      <c r="UAW185" s="16"/>
      <c r="UAX185" s="16"/>
      <c r="UAY185" s="16"/>
      <c r="UAZ185" s="10"/>
      <c r="UBA185" s="10"/>
      <c r="UBH185" s="3"/>
      <c r="UBJ185" s="1"/>
      <c r="UBL185" s="16"/>
      <c r="UBM185" s="16"/>
      <c r="UBN185" s="16"/>
      <c r="UBO185" s="16"/>
      <c r="UBP185" s="10"/>
      <c r="UBQ185" s="10"/>
      <c r="UBX185" s="3"/>
      <c r="UBZ185" s="1"/>
      <c r="UCB185" s="16"/>
      <c r="UCC185" s="16"/>
      <c r="UCD185" s="16"/>
      <c r="UCE185" s="16"/>
      <c r="UCF185" s="10"/>
      <c r="UCG185" s="10"/>
      <c r="UCN185" s="3"/>
      <c r="UCP185" s="1"/>
      <c r="UCR185" s="16"/>
      <c r="UCS185" s="16"/>
      <c r="UCT185" s="16"/>
      <c r="UCU185" s="16"/>
      <c r="UCV185" s="10"/>
      <c r="UCW185" s="10"/>
      <c r="UDD185" s="3"/>
      <c r="UDF185" s="1"/>
      <c r="UDH185" s="16"/>
      <c r="UDI185" s="16"/>
      <c r="UDJ185" s="16"/>
      <c r="UDK185" s="16"/>
      <c r="UDL185" s="10"/>
      <c r="UDM185" s="10"/>
      <c r="UDT185" s="3"/>
      <c r="UDV185" s="1"/>
      <c r="UDX185" s="16"/>
      <c r="UDY185" s="16"/>
      <c r="UDZ185" s="16"/>
      <c r="UEA185" s="16"/>
      <c r="UEB185" s="10"/>
      <c r="UEC185" s="10"/>
      <c r="UEJ185" s="3"/>
      <c r="UEL185" s="1"/>
      <c r="UEN185" s="16"/>
      <c r="UEO185" s="16"/>
      <c r="UEP185" s="16"/>
      <c r="UEQ185" s="16"/>
      <c r="UER185" s="10"/>
      <c r="UES185" s="10"/>
      <c r="UEZ185" s="3"/>
      <c r="UFB185" s="1"/>
      <c r="UFD185" s="16"/>
      <c r="UFE185" s="16"/>
      <c r="UFF185" s="16"/>
      <c r="UFG185" s="16"/>
      <c r="UFH185" s="10"/>
      <c r="UFI185" s="10"/>
      <c r="UFP185" s="3"/>
      <c r="UFR185" s="1"/>
      <c r="UFT185" s="16"/>
      <c r="UFU185" s="16"/>
      <c r="UFV185" s="16"/>
      <c r="UFW185" s="16"/>
      <c r="UFX185" s="10"/>
      <c r="UFY185" s="10"/>
      <c r="UGF185" s="3"/>
      <c r="UGH185" s="1"/>
      <c r="UGJ185" s="16"/>
      <c r="UGK185" s="16"/>
      <c r="UGL185" s="16"/>
      <c r="UGM185" s="16"/>
      <c r="UGN185" s="10"/>
      <c r="UGO185" s="10"/>
      <c r="UGV185" s="3"/>
      <c r="UGX185" s="1"/>
      <c r="UGZ185" s="16"/>
      <c r="UHA185" s="16"/>
      <c r="UHB185" s="16"/>
      <c r="UHC185" s="16"/>
      <c r="UHD185" s="10"/>
      <c r="UHE185" s="10"/>
      <c r="UHL185" s="3"/>
      <c r="UHN185" s="1"/>
      <c r="UHP185" s="16"/>
      <c r="UHQ185" s="16"/>
      <c r="UHR185" s="16"/>
      <c r="UHS185" s="16"/>
      <c r="UHT185" s="10"/>
      <c r="UHU185" s="10"/>
      <c r="UIB185" s="3"/>
      <c r="UID185" s="1"/>
      <c r="UIF185" s="16"/>
      <c r="UIG185" s="16"/>
      <c r="UIH185" s="16"/>
      <c r="UII185" s="16"/>
      <c r="UIJ185" s="10"/>
      <c r="UIK185" s="10"/>
      <c r="UIR185" s="3"/>
      <c r="UIT185" s="1"/>
      <c r="UIV185" s="16"/>
      <c r="UIW185" s="16"/>
      <c r="UIX185" s="16"/>
      <c r="UIY185" s="16"/>
      <c r="UIZ185" s="10"/>
      <c r="UJA185" s="10"/>
      <c r="UJH185" s="3"/>
      <c r="UJJ185" s="1"/>
      <c r="UJL185" s="16"/>
      <c r="UJM185" s="16"/>
      <c r="UJN185" s="16"/>
      <c r="UJO185" s="16"/>
      <c r="UJP185" s="10"/>
      <c r="UJQ185" s="10"/>
      <c r="UJX185" s="3"/>
      <c r="UJZ185" s="1"/>
      <c r="UKB185" s="16"/>
      <c r="UKC185" s="16"/>
      <c r="UKD185" s="16"/>
      <c r="UKE185" s="16"/>
      <c r="UKF185" s="10"/>
      <c r="UKG185" s="10"/>
      <c r="UKN185" s="3"/>
      <c r="UKP185" s="1"/>
      <c r="UKR185" s="16"/>
      <c r="UKS185" s="16"/>
      <c r="UKT185" s="16"/>
      <c r="UKU185" s="16"/>
      <c r="UKV185" s="10"/>
      <c r="UKW185" s="10"/>
      <c r="ULD185" s="3"/>
      <c r="ULF185" s="1"/>
      <c r="ULH185" s="16"/>
      <c r="ULI185" s="16"/>
      <c r="ULJ185" s="16"/>
      <c r="ULK185" s="16"/>
      <c r="ULL185" s="10"/>
      <c r="ULM185" s="10"/>
      <c r="ULT185" s="3"/>
      <c r="ULV185" s="1"/>
      <c r="ULX185" s="16"/>
      <c r="ULY185" s="16"/>
      <c r="ULZ185" s="16"/>
      <c r="UMA185" s="16"/>
      <c r="UMB185" s="10"/>
      <c r="UMC185" s="10"/>
      <c r="UMJ185" s="3"/>
      <c r="UML185" s="1"/>
      <c r="UMN185" s="16"/>
      <c r="UMO185" s="16"/>
      <c r="UMP185" s="16"/>
      <c r="UMQ185" s="16"/>
      <c r="UMR185" s="10"/>
      <c r="UMS185" s="10"/>
      <c r="UMZ185" s="3"/>
      <c r="UNB185" s="1"/>
      <c r="UND185" s="16"/>
      <c r="UNE185" s="16"/>
      <c r="UNF185" s="16"/>
      <c r="UNG185" s="16"/>
      <c r="UNH185" s="10"/>
      <c r="UNI185" s="10"/>
      <c r="UNP185" s="3"/>
      <c r="UNR185" s="1"/>
      <c r="UNT185" s="16"/>
      <c r="UNU185" s="16"/>
      <c r="UNV185" s="16"/>
      <c r="UNW185" s="16"/>
      <c r="UNX185" s="10"/>
      <c r="UNY185" s="10"/>
      <c r="UOF185" s="3"/>
      <c r="UOH185" s="1"/>
      <c r="UOJ185" s="16"/>
      <c r="UOK185" s="16"/>
      <c r="UOL185" s="16"/>
      <c r="UOM185" s="16"/>
      <c r="UON185" s="10"/>
      <c r="UOO185" s="10"/>
      <c r="UOV185" s="3"/>
      <c r="UOX185" s="1"/>
      <c r="UOZ185" s="16"/>
      <c r="UPA185" s="16"/>
      <c r="UPB185" s="16"/>
      <c r="UPC185" s="16"/>
      <c r="UPD185" s="10"/>
      <c r="UPE185" s="10"/>
      <c r="UPL185" s="3"/>
      <c r="UPN185" s="1"/>
      <c r="UPP185" s="16"/>
      <c r="UPQ185" s="16"/>
      <c r="UPR185" s="16"/>
      <c r="UPS185" s="16"/>
      <c r="UPT185" s="10"/>
      <c r="UPU185" s="10"/>
      <c r="UQB185" s="3"/>
      <c r="UQD185" s="1"/>
      <c r="UQF185" s="16"/>
      <c r="UQG185" s="16"/>
      <c r="UQH185" s="16"/>
      <c r="UQI185" s="16"/>
      <c r="UQJ185" s="10"/>
      <c r="UQK185" s="10"/>
      <c r="UQR185" s="3"/>
      <c r="UQT185" s="1"/>
      <c r="UQV185" s="16"/>
      <c r="UQW185" s="16"/>
      <c r="UQX185" s="16"/>
      <c r="UQY185" s="16"/>
      <c r="UQZ185" s="10"/>
      <c r="URA185" s="10"/>
      <c r="URH185" s="3"/>
      <c r="URJ185" s="1"/>
      <c r="URL185" s="16"/>
      <c r="URM185" s="16"/>
      <c r="URN185" s="16"/>
      <c r="URO185" s="16"/>
      <c r="URP185" s="10"/>
      <c r="URQ185" s="10"/>
      <c r="URX185" s="3"/>
      <c r="URZ185" s="1"/>
      <c r="USB185" s="16"/>
      <c r="USC185" s="16"/>
      <c r="USD185" s="16"/>
      <c r="USE185" s="16"/>
      <c r="USF185" s="10"/>
      <c r="USG185" s="10"/>
      <c r="USN185" s="3"/>
      <c r="USP185" s="1"/>
      <c r="USR185" s="16"/>
      <c r="USS185" s="16"/>
      <c r="UST185" s="16"/>
      <c r="USU185" s="16"/>
      <c r="USV185" s="10"/>
      <c r="USW185" s="10"/>
      <c r="UTD185" s="3"/>
      <c r="UTF185" s="1"/>
      <c r="UTH185" s="16"/>
      <c r="UTI185" s="16"/>
      <c r="UTJ185" s="16"/>
      <c r="UTK185" s="16"/>
      <c r="UTL185" s="10"/>
      <c r="UTM185" s="10"/>
      <c r="UTT185" s="3"/>
      <c r="UTV185" s="1"/>
      <c r="UTX185" s="16"/>
      <c r="UTY185" s="16"/>
      <c r="UTZ185" s="16"/>
      <c r="UUA185" s="16"/>
      <c r="UUB185" s="10"/>
      <c r="UUC185" s="10"/>
      <c r="UUJ185" s="3"/>
      <c r="UUL185" s="1"/>
      <c r="UUN185" s="16"/>
      <c r="UUO185" s="16"/>
      <c r="UUP185" s="16"/>
      <c r="UUQ185" s="16"/>
      <c r="UUR185" s="10"/>
      <c r="UUS185" s="10"/>
      <c r="UUZ185" s="3"/>
      <c r="UVB185" s="1"/>
      <c r="UVD185" s="16"/>
      <c r="UVE185" s="16"/>
      <c r="UVF185" s="16"/>
      <c r="UVG185" s="16"/>
      <c r="UVH185" s="10"/>
      <c r="UVI185" s="10"/>
      <c r="UVP185" s="3"/>
      <c r="UVR185" s="1"/>
      <c r="UVT185" s="16"/>
      <c r="UVU185" s="16"/>
      <c r="UVV185" s="16"/>
      <c r="UVW185" s="16"/>
      <c r="UVX185" s="10"/>
      <c r="UVY185" s="10"/>
      <c r="UWF185" s="3"/>
      <c r="UWH185" s="1"/>
      <c r="UWJ185" s="16"/>
      <c r="UWK185" s="16"/>
      <c r="UWL185" s="16"/>
      <c r="UWM185" s="16"/>
      <c r="UWN185" s="10"/>
      <c r="UWO185" s="10"/>
      <c r="UWV185" s="3"/>
      <c r="UWX185" s="1"/>
      <c r="UWZ185" s="16"/>
      <c r="UXA185" s="16"/>
      <c r="UXB185" s="16"/>
      <c r="UXC185" s="16"/>
      <c r="UXD185" s="10"/>
      <c r="UXE185" s="10"/>
      <c r="UXL185" s="3"/>
      <c r="UXN185" s="1"/>
      <c r="UXP185" s="16"/>
      <c r="UXQ185" s="16"/>
      <c r="UXR185" s="16"/>
      <c r="UXS185" s="16"/>
      <c r="UXT185" s="10"/>
      <c r="UXU185" s="10"/>
      <c r="UYB185" s="3"/>
      <c r="UYD185" s="1"/>
      <c r="UYF185" s="16"/>
      <c r="UYG185" s="16"/>
      <c r="UYH185" s="16"/>
      <c r="UYI185" s="16"/>
      <c r="UYJ185" s="10"/>
      <c r="UYK185" s="10"/>
      <c r="UYR185" s="3"/>
      <c r="UYT185" s="1"/>
      <c r="UYV185" s="16"/>
      <c r="UYW185" s="16"/>
      <c r="UYX185" s="16"/>
      <c r="UYY185" s="16"/>
      <c r="UYZ185" s="10"/>
      <c r="UZA185" s="10"/>
      <c r="UZH185" s="3"/>
      <c r="UZJ185" s="1"/>
      <c r="UZL185" s="16"/>
      <c r="UZM185" s="16"/>
      <c r="UZN185" s="16"/>
      <c r="UZO185" s="16"/>
      <c r="UZP185" s="10"/>
      <c r="UZQ185" s="10"/>
      <c r="UZX185" s="3"/>
      <c r="UZZ185" s="1"/>
      <c r="VAB185" s="16"/>
      <c r="VAC185" s="16"/>
      <c r="VAD185" s="16"/>
      <c r="VAE185" s="16"/>
      <c r="VAF185" s="10"/>
      <c r="VAG185" s="10"/>
      <c r="VAN185" s="3"/>
      <c r="VAP185" s="1"/>
      <c r="VAR185" s="16"/>
      <c r="VAS185" s="16"/>
      <c r="VAT185" s="16"/>
      <c r="VAU185" s="16"/>
      <c r="VAV185" s="10"/>
      <c r="VAW185" s="10"/>
      <c r="VBD185" s="3"/>
      <c r="VBF185" s="1"/>
      <c r="VBH185" s="16"/>
      <c r="VBI185" s="16"/>
      <c r="VBJ185" s="16"/>
      <c r="VBK185" s="16"/>
      <c r="VBL185" s="10"/>
      <c r="VBM185" s="10"/>
      <c r="VBT185" s="3"/>
      <c r="VBV185" s="1"/>
      <c r="VBX185" s="16"/>
      <c r="VBY185" s="16"/>
      <c r="VBZ185" s="16"/>
      <c r="VCA185" s="16"/>
      <c r="VCB185" s="10"/>
      <c r="VCC185" s="10"/>
      <c r="VCJ185" s="3"/>
      <c r="VCL185" s="1"/>
      <c r="VCN185" s="16"/>
      <c r="VCO185" s="16"/>
      <c r="VCP185" s="16"/>
      <c r="VCQ185" s="16"/>
      <c r="VCR185" s="10"/>
      <c r="VCS185" s="10"/>
      <c r="VCZ185" s="3"/>
      <c r="VDB185" s="1"/>
      <c r="VDD185" s="16"/>
      <c r="VDE185" s="16"/>
      <c r="VDF185" s="16"/>
      <c r="VDG185" s="16"/>
      <c r="VDH185" s="10"/>
      <c r="VDI185" s="10"/>
      <c r="VDP185" s="3"/>
      <c r="VDR185" s="1"/>
      <c r="VDT185" s="16"/>
      <c r="VDU185" s="16"/>
      <c r="VDV185" s="16"/>
      <c r="VDW185" s="16"/>
      <c r="VDX185" s="10"/>
      <c r="VDY185" s="10"/>
      <c r="VEF185" s="3"/>
      <c r="VEH185" s="1"/>
      <c r="VEJ185" s="16"/>
      <c r="VEK185" s="16"/>
      <c r="VEL185" s="16"/>
      <c r="VEM185" s="16"/>
      <c r="VEN185" s="10"/>
      <c r="VEO185" s="10"/>
      <c r="VEV185" s="3"/>
      <c r="VEX185" s="1"/>
      <c r="VEZ185" s="16"/>
      <c r="VFA185" s="16"/>
      <c r="VFB185" s="16"/>
      <c r="VFC185" s="16"/>
      <c r="VFD185" s="10"/>
      <c r="VFE185" s="10"/>
      <c r="VFL185" s="3"/>
      <c r="VFN185" s="1"/>
      <c r="VFP185" s="16"/>
      <c r="VFQ185" s="16"/>
      <c r="VFR185" s="16"/>
      <c r="VFS185" s="16"/>
      <c r="VFT185" s="10"/>
      <c r="VFU185" s="10"/>
      <c r="VGB185" s="3"/>
      <c r="VGD185" s="1"/>
      <c r="VGF185" s="16"/>
      <c r="VGG185" s="16"/>
      <c r="VGH185" s="16"/>
      <c r="VGI185" s="16"/>
      <c r="VGJ185" s="10"/>
      <c r="VGK185" s="10"/>
      <c r="VGR185" s="3"/>
      <c r="VGT185" s="1"/>
      <c r="VGV185" s="16"/>
      <c r="VGW185" s="16"/>
      <c r="VGX185" s="16"/>
      <c r="VGY185" s="16"/>
      <c r="VGZ185" s="10"/>
      <c r="VHA185" s="10"/>
      <c r="VHH185" s="3"/>
      <c r="VHJ185" s="1"/>
      <c r="VHL185" s="16"/>
      <c r="VHM185" s="16"/>
      <c r="VHN185" s="16"/>
      <c r="VHO185" s="16"/>
      <c r="VHP185" s="10"/>
      <c r="VHQ185" s="10"/>
      <c r="VHX185" s="3"/>
      <c r="VHZ185" s="1"/>
      <c r="VIB185" s="16"/>
      <c r="VIC185" s="16"/>
      <c r="VID185" s="16"/>
      <c r="VIE185" s="16"/>
      <c r="VIF185" s="10"/>
      <c r="VIG185" s="10"/>
      <c r="VIN185" s="3"/>
      <c r="VIP185" s="1"/>
      <c r="VIR185" s="16"/>
      <c r="VIS185" s="16"/>
      <c r="VIT185" s="16"/>
      <c r="VIU185" s="16"/>
      <c r="VIV185" s="10"/>
      <c r="VIW185" s="10"/>
      <c r="VJD185" s="3"/>
      <c r="VJF185" s="1"/>
      <c r="VJH185" s="16"/>
      <c r="VJI185" s="16"/>
      <c r="VJJ185" s="16"/>
      <c r="VJK185" s="16"/>
      <c r="VJL185" s="10"/>
      <c r="VJM185" s="10"/>
      <c r="VJT185" s="3"/>
      <c r="VJV185" s="1"/>
      <c r="VJX185" s="16"/>
      <c r="VJY185" s="16"/>
      <c r="VJZ185" s="16"/>
      <c r="VKA185" s="16"/>
      <c r="VKB185" s="10"/>
      <c r="VKC185" s="10"/>
      <c r="VKJ185" s="3"/>
      <c r="VKL185" s="1"/>
      <c r="VKN185" s="16"/>
      <c r="VKO185" s="16"/>
      <c r="VKP185" s="16"/>
      <c r="VKQ185" s="16"/>
      <c r="VKR185" s="10"/>
      <c r="VKS185" s="10"/>
      <c r="VKZ185" s="3"/>
      <c r="VLB185" s="1"/>
      <c r="VLD185" s="16"/>
      <c r="VLE185" s="16"/>
      <c r="VLF185" s="16"/>
      <c r="VLG185" s="16"/>
      <c r="VLH185" s="10"/>
      <c r="VLI185" s="10"/>
      <c r="VLP185" s="3"/>
      <c r="VLR185" s="1"/>
      <c r="VLT185" s="16"/>
      <c r="VLU185" s="16"/>
      <c r="VLV185" s="16"/>
      <c r="VLW185" s="16"/>
      <c r="VLX185" s="10"/>
      <c r="VLY185" s="10"/>
      <c r="VMF185" s="3"/>
      <c r="VMH185" s="1"/>
      <c r="VMJ185" s="16"/>
      <c r="VMK185" s="16"/>
      <c r="VML185" s="16"/>
      <c r="VMM185" s="16"/>
      <c r="VMN185" s="10"/>
      <c r="VMO185" s="10"/>
      <c r="VMV185" s="3"/>
      <c r="VMX185" s="1"/>
      <c r="VMZ185" s="16"/>
      <c r="VNA185" s="16"/>
      <c r="VNB185" s="16"/>
      <c r="VNC185" s="16"/>
      <c r="VND185" s="10"/>
      <c r="VNE185" s="10"/>
      <c r="VNL185" s="3"/>
      <c r="VNN185" s="1"/>
      <c r="VNP185" s="16"/>
      <c r="VNQ185" s="16"/>
      <c r="VNR185" s="16"/>
      <c r="VNS185" s="16"/>
      <c r="VNT185" s="10"/>
      <c r="VNU185" s="10"/>
      <c r="VOB185" s="3"/>
      <c r="VOD185" s="1"/>
      <c r="VOF185" s="16"/>
      <c r="VOG185" s="16"/>
      <c r="VOH185" s="16"/>
      <c r="VOI185" s="16"/>
      <c r="VOJ185" s="10"/>
      <c r="VOK185" s="10"/>
      <c r="VOR185" s="3"/>
      <c r="VOT185" s="1"/>
      <c r="VOV185" s="16"/>
      <c r="VOW185" s="16"/>
      <c r="VOX185" s="16"/>
      <c r="VOY185" s="16"/>
      <c r="VOZ185" s="10"/>
      <c r="VPA185" s="10"/>
      <c r="VPH185" s="3"/>
      <c r="VPJ185" s="1"/>
      <c r="VPL185" s="16"/>
      <c r="VPM185" s="16"/>
      <c r="VPN185" s="16"/>
      <c r="VPO185" s="16"/>
      <c r="VPP185" s="10"/>
      <c r="VPQ185" s="10"/>
      <c r="VPX185" s="3"/>
      <c r="VPZ185" s="1"/>
      <c r="VQB185" s="16"/>
      <c r="VQC185" s="16"/>
      <c r="VQD185" s="16"/>
      <c r="VQE185" s="16"/>
      <c r="VQF185" s="10"/>
      <c r="VQG185" s="10"/>
      <c r="VQN185" s="3"/>
      <c r="VQP185" s="1"/>
      <c r="VQR185" s="16"/>
      <c r="VQS185" s="16"/>
      <c r="VQT185" s="16"/>
      <c r="VQU185" s="16"/>
      <c r="VQV185" s="10"/>
      <c r="VQW185" s="10"/>
      <c r="VRD185" s="3"/>
      <c r="VRF185" s="1"/>
      <c r="VRH185" s="16"/>
      <c r="VRI185" s="16"/>
      <c r="VRJ185" s="16"/>
      <c r="VRK185" s="16"/>
      <c r="VRL185" s="10"/>
      <c r="VRM185" s="10"/>
      <c r="VRT185" s="3"/>
      <c r="VRV185" s="1"/>
      <c r="VRX185" s="16"/>
      <c r="VRY185" s="16"/>
      <c r="VRZ185" s="16"/>
      <c r="VSA185" s="16"/>
      <c r="VSB185" s="10"/>
      <c r="VSC185" s="10"/>
      <c r="VSJ185" s="3"/>
      <c r="VSL185" s="1"/>
      <c r="VSN185" s="16"/>
      <c r="VSO185" s="16"/>
      <c r="VSP185" s="16"/>
      <c r="VSQ185" s="16"/>
      <c r="VSR185" s="10"/>
      <c r="VSS185" s="10"/>
      <c r="VSZ185" s="3"/>
      <c r="VTB185" s="1"/>
      <c r="VTD185" s="16"/>
      <c r="VTE185" s="16"/>
      <c r="VTF185" s="16"/>
      <c r="VTG185" s="16"/>
      <c r="VTH185" s="10"/>
      <c r="VTI185" s="10"/>
      <c r="VTP185" s="3"/>
      <c r="VTR185" s="1"/>
      <c r="VTT185" s="16"/>
      <c r="VTU185" s="16"/>
      <c r="VTV185" s="16"/>
      <c r="VTW185" s="16"/>
      <c r="VTX185" s="10"/>
      <c r="VTY185" s="10"/>
      <c r="VUF185" s="3"/>
      <c r="VUH185" s="1"/>
      <c r="VUJ185" s="16"/>
      <c r="VUK185" s="16"/>
      <c r="VUL185" s="16"/>
      <c r="VUM185" s="16"/>
      <c r="VUN185" s="10"/>
      <c r="VUO185" s="10"/>
      <c r="VUV185" s="3"/>
      <c r="VUX185" s="1"/>
      <c r="VUZ185" s="16"/>
      <c r="VVA185" s="16"/>
      <c r="VVB185" s="16"/>
      <c r="VVC185" s="16"/>
      <c r="VVD185" s="10"/>
      <c r="VVE185" s="10"/>
      <c r="VVL185" s="3"/>
      <c r="VVN185" s="1"/>
      <c r="VVP185" s="16"/>
      <c r="VVQ185" s="16"/>
      <c r="VVR185" s="16"/>
      <c r="VVS185" s="16"/>
      <c r="VVT185" s="10"/>
      <c r="VVU185" s="10"/>
      <c r="VWB185" s="3"/>
      <c r="VWD185" s="1"/>
      <c r="VWF185" s="16"/>
      <c r="VWG185" s="16"/>
      <c r="VWH185" s="16"/>
      <c r="VWI185" s="16"/>
      <c r="VWJ185" s="10"/>
      <c r="VWK185" s="10"/>
      <c r="VWR185" s="3"/>
      <c r="VWT185" s="1"/>
      <c r="VWV185" s="16"/>
      <c r="VWW185" s="16"/>
      <c r="VWX185" s="16"/>
      <c r="VWY185" s="16"/>
      <c r="VWZ185" s="10"/>
      <c r="VXA185" s="10"/>
      <c r="VXH185" s="3"/>
      <c r="VXJ185" s="1"/>
      <c r="VXL185" s="16"/>
      <c r="VXM185" s="16"/>
      <c r="VXN185" s="16"/>
      <c r="VXO185" s="16"/>
      <c r="VXP185" s="10"/>
      <c r="VXQ185" s="10"/>
      <c r="VXX185" s="3"/>
      <c r="VXZ185" s="1"/>
      <c r="VYB185" s="16"/>
      <c r="VYC185" s="16"/>
      <c r="VYD185" s="16"/>
      <c r="VYE185" s="16"/>
      <c r="VYF185" s="10"/>
      <c r="VYG185" s="10"/>
      <c r="VYN185" s="3"/>
      <c r="VYP185" s="1"/>
      <c r="VYR185" s="16"/>
      <c r="VYS185" s="16"/>
      <c r="VYT185" s="16"/>
      <c r="VYU185" s="16"/>
      <c r="VYV185" s="10"/>
      <c r="VYW185" s="10"/>
      <c r="VZD185" s="3"/>
      <c r="VZF185" s="1"/>
      <c r="VZH185" s="16"/>
      <c r="VZI185" s="16"/>
      <c r="VZJ185" s="16"/>
      <c r="VZK185" s="16"/>
      <c r="VZL185" s="10"/>
      <c r="VZM185" s="10"/>
      <c r="VZT185" s="3"/>
      <c r="VZV185" s="1"/>
      <c r="VZX185" s="16"/>
      <c r="VZY185" s="16"/>
      <c r="VZZ185" s="16"/>
      <c r="WAA185" s="16"/>
      <c r="WAB185" s="10"/>
      <c r="WAC185" s="10"/>
      <c r="WAJ185" s="3"/>
      <c r="WAL185" s="1"/>
      <c r="WAN185" s="16"/>
      <c r="WAO185" s="16"/>
      <c r="WAP185" s="16"/>
      <c r="WAQ185" s="16"/>
      <c r="WAR185" s="10"/>
      <c r="WAS185" s="10"/>
      <c r="WAZ185" s="3"/>
      <c r="WBB185" s="1"/>
      <c r="WBD185" s="16"/>
      <c r="WBE185" s="16"/>
      <c r="WBF185" s="16"/>
      <c r="WBG185" s="16"/>
      <c r="WBH185" s="10"/>
      <c r="WBI185" s="10"/>
      <c r="WBP185" s="3"/>
      <c r="WBR185" s="1"/>
      <c r="WBT185" s="16"/>
      <c r="WBU185" s="16"/>
      <c r="WBV185" s="16"/>
      <c r="WBW185" s="16"/>
      <c r="WBX185" s="10"/>
      <c r="WBY185" s="10"/>
      <c r="WCF185" s="3"/>
      <c r="WCH185" s="1"/>
      <c r="WCJ185" s="16"/>
      <c r="WCK185" s="16"/>
      <c r="WCL185" s="16"/>
      <c r="WCM185" s="16"/>
      <c r="WCN185" s="10"/>
      <c r="WCO185" s="10"/>
      <c r="WCV185" s="3"/>
      <c r="WCX185" s="1"/>
      <c r="WCZ185" s="16"/>
      <c r="WDA185" s="16"/>
      <c r="WDB185" s="16"/>
      <c r="WDC185" s="16"/>
      <c r="WDD185" s="10"/>
      <c r="WDE185" s="10"/>
      <c r="WDL185" s="3"/>
      <c r="WDN185" s="1"/>
      <c r="WDP185" s="16"/>
      <c r="WDQ185" s="16"/>
      <c r="WDR185" s="16"/>
      <c r="WDS185" s="16"/>
      <c r="WDT185" s="10"/>
      <c r="WDU185" s="10"/>
      <c r="WEB185" s="3"/>
      <c r="WED185" s="1"/>
      <c r="WEF185" s="16"/>
      <c r="WEG185" s="16"/>
      <c r="WEH185" s="16"/>
      <c r="WEI185" s="16"/>
      <c r="WEJ185" s="10"/>
      <c r="WEK185" s="10"/>
      <c r="WER185" s="3"/>
      <c r="WET185" s="1"/>
      <c r="WEV185" s="16"/>
      <c r="WEW185" s="16"/>
      <c r="WEX185" s="16"/>
      <c r="WEY185" s="16"/>
      <c r="WEZ185" s="10"/>
      <c r="WFA185" s="10"/>
      <c r="WFH185" s="3"/>
      <c r="WFJ185" s="1"/>
      <c r="WFL185" s="16"/>
      <c r="WFM185" s="16"/>
      <c r="WFN185" s="16"/>
      <c r="WFO185" s="16"/>
      <c r="WFP185" s="10"/>
      <c r="WFQ185" s="10"/>
      <c r="WFX185" s="3"/>
      <c r="WFZ185" s="1"/>
      <c r="WGB185" s="16"/>
      <c r="WGC185" s="16"/>
      <c r="WGD185" s="16"/>
      <c r="WGE185" s="16"/>
      <c r="WGF185" s="10"/>
      <c r="WGG185" s="10"/>
      <c r="WGN185" s="3"/>
      <c r="WGP185" s="1"/>
      <c r="WGR185" s="16"/>
      <c r="WGS185" s="16"/>
      <c r="WGT185" s="16"/>
      <c r="WGU185" s="16"/>
      <c r="WGV185" s="10"/>
      <c r="WGW185" s="10"/>
      <c r="WHD185" s="3"/>
      <c r="WHF185" s="1"/>
      <c r="WHH185" s="16"/>
      <c r="WHI185" s="16"/>
      <c r="WHJ185" s="16"/>
      <c r="WHK185" s="16"/>
      <c r="WHL185" s="10"/>
      <c r="WHM185" s="10"/>
      <c r="WHT185" s="3"/>
      <c r="WHV185" s="1"/>
      <c r="WHX185" s="16"/>
      <c r="WHY185" s="16"/>
      <c r="WHZ185" s="16"/>
      <c r="WIA185" s="16"/>
      <c r="WIB185" s="10"/>
      <c r="WIC185" s="10"/>
      <c r="WIJ185" s="3"/>
      <c r="WIL185" s="1"/>
      <c r="WIN185" s="16"/>
      <c r="WIO185" s="16"/>
      <c r="WIP185" s="16"/>
      <c r="WIQ185" s="16"/>
      <c r="WIR185" s="10"/>
      <c r="WIS185" s="10"/>
      <c r="WIZ185" s="3"/>
      <c r="WJB185" s="1"/>
      <c r="WJD185" s="16"/>
      <c r="WJE185" s="16"/>
      <c r="WJF185" s="16"/>
      <c r="WJG185" s="16"/>
      <c r="WJH185" s="10"/>
      <c r="WJI185" s="10"/>
      <c r="WJP185" s="3"/>
      <c r="WJR185" s="1"/>
      <c r="WJT185" s="16"/>
      <c r="WJU185" s="16"/>
      <c r="WJV185" s="16"/>
      <c r="WJW185" s="16"/>
      <c r="WJX185" s="10"/>
      <c r="WJY185" s="10"/>
      <c r="WKF185" s="3"/>
      <c r="WKH185" s="1"/>
      <c r="WKJ185" s="16"/>
      <c r="WKK185" s="16"/>
      <c r="WKL185" s="16"/>
      <c r="WKM185" s="16"/>
      <c r="WKN185" s="10"/>
      <c r="WKO185" s="10"/>
      <c r="WKV185" s="3"/>
      <c r="WKX185" s="1"/>
      <c r="WKZ185" s="16"/>
      <c r="WLA185" s="16"/>
      <c r="WLB185" s="16"/>
      <c r="WLC185" s="16"/>
      <c r="WLD185" s="10"/>
      <c r="WLE185" s="10"/>
      <c r="WLL185" s="3"/>
      <c r="WLN185" s="1"/>
      <c r="WLP185" s="16"/>
      <c r="WLQ185" s="16"/>
      <c r="WLR185" s="16"/>
      <c r="WLS185" s="16"/>
      <c r="WLT185" s="10"/>
      <c r="WLU185" s="10"/>
      <c r="WMB185" s="3"/>
      <c r="WMD185" s="1"/>
      <c r="WMF185" s="16"/>
      <c r="WMG185" s="16"/>
      <c r="WMH185" s="16"/>
      <c r="WMI185" s="16"/>
      <c r="WMJ185" s="10"/>
      <c r="WMK185" s="10"/>
      <c r="WMR185" s="3"/>
      <c r="WMT185" s="1"/>
      <c r="WMV185" s="16"/>
      <c r="WMW185" s="16"/>
      <c r="WMX185" s="16"/>
      <c r="WMY185" s="16"/>
      <c r="WMZ185" s="10"/>
      <c r="WNA185" s="10"/>
      <c r="WNH185" s="3"/>
      <c r="WNJ185" s="1"/>
      <c r="WNL185" s="16"/>
      <c r="WNM185" s="16"/>
      <c r="WNN185" s="16"/>
      <c r="WNO185" s="16"/>
      <c r="WNP185" s="10"/>
      <c r="WNQ185" s="10"/>
      <c r="WNX185" s="3"/>
      <c r="WNZ185" s="1"/>
      <c r="WOB185" s="16"/>
      <c r="WOC185" s="16"/>
      <c r="WOD185" s="16"/>
      <c r="WOE185" s="16"/>
      <c r="WOF185" s="10"/>
      <c r="WOG185" s="10"/>
      <c r="WON185" s="3"/>
      <c r="WOP185" s="1"/>
      <c r="WOR185" s="16"/>
      <c r="WOS185" s="16"/>
      <c r="WOT185" s="16"/>
      <c r="WOU185" s="16"/>
      <c r="WOV185" s="10"/>
      <c r="WOW185" s="10"/>
      <c r="WPD185" s="3"/>
      <c r="WPF185" s="1"/>
      <c r="WPH185" s="16"/>
      <c r="WPI185" s="16"/>
      <c r="WPJ185" s="16"/>
      <c r="WPK185" s="16"/>
      <c r="WPL185" s="10"/>
      <c r="WPM185" s="10"/>
      <c r="WPT185" s="3"/>
      <c r="WPV185" s="1"/>
      <c r="WPX185" s="16"/>
      <c r="WPY185" s="16"/>
      <c r="WPZ185" s="16"/>
      <c r="WQA185" s="16"/>
      <c r="WQB185" s="10"/>
      <c r="WQC185" s="10"/>
      <c r="WQJ185" s="3"/>
      <c r="WQL185" s="1"/>
      <c r="WQN185" s="16"/>
      <c r="WQO185" s="16"/>
      <c r="WQP185" s="16"/>
      <c r="WQQ185" s="16"/>
      <c r="WQR185" s="10"/>
      <c r="WQS185" s="10"/>
      <c r="WQZ185" s="3"/>
      <c r="WRB185" s="1"/>
      <c r="WRD185" s="16"/>
      <c r="WRE185" s="16"/>
      <c r="WRF185" s="16"/>
      <c r="WRG185" s="16"/>
      <c r="WRH185" s="10"/>
      <c r="WRI185" s="10"/>
      <c r="WRP185" s="3"/>
      <c r="WRR185" s="1"/>
      <c r="WRT185" s="16"/>
      <c r="WRU185" s="16"/>
      <c r="WRV185" s="16"/>
      <c r="WRW185" s="16"/>
      <c r="WRX185" s="10"/>
      <c r="WRY185" s="10"/>
      <c r="WSF185" s="3"/>
      <c r="WSH185" s="1"/>
      <c r="WSJ185" s="16"/>
      <c r="WSK185" s="16"/>
      <c r="WSL185" s="16"/>
      <c r="WSM185" s="16"/>
      <c r="WSN185" s="10"/>
      <c r="WSO185" s="10"/>
      <c r="WSV185" s="3"/>
      <c r="WSX185" s="1"/>
      <c r="WSZ185" s="16"/>
      <c r="WTA185" s="16"/>
      <c r="WTB185" s="16"/>
      <c r="WTC185" s="16"/>
      <c r="WTD185" s="10"/>
      <c r="WTE185" s="10"/>
      <c r="WTL185" s="3"/>
      <c r="WTN185" s="1"/>
      <c r="WTP185" s="16"/>
      <c r="WTQ185" s="16"/>
      <c r="WTR185" s="16"/>
      <c r="WTS185" s="16"/>
      <c r="WTT185" s="10"/>
      <c r="WTU185" s="10"/>
      <c r="WUB185" s="3"/>
      <c r="WUD185" s="1"/>
      <c r="WUF185" s="16"/>
      <c r="WUG185" s="16"/>
      <c r="WUH185" s="16"/>
      <c r="WUI185" s="16"/>
      <c r="WUJ185" s="10"/>
      <c r="WUK185" s="10"/>
      <c r="WUR185" s="3"/>
      <c r="WUT185" s="1"/>
      <c r="WUV185" s="16"/>
      <c r="WUW185" s="16"/>
      <c r="WUX185" s="16"/>
      <c r="WUY185" s="16"/>
      <c r="WUZ185" s="10"/>
      <c r="WVA185" s="10"/>
      <c r="WVH185" s="3"/>
      <c r="WVJ185" s="1"/>
      <c r="WVL185" s="16"/>
      <c r="WVM185" s="16"/>
      <c r="WVN185" s="16"/>
      <c r="WVO185" s="16"/>
      <c r="WVP185" s="10"/>
      <c r="WVQ185" s="10"/>
      <c r="WVX185" s="3"/>
      <c r="WVZ185" s="1"/>
      <c r="WWB185" s="16"/>
      <c r="WWC185" s="16"/>
      <c r="WWD185" s="16"/>
      <c r="WWE185" s="16"/>
      <c r="WWF185" s="10"/>
      <c r="WWG185" s="10"/>
      <c r="WWN185" s="3"/>
      <c r="WWP185" s="1"/>
      <c r="WWR185" s="16"/>
      <c r="WWS185" s="16"/>
      <c r="WWT185" s="16"/>
      <c r="WWU185" s="16"/>
      <c r="WWV185" s="10"/>
      <c r="WWW185" s="10"/>
      <c r="WXD185" s="3"/>
      <c r="WXF185" s="1"/>
      <c r="WXH185" s="16"/>
      <c r="WXI185" s="16"/>
      <c r="WXJ185" s="16"/>
      <c r="WXK185" s="16"/>
      <c r="WXL185" s="10"/>
      <c r="WXM185" s="10"/>
      <c r="WXT185" s="3"/>
      <c r="WXV185" s="1"/>
      <c r="WXX185" s="16"/>
      <c r="WXY185" s="16"/>
      <c r="WXZ185" s="16"/>
      <c r="WYA185" s="16"/>
      <c r="WYB185" s="10"/>
      <c r="WYC185" s="10"/>
      <c r="WYJ185" s="3"/>
      <c r="WYL185" s="1"/>
      <c r="WYN185" s="16"/>
      <c r="WYO185" s="16"/>
      <c r="WYP185" s="16"/>
      <c r="WYQ185" s="16"/>
      <c r="WYR185" s="10"/>
      <c r="WYS185" s="10"/>
      <c r="WYZ185" s="3"/>
      <c r="WZB185" s="1"/>
      <c r="WZD185" s="16"/>
      <c r="WZE185" s="16"/>
      <c r="WZF185" s="16"/>
      <c r="WZG185" s="16"/>
      <c r="WZH185" s="10"/>
      <c r="WZI185" s="10"/>
      <c r="WZP185" s="3"/>
      <c r="WZR185" s="1"/>
      <c r="WZT185" s="16"/>
      <c r="WZU185" s="16"/>
      <c r="WZV185" s="16"/>
      <c r="WZW185" s="16"/>
      <c r="WZX185" s="10"/>
      <c r="WZY185" s="10"/>
      <c r="XAF185" s="3"/>
      <c r="XAH185" s="1"/>
      <c r="XAJ185" s="16"/>
      <c r="XAK185" s="16"/>
      <c r="XAL185" s="16"/>
      <c r="XAM185" s="16"/>
      <c r="XAN185" s="10"/>
      <c r="XAO185" s="10"/>
      <c r="XAV185" s="3"/>
      <c r="XAX185" s="1"/>
      <c r="XAZ185" s="16"/>
      <c r="XBA185" s="16"/>
      <c r="XBB185" s="16"/>
      <c r="XBC185" s="16"/>
      <c r="XBD185" s="10"/>
      <c r="XBE185" s="10"/>
      <c r="XBL185" s="3"/>
      <c r="XBN185" s="1"/>
      <c r="XBP185" s="16"/>
      <c r="XBQ185" s="16"/>
      <c r="XBR185" s="16"/>
      <c r="XBS185" s="16"/>
      <c r="XBT185" s="10"/>
      <c r="XBU185" s="10"/>
      <c r="XCB185" s="3"/>
      <c r="XCD185" s="1"/>
      <c r="XCF185" s="16"/>
      <c r="XCG185" s="16"/>
      <c r="XCH185" s="16"/>
      <c r="XCI185" s="16"/>
      <c r="XCJ185" s="10"/>
      <c r="XCK185" s="10"/>
      <c r="XCR185" s="3"/>
      <c r="XCT185" s="1"/>
      <c r="XCV185" s="16"/>
      <c r="XCW185" s="16"/>
      <c r="XCX185" s="16"/>
      <c r="XCY185" s="16"/>
      <c r="XCZ185" s="10"/>
      <c r="XDA185" s="10"/>
      <c r="XDH185" s="3"/>
      <c r="XDJ185" s="1"/>
      <c r="XDL185" s="16"/>
      <c r="XDM185" s="16"/>
      <c r="XDN185" s="16"/>
      <c r="XDO185" s="16"/>
      <c r="XDP185" s="10"/>
      <c r="XDQ185" s="10"/>
      <c r="XDX185" s="3"/>
      <c r="XDZ185" s="1"/>
      <c r="XEB185" s="16"/>
      <c r="XEC185" s="16"/>
      <c r="XED185" s="16"/>
      <c r="XEE185" s="16"/>
      <c r="XEF185" s="10"/>
      <c r="XEG185" s="10"/>
      <c r="XEN185" s="3"/>
      <c r="XEP185" s="1"/>
      <c r="XER185" s="16"/>
      <c r="XES185" s="16"/>
      <c r="XET185" s="16"/>
      <c r="XEU185" s="16"/>
      <c r="XEV185" s="10"/>
      <c r="XEW185" s="10"/>
      <c r="XFD185" s="3"/>
    </row>
    <row r="186" ht="14.4" spans="1:16384">
      <c r="A186" s="18" t="str">
        <f>'Ammo Input'!A186</f>
        <v>23x115mm</v>
      </c>
      <c r="B186" s="1" t="str">
        <f>'Ammo Input'!B186</f>
        <v>AP-I</v>
      </c>
      <c r="C186">
        <f>(0.579*('Ammo Stats'!G186*IF(OR(B186="HEAT",B186="HEDP"),10,'Ammo Input'!F186)*VLOOKUP(B186,AmmoTypeFactors,7,FALSE))^(0.346))^IF(B186="HEDP",2.1,1)/IF(B186="HEDP",50,1)</f>
        <v>54.6933965600943</v>
      </c>
      <c r="D186" s="16">
        <f>IF(VLOOKUP(B186,AmmoTypeFactors,8,FALSE),J186,C186)*VLOOKUP('Ammo Input'!B186,AmmoTypeFactors,2,FALSE)</f>
        <v>43.7547172480755</v>
      </c>
      <c r="E186" s="16">
        <f>IF(OR(VLOOKUP(B186,AmmoTypeFactors,6,FALSE)="Bomb",VLOOKUP(B186,AmmoTypeFactors,6,FALSE)="Thermobaric"),J186*VLOOKUP(B186,AmmoTypeFactors,4,FALSE),IF(VLOOKUP(B186,AmmoTypeFactors,11,FALSE),P186,C186*VLOOKUP(B186,AmmoTypeFactors,4,FALSE)))</f>
        <v>31.9240503255985</v>
      </c>
      <c r="F186" s="16">
        <f>'Ammo Stats'!G186/0.005</f>
        <v>8895400</v>
      </c>
      <c r="G186" s="16">
        <f>(IF(B186="HEAT",10,'Ammo Input'!F186)*VLOOKUP(B186,AmmoTypeFactors,7,FALSE)*0.5)^2*PI()/100</f>
        <v>1.03868907109313</v>
      </c>
      <c r="H186" s="10">
        <f t="shared" si="9"/>
        <v>889.54</v>
      </c>
      <c r="I186" s="10">
        <f>IF(B186&lt;&gt;"Arrow (Flaming)",39493.49*'Ammo Input'!M186^0.6/1000,0)</f>
        <v>0</v>
      </c>
      <c r="J186">
        <f t="shared" si="10"/>
        <v>0</v>
      </c>
      <c r="K186">
        <f t="shared" si="11"/>
        <v>21</v>
      </c>
      <c r="L186">
        <f>200000/('Ammo Stats'!C186*(MAX('Ammo Input'!D186,'Ammo Input'!F186)*0.5)^2*PI())</f>
        <v>998.032173023839</v>
      </c>
      <c r="M186">
        <f>IF(B186="Frag",1,('Ammo Input'!M186/1.33)/('Ammo Input'!H186/1000))</f>
        <v>0</v>
      </c>
      <c r="N186" t="s">
        <v>353</v>
      </c>
      <c r="O186" t="s">
        <v>353</v>
      </c>
      <c r="P186" s="3">
        <f>(39493.49*(IF((VLOOKUP(B186,AmmoTypeFactors,6,FALSE)="Bomb_Secondary"),1.33,1)*('Ammo Input'!H186*0.35)/1000)^0.6/1000)*10/3*VLOOKUP(B186,AmmoTypeFactors,4,FALSE)</f>
        <v>31.9240503255985</v>
      </c>
      <c r="R186" s="1"/>
      <c r="T186" s="16"/>
      <c r="U186" s="16"/>
      <c r="V186" s="16"/>
      <c r="W186" s="16"/>
      <c r="X186" s="10"/>
      <c r="Y186" s="10"/>
      <c r="AF186" s="3"/>
      <c r="AH186" s="1"/>
      <c r="AJ186" s="16"/>
      <c r="AK186" s="16"/>
      <c r="AL186" s="16"/>
      <c r="AM186" s="16"/>
      <c r="AN186" s="10"/>
      <c r="AO186" s="10"/>
      <c r="AV186" s="3"/>
      <c r="AX186" s="1"/>
      <c r="AZ186" s="16"/>
      <c r="BA186" s="16"/>
      <c r="BB186" s="16"/>
      <c r="BC186" s="16"/>
      <c r="BD186" s="10"/>
      <c r="BE186" s="10"/>
      <c r="BL186" s="3"/>
      <c r="BN186" s="1"/>
      <c r="BP186" s="16"/>
      <c r="BQ186" s="16"/>
      <c r="BR186" s="16"/>
      <c r="BS186" s="16"/>
      <c r="BT186" s="10"/>
      <c r="BU186" s="10"/>
      <c r="CB186" s="3"/>
      <c r="CD186" s="1"/>
      <c r="CF186" s="16"/>
      <c r="CG186" s="16"/>
      <c r="CH186" s="16"/>
      <c r="CI186" s="16"/>
      <c r="CJ186" s="10"/>
      <c r="CK186" s="10"/>
      <c r="CR186" s="3"/>
      <c r="CT186" s="1"/>
      <c r="CV186" s="16"/>
      <c r="CW186" s="16"/>
      <c r="CX186" s="16"/>
      <c r="CY186" s="16"/>
      <c r="CZ186" s="10"/>
      <c r="DA186" s="10"/>
      <c r="DH186" s="3"/>
      <c r="DJ186" s="1"/>
      <c r="DL186" s="16"/>
      <c r="DM186" s="16"/>
      <c r="DN186" s="16"/>
      <c r="DO186" s="16"/>
      <c r="DP186" s="10"/>
      <c r="DQ186" s="10"/>
      <c r="DX186" s="3"/>
      <c r="DZ186" s="1"/>
      <c r="EB186" s="16"/>
      <c r="EC186" s="16"/>
      <c r="ED186" s="16"/>
      <c r="EE186" s="16"/>
      <c r="EF186" s="10"/>
      <c r="EG186" s="10"/>
      <c r="EN186" s="3"/>
      <c r="EP186" s="1"/>
      <c r="ER186" s="16"/>
      <c r="ES186" s="16"/>
      <c r="ET186" s="16"/>
      <c r="EU186" s="16"/>
      <c r="EV186" s="10"/>
      <c r="EW186" s="10"/>
      <c r="FD186" s="3"/>
      <c r="FF186" s="1"/>
      <c r="FH186" s="16"/>
      <c r="FI186" s="16"/>
      <c r="FJ186" s="16"/>
      <c r="FK186" s="16"/>
      <c r="FL186" s="10"/>
      <c r="FM186" s="10"/>
      <c r="FT186" s="3"/>
      <c r="FV186" s="1"/>
      <c r="FX186" s="16"/>
      <c r="FY186" s="16"/>
      <c r="FZ186" s="16"/>
      <c r="GA186" s="16"/>
      <c r="GB186" s="10"/>
      <c r="GC186" s="10"/>
      <c r="GJ186" s="3"/>
      <c r="GL186" s="1"/>
      <c r="GN186" s="16"/>
      <c r="GO186" s="16"/>
      <c r="GP186" s="16"/>
      <c r="GQ186" s="16"/>
      <c r="GR186" s="10"/>
      <c r="GS186" s="10"/>
      <c r="GZ186" s="3"/>
      <c r="HB186" s="1"/>
      <c r="HD186" s="16"/>
      <c r="HE186" s="16"/>
      <c r="HF186" s="16"/>
      <c r="HG186" s="16"/>
      <c r="HH186" s="10"/>
      <c r="HI186" s="10"/>
      <c r="HP186" s="3"/>
      <c r="HR186" s="1"/>
      <c r="HT186" s="16"/>
      <c r="HU186" s="16"/>
      <c r="HV186" s="16"/>
      <c r="HW186" s="16"/>
      <c r="HX186" s="10"/>
      <c r="HY186" s="10"/>
      <c r="IF186" s="3"/>
      <c r="IH186" s="1"/>
      <c r="IJ186" s="16"/>
      <c r="IK186" s="16"/>
      <c r="IL186" s="16"/>
      <c r="IM186" s="16"/>
      <c r="IN186" s="10"/>
      <c r="IO186" s="10"/>
      <c r="IV186" s="3"/>
      <c r="IX186" s="1"/>
      <c r="IZ186" s="16"/>
      <c r="JA186" s="16"/>
      <c r="JB186" s="16"/>
      <c r="JC186" s="16"/>
      <c r="JD186" s="10"/>
      <c r="JE186" s="10"/>
      <c r="JL186" s="3"/>
      <c r="JN186" s="1"/>
      <c r="JP186" s="16"/>
      <c r="JQ186" s="16"/>
      <c r="JR186" s="16"/>
      <c r="JS186" s="16"/>
      <c r="JT186" s="10"/>
      <c r="JU186" s="10"/>
      <c r="KB186" s="3"/>
      <c r="KD186" s="1"/>
      <c r="KF186" s="16"/>
      <c r="KG186" s="16"/>
      <c r="KH186" s="16"/>
      <c r="KI186" s="16"/>
      <c r="KJ186" s="10"/>
      <c r="KK186" s="10"/>
      <c r="KR186" s="3"/>
      <c r="KT186" s="1"/>
      <c r="KV186" s="16"/>
      <c r="KW186" s="16"/>
      <c r="KX186" s="16"/>
      <c r="KY186" s="16"/>
      <c r="KZ186" s="10"/>
      <c r="LA186" s="10"/>
      <c r="LH186" s="3"/>
      <c r="LJ186" s="1"/>
      <c r="LL186" s="16"/>
      <c r="LM186" s="16"/>
      <c r="LN186" s="16"/>
      <c r="LO186" s="16"/>
      <c r="LP186" s="10"/>
      <c r="LQ186" s="10"/>
      <c r="LX186" s="3"/>
      <c r="LZ186" s="1"/>
      <c r="MB186" s="16"/>
      <c r="MC186" s="16"/>
      <c r="MD186" s="16"/>
      <c r="ME186" s="16"/>
      <c r="MF186" s="10"/>
      <c r="MG186" s="10"/>
      <c r="MN186" s="3"/>
      <c r="MP186" s="1"/>
      <c r="MR186" s="16"/>
      <c r="MS186" s="16"/>
      <c r="MT186" s="16"/>
      <c r="MU186" s="16"/>
      <c r="MV186" s="10"/>
      <c r="MW186" s="10"/>
      <c r="ND186" s="3"/>
      <c r="NF186" s="1"/>
      <c r="NH186" s="16"/>
      <c r="NI186" s="16"/>
      <c r="NJ186" s="16"/>
      <c r="NK186" s="16"/>
      <c r="NL186" s="10"/>
      <c r="NM186" s="10"/>
      <c r="NT186" s="3"/>
      <c r="NV186" s="1"/>
      <c r="NX186" s="16"/>
      <c r="NY186" s="16"/>
      <c r="NZ186" s="16"/>
      <c r="OA186" s="16"/>
      <c r="OB186" s="10"/>
      <c r="OC186" s="10"/>
      <c r="OJ186" s="3"/>
      <c r="OL186" s="1"/>
      <c r="ON186" s="16"/>
      <c r="OO186" s="16"/>
      <c r="OP186" s="16"/>
      <c r="OQ186" s="16"/>
      <c r="OR186" s="10"/>
      <c r="OS186" s="10"/>
      <c r="OZ186" s="3"/>
      <c r="PB186" s="1"/>
      <c r="PD186" s="16"/>
      <c r="PE186" s="16"/>
      <c r="PF186" s="16"/>
      <c r="PG186" s="16"/>
      <c r="PH186" s="10"/>
      <c r="PI186" s="10"/>
      <c r="PP186" s="3"/>
      <c r="PR186" s="1"/>
      <c r="PT186" s="16"/>
      <c r="PU186" s="16"/>
      <c r="PV186" s="16"/>
      <c r="PW186" s="16"/>
      <c r="PX186" s="10"/>
      <c r="PY186" s="10"/>
      <c r="QF186" s="3"/>
      <c r="QH186" s="1"/>
      <c r="QJ186" s="16"/>
      <c r="QK186" s="16"/>
      <c r="QL186" s="16"/>
      <c r="QM186" s="16"/>
      <c r="QN186" s="10"/>
      <c r="QO186" s="10"/>
      <c r="QV186" s="3"/>
      <c r="QX186" s="1"/>
      <c r="QZ186" s="16"/>
      <c r="RA186" s="16"/>
      <c r="RB186" s="16"/>
      <c r="RC186" s="16"/>
      <c r="RD186" s="10"/>
      <c r="RE186" s="10"/>
      <c r="RL186" s="3"/>
      <c r="RN186" s="1"/>
      <c r="RP186" s="16"/>
      <c r="RQ186" s="16"/>
      <c r="RR186" s="16"/>
      <c r="RS186" s="16"/>
      <c r="RT186" s="10"/>
      <c r="RU186" s="10"/>
      <c r="SB186" s="3"/>
      <c r="SD186" s="1"/>
      <c r="SF186" s="16"/>
      <c r="SG186" s="16"/>
      <c r="SH186" s="16"/>
      <c r="SI186" s="16"/>
      <c r="SJ186" s="10"/>
      <c r="SK186" s="10"/>
      <c r="SR186" s="3"/>
      <c r="ST186" s="1"/>
      <c r="SV186" s="16"/>
      <c r="SW186" s="16"/>
      <c r="SX186" s="16"/>
      <c r="SY186" s="16"/>
      <c r="SZ186" s="10"/>
      <c r="TA186" s="10"/>
      <c r="TH186" s="3"/>
      <c r="TJ186" s="1"/>
      <c r="TL186" s="16"/>
      <c r="TM186" s="16"/>
      <c r="TN186" s="16"/>
      <c r="TO186" s="16"/>
      <c r="TP186" s="10"/>
      <c r="TQ186" s="10"/>
      <c r="TX186" s="3"/>
      <c r="TZ186" s="1"/>
      <c r="UB186" s="16"/>
      <c r="UC186" s="16"/>
      <c r="UD186" s="16"/>
      <c r="UE186" s="16"/>
      <c r="UF186" s="10"/>
      <c r="UG186" s="10"/>
      <c r="UN186" s="3"/>
      <c r="UP186" s="1"/>
      <c r="UR186" s="16"/>
      <c r="US186" s="16"/>
      <c r="UT186" s="16"/>
      <c r="UU186" s="16"/>
      <c r="UV186" s="10"/>
      <c r="UW186" s="10"/>
      <c r="VD186" s="3"/>
      <c r="VF186" s="1"/>
      <c r="VH186" s="16"/>
      <c r="VI186" s="16"/>
      <c r="VJ186" s="16"/>
      <c r="VK186" s="16"/>
      <c r="VL186" s="10"/>
      <c r="VM186" s="10"/>
      <c r="VT186" s="3"/>
      <c r="VV186" s="1"/>
      <c r="VX186" s="16"/>
      <c r="VY186" s="16"/>
      <c r="VZ186" s="16"/>
      <c r="WA186" s="16"/>
      <c r="WB186" s="10"/>
      <c r="WC186" s="10"/>
      <c r="WJ186" s="3"/>
      <c r="WL186" s="1"/>
      <c r="WN186" s="16"/>
      <c r="WO186" s="16"/>
      <c r="WP186" s="16"/>
      <c r="WQ186" s="16"/>
      <c r="WR186" s="10"/>
      <c r="WS186" s="10"/>
      <c r="WZ186" s="3"/>
      <c r="XB186" s="1"/>
      <c r="XD186" s="16"/>
      <c r="XE186" s="16"/>
      <c r="XF186" s="16"/>
      <c r="XG186" s="16"/>
      <c r="XH186" s="10"/>
      <c r="XI186" s="10"/>
      <c r="XP186" s="3"/>
      <c r="XR186" s="1"/>
      <c r="XT186" s="16"/>
      <c r="XU186" s="16"/>
      <c r="XV186" s="16"/>
      <c r="XW186" s="16"/>
      <c r="XX186" s="10"/>
      <c r="XY186" s="10"/>
      <c r="YF186" s="3"/>
      <c r="YH186" s="1"/>
      <c r="YJ186" s="16"/>
      <c r="YK186" s="16"/>
      <c r="YL186" s="16"/>
      <c r="YM186" s="16"/>
      <c r="YN186" s="10"/>
      <c r="YO186" s="10"/>
      <c r="YV186" s="3"/>
      <c r="YX186" s="1"/>
      <c r="YZ186" s="16"/>
      <c r="ZA186" s="16"/>
      <c r="ZB186" s="16"/>
      <c r="ZC186" s="16"/>
      <c r="ZD186" s="10"/>
      <c r="ZE186" s="10"/>
      <c r="ZL186" s="3"/>
      <c r="ZN186" s="1"/>
      <c r="ZP186" s="16"/>
      <c r="ZQ186" s="16"/>
      <c r="ZR186" s="16"/>
      <c r="ZS186" s="16"/>
      <c r="ZT186" s="10"/>
      <c r="ZU186" s="10"/>
      <c r="AAB186" s="3"/>
      <c r="AAD186" s="1"/>
      <c r="AAF186" s="16"/>
      <c r="AAG186" s="16"/>
      <c r="AAH186" s="16"/>
      <c r="AAI186" s="16"/>
      <c r="AAJ186" s="10"/>
      <c r="AAK186" s="10"/>
      <c r="AAR186" s="3"/>
      <c r="AAT186" s="1"/>
      <c r="AAV186" s="16"/>
      <c r="AAW186" s="16"/>
      <c r="AAX186" s="16"/>
      <c r="AAY186" s="16"/>
      <c r="AAZ186" s="10"/>
      <c r="ABA186" s="10"/>
      <c r="ABH186" s="3"/>
      <c r="ABJ186" s="1"/>
      <c r="ABL186" s="16"/>
      <c r="ABM186" s="16"/>
      <c r="ABN186" s="16"/>
      <c r="ABO186" s="16"/>
      <c r="ABP186" s="10"/>
      <c r="ABQ186" s="10"/>
      <c r="ABX186" s="3"/>
      <c r="ABZ186" s="1"/>
      <c r="ACB186" s="16"/>
      <c r="ACC186" s="16"/>
      <c r="ACD186" s="16"/>
      <c r="ACE186" s="16"/>
      <c r="ACF186" s="10"/>
      <c r="ACG186" s="10"/>
      <c r="ACN186" s="3"/>
      <c r="ACP186" s="1"/>
      <c r="ACR186" s="16"/>
      <c r="ACS186" s="16"/>
      <c r="ACT186" s="16"/>
      <c r="ACU186" s="16"/>
      <c r="ACV186" s="10"/>
      <c r="ACW186" s="10"/>
      <c r="ADD186" s="3"/>
      <c r="ADF186" s="1"/>
      <c r="ADH186" s="16"/>
      <c r="ADI186" s="16"/>
      <c r="ADJ186" s="16"/>
      <c r="ADK186" s="16"/>
      <c r="ADL186" s="10"/>
      <c r="ADM186" s="10"/>
      <c r="ADT186" s="3"/>
      <c r="ADV186" s="1"/>
      <c r="ADX186" s="16"/>
      <c r="ADY186" s="16"/>
      <c r="ADZ186" s="16"/>
      <c r="AEA186" s="16"/>
      <c r="AEB186" s="10"/>
      <c r="AEC186" s="10"/>
      <c r="AEJ186" s="3"/>
      <c r="AEL186" s="1"/>
      <c r="AEN186" s="16"/>
      <c r="AEO186" s="16"/>
      <c r="AEP186" s="16"/>
      <c r="AEQ186" s="16"/>
      <c r="AER186" s="10"/>
      <c r="AES186" s="10"/>
      <c r="AEZ186" s="3"/>
      <c r="AFB186" s="1"/>
      <c r="AFD186" s="16"/>
      <c r="AFE186" s="16"/>
      <c r="AFF186" s="16"/>
      <c r="AFG186" s="16"/>
      <c r="AFH186" s="10"/>
      <c r="AFI186" s="10"/>
      <c r="AFP186" s="3"/>
      <c r="AFR186" s="1"/>
      <c r="AFT186" s="16"/>
      <c r="AFU186" s="16"/>
      <c r="AFV186" s="16"/>
      <c r="AFW186" s="16"/>
      <c r="AFX186" s="10"/>
      <c r="AFY186" s="10"/>
      <c r="AGF186" s="3"/>
      <c r="AGH186" s="1"/>
      <c r="AGJ186" s="16"/>
      <c r="AGK186" s="16"/>
      <c r="AGL186" s="16"/>
      <c r="AGM186" s="16"/>
      <c r="AGN186" s="10"/>
      <c r="AGO186" s="10"/>
      <c r="AGV186" s="3"/>
      <c r="AGX186" s="1"/>
      <c r="AGZ186" s="16"/>
      <c r="AHA186" s="16"/>
      <c r="AHB186" s="16"/>
      <c r="AHC186" s="16"/>
      <c r="AHD186" s="10"/>
      <c r="AHE186" s="10"/>
      <c r="AHL186" s="3"/>
      <c r="AHN186" s="1"/>
      <c r="AHP186" s="16"/>
      <c r="AHQ186" s="16"/>
      <c r="AHR186" s="16"/>
      <c r="AHS186" s="16"/>
      <c r="AHT186" s="10"/>
      <c r="AHU186" s="10"/>
      <c r="AIB186" s="3"/>
      <c r="AID186" s="1"/>
      <c r="AIF186" s="16"/>
      <c r="AIG186" s="16"/>
      <c r="AIH186" s="16"/>
      <c r="AII186" s="16"/>
      <c r="AIJ186" s="10"/>
      <c r="AIK186" s="10"/>
      <c r="AIR186" s="3"/>
      <c r="AIT186" s="1"/>
      <c r="AIV186" s="16"/>
      <c r="AIW186" s="16"/>
      <c r="AIX186" s="16"/>
      <c r="AIY186" s="16"/>
      <c r="AIZ186" s="10"/>
      <c r="AJA186" s="10"/>
      <c r="AJH186" s="3"/>
      <c r="AJJ186" s="1"/>
      <c r="AJL186" s="16"/>
      <c r="AJM186" s="16"/>
      <c r="AJN186" s="16"/>
      <c r="AJO186" s="16"/>
      <c r="AJP186" s="10"/>
      <c r="AJQ186" s="10"/>
      <c r="AJX186" s="3"/>
      <c r="AJZ186" s="1"/>
      <c r="AKB186" s="16"/>
      <c r="AKC186" s="16"/>
      <c r="AKD186" s="16"/>
      <c r="AKE186" s="16"/>
      <c r="AKF186" s="10"/>
      <c r="AKG186" s="10"/>
      <c r="AKN186" s="3"/>
      <c r="AKP186" s="1"/>
      <c r="AKR186" s="16"/>
      <c r="AKS186" s="16"/>
      <c r="AKT186" s="16"/>
      <c r="AKU186" s="16"/>
      <c r="AKV186" s="10"/>
      <c r="AKW186" s="10"/>
      <c r="ALD186" s="3"/>
      <c r="ALF186" s="1"/>
      <c r="ALH186" s="16"/>
      <c r="ALI186" s="16"/>
      <c r="ALJ186" s="16"/>
      <c r="ALK186" s="16"/>
      <c r="ALL186" s="10"/>
      <c r="ALM186" s="10"/>
      <c r="ALT186" s="3"/>
      <c r="ALV186" s="1"/>
      <c r="ALX186" s="16"/>
      <c r="ALY186" s="16"/>
      <c r="ALZ186" s="16"/>
      <c r="AMA186" s="16"/>
      <c r="AMB186" s="10"/>
      <c r="AMC186" s="10"/>
      <c r="AMJ186" s="3"/>
      <c r="AML186" s="1"/>
      <c r="AMN186" s="16"/>
      <c r="AMO186" s="16"/>
      <c r="AMP186" s="16"/>
      <c r="AMQ186" s="16"/>
      <c r="AMR186" s="10"/>
      <c r="AMS186" s="10"/>
      <c r="AMZ186" s="3"/>
      <c r="ANB186" s="1"/>
      <c r="AND186" s="16"/>
      <c r="ANE186" s="16"/>
      <c r="ANF186" s="16"/>
      <c r="ANG186" s="16"/>
      <c r="ANH186" s="10"/>
      <c r="ANI186" s="10"/>
      <c r="ANP186" s="3"/>
      <c r="ANR186" s="1"/>
      <c r="ANT186" s="16"/>
      <c r="ANU186" s="16"/>
      <c r="ANV186" s="16"/>
      <c r="ANW186" s="16"/>
      <c r="ANX186" s="10"/>
      <c r="ANY186" s="10"/>
      <c r="AOF186" s="3"/>
      <c r="AOH186" s="1"/>
      <c r="AOJ186" s="16"/>
      <c r="AOK186" s="16"/>
      <c r="AOL186" s="16"/>
      <c r="AOM186" s="16"/>
      <c r="AON186" s="10"/>
      <c r="AOO186" s="10"/>
      <c r="AOV186" s="3"/>
      <c r="AOX186" s="1"/>
      <c r="AOZ186" s="16"/>
      <c r="APA186" s="16"/>
      <c r="APB186" s="16"/>
      <c r="APC186" s="16"/>
      <c r="APD186" s="10"/>
      <c r="APE186" s="10"/>
      <c r="APL186" s="3"/>
      <c r="APN186" s="1"/>
      <c r="APP186" s="16"/>
      <c r="APQ186" s="16"/>
      <c r="APR186" s="16"/>
      <c r="APS186" s="16"/>
      <c r="APT186" s="10"/>
      <c r="APU186" s="10"/>
      <c r="AQB186" s="3"/>
      <c r="AQD186" s="1"/>
      <c r="AQF186" s="16"/>
      <c r="AQG186" s="16"/>
      <c r="AQH186" s="16"/>
      <c r="AQI186" s="16"/>
      <c r="AQJ186" s="10"/>
      <c r="AQK186" s="10"/>
      <c r="AQR186" s="3"/>
      <c r="AQT186" s="1"/>
      <c r="AQV186" s="16"/>
      <c r="AQW186" s="16"/>
      <c r="AQX186" s="16"/>
      <c r="AQY186" s="16"/>
      <c r="AQZ186" s="10"/>
      <c r="ARA186" s="10"/>
      <c r="ARH186" s="3"/>
      <c r="ARJ186" s="1"/>
      <c r="ARL186" s="16"/>
      <c r="ARM186" s="16"/>
      <c r="ARN186" s="16"/>
      <c r="ARO186" s="16"/>
      <c r="ARP186" s="10"/>
      <c r="ARQ186" s="10"/>
      <c r="ARX186" s="3"/>
      <c r="ARZ186" s="1"/>
      <c r="ASB186" s="16"/>
      <c r="ASC186" s="16"/>
      <c r="ASD186" s="16"/>
      <c r="ASE186" s="16"/>
      <c r="ASF186" s="10"/>
      <c r="ASG186" s="10"/>
      <c r="ASN186" s="3"/>
      <c r="ASP186" s="1"/>
      <c r="ASR186" s="16"/>
      <c r="ASS186" s="16"/>
      <c r="AST186" s="16"/>
      <c r="ASU186" s="16"/>
      <c r="ASV186" s="10"/>
      <c r="ASW186" s="10"/>
      <c r="ATD186" s="3"/>
      <c r="ATF186" s="1"/>
      <c r="ATH186" s="16"/>
      <c r="ATI186" s="16"/>
      <c r="ATJ186" s="16"/>
      <c r="ATK186" s="16"/>
      <c r="ATL186" s="10"/>
      <c r="ATM186" s="10"/>
      <c r="ATT186" s="3"/>
      <c r="ATV186" s="1"/>
      <c r="ATX186" s="16"/>
      <c r="ATY186" s="16"/>
      <c r="ATZ186" s="16"/>
      <c r="AUA186" s="16"/>
      <c r="AUB186" s="10"/>
      <c r="AUC186" s="10"/>
      <c r="AUJ186" s="3"/>
      <c r="AUL186" s="1"/>
      <c r="AUN186" s="16"/>
      <c r="AUO186" s="16"/>
      <c r="AUP186" s="16"/>
      <c r="AUQ186" s="16"/>
      <c r="AUR186" s="10"/>
      <c r="AUS186" s="10"/>
      <c r="AUZ186" s="3"/>
      <c r="AVB186" s="1"/>
      <c r="AVD186" s="16"/>
      <c r="AVE186" s="16"/>
      <c r="AVF186" s="16"/>
      <c r="AVG186" s="16"/>
      <c r="AVH186" s="10"/>
      <c r="AVI186" s="10"/>
      <c r="AVP186" s="3"/>
      <c r="AVR186" s="1"/>
      <c r="AVT186" s="16"/>
      <c r="AVU186" s="16"/>
      <c r="AVV186" s="16"/>
      <c r="AVW186" s="16"/>
      <c r="AVX186" s="10"/>
      <c r="AVY186" s="10"/>
      <c r="AWF186" s="3"/>
      <c r="AWH186" s="1"/>
      <c r="AWJ186" s="16"/>
      <c r="AWK186" s="16"/>
      <c r="AWL186" s="16"/>
      <c r="AWM186" s="16"/>
      <c r="AWN186" s="10"/>
      <c r="AWO186" s="10"/>
      <c r="AWV186" s="3"/>
      <c r="AWX186" s="1"/>
      <c r="AWZ186" s="16"/>
      <c r="AXA186" s="16"/>
      <c r="AXB186" s="16"/>
      <c r="AXC186" s="16"/>
      <c r="AXD186" s="10"/>
      <c r="AXE186" s="10"/>
      <c r="AXL186" s="3"/>
      <c r="AXN186" s="1"/>
      <c r="AXP186" s="16"/>
      <c r="AXQ186" s="16"/>
      <c r="AXR186" s="16"/>
      <c r="AXS186" s="16"/>
      <c r="AXT186" s="10"/>
      <c r="AXU186" s="10"/>
      <c r="AYB186" s="3"/>
      <c r="AYD186" s="1"/>
      <c r="AYF186" s="16"/>
      <c r="AYG186" s="16"/>
      <c r="AYH186" s="16"/>
      <c r="AYI186" s="16"/>
      <c r="AYJ186" s="10"/>
      <c r="AYK186" s="10"/>
      <c r="AYR186" s="3"/>
      <c r="AYT186" s="1"/>
      <c r="AYV186" s="16"/>
      <c r="AYW186" s="16"/>
      <c r="AYX186" s="16"/>
      <c r="AYY186" s="16"/>
      <c r="AYZ186" s="10"/>
      <c r="AZA186" s="10"/>
      <c r="AZH186" s="3"/>
      <c r="AZJ186" s="1"/>
      <c r="AZL186" s="16"/>
      <c r="AZM186" s="16"/>
      <c r="AZN186" s="16"/>
      <c r="AZO186" s="16"/>
      <c r="AZP186" s="10"/>
      <c r="AZQ186" s="10"/>
      <c r="AZX186" s="3"/>
      <c r="AZZ186" s="1"/>
      <c r="BAB186" s="16"/>
      <c r="BAC186" s="16"/>
      <c r="BAD186" s="16"/>
      <c r="BAE186" s="16"/>
      <c r="BAF186" s="10"/>
      <c r="BAG186" s="10"/>
      <c r="BAN186" s="3"/>
      <c r="BAP186" s="1"/>
      <c r="BAR186" s="16"/>
      <c r="BAS186" s="16"/>
      <c r="BAT186" s="16"/>
      <c r="BAU186" s="16"/>
      <c r="BAV186" s="10"/>
      <c r="BAW186" s="10"/>
      <c r="BBD186" s="3"/>
      <c r="BBF186" s="1"/>
      <c r="BBH186" s="16"/>
      <c r="BBI186" s="16"/>
      <c r="BBJ186" s="16"/>
      <c r="BBK186" s="16"/>
      <c r="BBL186" s="10"/>
      <c r="BBM186" s="10"/>
      <c r="BBT186" s="3"/>
      <c r="BBV186" s="1"/>
      <c r="BBX186" s="16"/>
      <c r="BBY186" s="16"/>
      <c r="BBZ186" s="16"/>
      <c r="BCA186" s="16"/>
      <c r="BCB186" s="10"/>
      <c r="BCC186" s="10"/>
      <c r="BCJ186" s="3"/>
      <c r="BCL186" s="1"/>
      <c r="BCN186" s="16"/>
      <c r="BCO186" s="16"/>
      <c r="BCP186" s="16"/>
      <c r="BCQ186" s="16"/>
      <c r="BCR186" s="10"/>
      <c r="BCS186" s="10"/>
      <c r="BCZ186" s="3"/>
      <c r="BDB186" s="1"/>
      <c r="BDD186" s="16"/>
      <c r="BDE186" s="16"/>
      <c r="BDF186" s="16"/>
      <c r="BDG186" s="16"/>
      <c r="BDH186" s="10"/>
      <c r="BDI186" s="10"/>
      <c r="BDP186" s="3"/>
      <c r="BDR186" s="1"/>
      <c r="BDT186" s="16"/>
      <c r="BDU186" s="16"/>
      <c r="BDV186" s="16"/>
      <c r="BDW186" s="16"/>
      <c r="BDX186" s="10"/>
      <c r="BDY186" s="10"/>
      <c r="BEF186" s="3"/>
      <c r="BEH186" s="1"/>
      <c r="BEJ186" s="16"/>
      <c r="BEK186" s="16"/>
      <c r="BEL186" s="16"/>
      <c r="BEM186" s="16"/>
      <c r="BEN186" s="10"/>
      <c r="BEO186" s="10"/>
      <c r="BEV186" s="3"/>
      <c r="BEX186" s="1"/>
      <c r="BEZ186" s="16"/>
      <c r="BFA186" s="16"/>
      <c r="BFB186" s="16"/>
      <c r="BFC186" s="16"/>
      <c r="BFD186" s="10"/>
      <c r="BFE186" s="10"/>
      <c r="BFL186" s="3"/>
      <c r="BFN186" s="1"/>
      <c r="BFP186" s="16"/>
      <c r="BFQ186" s="16"/>
      <c r="BFR186" s="16"/>
      <c r="BFS186" s="16"/>
      <c r="BFT186" s="10"/>
      <c r="BFU186" s="10"/>
      <c r="BGB186" s="3"/>
      <c r="BGD186" s="1"/>
      <c r="BGF186" s="16"/>
      <c r="BGG186" s="16"/>
      <c r="BGH186" s="16"/>
      <c r="BGI186" s="16"/>
      <c r="BGJ186" s="10"/>
      <c r="BGK186" s="10"/>
      <c r="BGR186" s="3"/>
      <c r="BGT186" s="1"/>
      <c r="BGV186" s="16"/>
      <c r="BGW186" s="16"/>
      <c r="BGX186" s="16"/>
      <c r="BGY186" s="16"/>
      <c r="BGZ186" s="10"/>
      <c r="BHA186" s="10"/>
      <c r="BHH186" s="3"/>
      <c r="BHJ186" s="1"/>
      <c r="BHL186" s="16"/>
      <c r="BHM186" s="16"/>
      <c r="BHN186" s="16"/>
      <c r="BHO186" s="16"/>
      <c r="BHP186" s="10"/>
      <c r="BHQ186" s="10"/>
      <c r="BHX186" s="3"/>
      <c r="BHZ186" s="1"/>
      <c r="BIB186" s="16"/>
      <c r="BIC186" s="16"/>
      <c r="BID186" s="16"/>
      <c r="BIE186" s="16"/>
      <c r="BIF186" s="10"/>
      <c r="BIG186" s="10"/>
      <c r="BIN186" s="3"/>
      <c r="BIP186" s="1"/>
      <c r="BIR186" s="16"/>
      <c r="BIS186" s="16"/>
      <c r="BIT186" s="16"/>
      <c r="BIU186" s="16"/>
      <c r="BIV186" s="10"/>
      <c r="BIW186" s="10"/>
      <c r="BJD186" s="3"/>
      <c r="BJF186" s="1"/>
      <c r="BJH186" s="16"/>
      <c r="BJI186" s="16"/>
      <c r="BJJ186" s="16"/>
      <c r="BJK186" s="16"/>
      <c r="BJL186" s="10"/>
      <c r="BJM186" s="10"/>
      <c r="BJT186" s="3"/>
      <c r="BJV186" s="1"/>
      <c r="BJX186" s="16"/>
      <c r="BJY186" s="16"/>
      <c r="BJZ186" s="16"/>
      <c r="BKA186" s="16"/>
      <c r="BKB186" s="10"/>
      <c r="BKC186" s="10"/>
      <c r="BKJ186" s="3"/>
      <c r="BKL186" s="1"/>
      <c r="BKN186" s="16"/>
      <c r="BKO186" s="16"/>
      <c r="BKP186" s="16"/>
      <c r="BKQ186" s="16"/>
      <c r="BKR186" s="10"/>
      <c r="BKS186" s="10"/>
      <c r="BKZ186" s="3"/>
      <c r="BLB186" s="1"/>
      <c r="BLD186" s="16"/>
      <c r="BLE186" s="16"/>
      <c r="BLF186" s="16"/>
      <c r="BLG186" s="16"/>
      <c r="BLH186" s="10"/>
      <c r="BLI186" s="10"/>
      <c r="BLP186" s="3"/>
      <c r="BLR186" s="1"/>
      <c r="BLT186" s="16"/>
      <c r="BLU186" s="16"/>
      <c r="BLV186" s="16"/>
      <c r="BLW186" s="16"/>
      <c r="BLX186" s="10"/>
      <c r="BLY186" s="10"/>
      <c r="BMF186" s="3"/>
      <c r="BMH186" s="1"/>
      <c r="BMJ186" s="16"/>
      <c r="BMK186" s="16"/>
      <c r="BML186" s="16"/>
      <c r="BMM186" s="16"/>
      <c r="BMN186" s="10"/>
      <c r="BMO186" s="10"/>
      <c r="BMV186" s="3"/>
      <c r="BMX186" s="1"/>
      <c r="BMZ186" s="16"/>
      <c r="BNA186" s="16"/>
      <c r="BNB186" s="16"/>
      <c r="BNC186" s="16"/>
      <c r="BND186" s="10"/>
      <c r="BNE186" s="10"/>
      <c r="BNL186" s="3"/>
      <c r="BNN186" s="1"/>
      <c r="BNP186" s="16"/>
      <c r="BNQ186" s="16"/>
      <c r="BNR186" s="16"/>
      <c r="BNS186" s="16"/>
      <c r="BNT186" s="10"/>
      <c r="BNU186" s="10"/>
      <c r="BOB186" s="3"/>
      <c r="BOD186" s="1"/>
      <c r="BOF186" s="16"/>
      <c r="BOG186" s="16"/>
      <c r="BOH186" s="16"/>
      <c r="BOI186" s="16"/>
      <c r="BOJ186" s="10"/>
      <c r="BOK186" s="10"/>
      <c r="BOR186" s="3"/>
      <c r="BOT186" s="1"/>
      <c r="BOV186" s="16"/>
      <c r="BOW186" s="16"/>
      <c r="BOX186" s="16"/>
      <c r="BOY186" s="16"/>
      <c r="BOZ186" s="10"/>
      <c r="BPA186" s="10"/>
      <c r="BPH186" s="3"/>
      <c r="BPJ186" s="1"/>
      <c r="BPL186" s="16"/>
      <c r="BPM186" s="16"/>
      <c r="BPN186" s="16"/>
      <c r="BPO186" s="16"/>
      <c r="BPP186" s="10"/>
      <c r="BPQ186" s="10"/>
      <c r="BPX186" s="3"/>
      <c r="BPZ186" s="1"/>
      <c r="BQB186" s="16"/>
      <c r="BQC186" s="16"/>
      <c r="BQD186" s="16"/>
      <c r="BQE186" s="16"/>
      <c r="BQF186" s="10"/>
      <c r="BQG186" s="10"/>
      <c r="BQN186" s="3"/>
      <c r="BQP186" s="1"/>
      <c r="BQR186" s="16"/>
      <c r="BQS186" s="16"/>
      <c r="BQT186" s="16"/>
      <c r="BQU186" s="16"/>
      <c r="BQV186" s="10"/>
      <c r="BQW186" s="10"/>
      <c r="BRD186" s="3"/>
      <c r="BRF186" s="1"/>
      <c r="BRH186" s="16"/>
      <c r="BRI186" s="16"/>
      <c r="BRJ186" s="16"/>
      <c r="BRK186" s="16"/>
      <c r="BRL186" s="10"/>
      <c r="BRM186" s="10"/>
      <c r="BRT186" s="3"/>
      <c r="BRV186" s="1"/>
      <c r="BRX186" s="16"/>
      <c r="BRY186" s="16"/>
      <c r="BRZ186" s="16"/>
      <c r="BSA186" s="16"/>
      <c r="BSB186" s="10"/>
      <c r="BSC186" s="10"/>
      <c r="BSJ186" s="3"/>
      <c r="BSL186" s="1"/>
      <c r="BSN186" s="16"/>
      <c r="BSO186" s="16"/>
      <c r="BSP186" s="16"/>
      <c r="BSQ186" s="16"/>
      <c r="BSR186" s="10"/>
      <c r="BSS186" s="10"/>
      <c r="BSZ186" s="3"/>
      <c r="BTB186" s="1"/>
      <c r="BTD186" s="16"/>
      <c r="BTE186" s="16"/>
      <c r="BTF186" s="16"/>
      <c r="BTG186" s="16"/>
      <c r="BTH186" s="10"/>
      <c r="BTI186" s="10"/>
      <c r="BTP186" s="3"/>
      <c r="BTR186" s="1"/>
      <c r="BTT186" s="16"/>
      <c r="BTU186" s="16"/>
      <c r="BTV186" s="16"/>
      <c r="BTW186" s="16"/>
      <c r="BTX186" s="10"/>
      <c r="BTY186" s="10"/>
      <c r="BUF186" s="3"/>
      <c r="BUH186" s="1"/>
      <c r="BUJ186" s="16"/>
      <c r="BUK186" s="16"/>
      <c r="BUL186" s="16"/>
      <c r="BUM186" s="16"/>
      <c r="BUN186" s="10"/>
      <c r="BUO186" s="10"/>
      <c r="BUV186" s="3"/>
      <c r="BUX186" s="1"/>
      <c r="BUZ186" s="16"/>
      <c r="BVA186" s="16"/>
      <c r="BVB186" s="16"/>
      <c r="BVC186" s="16"/>
      <c r="BVD186" s="10"/>
      <c r="BVE186" s="10"/>
      <c r="BVL186" s="3"/>
      <c r="BVN186" s="1"/>
      <c r="BVP186" s="16"/>
      <c r="BVQ186" s="16"/>
      <c r="BVR186" s="16"/>
      <c r="BVS186" s="16"/>
      <c r="BVT186" s="10"/>
      <c r="BVU186" s="10"/>
      <c r="BWB186" s="3"/>
      <c r="BWD186" s="1"/>
      <c r="BWF186" s="16"/>
      <c r="BWG186" s="16"/>
      <c r="BWH186" s="16"/>
      <c r="BWI186" s="16"/>
      <c r="BWJ186" s="10"/>
      <c r="BWK186" s="10"/>
      <c r="BWR186" s="3"/>
      <c r="BWT186" s="1"/>
      <c r="BWV186" s="16"/>
      <c r="BWW186" s="16"/>
      <c r="BWX186" s="16"/>
      <c r="BWY186" s="16"/>
      <c r="BWZ186" s="10"/>
      <c r="BXA186" s="10"/>
      <c r="BXH186" s="3"/>
      <c r="BXJ186" s="1"/>
      <c r="BXL186" s="16"/>
      <c r="BXM186" s="16"/>
      <c r="BXN186" s="16"/>
      <c r="BXO186" s="16"/>
      <c r="BXP186" s="10"/>
      <c r="BXQ186" s="10"/>
      <c r="BXX186" s="3"/>
      <c r="BXZ186" s="1"/>
      <c r="BYB186" s="16"/>
      <c r="BYC186" s="16"/>
      <c r="BYD186" s="16"/>
      <c r="BYE186" s="16"/>
      <c r="BYF186" s="10"/>
      <c r="BYG186" s="10"/>
      <c r="BYN186" s="3"/>
      <c r="BYP186" s="1"/>
      <c r="BYR186" s="16"/>
      <c r="BYS186" s="16"/>
      <c r="BYT186" s="16"/>
      <c r="BYU186" s="16"/>
      <c r="BYV186" s="10"/>
      <c r="BYW186" s="10"/>
      <c r="BZD186" s="3"/>
      <c r="BZF186" s="1"/>
      <c r="BZH186" s="16"/>
      <c r="BZI186" s="16"/>
      <c r="BZJ186" s="16"/>
      <c r="BZK186" s="16"/>
      <c r="BZL186" s="10"/>
      <c r="BZM186" s="10"/>
      <c r="BZT186" s="3"/>
      <c r="BZV186" s="1"/>
      <c r="BZX186" s="16"/>
      <c r="BZY186" s="16"/>
      <c r="BZZ186" s="16"/>
      <c r="CAA186" s="16"/>
      <c r="CAB186" s="10"/>
      <c r="CAC186" s="10"/>
      <c r="CAJ186" s="3"/>
      <c r="CAL186" s="1"/>
      <c r="CAN186" s="16"/>
      <c r="CAO186" s="16"/>
      <c r="CAP186" s="16"/>
      <c r="CAQ186" s="16"/>
      <c r="CAR186" s="10"/>
      <c r="CAS186" s="10"/>
      <c r="CAZ186" s="3"/>
      <c r="CBB186" s="1"/>
      <c r="CBD186" s="16"/>
      <c r="CBE186" s="16"/>
      <c r="CBF186" s="16"/>
      <c r="CBG186" s="16"/>
      <c r="CBH186" s="10"/>
      <c r="CBI186" s="10"/>
      <c r="CBP186" s="3"/>
      <c r="CBR186" s="1"/>
      <c r="CBT186" s="16"/>
      <c r="CBU186" s="16"/>
      <c r="CBV186" s="16"/>
      <c r="CBW186" s="16"/>
      <c r="CBX186" s="10"/>
      <c r="CBY186" s="10"/>
      <c r="CCF186" s="3"/>
      <c r="CCH186" s="1"/>
      <c r="CCJ186" s="16"/>
      <c r="CCK186" s="16"/>
      <c r="CCL186" s="16"/>
      <c r="CCM186" s="16"/>
      <c r="CCN186" s="10"/>
      <c r="CCO186" s="10"/>
      <c r="CCV186" s="3"/>
      <c r="CCX186" s="1"/>
      <c r="CCZ186" s="16"/>
      <c r="CDA186" s="16"/>
      <c r="CDB186" s="16"/>
      <c r="CDC186" s="16"/>
      <c r="CDD186" s="10"/>
      <c r="CDE186" s="10"/>
      <c r="CDL186" s="3"/>
      <c r="CDN186" s="1"/>
      <c r="CDP186" s="16"/>
      <c r="CDQ186" s="16"/>
      <c r="CDR186" s="16"/>
      <c r="CDS186" s="16"/>
      <c r="CDT186" s="10"/>
      <c r="CDU186" s="10"/>
      <c r="CEB186" s="3"/>
      <c r="CED186" s="1"/>
      <c r="CEF186" s="16"/>
      <c r="CEG186" s="16"/>
      <c r="CEH186" s="16"/>
      <c r="CEI186" s="16"/>
      <c r="CEJ186" s="10"/>
      <c r="CEK186" s="10"/>
      <c r="CER186" s="3"/>
      <c r="CET186" s="1"/>
      <c r="CEV186" s="16"/>
      <c r="CEW186" s="16"/>
      <c r="CEX186" s="16"/>
      <c r="CEY186" s="16"/>
      <c r="CEZ186" s="10"/>
      <c r="CFA186" s="10"/>
      <c r="CFH186" s="3"/>
      <c r="CFJ186" s="1"/>
      <c r="CFL186" s="16"/>
      <c r="CFM186" s="16"/>
      <c r="CFN186" s="16"/>
      <c r="CFO186" s="16"/>
      <c r="CFP186" s="10"/>
      <c r="CFQ186" s="10"/>
      <c r="CFX186" s="3"/>
      <c r="CFZ186" s="1"/>
      <c r="CGB186" s="16"/>
      <c r="CGC186" s="16"/>
      <c r="CGD186" s="16"/>
      <c r="CGE186" s="16"/>
      <c r="CGF186" s="10"/>
      <c r="CGG186" s="10"/>
      <c r="CGN186" s="3"/>
      <c r="CGP186" s="1"/>
      <c r="CGR186" s="16"/>
      <c r="CGS186" s="16"/>
      <c r="CGT186" s="16"/>
      <c r="CGU186" s="16"/>
      <c r="CGV186" s="10"/>
      <c r="CGW186" s="10"/>
      <c r="CHD186" s="3"/>
      <c r="CHF186" s="1"/>
      <c r="CHH186" s="16"/>
      <c r="CHI186" s="16"/>
      <c r="CHJ186" s="16"/>
      <c r="CHK186" s="16"/>
      <c r="CHL186" s="10"/>
      <c r="CHM186" s="10"/>
      <c r="CHT186" s="3"/>
      <c r="CHV186" s="1"/>
      <c r="CHX186" s="16"/>
      <c r="CHY186" s="16"/>
      <c r="CHZ186" s="16"/>
      <c r="CIA186" s="16"/>
      <c r="CIB186" s="10"/>
      <c r="CIC186" s="10"/>
      <c r="CIJ186" s="3"/>
      <c r="CIL186" s="1"/>
      <c r="CIN186" s="16"/>
      <c r="CIO186" s="16"/>
      <c r="CIP186" s="16"/>
      <c r="CIQ186" s="16"/>
      <c r="CIR186" s="10"/>
      <c r="CIS186" s="10"/>
      <c r="CIZ186" s="3"/>
      <c r="CJB186" s="1"/>
      <c r="CJD186" s="16"/>
      <c r="CJE186" s="16"/>
      <c r="CJF186" s="16"/>
      <c r="CJG186" s="16"/>
      <c r="CJH186" s="10"/>
      <c r="CJI186" s="10"/>
      <c r="CJP186" s="3"/>
      <c r="CJR186" s="1"/>
      <c r="CJT186" s="16"/>
      <c r="CJU186" s="16"/>
      <c r="CJV186" s="16"/>
      <c r="CJW186" s="16"/>
      <c r="CJX186" s="10"/>
      <c r="CJY186" s="10"/>
      <c r="CKF186" s="3"/>
      <c r="CKH186" s="1"/>
      <c r="CKJ186" s="16"/>
      <c r="CKK186" s="16"/>
      <c r="CKL186" s="16"/>
      <c r="CKM186" s="16"/>
      <c r="CKN186" s="10"/>
      <c r="CKO186" s="10"/>
      <c r="CKV186" s="3"/>
      <c r="CKX186" s="1"/>
      <c r="CKZ186" s="16"/>
      <c r="CLA186" s="16"/>
      <c r="CLB186" s="16"/>
      <c r="CLC186" s="16"/>
      <c r="CLD186" s="10"/>
      <c r="CLE186" s="10"/>
      <c r="CLL186" s="3"/>
      <c r="CLN186" s="1"/>
      <c r="CLP186" s="16"/>
      <c r="CLQ186" s="16"/>
      <c r="CLR186" s="16"/>
      <c r="CLS186" s="16"/>
      <c r="CLT186" s="10"/>
      <c r="CLU186" s="10"/>
      <c r="CMB186" s="3"/>
      <c r="CMD186" s="1"/>
      <c r="CMF186" s="16"/>
      <c r="CMG186" s="16"/>
      <c r="CMH186" s="16"/>
      <c r="CMI186" s="16"/>
      <c r="CMJ186" s="10"/>
      <c r="CMK186" s="10"/>
      <c r="CMR186" s="3"/>
      <c r="CMT186" s="1"/>
      <c r="CMV186" s="16"/>
      <c r="CMW186" s="16"/>
      <c r="CMX186" s="16"/>
      <c r="CMY186" s="16"/>
      <c r="CMZ186" s="10"/>
      <c r="CNA186" s="10"/>
      <c r="CNH186" s="3"/>
      <c r="CNJ186" s="1"/>
      <c r="CNL186" s="16"/>
      <c r="CNM186" s="16"/>
      <c r="CNN186" s="16"/>
      <c r="CNO186" s="16"/>
      <c r="CNP186" s="10"/>
      <c r="CNQ186" s="10"/>
      <c r="CNX186" s="3"/>
      <c r="CNZ186" s="1"/>
      <c r="COB186" s="16"/>
      <c r="COC186" s="16"/>
      <c r="COD186" s="16"/>
      <c r="COE186" s="16"/>
      <c r="COF186" s="10"/>
      <c r="COG186" s="10"/>
      <c r="CON186" s="3"/>
      <c r="COP186" s="1"/>
      <c r="COR186" s="16"/>
      <c r="COS186" s="16"/>
      <c r="COT186" s="16"/>
      <c r="COU186" s="16"/>
      <c r="COV186" s="10"/>
      <c r="COW186" s="10"/>
      <c r="CPD186" s="3"/>
      <c r="CPF186" s="1"/>
      <c r="CPH186" s="16"/>
      <c r="CPI186" s="16"/>
      <c r="CPJ186" s="16"/>
      <c r="CPK186" s="16"/>
      <c r="CPL186" s="10"/>
      <c r="CPM186" s="10"/>
      <c r="CPT186" s="3"/>
      <c r="CPV186" s="1"/>
      <c r="CPX186" s="16"/>
      <c r="CPY186" s="16"/>
      <c r="CPZ186" s="16"/>
      <c r="CQA186" s="16"/>
      <c r="CQB186" s="10"/>
      <c r="CQC186" s="10"/>
      <c r="CQJ186" s="3"/>
      <c r="CQL186" s="1"/>
      <c r="CQN186" s="16"/>
      <c r="CQO186" s="16"/>
      <c r="CQP186" s="16"/>
      <c r="CQQ186" s="16"/>
      <c r="CQR186" s="10"/>
      <c r="CQS186" s="10"/>
      <c r="CQZ186" s="3"/>
      <c r="CRB186" s="1"/>
      <c r="CRD186" s="16"/>
      <c r="CRE186" s="16"/>
      <c r="CRF186" s="16"/>
      <c r="CRG186" s="16"/>
      <c r="CRH186" s="10"/>
      <c r="CRI186" s="10"/>
      <c r="CRP186" s="3"/>
      <c r="CRR186" s="1"/>
      <c r="CRT186" s="16"/>
      <c r="CRU186" s="16"/>
      <c r="CRV186" s="16"/>
      <c r="CRW186" s="16"/>
      <c r="CRX186" s="10"/>
      <c r="CRY186" s="10"/>
      <c r="CSF186" s="3"/>
      <c r="CSH186" s="1"/>
      <c r="CSJ186" s="16"/>
      <c r="CSK186" s="16"/>
      <c r="CSL186" s="16"/>
      <c r="CSM186" s="16"/>
      <c r="CSN186" s="10"/>
      <c r="CSO186" s="10"/>
      <c r="CSV186" s="3"/>
      <c r="CSX186" s="1"/>
      <c r="CSZ186" s="16"/>
      <c r="CTA186" s="16"/>
      <c r="CTB186" s="16"/>
      <c r="CTC186" s="16"/>
      <c r="CTD186" s="10"/>
      <c r="CTE186" s="10"/>
      <c r="CTL186" s="3"/>
      <c r="CTN186" s="1"/>
      <c r="CTP186" s="16"/>
      <c r="CTQ186" s="16"/>
      <c r="CTR186" s="16"/>
      <c r="CTS186" s="16"/>
      <c r="CTT186" s="10"/>
      <c r="CTU186" s="10"/>
      <c r="CUB186" s="3"/>
      <c r="CUD186" s="1"/>
      <c r="CUF186" s="16"/>
      <c r="CUG186" s="16"/>
      <c r="CUH186" s="16"/>
      <c r="CUI186" s="16"/>
      <c r="CUJ186" s="10"/>
      <c r="CUK186" s="10"/>
      <c r="CUR186" s="3"/>
      <c r="CUT186" s="1"/>
      <c r="CUV186" s="16"/>
      <c r="CUW186" s="16"/>
      <c r="CUX186" s="16"/>
      <c r="CUY186" s="16"/>
      <c r="CUZ186" s="10"/>
      <c r="CVA186" s="10"/>
      <c r="CVH186" s="3"/>
      <c r="CVJ186" s="1"/>
      <c r="CVL186" s="16"/>
      <c r="CVM186" s="16"/>
      <c r="CVN186" s="16"/>
      <c r="CVO186" s="16"/>
      <c r="CVP186" s="10"/>
      <c r="CVQ186" s="10"/>
      <c r="CVX186" s="3"/>
      <c r="CVZ186" s="1"/>
      <c r="CWB186" s="16"/>
      <c r="CWC186" s="16"/>
      <c r="CWD186" s="16"/>
      <c r="CWE186" s="16"/>
      <c r="CWF186" s="10"/>
      <c r="CWG186" s="10"/>
      <c r="CWN186" s="3"/>
      <c r="CWP186" s="1"/>
      <c r="CWR186" s="16"/>
      <c r="CWS186" s="16"/>
      <c r="CWT186" s="16"/>
      <c r="CWU186" s="16"/>
      <c r="CWV186" s="10"/>
      <c r="CWW186" s="10"/>
      <c r="CXD186" s="3"/>
      <c r="CXF186" s="1"/>
      <c r="CXH186" s="16"/>
      <c r="CXI186" s="16"/>
      <c r="CXJ186" s="16"/>
      <c r="CXK186" s="16"/>
      <c r="CXL186" s="10"/>
      <c r="CXM186" s="10"/>
      <c r="CXT186" s="3"/>
      <c r="CXV186" s="1"/>
      <c r="CXX186" s="16"/>
      <c r="CXY186" s="16"/>
      <c r="CXZ186" s="16"/>
      <c r="CYA186" s="16"/>
      <c r="CYB186" s="10"/>
      <c r="CYC186" s="10"/>
      <c r="CYJ186" s="3"/>
      <c r="CYL186" s="1"/>
      <c r="CYN186" s="16"/>
      <c r="CYO186" s="16"/>
      <c r="CYP186" s="16"/>
      <c r="CYQ186" s="16"/>
      <c r="CYR186" s="10"/>
      <c r="CYS186" s="10"/>
      <c r="CYZ186" s="3"/>
      <c r="CZB186" s="1"/>
      <c r="CZD186" s="16"/>
      <c r="CZE186" s="16"/>
      <c r="CZF186" s="16"/>
      <c r="CZG186" s="16"/>
      <c r="CZH186" s="10"/>
      <c r="CZI186" s="10"/>
      <c r="CZP186" s="3"/>
      <c r="CZR186" s="1"/>
      <c r="CZT186" s="16"/>
      <c r="CZU186" s="16"/>
      <c r="CZV186" s="16"/>
      <c r="CZW186" s="16"/>
      <c r="CZX186" s="10"/>
      <c r="CZY186" s="10"/>
      <c r="DAF186" s="3"/>
      <c r="DAH186" s="1"/>
      <c r="DAJ186" s="16"/>
      <c r="DAK186" s="16"/>
      <c r="DAL186" s="16"/>
      <c r="DAM186" s="16"/>
      <c r="DAN186" s="10"/>
      <c r="DAO186" s="10"/>
      <c r="DAV186" s="3"/>
      <c r="DAX186" s="1"/>
      <c r="DAZ186" s="16"/>
      <c r="DBA186" s="16"/>
      <c r="DBB186" s="16"/>
      <c r="DBC186" s="16"/>
      <c r="DBD186" s="10"/>
      <c r="DBE186" s="10"/>
      <c r="DBL186" s="3"/>
      <c r="DBN186" s="1"/>
      <c r="DBP186" s="16"/>
      <c r="DBQ186" s="16"/>
      <c r="DBR186" s="16"/>
      <c r="DBS186" s="16"/>
      <c r="DBT186" s="10"/>
      <c r="DBU186" s="10"/>
      <c r="DCB186" s="3"/>
      <c r="DCD186" s="1"/>
      <c r="DCF186" s="16"/>
      <c r="DCG186" s="16"/>
      <c r="DCH186" s="16"/>
      <c r="DCI186" s="16"/>
      <c r="DCJ186" s="10"/>
      <c r="DCK186" s="10"/>
      <c r="DCR186" s="3"/>
      <c r="DCT186" s="1"/>
      <c r="DCV186" s="16"/>
      <c r="DCW186" s="16"/>
      <c r="DCX186" s="16"/>
      <c r="DCY186" s="16"/>
      <c r="DCZ186" s="10"/>
      <c r="DDA186" s="10"/>
      <c r="DDH186" s="3"/>
      <c r="DDJ186" s="1"/>
      <c r="DDL186" s="16"/>
      <c r="DDM186" s="16"/>
      <c r="DDN186" s="16"/>
      <c r="DDO186" s="16"/>
      <c r="DDP186" s="10"/>
      <c r="DDQ186" s="10"/>
      <c r="DDX186" s="3"/>
      <c r="DDZ186" s="1"/>
      <c r="DEB186" s="16"/>
      <c r="DEC186" s="16"/>
      <c r="DED186" s="16"/>
      <c r="DEE186" s="16"/>
      <c r="DEF186" s="10"/>
      <c r="DEG186" s="10"/>
      <c r="DEN186" s="3"/>
      <c r="DEP186" s="1"/>
      <c r="DER186" s="16"/>
      <c r="DES186" s="16"/>
      <c r="DET186" s="16"/>
      <c r="DEU186" s="16"/>
      <c r="DEV186" s="10"/>
      <c r="DEW186" s="10"/>
      <c r="DFD186" s="3"/>
      <c r="DFF186" s="1"/>
      <c r="DFH186" s="16"/>
      <c r="DFI186" s="16"/>
      <c r="DFJ186" s="16"/>
      <c r="DFK186" s="16"/>
      <c r="DFL186" s="10"/>
      <c r="DFM186" s="10"/>
      <c r="DFT186" s="3"/>
      <c r="DFV186" s="1"/>
      <c r="DFX186" s="16"/>
      <c r="DFY186" s="16"/>
      <c r="DFZ186" s="16"/>
      <c r="DGA186" s="16"/>
      <c r="DGB186" s="10"/>
      <c r="DGC186" s="10"/>
      <c r="DGJ186" s="3"/>
      <c r="DGL186" s="1"/>
      <c r="DGN186" s="16"/>
      <c r="DGO186" s="16"/>
      <c r="DGP186" s="16"/>
      <c r="DGQ186" s="16"/>
      <c r="DGR186" s="10"/>
      <c r="DGS186" s="10"/>
      <c r="DGZ186" s="3"/>
      <c r="DHB186" s="1"/>
      <c r="DHD186" s="16"/>
      <c r="DHE186" s="16"/>
      <c r="DHF186" s="16"/>
      <c r="DHG186" s="16"/>
      <c r="DHH186" s="10"/>
      <c r="DHI186" s="10"/>
      <c r="DHP186" s="3"/>
      <c r="DHR186" s="1"/>
      <c r="DHT186" s="16"/>
      <c r="DHU186" s="16"/>
      <c r="DHV186" s="16"/>
      <c r="DHW186" s="16"/>
      <c r="DHX186" s="10"/>
      <c r="DHY186" s="10"/>
      <c r="DIF186" s="3"/>
      <c r="DIH186" s="1"/>
      <c r="DIJ186" s="16"/>
      <c r="DIK186" s="16"/>
      <c r="DIL186" s="16"/>
      <c r="DIM186" s="16"/>
      <c r="DIN186" s="10"/>
      <c r="DIO186" s="10"/>
      <c r="DIV186" s="3"/>
      <c r="DIX186" s="1"/>
      <c r="DIZ186" s="16"/>
      <c r="DJA186" s="16"/>
      <c r="DJB186" s="16"/>
      <c r="DJC186" s="16"/>
      <c r="DJD186" s="10"/>
      <c r="DJE186" s="10"/>
      <c r="DJL186" s="3"/>
      <c r="DJN186" s="1"/>
      <c r="DJP186" s="16"/>
      <c r="DJQ186" s="16"/>
      <c r="DJR186" s="16"/>
      <c r="DJS186" s="16"/>
      <c r="DJT186" s="10"/>
      <c r="DJU186" s="10"/>
      <c r="DKB186" s="3"/>
      <c r="DKD186" s="1"/>
      <c r="DKF186" s="16"/>
      <c r="DKG186" s="16"/>
      <c r="DKH186" s="16"/>
      <c r="DKI186" s="16"/>
      <c r="DKJ186" s="10"/>
      <c r="DKK186" s="10"/>
      <c r="DKR186" s="3"/>
      <c r="DKT186" s="1"/>
      <c r="DKV186" s="16"/>
      <c r="DKW186" s="16"/>
      <c r="DKX186" s="16"/>
      <c r="DKY186" s="16"/>
      <c r="DKZ186" s="10"/>
      <c r="DLA186" s="10"/>
      <c r="DLH186" s="3"/>
      <c r="DLJ186" s="1"/>
      <c r="DLL186" s="16"/>
      <c r="DLM186" s="16"/>
      <c r="DLN186" s="16"/>
      <c r="DLO186" s="16"/>
      <c r="DLP186" s="10"/>
      <c r="DLQ186" s="10"/>
      <c r="DLX186" s="3"/>
      <c r="DLZ186" s="1"/>
      <c r="DMB186" s="16"/>
      <c r="DMC186" s="16"/>
      <c r="DMD186" s="16"/>
      <c r="DME186" s="16"/>
      <c r="DMF186" s="10"/>
      <c r="DMG186" s="10"/>
      <c r="DMN186" s="3"/>
      <c r="DMP186" s="1"/>
      <c r="DMR186" s="16"/>
      <c r="DMS186" s="16"/>
      <c r="DMT186" s="16"/>
      <c r="DMU186" s="16"/>
      <c r="DMV186" s="10"/>
      <c r="DMW186" s="10"/>
      <c r="DND186" s="3"/>
      <c r="DNF186" s="1"/>
      <c r="DNH186" s="16"/>
      <c r="DNI186" s="16"/>
      <c r="DNJ186" s="16"/>
      <c r="DNK186" s="16"/>
      <c r="DNL186" s="10"/>
      <c r="DNM186" s="10"/>
      <c r="DNT186" s="3"/>
      <c r="DNV186" s="1"/>
      <c r="DNX186" s="16"/>
      <c r="DNY186" s="16"/>
      <c r="DNZ186" s="16"/>
      <c r="DOA186" s="16"/>
      <c r="DOB186" s="10"/>
      <c r="DOC186" s="10"/>
      <c r="DOJ186" s="3"/>
      <c r="DOL186" s="1"/>
      <c r="DON186" s="16"/>
      <c r="DOO186" s="16"/>
      <c r="DOP186" s="16"/>
      <c r="DOQ186" s="16"/>
      <c r="DOR186" s="10"/>
      <c r="DOS186" s="10"/>
      <c r="DOZ186" s="3"/>
      <c r="DPB186" s="1"/>
      <c r="DPD186" s="16"/>
      <c r="DPE186" s="16"/>
      <c r="DPF186" s="16"/>
      <c r="DPG186" s="16"/>
      <c r="DPH186" s="10"/>
      <c r="DPI186" s="10"/>
      <c r="DPP186" s="3"/>
      <c r="DPR186" s="1"/>
      <c r="DPT186" s="16"/>
      <c r="DPU186" s="16"/>
      <c r="DPV186" s="16"/>
      <c r="DPW186" s="16"/>
      <c r="DPX186" s="10"/>
      <c r="DPY186" s="10"/>
      <c r="DQF186" s="3"/>
      <c r="DQH186" s="1"/>
      <c r="DQJ186" s="16"/>
      <c r="DQK186" s="16"/>
      <c r="DQL186" s="16"/>
      <c r="DQM186" s="16"/>
      <c r="DQN186" s="10"/>
      <c r="DQO186" s="10"/>
      <c r="DQV186" s="3"/>
      <c r="DQX186" s="1"/>
      <c r="DQZ186" s="16"/>
      <c r="DRA186" s="16"/>
      <c r="DRB186" s="16"/>
      <c r="DRC186" s="16"/>
      <c r="DRD186" s="10"/>
      <c r="DRE186" s="10"/>
      <c r="DRL186" s="3"/>
      <c r="DRN186" s="1"/>
      <c r="DRP186" s="16"/>
      <c r="DRQ186" s="16"/>
      <c r="DRR186" s="16"/>
      <c r="DRS186" s="16"/>
      <c r="DRT186" s="10"/>
      <c r="DRU186" s="10"/>
      <c r="DSB186" s="3"/>
      <c r="DSD186" s="1"/>
      <c r="DSF186" s="16"/>
      <c r="DSG186" s="16"/>
      <c r="DSH186" s="16"/>
      <c r="DSI186" s="16"/>
      <c r="DSJ186" s="10"/>
      <c r="DSK186" s="10"/>
      <c r="DSR186" s="3"/>
      <c r="DST186" s="1"/>
      <c r="DSV186" s="16"/>
      <c r="DSW186" s="16"/>
      <c r="DSX186" s="16"/>
      <c r="DSY186" s="16"/>
      <c r="DSZ186" s="10"/>
      <c r="DTA186" s="10"/>
      <c r="DTH186" s="3"/>
      <c r="DTJ186" s="1"/>
      <c r="DTL186" s="16"/>
      <c r="DTM186" s="16"/>
      <c r="DTN186" s="16"/>
      <c r="DTO186" s="16"/>
      <c r="DTP186" s="10"/>
      <c r="DTQ186" s="10"/>
      <c r="DTX186" s="3"/>
      <c r="DTZ186" s="1"/>
      <c r="DUB186" s="16"/>
      <c r="DUC186" s="16"/>
      <c r="DUD186" s="16"/>
      <c r="DUE186" s="16"/>
      <c r="DUF186" s="10"/>
      <c r="DUG186" s="10"/>
      <c r="DUN186" s="3"/>
      <c r="DUP186" s="1"/>
      <c r="DUR186" s="16"/>
      <c r="DUS186" s="16"/>
      <c r="DUT186" s="16"/>
      <c r="DUU186" s="16"/>
      <c r="DUV186" s="10"/>
      <c r="DUW186" s="10"/>
      <c r="DVD186" s="3"/>
      <c r="DVF186" s="1"/>
      <c r="DVH186" s="16"/>
      <c r="DVI186" s="16"/>
      <c r="DVJ186" s="16"/>
      <c r="DVK186" s="16"/>
      <c r="DVL186" s="10"/>
      <c r="DVM186" s="10"/>
      <c r="DVT186" s="3"/>
      <c r="DVV186" s="1"/>
      <c r="DVX186" s="16"/>
      <c r="DVY186" s="16"/>
      <c r="DVZ186" s="16"/>
      <c r="DWA186" s="16"/>
      <c r="DWB186" s="10"/>
      <c r="DWC186" s="10"/>
      <c r="DWJ186" s="3"/>
      <c r="DWL186" s="1"/>
      <c r="DWN186" s="16"/>
      <c r="DWO186" s="16"/>
      <c r="DWP186" s="16"/>
      <c r="DWQ186" s="16"/>
      <c r="DWR186" s="10"/>
      <c r="DWS186" s="10"/>
      <c r="DWZ186" s="3"/>
      <c r="DXB186" s="1"/>
      <c r="DXD186" s="16"/>
      <c r="DXE186" s="16"/>
      <c r="DXF186" s="16"/>
      <c r="DXG186" s="16"/>
      <c r="DXH186" s="10"/>
      <c r="DXI186" s="10"/>
      <c r="DXP186" s="3"/>
      <c r="DXR186" s="1"/>
      <c r="DXT186" s="16"/>
      <c r="DXU186" s="16"/>
      <c r="DXV186" s="16"/>
      <c r="DXW186" s="16"/>
      <c r="DXX186" s="10"/>
      <c r="DXY186" s="10"/>
      <c r="DYF186" s="3"/>
      <c r="DYH186" s="1"/>
      <c r="DYJ186" s="16"/>
      <c r="DYK186" s="16"/>
      <c r="DYL186" s="16"/>
      <c r="DYM186" s="16"/>
      <c r="DYN186" s="10"/>
      <c r="DYO186" s="10"/>
      <c r="DYV186" s="3"/>
      <c r="DYX186" s="1"/>
      <c r="DYZ186" s="16"/>
      <c r="DZA186" s="16"/>
      <c r="DZB186" s="16"/>
      <c r="DZC186" s="16"/>
      <c r="DZD186" s="10"/>
      <c r="DZE186" s="10"/>
      <c r="DZL186" s="3"/>
      <c r="DZN186" s="1"/>
      <c r="DZP186" s="16"/>
      <c r="DZQ186" s="16"/>
      <c r="DZR186" s="16"/>
      <c r="DZS186" s="16"/>
      <c r="DZT186" s="10"/>
      <c r="DZU186" s="10"/>
      <c r="EAB186" s="3"/>
      <c r="EAD186" s="1"/>
      <c r="EAF186" s="16"/>
      <c r="EAG186" s="16"/>
      <c r="EAH186" s="16"/>
      <c r="EAI186" s="16"/>
      <c r="EAJ186" s="10"/>
      <c r="EAK186" s="10"/>
      <c r="EAR186" s="3"/>
      <c r="EAT186" s="1"/>
      <c r="EAV186" s="16"/>
      <c r="EAW186" s="16"/>
      <c r="EAX186" s="16"/>
      <c r="EAY186" s="16"/>
      <c r="EAZ186" s="10"/>
      <c r="EBA186" s="10"/>
      <c r="EBH186" s="3"/>
      <c r="EBJ186" s="1"/>
      <c r="EBL186" s="16"/>
      <c r="EBM186" s="16"/>
      <c r="EBN186" s="16"/>
      <c r="EBO186" s="16"/>
      <c r="EBP186" s="10"/>
      <c r="EBQ186" s="10"/>
      <c r="EBX186" s="3"/>
      <c r="EBZ186" s="1"/>
      <c r="ECB186" s="16"/>
      <c r="ECC186" s="16"/>
      <c r="ECD186" s="16"/>
      <c r="ECE186" s="16"/>
      <c r="ECF186" s="10"/>
      <c r="ECG186" s="10"/>
      <c r="ECN186" s="3"/>
      <c r="ECP186" s="1"/>
      <c r="ECR186" s="16"/>
      <c r="ECS186" s="16"/>
      <c r="ECT186" s="16"/>
      <c r="ECU186" s="16"/>
      <c r="ECV186" s="10"/>
      <c r="ECW186" s="10"/>
      <c r="EDD186" s="3"/>
      <c r="EDF186" s="1"/>
      <c r="EDH186" s="16"/>
      <c r="EDI186" s="16"/>
      <c r="EDJ186" s="16"/>
      <c r="EDK186" s="16"/>
      <c r="EDL186" s="10"/>
      <c r="EDM186" s="10"/>
      <c r="EDT186" s="3"/>
      <c r="EDV186" s="1"/>
      <c r="EDX186" s="16"/>
      <c r="EDY186" s="16"/>
      <c r="EDZ186" s="16"/>
      <c r="EEA186" s="16"/>
      <c r="EEB186" s="10"/>
      <c r="EEC186" s="10"/>
      <c r="EEJ186" s="3"/>
      <c r="EEL186" s="1"/>
      <c r="EEN186" s="16"/>
      <c r="EEO186" s="16"/>
      <c r="EEP186" s="16"/>
      <c r="EEQ186" s="16"/>
      <c r="EER186" s="10"/>
      <c r="EES186" s="10"/>
      <c r="EEZ186" s="3"/>
      <c r="EFB186" s="1"/>
      <c r="EFD186" s="16"/>
      <c r="EFE186" s="16"/>
      <c r="EFF186" s="16"/>
      <c r="EFG186" s="16"/>
      <c r="EFH186" s="10"/>
      <c r="EFI186" s="10"/>
      <c r="EFP186" s="3"/>
      <c r="EFR186" s="1"/>
      <c r="EFT186" s="16"/>
      <c r="EFU186" s="16"/>
      <c r="EFV186" s="16"/>
      <c r="EFW186" s="16"/>
      <c r="EFX186" s="10"/>
      <c r="EFY186" s="10"/>
      <c r="EGF186" s="3"/>
      <c r="EGH186" s="1"/>
      <c r="EGJ186" s="16"/>
      <c r="EGK186" s="16"/>
      <c r="EGL186" s="16"/>
      <c r="EGM186" s="16"/>
      <c r="EGN186" s="10"/>
      <c r="EGO186" s="10"/>
      <c r="EGV186" s="3"/>
      <c r="EGX186" s="1"/>
      <c r="EGZ186" s="16"/>
      <c r="EHA186" s="16"/>
      <c r="EHB186" s="16"/>
      <c r="EHC186" s="16"/>
      <c r="EHD186" s="10"/>
      <c r="EHE186" s="10"/>
      <c r="EHL186" s="3"/>
      <c r="EHN186" s="1"/>
      <c r="EHP186" s="16"/>
      <c r="EHQ186" s="16"/>
      <c r="EHR186" s="16"/>
      <c r="EHS186" s="16"/>
      <c r="EHT186" s="10"/>
      <c r="EHU186" s="10"/>
      <c r="EIB186" s="3"/>
      <c r="EID186" s="1"/>
      <c r="EIF186" s="16"/>
      <c r="EIG186" s="16"/>
      <c r="EIH186" s="16"/>
      <c r="EII186" s="16"/>
      <c r="EIJ186" s="10"/>
      <c r="EIK186" s="10"/>
      <c r="EIR186" s="3"/>
      <c r="EIT186" s="1"/>
      <c r="EIV186" s="16"/>
      <c r="EIW186" s="16"/>
      <c r="EIX186" s="16"/>
      <c r="EIY186" s="16"/>
      <c r="EIZ186" s="10"/>
      <c r="EJA186" s="10"/>
      <c r="EJH186" s="3"/>
      <c r="EJJ186" s="1"/>
      <c r="EJL186" s="16"/>
      <c r="EJM186" s="16"/>
      <c r="EJN186" s="16"/>
      <c r="EJO186" s="16"/>
      <c r="EJP186" s="10"/>
      <c r="EJQ186" s="10"/>
      <c r="EJX186" s="3"/>
      <c r="EJZ186" s="1"/>
      <c r="EKB186" s="16"/>
      <c r="EKC186" s="16"/>
      <c r="EKD186" s="16"/>
      <c r="EKE186" s="16"/>
      <c r="EKF186" s="10"/>
      <c r="EKG186" s="10"/>
      <c r="EKN186" s="3"/>
      <c r="EKP186" s="1"/>
      <c r="EKR186" s="16"/>
      <c r="EKS186" s="16"/>
      <c r="EKT186" s="16"/>
      <c r="EKU186" s="16"/>
      <c r="EKV186" s="10"/>
      <c r="EKW186" s="10"/>
      <c r="ELD186" s="3"/>
      <c r="ELF186" s="1"/>
      <c r="ELH186" s="16"/>
      <c r="ELI186" s="16"/>
      <c r="ELJ186" s="16"/>
      <c r="ELK186" s="16"/>
      <c r="ELL186" s="10"/>
      <c r="ELM186" s="10"/>
      <c r="ELT186" s="3"/>
      <c r="ELV186" s="1"/>
      <c r="ELX186" s="16"/>
      <c r="ELY186" s="16"/>
      <c r="ELZ186" s="16"/>
      <c r="EMA186" s="16"/>
      <c r="EMB186" s="10"/>
      <c r="EMC186" s="10"/>
      <c r="EMJ186" s="3"/>
      <c r="EML186" s="1"/>
      <c r="EMN186" s="16"/>
      <c r="EMO186" s="16"/>
      <c r="EMP186" s="16"/>
      <c r="EMQ186" s="16"/>
      <c r="EMR186" s="10"/>
      <c r="EMS186" s="10"/>
      <c r="EMZ186" s="3"/>
      <c r="ENB186" s="1"/>
      <c r="END186" s="16"/>
      <c r="ENE186" s="16"/>
      <c r="ENF186" s="16"/>
      <c r="ENG186" s="16"/>
      <c r="ENH186" s="10"/>
      <c r="ENI186" s="10"/>
      <c r="ENP186" s="3"/>
      <c r="ENR186" s="1"/>
      <c r="ENT186" s="16"/>
      <c r="ENU186" s="16"/>
      <c r="ENV186" s="16"/>
      <c r="ENW186" s="16"/>
      <c r="ENX186" s="10"/>
      <c r="ENY186" s="10"/>
      <c r="EOF186" s="3"/>
      <c r="EOH186" s="1"/>
      <c r="EOJ186" s="16"/>
      <c r="EOK186" s="16"/>
      <c r="EOL186" s="16"/>
      <c r="EOM186" s="16"/>
      <c r="EON186" s="10"/>
      <c r="EOO186" s="10"/>
      <c r="EOV186" s="3"/>
      <c r="EOX186" s="1"/>
      <c r="EOZ186" s="16"/>
      <c r="EPA186" s="16"/>
      <c r="EPB186" s="16"/>
      <c r="EPC186" s="16"/>
      <c r="EPD186" s="10"/>
      <c r="EPE186" s="10"/>
      <c r="EPL186" s="3"/>
      <c r="EPN186" s="1"/>
      <c r="EPP186" s="16"/>
      <c r="EPQ186" s="16"/>
      <c r="EPR186" s="16"/>
      <c r="EPS186" s="16"/>
      <c r="EPT186" s="10"/>
      <c r="EPU186" s="10"/>
      <c r="EQB186" s="3"/>
      <c r="EQD186" s="1"/>
      <c r="EQF186" s="16"/>
      <c r="EQG186" s="16"/>
      <c r="EQH186" s="16"/>
      <c r="EQI186" s="16"/>
      <c r="EQJ186" s="10"/>
      <c r="EQK186" s="10"/>
      <c r="EQR186" s="3"/>
      <c r="EQT186" s="1"/>
      <c r="EQV186" s="16"/>
      <c r="EQW186" s="16"/>
      <c r="EQX186" s="16"/>
      <c r="EQY186" s="16"/>
      <c r="EQZ186" s="10"/>
      <c r="ERA186" s="10"/>
      <c r="ERH186" s="3"/>
      <c r="ERJ186" s="1"/>
      <c r="ERL186" s="16"/>
      <c r="ERM186" s="16"/>
      <c r="ERN186" s="16"/>
      <c r="ERO186" s="16"/>
      <c r="ERP186" s="10"/>
      <c r="ERQ186" s="10"/>
      <c r="ERX186" s="3"/>
      <c r="ERZ186" s="1"/>
      <c r="ESB186" s="16"/>
      <c r="ESC186" s="16"/>
      <c r="ESD186" s="16"/>
      <c r="ESE186" s="16"/>
      <c r="ESF186" s="10"/>
      <c r="ESG186" s="10"/>
      <c r="ESN186" s="3"/>
      <c r="ESP186" s="1"/>
      <c r="ESR186" s="16"/>
      <c r="ESS186" s="16"/>
      <c r="EST186" s="16"/>
      <c r="ESU186" s="16"/>
      <c r="ESV186" s="10"/>
      <c r="ESW186" s="10"/>
      <c r="ETD186" s="3"/>
      <c r="ETF186" s="1"/>
      <c r="ETH186" s="16"/>
      <c r="ETI186" s="16"/>
      <c r="ETJ186" s="16"/>
      <c r="ETK186" s="16"/>
      <c r="ETL186" s="10"/>
      <c r="ETM186" s="10"/>
      <c r="ETT186" s="3"/>
      <c r="ETV186" s="1"/>
      <c r="ETX186" s="16"/>
      <c r="ETY186" s="16"/>
      <c r="ETZ186" s="16"/>
      <c r="EUA186" s="16"/>
      <c r="EUB186" s="10"/>
      <c r="EUC186" s="10"/>
      <c r="EUJ186" s="3"/>
      <c r="EUL186" s="1"/>
      <c r="EUN186" s="16"/>
      <c r="EUO186" s="16"/>
      <c r="EUP186" s="16"/>
      <c r="EUQ186" s="16"/>
      <c r="EUR186" s="10"/>
      <c r="EUS186" s="10"/>
      <c r="EUZ186" s="3"/>
      <c r="EVB186" s="1"/>
      <c r="EVD186" s="16"/>
      <c r="EVE186" s="16"/>
      <c r="EVF186" s="16"/>
      <c r="EVG186" s="16"/>
      <c r="EVH186" s="10"/>
      <c r="EVI186" s="10"/>
      <c r="EVP186" s="3"/>
      <c r="EVR186" s="1"/>
      <c r="EVT186" s="16"/>
      <c r="EVU186" s="16"/>
      <c r="EVV186" s="16"/>
      <c r="EVW186" s="16"/>
      <c r="EVX186" s="10"/>
      <c r="EVY186" s="10"/>
      <c r="EWF186" s="3"/>
      <c r="EWH186" s="1"/>
      <c r="EWJ186" s="16"/>
      <c r="EWK186" s="16"/>
      <c r="EWL186" s="16"/>
      <c r="EWM186" s="16"/>
      <c r="EWN186" s="10"/>
      <c r="EWO186" s="10"/>
      <c r="EWV186" s="3"/>
      <c r="EWX186" s="1"/>
      <c r="EWZ186" s="16"/>
      <c r="EXA186" s="16"/>
      <c r="EXB186" s="16"/>
      <c r="EXC186" s="16"/>
      <c r="EXD186" s="10"/>
      <c r="EXE186" s="10"/>
      <c r="EXL186" s="3"/>
      <c r="EXN186" s="1"/>
      <c r="EXP186" s="16"/>
      <c r="EXQ186" s="16"/>
      <c r="EXR186" s="16"/>
      <c r="EXS186" s="16"/>
      <c r="EXT186" s="10"/>
      <c r="EXU186" s="10"/>
      <c r="EYB186" s="3"/>
      <c r="EYD186" s="1"/>
      <c r="EYF186" s="16"/>
      <c r="EYG186" s="16"/>
      <c r="EYH186" s="16"/>
      <c r="EYI186" s="16"/>
      <c r="EYJ186" s="10"/>
      <c r="EYK186" s="10"/>
      <c r="EYR186" s="3"/>
      <c r="EYT186" s="1"/>
      <c r="EYV186" s="16"/>
      <c r="EYW186" s="16"/>
      <c r="EYX186" s="16"/>
      <c r="EYY186" s="16"/>
      <c r="EYZ186" s="10"/>
      <c r="EZA186" s="10"/>
      <c r="EZH186" s="3"/>
      <c r="EZJ186" s="1"/>
      <c r="EZL186" s="16"/>
      <c r="EZM186" s="16"/>
      <c r="EZN186" s="16"/>
      <c r="EZO186" s="16"/>
      <c r="EZP186" s="10"/>
      <c r="EZQ186" s="10"/>
      <c r="EZX186" s="3"/>
      <c r="EZZ186" s="1"/>
      <c r="FAB186" s="16"/>
      <c r="FAC186" s="16"/>
      <c r="FAD186" s="16"/>
      <c r="FAE186" s="16"/>
      <c r="FAF186" s="10"/>
      <c r="FAG186" s="10"/>
      <c r="FAN186" s="3"/>
      <c r="FAP186" s="1"/>
      <c r="FAR186" s="16"/>
      <c r="FAS186" s="16"/>
      <c r="FAT186" s="16"/>
      <c r="FAU186" s="16"/>
      <c r="FAV186" s="10"/>
      <c r="FAW186" s="10"/>
      <c r="FBD186" s="3"/>
      <c r="FBF186" s="1"/>
      <c r="FBH186" s="16"/>
      <c r="FBI186" s="16"/>
      <c r="FBJ186" s="16"/>
      <c r="FBK186" s="16"/>
      <c r="FBL186" s="10"/>
      <c r="FBM186" s="10"/>
      <c r="FBT186" s="3"/>
      <c r="FBV186" s="1"/>
      <c r="FBX186" s="16"/>
      <c r="FBY186" s="16"/>
      <c r="FBZ186" s="16"/>
      <c r="FCA186" s="16"/>
      <c r="FCB186" s="10"/>
      <c r="FCC186" s="10"/>
      <c r="FCJ186" s="3"/>
      <c r="FCL186" s="1"/>
      <c r="FCN186" s="16"/>
      <c r="FCO186" s="16"/>
      <c r="FCP186" s="16"/>
      <c r="FCQ186" s="16"/>
      <c r="FCR186" s="10"/>
      <c r="FCS186" s="10"/>
      <c r="FCZ186" s="3"/>
      <c r="FDB186" s="1"/>
      <c r="FDD186" s="16"/>
      <c r="FDE186" s="16"/>
      <c r="FDF186" s="16"/>
      <c r="FDG186" s="16"/>
      <c r="FDH186" s="10"/>
      <c r="FDI186" s="10"/>
      <c r="FDP186" s="3"/>
      <c r="FDR186" s="1"/>
      <c r="FDT186" s="16"/>
      <c r="FDU186" s="16"/>
      <c r="FDV186" s="16"/>
      <c r="FDW186" s="16"/>
      <c r="FDX186" s="10"/>
      <c r="FDY186" s="10"/>
      <c r="FEF186" s="3"/>
      <c r="FEH186" s="1"/>
      <c r="FEJ186" s="16"/>
      <c r="FEK186" s="16"/>
      <c r="FEL186" s="16"/>
      <c r="FEM186" s="16"/>
      <c r="FEN186" s="10"/>
      <c r="FEO186" s="10"/>
      <c r="FEV186" s="3"/>
      <c r="FEX186" s="1"/>
      <c r="FEZ186" s="16"/>
      <c r="FFA186" s="16"/>
      <c r="FFB186" s="16"/>
      <c r="FFC186" s="16"/>
      <c r="FFD186" s="10"/>
      <c r="FFE186" s="10"/>
      <c r="FFL186" s="3"/>
      <c r="FFN186" s="1"/>
      <c r="FFP186" s="16"/>
      <c r="FFQ186" s="16"/>
      <c r="FFR186" s="16"/>
      <c r="FFS186" s="16"/>
      <c r="FFT186" s="10"/>
      <c r="FFU186" s="10"/>
      <c r="FGB186" s="3"/>
      <c r="FGD186" s="1"/>
      <c r="FGF186" s="16"/>
      <c r="FGG186" s="16"/>
      <c r="FGH186" s="16"/>
      <c r="FGI186" s="16"/>
      <c r="FGJ186" s="10"/>
      <c r="FGK186" s="10"/>
      <c r="FGR186" s="3"/>
      <c r="FGT186" s="1"/>
      <c r="FGV186" s="16"/>
      <c r="FGW186" s="16"/>
      <c r="FGX186" s="16"/>
      <c r="FGY186" s="16"/>
      <c r="FGZ186" s="10"/>
      <c r="FHA186" s="10"/>
      <c r="FHH186" s="3"/>
      <c r="FHJ186" s="1"/>
      <c r="FHL186" s="16"/>
      <c r="FHM186" s="16"/>
      <c r="FHN186" s="16"/>
      <c r="FHO186" s="16"/>
      <c r="FHP186" s="10"/>
      <c r="FHQ186" s="10"/>
      <c r="FHX186" s="3"/>
      <c r="FHZ186" s="1"/>
      <c r="FIB186" s="16"/>
      <c r="FIC186" s="16"/>
      <c r="FID186" s="16"/>
      <c r="FIE186" s="16"/>
      <c r="FIF186" s="10"/>
      <c r="FIG186" s="10"/>
      <c r="FIN186" s="3"/>
      <c r="FIP186" s="1"/>
      <c r="FIR186" s="16"/>
      <c r="FIS186" s="16"/>
      <c r="FIT186" s="16"/>
      <c r="FIU186" s="16"/>
      <c r="FIV186" s="10"/>
      <c r="FIW186" s="10"/>
      <c r="FJD186" s="3"/>
      <c r="FJF186" s="1"/>
      <c r="FJH186" s="16"/>
      <c r="FJI186" s="16"/>
      <c r="FJJ186" s="16"/>
      <c r="FJK186" s="16"/>
      <c r="FJL186" s="10"/>
      <c r="FJM186" s="10"/>
      <c r="FJT186" s="3"/>
      <c r="FJV186" s="1"/>
      <c r="FJX186" s="16"/>
      <c r="FJY186" s="16"/>
      <c r="FJZ186" s="16"/>
      <c r="FKA186" s="16"/>
      <c r="FKB186" s="10"/>
      <c r="FKC186" s="10"/>
      <c r="FKJ186" s="3"/>
      <c r="FKL186" s="1"/>
      <c r="FKN186" s="16"/>
      <c r="FKO186" s="16"/>
      <c r="FKP186" s="16"/>
      <c r="FKQ186" s="16"/>
      <c r="FKR186" s="10"/>
      <c r="FKS186" s="10"/>
      <c r="FKZ186" s="3"/>
      <c r="FLB186" s="1"/>
      <c r="FLD186" s="16"/>
      <c r="FLE186" s="16"/>
      <c r="FLF186" s="16"/>
      <c r="FLG186" s="16"/>
      <c r="FLH186" s="10"/>
      <c r="FLI186" s="10"/>
      <c r="FLP186" s="3"/>
      <c r="FLR186" s="1"/>
      <c r="FLT186" s="16"/>
      <c r="FLU186" s="16"/>
      <c r="FLV186" s="16"/>
      <c r="FLW186" s="16"/>
      <c r="FLX186" s="10"/>
      <c r="FLY186" s="10"/>
      <c r="FMF186" s="3"/>
      <c r="FMH186" s="1"/>
      <c r="FMJ186" s="16"/>
      <c r="FMK186" s="16"/>
      <c r="FML186" s="16"/>
      <c r="FMM186" s="16"/>
      <c r="FMN186" s="10"/>
      <c r="FMO186" s="10"/>
      <c r="FMV186" s="3"/>
      <c r="FMX186" s="1"/>
      <c r="FMZ186" s="16"/>
      <c r="FNA186" s="16"/>
      <c r="FNB186" s="16"/>
      <c r="FNC186" s="16"/>
      <c r="FND186" s="10"/>
      <c r="FNE186" s="10"/>
      <c r="FNL186" s="3"/>
      <c r="FNN186" s="1"/>
      <c r="FNP186" s="16"/>
      <c r="FNQ186" s="16"/>
      <c r="FNR186" s="16"/>
      <c r="FNS186" s="16"/>
      <c r="FNT186" s="10"/>
      <c r="FNU186" s="10"/>
      <c r="FOB186" s="3"/>
      <c r="FOD186" s="1"/>
      <c r="FOF186" s="16"/>
      <c r="FOG186" s="16"/>
      <c r="FOH186" s="16"/>
      <c r="FOI186" s="16"/>
      <c r="FOJ186" s="10"/>
      <c r="FOK186" s="10"/>
      <c r="FOR186" s="3"/>
      <c r="FOT186" s="1"/>
      <c r="FOV186" s="16"/>
      <c r="FOW186" s="16"/>
      <c r="FOX186" s="16"/>
      <c r="FOY186" s="16"/>
      <c r="FOZ186" s="10"/>
      <c r="FPA186" s="10"/>
      <c r="FPH186" s="3"/>
      <c r="FPJ186" s="1"/>
      <c r="FPL186" s="16"/>
      <c r="FPM186" s="16"/>
      <c r="FPN186" s="16"/>
      <c r="FPO186" s="16"/>
      <c r="FPP186" s="10"/>
      <c r="FPQ186" s="10"/>
      <c r="FPX186" s="3"/>
      <c r="FPZ186" s="1"/>
      <c r="FQB186" s="16"/>
      <c r="FQC186" s="16"/>
      <c r="FQD186" s="16"/>
      <c r="FQE186" s="16"/>
      <c r="FQF186" s="10"/>
      <c r="FQG186" s="10"/>
      <c r="FQN186" s="3"/>
      <c r="FQP186" s="1"/>
      <c r="FQR186" s="16"/>
      <c r="FQS186" s="16"/>
      <c r="FQT186" s="16"/>
      <c r="FQU186" s="16"/>
      <c r="FQV186" s="10"/>
      <c r="FQW186" s="10"/>
      <c r="FRD186" s="3"/>
      <c r="FRF186" s="1"/>
      <c r="FRH186" s="16"/>
      <c r="FRI186" s="16"/>
      <c r="FRJ186" s="16"/>
      <c r="FRK186" s="16"/>
      <c r="FRL186" s="10"/>
      <c r="FRM186" s="10"/>
      <c r="FRT186" s="3"/>
      <c r="FRV186" s="1"/>
      <c r="FRX186" s="16"/>
      <c r="FRY186" s="16"/>
      <c r="FRZ186" s="16"/>
      <c r="FSA186" s="16"/>
      <c r="FSB186" s="10"/>
      <c r="FSC186" s="10"/>
      <c r="FSJ186" s="3"/>
      <c r="FSL186" s="1"/>
      <c r="FSN186" s="16"/>
      <c r="FSO186" s="16"/>
      <c r="FSP186" s="16"/>
      <c r="FSQ186" s="16"/>
      <c r="FSR186" s="10"/>
      <c r="FSS186" s="10"/>
      <c r="FSZ186" s="3"/>
      <c r="FTB186" s="1"/>
      <c r="FTD186" s="16"/>
      <c r="FTE186" s="16"/>
      <c r="FTF186" s="16"/>
      <c r="FTG186" s="16"/>
      <c r="FTH186" s="10"/>
      <c r="FTI186" s="10"/>
      <c r="FTP186" s="3"/>
      <c r="FTR186" s="1"/>
      <c r="FTT186" s="16"/>
      <c r="FTU186" s="16"/>
      <c r="FTV186" s="16"/>
      <c r="FTW186" s="16"/>
      <c r="FTX186" s="10"/>
      <c r="FTY186" s="10"/>
      <c r="FUF186" s="3"/>
      <c r="FUH186" s="1"/>
      <c r="FUJ186" s="16"/>
      <c r="FUK186" s="16"/>
      <c r="FUL186" s="16"/>
      <c r="FUM186" s="16"/>
      <c r="FUN186" s="10"/>
      <c r="FUO186" s="10"/>
      <c r="FUV186" s="3"/>
      <c r="FUX186" s="1"/>
      <c r="FUZ186" s="16"/>
      <c r="FVA186" s="16"/>
      <c r="FVB186" s="16"/>
      <c r="FVC186" s="16"/>
      <c r="FVD186" s="10"/>
      <c r="FVE186" s="10"/>
      <c r="FVL186" s="3"/>
      <c r="FVN186" s="1"/>
      <c r="FVP186" s="16"/>
      <c r="FVQ186" s="16"/>
      <c r="FVR186" s="16"/>
      <c r="FVS186" s="16"/>
      <c r="FVT186" s="10"/>
      <c r="FVU186" s="10"/>
      <c r="FWB186" s="3"/>
      <c r="FWD186" s="1"/>
      <c r="FWF186" s="16"/>
      <c r="FWG186" s="16"/>
      <c r="FWH186" s="16"/>
      <c r="FWI186" s="16"/>
      <c r="FWJ186" s="10"/>
      <c r="FWK186" s="10"/>
      <c r="FWR186" s="3"/>
      <c r="FWT186" s="1"/>
      <c r="FWV186" s="16"/>
      <c r="FWW186" s="16"/>
      <c r="FWX186" s="16"/>
      <c r="FWY186" s="16"/>
      <c r="FWZ186" s="10"/>
      <c r="FXA186" s="10"/>
      <c r="FXH186" s="3"/>
      <c r="FXJ186" s="1"/>
      <c r="FXL186" s="16"/>
      <c r="FXM186" s="16"/>
      <c r="FXN186" s="16"/>
      <c r="FXO186" s="16"/>
      <c r="FXP186" s="10"/>
      <c r="FXQ186" s="10"/>
      <c r="FXX186" s="3"/>
      <c r="FXZ186" s="1"/>
      <c r="FYB186" s="16"/>
      <c r="FYC186" s="16"/>
      <c r="FYD186" s="16"/>
      <c r="FYE186" s="16"/>
      <c r="FYF186" s="10"/>
      <c r="FYG186" s="10"/>
      <c r="FYN186" s="3"/>
      <c r="FYP186" s="1"/>
      <c r="FYR186" s="16"/>
      <c r="FYS186" s="16"/>
      <c r="FYT186" s="16"/>
      <c r="FYU186" s="16"/>
      <c r="FYV186" s="10"/>
      <c r="FYW186" s="10"/>
      <c r="FZD186" s="3"/>
      <c r="FZF186" s="1"/>
      <c r="FZH186" s="16"/>
      <c r="FZI186" s="16"/>
      <c r="FZJ186" s="16"/>
      <c r="FZK186" s="16"/>
      <c r="FZL186" s="10"/>
      <c r="FZM186" s="10"/>
      <c r="FZT186" s="3"/>
      <c r="FZV186" s="1"/>
      <c r="FZX186" s="16"/>
      <c r="FZY186" s="16"/>
      <c r="FZZ186" s="16"/>
      <c r="GAA186" s="16"/>
      <c r="GAB186" s="10"/>
      <c r="GAC186" s="10"/>
      <c r="GAJ186" s="3"/>
      <c r="GAL186" s="1"/>
      <c r="GAN186" s="16"/>
      <c r="GAO186" s="16"/>
      <c r="GAP186" s="16"/>
      <c r="GAQ186" s="16"/>
      <c r="GAR186" s="10"/>
      <c r="GAS186" s="10"/>
      <c r="GAZ186" s="3"/>
      <c r="GBB186" s="1"/>
      <c r="GBD186" s="16"/>
      <c r="GBE186" s="16"/>
      <c r="GBF186" s="16"/>
      <c r="GBG186" s="16"/>
      <c r="GBH186" s="10"/>
      <c r="GBI186" s="10"/>
      <c r="GBP186" s="3"/>
      <c r="GBR186" s="1"/>
      <c r="GBT186" s="16"/>
      <c r="GBU186" s="16"/>
      <c r="GBV186" s="16"/>
      <c r="GBW186" s="16"/>
      <c r="GBX186" s="10"/>
      <c r="GBY186" s="10"/>
      <c r="GCF186" s="3"/>
      <c r="GCH186" s="1"/>
      <c r="GCJ186" s="16"/>
      <c r="GCK186" s="16"/>
      <c r="GCL186" s="16"/>
      <c r="GCM186" s="16"/>
      <c r="GCN186" s="10"/>
      <c r="GCO186" s="10"/>
      <c r="GCV186" s="3"/>
      <c r="GCX186" s="1"/>
      <c r="GCZ186" s="16"/>
      <c r="GDA186" s="16"/>
      <c r="GDB186" s="16"/>
      <c r="GDC186" s="16"/>
      <c r="GDD186" s="10"/>
      <c r="GDE186" s="10"/>
      <c r="GDL186" s="3"/>
      <c r="GDN186" s="1"/>
      <c r="GDP186" s="16"/>
      <c r="GDQ186" s="16"/>
      <c r="GDR186" s="16"/>
      <c r="GDS186" s="16"/>
      <c r="GDT186" s="10"/>
      <c r="GDU186" s="10"/>
      <c r="GEB186" s="3"/>
      <c r="GED186" s="1"/>
      <c r="GEF186" s="16"/>
      <c r="GEG186" s="16"/>
      <c r="GEH186" s="16"/>
      <c r="GEI186" s="16"/>
      <c r="GEJ186" s="10"/>
      <c r="GEK186" s="10"/>
      <c r="GER186" s="3"/>
      <c r="GET186" s="1"/>
      <c r="GEV186" s="16"/>
      <c r="GEW186" s="16"/>
      <c r="GEX186" s="16"/>
      <c r="GEY186" s="16"/>
      <c r="GEZ186" s="10"/>
      <c r="GFA186" s="10"/>
      <c r="GFH186" s="3"/>
      <c r="GFJ186" s="1"/>
      <c r="GFL186" s="16"/>
      <c r="GFM186" s="16"/>
      <c r="GFN186" s="16"/>
      <c r="GFO186" s="16"/>
      <c r="GFP186" s="10"/>
      <c r="GFQ186" s="10"/>
      <c r="GFX186" s="3"/>
      <c r="GFZ186" s="1"/>
      <c r="GGB186" s="16"/>
      <c r="GGC186" s="16"/>
      <c r="GGD186" s="16"/>
      <c r="GGE186" s="16"/>
      <c r="GGF186" s="10"/>
      <c r="GGG186" s="10"/>
      <c r="GGN186" s="3"/>
      <c r="GGP186" s="1"/>
      <c r="GGR186" s="16"/>
      <c r="GGS186" s="16"/>
      <c r="GGT186" s="16"/>
      <c r="GGU186" s="16"/>
      <c r="GGV186" s="10"/>
      <c r="GGW186" s="10"/>
      <c r="GHD186" s="3"/>
      <c r="GHF186" s="1"/>
      <c r="GHH186" s="16"/>
      <c r="GHI186" s="16"/>
      <c r="GHJ186" s="16"/>
      <c r="GHK186" s="16"/>
      <c r="GHL186" s="10"/>
      <c r="GHM186" s="10"/>
      <c r="GHT186" s="3"/>
      <c r="GHV186" s="1"/>
      <c r="GHX186" s="16"/>
      <c r="GHY186" s="16"/>
      <c r="GHZ186" s="16"/>
      <c r="GIA186" s="16"/>
      <c r="GIB186" s="10"/>
      <c r="GIC186" s="10"/>
      <c r="GIJ186" s="3"/>
      <c r="GIL186" s="1"/>
      <c r="GIN186" s="16"/>
      <c r="GIO186" s="16"/>
      <c r="GIP186" s="16"/>
      <c r="GIQ186" s="16"/>
      <c r="GIR186" s="10"/>
      <c r="GIS186" s="10"/>
      <c r="GIZ186" s="3"/>
      <c r="GJB186" s="1"/>
      <c r="GJD186" s="16"/>
      <c r="GJE186" s="16"/>
      <c r="GJF186" s="16"/>
      <c r="GJG186" s="16"/>
      <c r="GJH186" s="10"/>
      <c r="GJI186" s="10"/>
      <c r="GJP186" s="3"/>
      <c r="GJR186" s="1"/>
      <c r="GJT186" s="16"/>
      <c r="GJU186" s="16"/>
      <c r="GJV186" s="16"/>
      <c r="GJW186" s="16"/>
      <c r="GJX186" s="10"/>
      <c r="GJY186" s="10"/>
      <c r="GKF186" s="3"/>
      <c r="GKH186" s="1"/>
      <c r="GKJ186" s="16"/>
      <c r="GKK186" s="16"/>
      <c r="GKL186" s="16"/>
      <c r="GKM186" s="16"/>
      <c r="GKN186" s="10"/>
      <c r="GKO186" s="10"/>
      <c r="GKV186" s="3"/>
      <c r="GKX186" s="1"/>
      <c r="GKZ186" s="16"/>
      <c r="GLA186" s="16"/>
      <c r="GLB186" s="16"/>
      <c r="GLC186" s="16"/>
      <c r="GLD186" s="10"/>
      <c r="GLE186" s="10"/>
      <c r="GLL186" s="3"/>
      <c r="GLN186" s="1"/>
      <c r="GLP186" s="16"/>
      <c r="GLQ186" s="16"/>
      <c r="GLR186" s="16"/>
      <c r="GLS186" s="16"/>
      <c r="GLT186" s="10"/>
      <c r="GLU186" s="10"/>
      <c r="GMB186" s="3"/>
      <c r="GMD186" s="1"/>
      <c r="GMF186" s="16"/>
      <c r="GMG186" s="16"/>
      <c r="GMH186" s="16"/>
      <c r="GMI186" s="16"/>
      <c r="GMJ186" s="10"/>
      <c r="GMK186" s="10"/>
      <c r="GMR186" s="3"/>
      <c r="GMT186" s="1"/>
      <c r="GMV186" s="16"/>
      <c r="GMW186" s="16"/>
      <c r="GMX186" s="16"/>
      <c r="GMY186" s="16"/>
      <c r="GMZ186" s="10"/>
      <c r="GNA186" s="10"/>
      <c r="GNH186" s="3"/>
      <c r="GNJ186" s="1"/>
      <c r="GNL186" s="16"/>
      <c r="GNM186" s="16"/>
      <c r="GNN186" s="16"/>
      <c r="GNO186" s="16"/>
      <c r="GNP186" s="10"/>
      <c r="GNQ186" s="10"/>
      <c r="GNX186" s="3"/>
      <c r="GNZ186" s="1"/>
      <c r="GOB186" s="16"/>
      <c r="GOC186" s="16"/>
      <c r="GOD186" s="16"/>
      <c r="GOE186" s="16"/>
      <c r="GOF186" s="10"/>
      <c r="GOG186" s="10"/>
      <c r="GON186" s="3"/>
      <c r="GOP186" s="1"/>
      <c r="GOR186" s="16"/>
      <c r="GOS186" s="16"/>
      <c r="GOT186" s="16"/>
      <c r="GOU186" s="16"/>
      <c r="GOV186" s="10"/>
      <c r="GOW186" s="10"/>
      <c r="GPD186" s="3"/>
      <c r="GPF186" s="1"/>
      <c r="GPH186" s="16"/>
      <c r="GPI186" s="16"/>
      <c r="GPJ186" s="16"/>
      <c r="GPK186" s="16"/>
      <c r="GPL186" s="10"/>
      <c r="GPM186" s="10"/>
      <c r="GPT186" s="3"/>
      <c r="GPV186" s="1"/>
      <c r="GPX186" s="16"/>
      <c r="GPY186" s="16"/>
      <c r="GPZ186" s="16"/>
      <c r="GQA186" s="16"/>
      <c r="GQB186" s="10"/>
      <c r="GQC186" s="10"/>
      <c r="GQJ186" s="3"/>
      <c r="GQL186" s="1"/>
      <c r="GQN186" s="16"/>
      <c r="GQO186" s="16"/>
      <c r="GQP186" s="16"/>
      <c r="GQQ186" s="16"/>
      <c r="GQR186" s="10"/>
      <c r="GQS186" s="10"/>
      <c r="GQZ186" s="3"/>
      <c r="GRB186" s="1"/>
      <c r="GRD186" s="16"/>
      <c r="GRE186" s="16"/>
      <c r="GRF186" s="16"/>
      <c r="GRG186" s="16"/>
      <c r="GRH186" s="10"/>
      <c r="GRI186" s="10"/>
      <c r="GRP186" s="3"/>
      <c r="GRR186" s="1"/>
      <c r="GRT186" s="16"/>
      <c r="GRU186" s="16"/>
      <c r="GRV186" s="16"/>
      <c r="GRW186" s="16"/>
      <c r="GRX186" s="10"/>
      <c r="GRY186" s="10"/>
      <c r="GSF186" s="3"/>
      <c r="GSH186" s="1"/>
      <c r="GSJ186" s="16"/>
      <c r="GSK186" s="16"/>
      <c r="GSL186" s="16"/>
      <c r="GSM186" s="16"/>
      <c r="GSN186" s="10"/>
      <c r="GSO186" s="10"/>
      <c r="GSV186" s="3"/>
      <c r="GSX186" s="1"/>
      <c r="GSZ186" s="16"/>
      <c r="GTA186" s="16"/>
      <c r="GTB186" s="16"/>
      <c r="GTC186" s="16"/>
      <c r="GTD186" s="10"/>
      <c r="GTE186" s="10"/>
      <c r="GTL186" s="3"/>
      <c r="GTN186" s="1"/>
      <c r="GTP186" s="16"/>
      <c r="GTQ186" s="16"/>
      <c r="GTR186" s="16"/>
      <c r="GTS186" s="16"/>
      <c r="GTT186" s="10"/>
      <c r="GTU186" s="10"/>
      <c r="GUB186" s="3"/>
      <c r="GUD186" s="1"/>
      <c r="GUF186" s="16"/>
      <c r="GUG186" s="16"/>
      <c r="GUH186" s="16"/>
      <c r="GUI186" s="16"/>
      <c r="GUJ186" s="10"/>
      <c r="GUK186" s="10"/>
      <c r="GUR186" s="3"/>
      <c r="GUT186" s="1"/>
      <c r="GUV186" s="16"/>
      <c r="GUW186" s="16"/>
      <c r="GUX186" s="16"/>
      <c r="GUY186" s="16"/>
      <c r="GUZ186" s="10"/>
      <c r="GVA186" s="10"/>
      <c r="GVH186" s="3"/>
      <c r="GVJ186" s="1"/>
      <c r="GVL186" s="16"/>
      <c r="GVM186" s="16"/>
      <c r="GVN186" s="16"/>
      <c r="GVO186" s="16"/>
      <c r="GVP186" s="10"/>
      <c r="GVQ186" s="10"/>
      <c r="GVX186" s="3"/>
      <c r="GVZ186" s="1"/>
      <c r="GWB186" s="16"/>
      <c r="GWC186" s="16"/>
      <c r="GWD186" s="16"/>
      <c r="GWE186" s="16"/>
      <c r="GWF186" s="10"/>
      <c r="GWG186" s="10"/>
      <c r="GWN186" s="3"/>
      <c r="GWP186" s="1"/>
      <c r="GWR186" s="16"/>
      <c r="GWS186" s="16"/>
      <c r="GWT186" s="16"/>
      <c r="GWU186" s="16"/>
      <c r="GWV186" s="10"/>
      <c r="GWW186" s="10"/>
      <c r="GXD186" s="3"/>
      <c r="GXF186" s="1"/>
      <c r="GXH186" s="16"/>
      <c r="GXI186" s="16"/>
      <c r="GXJ186" s="16"/>
      <c r="GXK186" s="16"/>
      <c r="GXL186" s="10"/>
      <c r="GXM186" s="10"/>
      <c r="GXT186" s="3"/>
      <c r="GXV186" s="1"/>
      <c r="GXX186" s="16"/>
      <c r="GXY186" s="16"/>
      <c r="GXZ186" s="16"/>
      <c r="GYA186" s="16"/>
      <c r="GYB186" s="10"/>
      <c r="GYC186" s="10"/>
      <c r="GYJ186" s="3"/>
      <c r="GYL186" s="1"/>
      <c r="GYN186" s="16"/>
      <c r="GYO186" s="16"/>
      <c r="GYP186" s="16"/>
      <c r="GYQ186" s="16"/>
      <c r="GYR186" s="10"/>
      <c r="GYS186" s="10"/>
      <c r="GYZ186" s="3"/>
      <c r="GZB186" s="1"/>
      <c r="GZD186" s="16"/>
      <c r="GZE186" s="16"/>
      <c r="GZF186" s="16"/>
      <c r="GZG186" s="16"/>
      <c r="GZH186" s="10"/>
      <c r="GZI186" s="10"/>
      <c r="GZP186" s="3"/>
      <c r="GZR186" s="1"/>
      <c r="GZT186" s="16"/>
      <c r="GZU186" s="16"/>
      <c r="GZV186" s="16"/>
      <c r="GZW186" s="16"/>
      <c r="GZX186" s="10"/>
      <c r="GZY186" s="10"/>
      <c r="HAF186" s="3"/>
      <c r="HAH186" s="1"/>
      <c r="HAJ186" s="16"/>
      <c r="HAK186" s="16"/>
      <c r="HAL186" s="16"/>
      <c r="HAM186" s="16"/>
      <c r="HAN186" s="10"/>
      <c r="HAO186" s="10"/>
      <c r="HAV186" s="3"/>
      <c r="HAX186" s="1"/>
      <c r="HAZ186" s="16"/>
      <c r="HBA186" s="16"/>
      <c r="HBB186" s="16"/>
      <c r="HBC186" s="16"/>
      <c r="HBD186" s="10"/>
      <c r="HBE186" s="10"/>
      <c r="HBL186" s="3"/>
      <c r="HBN186" s="1"/>
      <c r="HBP186" s="16"/>
      <c r="HBQ186" s="16"/>
      <c r="HBR186" s="16"/>
      <c r="HBS186" s="16"/>
      <c r="HBT186" s="10"/>
      <c r="HBU186" s="10"/>
      <c r="HCB186" s="3"/>
      <c r="HCD186" s="1"/>
      <c r="HCF186" s="16"/>
      <c r="HCG186" s="16"/>
      <c r="HCH186" s="16"/>
      <c r="HCI186" s="16"/>
      <c r="HCJ186" s="10"/>
      <c r="HCK186" s="10"/>
      <c r="HCR186" s="3"/>
      <c r="HCT186" s="1"/>
      <c r="HCV186" s="16"/>
      <c r="HCW186" s="16"/>
      <c r="HCX186" s="16"/>
      <c r="HCY186" s="16"/>
      <c r="HCZ186" s="10"/>
      <c r="HDA186" s="10"/>
      <c r="HDH186" s="3"/>
      <c r="HDJ186" s="1"/>
      <c r="HDL186" s="16"/>
      <c r="HDM186" s="16"/>
      <c r="HDN186" s="16"/>
      <c r="HDO186" s="16"/>
      <c r="HDP186" s="10"/>
      <c r="HDQ186" s="10"/>
      <c r="HDX186" s="3"/>
      <c r="HDZ186" s="1"/>
      <c r="HEB186" s="16"/>
      <c r="HEC186" s="16"/>
      <c r="HED186" s="16"/>
      <c r="HEE186" s="16"/>
      <c r="HEF186" s="10"/>
      <c r="HEG186" s="10"/>
      <c r="HEN186" s="3"/>
      <c r="HEP186" s="1"/>
      <c r="HER186" s="16"/>
      <c r="HES186" s="16"/>
      <c r="HET186" s="16"/>
      <c r="HEU186" s="16"/>
      <c r="HEV186" s="10"/>
      <c r="HEW186" s="10"/>
      <c r="HFD186" s="3"/>
      <c r="HFF186" s="1"/>
      <c r="HFH186" s="16"/>
      <c r="HFI186" s="16"/>
      <c r="HFJ186" s="16"/>
      <c r="HFK186" s="16"/>
      <c r="HFL186" s="10"/>
      <c r="HFM186" s="10"/>
      <c r="HFT186" s="3"/>
      <c r="HFV186" s="1"/>
      <c r="HFX186" s="16"/>
      <c r="HFY186" s="16"/>
      <c r="HFZ186" s="16"/>
      <c r="HGA186" s="16"/>
      <c r="HGB186" s="10"/>
      <c r="HGC186" s="10"/>
      <c r="HGJ186" s="3"/>
      <c r="HGL186" s="1"/>
      <c r="HGN186" s="16"/>
      <c r="HGO186" s="16"/>
      <c r="HGP186" s="16"/>
      <c r="HGQ186" s="16"/>
      <c r="HGR186" s="10"/>
      <c r="HGS186" s="10"/>
      <c r="HGZ186" s="3"/>
      <c r="HHB186" s="1"/>
      <c r="HHD186" s="16"/>
      <c r="HHE186" s="16"/>
      <c r="HHF186" s="16"/>
      <c r="HHG186" s="16"/>
      <c r="HHH186" s="10"/>
      <c r="HHI186" s="10"/>
      <c r="HHP186" s="3"/>
      <c r="HHR186" s="1"/>
      <c r="HHT186" s="16"/>
      <c r="HHU186" s="16"/>
      <c r="HHV186" s="16"/>
      <c r="HHW186" s="16"/>
      <c r="HHX186" s="10"/>
      <c r="HHY186" s="10"/>
      <c r="HIF186" s="3"/>
      <c r="HIH186" s="1"/>
      <c r="HIJ186" s="16"/>
      <c r="HIK186" s="16"/>
      <c r="HIL186" s="16"/>
      <c r="HIM186" s="16"/>
      <c r="HIN186" s="10"/>
      <c r="HIO186" s="10"/>
      <c r="HIV186" s="3"/>
      <c r="HIX186" s="1"/>
      <c r="HIZ186" s="16"/>
      <c r="HJA186" s="16"/>
      <c r="HJB186" s="16"/>
      <c r="HJC186" s="16"/>
      <c r="HJD186" s="10"/>
      <c r="HJE186" s="10"/>
      <c r="HJL186" s="3"/>
      <c r="HJN186" s="1"/>
      <c r="HJP186" s="16"/>
      <c r="HJQ186" s="16"/>
      <c r="HJR186" s="16"/>
      <c r="HJS186" s="16"/>
      <c r="HJT186" s="10"/>
      <c r="HJU186" s="10"/>
      <c r="HKB186" s="3"/>
      <c r="HKD186" s="1"/>
      <c r="HKF186" s="16"/>
      <c r="HKG186" s="16"/>
      <c r="HKH186" s="16"/>
      <c r="HKI186" s="16"/>
      <c r="HKJ186" s="10"/>
      <c r="HKK186" s="10"/>
      <c r="HKR186" s="3"/>
      <c r="HKT186" s="1"/>
      <c r="HKV186" s="16"/>
      <c r="HKW186" s="16"/>
      <c r="HKX186" s="16"/>
      <c r="HKY186" s="16"/>
      <c r="HKZ186" s="10"/>
      <c r="HLA186" s="10"/>
      <c r="HLH186" s="3"/>
      <c r="HLJ186" s="1"/>
      <c r="HLL186" s="16"/>
      <c r="HLM186" s="16"/>
      <c r="HLN186" s="16"/>
      <c r="HLO186" s="16"/>
      <c r="HLP186" s="10"/>
      <c r="HLQ186" s="10"/>
      <c r="HLX186" s="3"/>
      <c r="HLZ186" s="1"/>
      <c r="HMB186" s="16"/>
      <c r="HMC186" s="16"/>
      <c r="HMD186" s="16"/>
      <c r="HME186" s="16"/>
      <c r="HMF186" s="10"/>
      <c r="HMG186" s="10"/>
      <c r="HMN186" s="3"/>
      <c r="HMP186" s="1"/>
      <c r="HMR186" s="16"/>
      <c r="HMS186" s="16"/>
      <c r="HMT186" s="16"/>
      <c r="HMU186" s="16"/>
      <c r="HMV186" s="10"/>
      <c r="HMW186" s="10"/>
      <c r="HND186" s="3"/>
      <c r="HNF186" s="1"/>
      <c r="HNH186" s="16"/>
      <c r="HNI186" s="16"/>
      <c r="HNJ186" s="16"/>
      <c r="HNK186" s="16"/>
      <c r="HNL186" s="10"/>
      <c r="HNM186" s="10"/>
      <c r="HNT186" s="3"/>
      <c r="HNV186" s="1"/>
      <c r="HNX186" s="16"/>
      <c r="HNY186" s="16"/>
      <c r="HNZ186" s="16"/>
      <c r="HOA186" s="16"/>
      <c r="HOB186" s="10"/>
      <c r="HOC186" s="10"/>
      <c r="HOJ186" s="3"/>
      <c r="HOL186" s="1"/>
      <c r="HON186" s="16"/>
      <c r="HOO186" s="16"/>
      <c r="HOP186" s="16"/>
      <c r="HOQ186" s="16"/>
      <c r="HOR186" s="10"/>
      <c r="HOS186" s="10"/>
      <c r="HOZ186" s="3"/>
      <c r="HPB186" s="1"/>
      <c r="HPD186" s="16"/>
      <c r="HPE186" s="16"/>
      <c r="HPF186" s="16"/>
      <c r="HPG186" s="16"/>
      <c r="HPH186" s="10"/>
      <c r="HPI186" s="10"/>
      <c r="HPP186" s="3"/>
      <c r="HPR186" s="1"/>
      <c r="HPT186" s="16"/>
      <c r="HPU186" s="16"/>
      <c r="HPV186" s="16"/>
      <c r="HPW186" s="16"/>
      <c r="HPX186" s="10"/>
      <c r="HPY186" s="10"/>
      <c r="HQF186" s="3"/>
      <c r="HQH186" s="1"/>
      <c r="HQJ186" s="16"/>
      <c r="HQK186" s="16"/>
      <c r="HQL186" s="16"/>
      <c r="HQM186" s="16"/>
      <c r="HQN186" s="10"/>
      <c r="HQO186" s="10"/>
      <c r="HQV186" s="3"/>
      <c r="HQX186" s="1"/>
      <c r="HQZ186" s="16"/>
      <c r="HRA186" s="16"/>
      <c r="HRB186" s="16"/>
      <c r="HRC186" s="16"/>
      <c r="HRD186" s="10"/>
      <c r="HRE186" s="10"/>
      <c r="HRL186" s="3"/>
      <c r="HRN186" s="1"/>
      <c r="HRP186" s="16"/>
      <c r="HRQ186" s="16"/>
      <c r="HRR186" s="16"/>
      <c r="HRS186" s="16"/>
      <c r="HRT186" s="10"/>
      <c r="HRU186" s="10"/>
      <c r="HSB186" s="3"/>
      <c r="HSD186" s="1"/>
      <c r="HSF186" s="16"/>
      <c r="HSG186" s="16"/>
      <c r="HSH186" s="16"/>
      <c r="HSI186" s="16"/>
      <c r="HSJ186" s="10"/>
      <c r="HSK186" s="10"/>
      <c r="HSR186" s="3"/>
      <c r="HST186" s="1"/>
      <c r="HSV186" s="16"/>
      <c r="HSW186" s="16"/>
      <c r="HSX186" s="16"/>
      <c r="HSY186" s="16"/>
      <c r="HSZ186" s="10"/>
      <c r="HTA186" s="10"/>
      <c r="HTH186" s="3"/>
      <c r="HTJ186" s="1"/>
      <c r="HTL186" s="16"/>
      <c r="HTM186" s="16"/>
      <c r="HTN186" s="16"/>
      <c r="HTO186" s="16"/>
      <c r="HTP186" s="10"/>
      <c r="HTQ186" s="10"/>
      <c r="HTX186" s="3"/>
      <c r="HTZ186" s="1"/>
      <c r="HUB186" s="16"/>
      <c r="HUC186" s="16"/>
      <c r="HUD186" s="16"/>
      <c r="HUE186" s="16"/>
      <c r="HUF186" s="10"/>
      <c r="HUG186" s="10"/>
      <c r="HUN186" s="3"/>
      <c r="HUP186" s="1"/>
      <c r="HUR186" s="16"/>
      <c r="HUS186" s="16"/>
      <c r="HUT186" s="16"/>
      <c r="HUU186" s="16"/>
      <c r="HUV186" s="10"/>
      <c r="HUW186" s="10"/>
      <c r="HVD186" s="3"/>
      <c r="HVF186" s="1"/>
      <c r="HVH186" s="16"/>
      <c r="HVI186" s="16"/>
      <c r="HVJ186" s="16"/>
      <c r="HVK186" s="16"/>
      <c r="HVL186" s="10"/>
      <c r="HVM186" s="10"/>
      <c r="HVT186" s="3"/>
      <c r="HVV186" s="1"/>
      <c r="HVX186" s="16"/>
      <c r="HVY186" s="16"/>
      <c r="HVZ186" s="16"/>
      <c r="HWA186" s="16"/>
      <c r="HWB186" s="10"/>
      <c r="HWC186" s="10"/>
      <c r="HWJ186" s="3"/>
      <c r="HWL186" s="1"/>
      <c r="HWN186" s="16"/>
      <c r="HWO186" s="16"/>
      <c r="HWP186" s="16"/>
      <c r="HWQ186" s="16"/>
      <c r="HWR186" s="10"/>
      <c r="HWS186" s="10"/>
      <c r="HWZ186" s="3"/>
      <c r="HXB186" s="1"/>
      <c r="HXD186" s="16"/>
      <c r="HXE186" s="16"/>
      <c r="HXF186" s="16"/>
      <c r="HXG186" s="16"/>
      <c r="HXH186" s="10"/>
      <c r="HXI186" s="10"/>
      <c r="HXP186" s="3"/>
      <c r="HXR186" s="1"/>
      <c r="HXT186" s="16"/>
      <c r="HXU186" s="16"/>
      <c r="HXV186" s="16"/>
      <c r="HXW186" s="16"/>
      <c r="HXX186" s="10"/>
      <c r="HXY186" s="10"/>
      <c r="HYF186" s="3"/>
      <c r="HYH186" s="1"/>
      <c r="HYJ186" s="16"/>
      <c r="HYK186" s="16"/>
      <c r="HYL186" s="16"/>
      <c r="HYM186" s="16"/>
      <c r="HYN186" s="10"/>
      <c r="HYO186" s="10"/>
      <c r="HYV186" s="3"/>
      <c r="HYX186" s="1"/>
      <c r="HYZ186" s="16"/>
      <c r="HZA186" s="16"/>
      <c r="HZB186" s="16"/>
      <c r="HZC186" s="16"/>
      <c r="HZD186" s="10"/>
      <c r="HZE186" s="10"/>
      <c r="HZL186" s="3"/>
      <c r="HZN186" s="1"/>
      <c r="HZP186" s="16"/>
      <c r="HZQ186" s="16"/>
      <c r="HZR186" s="16"/>
      <c r="HZS186" s="16"/>
      <c r="HZT186" s="10"/>
      <c r="HZU186" s="10"/>
      <c r="IAB186" s="3"/>
      <c r="IAD186" s="1"/>
      <c r="IAF186" s="16"/>
      <c r="IAG186" s="16"/>
      <c r="IAH186" s="16"/>
      <c r="IAI186" s="16"/>
      <c r="IAJ186" s="10"/>
      <c r="IAK186" s="10"/>
      <c r="IAR186" s="3"/>
      <c r="IAT186" s="1"/>
      <c r="IAV186" s="16"/>
      <c r="IAW186" s="16"/>
      <c r="IAX186" s="16"/>
      <c r="IAY186" s="16"/>
      <c r="IAZ186" s="10"/>
      <c r="IBA186" s="10"/>
      <c r="IBH186" s="3"/>
      <c r="IBJ186" s="1"/>
      <c r="IBL186" s="16"/>
      <c r="IBM186" s="16"/>
      <c r="IBN186" s="16"/>
      <c r="IBO186" s="16"/>
      <c r="IBP186" s="10"/>
      <c r="IBQ186" s="10"/>
      <c r="IBX186" s="3"/>
      <c r="IBZ186" s="1"/>
      <c r="ICB186" s="16"/>
      <c r="ICC186" s="16"/>
      <c r="ICD186" s="16"/>
      <c r="ICE186" s="16"/>
      <c r="ICF186" s="10"/>
      <c r="ICG186" s="10"/>
      <c r="ICN186" s="3"/>
      <c r="ICP186" s="1"/>
      <c r="ICR186" s="16"/>
      <c r="ICS186" s="16"/>
      <c r="ICT186" s="16"/>
      <c r="ICU186" s="16"/>
      <c r="ICV186" s="10"/>
      <c r="ICW186" s="10"/>
      <c r="IDD186" s="3"/>
      <c r="IDF186" s="1"/>
      <c r="IDH186" s="16"/>
      <c r="IDI186" s="16"/>
      <c r="IDJ186" s="16"/>
      <c r="IDK186" s="16"/>
      <c r="IDL186" s="10"/>
      <c r="IDM186" s="10"/>
      <c r="IDT186" s="3"/>
      <c r="IDV186" s="1"/>
      <c r="IDX186" s="16"/>
      <c r="IDY186" s="16"/>
      <c r="IDZ186" s="16"/>
      <c r="IEA186" s="16"/>
      <c r="IEB186" s="10"/>
      <c r="IEC186" s="10"/>
      <c r="IEJ186" s="3"/>
      <c r="IEL186" s="1"/>
      <c r="IEN186" s="16"/>
      <c r="IEO186" s="16"/>
      <c r="IEP186" s="16"/>
      <c r="IEQ186" s="16"/>
      <c r="IER186" s="10"/>
      <c r="IES186" s="10"/>
      <c r="IEZ186" s="3"/>
      <c r="IFB186" s="1"/>
      <c r="IFD186" s="16"/>
      <c r="IFE186" s="16"/>
      <c r="IFF186" s="16"/>
      <c r="IFG186" s="16"/>
      <c r="IFH186" s="10"/>
      <c r="IFI186" s="10"/>
      <c r="IFP186" s="3"/>
      <c r="IFR186" s="1"/>
      <c r="IFT186" s="16"/>
      <c r="IFU186" s="16"/>
      <c r="IFV186" s="16"/>
      <c r="IFW186" s="16"/>
      <c r="IFX186" s="10"/>
      <c r="IFY186" s="10"/>
      <c r="IGF186" s="3"/>
      <c r="IGH186" s="1"/>
      <c r="IGJ186" s="16"/>
      <c r="IGK186" s="16"/>
      <c r="IGL186" s="16"/>
      <c r="IGM186" s="16"/>
      <c r="IGN186" s="10"/>
      <c r="IGO186" s="10"/>
      <c r="IGV186" s="3"/>
      <c r="IGX186" s="1"/>
      <c r="IGZ186" s="16"/>
      <c r="IHA186" s="16"/>
      <c r="IHB186" s="16"/>
      <c r="IHC186" s="16"/>
      <c r="IHD186" s="10"/>
      <c r="IHE186" s="10"/>
      <c r="IHL186" s="3"/>
      <c r="IHN186" s="1"/>
      <c r="IHP186" s="16"/>
      <c r="IHQ186" s="16"/>
      <c r="IHR186" s="16"/>
      <c r="IHS186" s="16"/>
      <c r="IHT186" s="10"/>
      <c r="IHU186" s="10"/>
      <c r="IIB186" s="3"/>
      <c r="IID186" s="1"/>
      <c r="IIF186" s="16"/>
      <c r="IIG186" s="16"/>
      <c r="IIH186" s="16"/>
      <c r="III186" s="16"/>
      <c r="IIJ186" s="10"/>
      <c r="IIK186" s="10"/>
      <c r="IIR186" s="3"/>
      <c r="IIT186" s="1"/>
      <c r="IIV186" s="16"/>
      <c r="IIW186" s="16"/>
      <c r="IIX186" s="16"/>
      <c r="IIY186" s="16"/>
      <c r="IIZ186" s="10"/>
      <c r="IJA186" s="10"/>
      <c r="IJH186" s="3"/>
      <c r="IJJ186" s="1"/>
      <c r="IJL186" s="16"/>
      <c r="IJM186" s="16"/>
      <c r="IJN186" s="16"/>
      <c r="IJO186" s="16"/>
      <c r="IJP186" s="10"/>
      <c r="IJQ186" s="10"/>
      <c r="IJX186" s="3"/>
      <c r="IJZ186" s="1"/>
      <c r="IKB186" s="16"/>
      <c r="IKC186" s="16"/>
      <c r="IKD186" s="16"/>
      <c r="IKE186" s="16"/>
      <c r="IKF186" s="10"/>
      <c r="IKG186" s="10"/>
      <c r="IKN186" s="3"/>
      <c r="IKP186" s="1"/>
      <c r="IKR186" s="16"/>
      <c r="IKS186" s="16"/>
      <c r="IKT186" s="16"/>
      <c r="IKU186" s="16"/>
      <c r="IKV186" s="10"/>
      <c r="IKW186" s="10"/>
      <c r="ILD186" s="3"/>
      <c r="ILF186" s="1"/>
      <c r="ILH186" s="16"/>
      <c r="ILI186" s="16"/>
      <c r="ILJ186" s="16"/>
      <c r="ILK186" s="16"/>
      <c r="ILL186" s="10"/>
      <c r="ILM186" s="10"/>
      <c r="ILT186" s="3"/>
      <c r="ILV186" s="1"/>
      <c r="ILX186" s="16"/>
      <c r="ILY186" s="16"/>
      <c r="ILZ186" s="16"/>
      <c r="IMA186" s="16"/>
      <c r="IMB186" s="10"/>
      <c r="IMC186" s="10"/>
      <c r="IMJ186" s="3"/>
      <c r="IML186" s="1"/>
      <c r="IMN186" s="16"/>
      <c r="IMO186" s="16"/>
      <c r="IMP186" s="16"/>
      <c r="IMQ186" s="16"/>
      <c r="IMR186" s="10"/>
      <c r="IMS186" s="10"/>
      <c r="IMZ186" s="3"/>
      <c r="INB186" s="1"/>
      <c r="IND186" s="16"/>
      <c r="INE186" s="16"/>
      <c r="INF186" s="16"/>
      <c r="ING186" s="16"/>
      <c r="INH186" s="10"/>
      <c r="INI186" s="10"/>
      <c r="INP186" s="3"/>
      <c r="INR186" s="1"/>
      <c r="INT186" s="16"/>
      <c r="INU186" s="16"/>
      <c r="INV186" s="16"/>
      <c r="INW186" s="16"/>
      <c r="INX186" s="10"/>
      <c r="INY186" s="10"/>
      <c r="IOF186" s="3"/>
      <c r="IOH186" s="1"/>
      <c r="IOJ186" s="16"/>
      <c r="IOK186" s="16"/>
      <c r="IOL186" s="16"/>
      <c r="IOM186" s="16"/>
      <c r="ION186" s="10"/>
      <c r="IOO186" s="10"/>
      <c r="IOV186" s="3"/>
      <c r="IOX186" s="1"/>
      <c r="IOZ186" s="16"/>
      <c r="IPA186" s="16"/>
      <c r="IPB186" s="16"/>
      <c r="IPC186" s="16"/>
      <c r="IPD186" s="10"/>
      <c r="IPE186" s="10"/>
      <c r="IPL186" s="3"/>
      <c r="IPN186" s="1"/>
      <c r="IPP186" s="16"/>
      <c r="IPQ186" s="16"/>
      <c r="IPR186" s="16"/>
      <c r="IPS186" s="16"/>
      <c r="IPT186" s="10"/>
      <c r="IPU186" s="10"/>
      <c r="IQB186" s="3"/>
      <c r="IQD186" s="1"/>
      <c r="IQF186" s="16"/>
      <c r="IQG186" s="16"/>
      <c r="IQH186" s="16"/>
      <c r="IQI186" s="16"/>
      <c r="IQJ186" s="10"/>
      <c r="IQK186" s="10"/>
      <c r="IQR186" s="3"/>
      <c r="IQT186" s="1"/>
      <c r="IQV186" s="16"/>
      <c r="IQW186" s="16"/>
      <c r="IQX186" s="16"/>
      <c r="IQY186" s="16"/>
      <c r="IQZ186" s="10"/>
      <c r="IRA186" s="10"/>
      <c r="IRH186" s="3"/>
      <c r="IRJ186" s="1"/>
      <c r="IRL186" s="16"/>
      <c r="IRM186" s="16"/>
      <c r="IRN186" s="16"/>
      <c r="IRO186" s="16"/>
      <c r="IRP186" s="10"/>
      <c r="IRQ186" s="10"/>
      <c r="IRX186" s="3"/>
      <c r="IRZ186" s="1"/>
      <c r="ISB186" s="16"/>
      <c r="ISC186" s="16"/>
      <c r="ISD186" s="16"/>
      <c r="ISE186" s="16"/>
      <c r="ISF186" s="10"/>
      <c r="ISG186" s="10"/>
      <c r="ISN186" s="3"/>
      <c r="ISP186" s="1"/>
      <c r="ISR186" s="16"/>
      <c r="ISS186" s="16"/>
      <c r="IST186" s="16"/>
      <c r="ISU186" s="16"/>
      <c r="ISV186" s="10"/>
      <c r="ISW186" s="10"/>
      <c r="ITD186" s="3"/>
      <c r="ITF186" s="1"/>
      <c r="ITH186" s="16"/>
      <c r="ITI186" s="16"/>
      <c r="ITJ186" s="16"/>
      <c r="ITK186" s="16"/>
      <c r="ITL186" s="10"/>
      <c r="ITM186" s="10"/>
      <c r="ITT186" s="3"/>
      <c r="ITV186" s="1"/>
      <c r="ITX186" s="16"/>
      <c r="ITY186" s="16"/>
      <c r="ITZ186" s="16"/>
      <c r="IUA186" s="16"/>
      <c r="IUB186" s="10"/>
      <c r="IUC186" s="10"/>
      <c r="IUJ186" s="3"/>
      <c r="IUL186" s="1"/>
      <c r="IUN186" s="16"/>
      <c r="IUO186" s="16"/>
      <c r="IUP186" s="16"/>
      <c r="IUQ186" s="16"/>
      <c r="IUR186" s="10"/>
      <c r="IUS186" s="10"/>
      <c r="IUZ186" s="3"/>
      <c r="IVB186" s="1"/>
      <c r="IVD186" s="16"/>
      <c r="IVE186" s="16"/>
      <c r="IVF186" s="16"/>
      <c r="IVG186" s="16"/>
      <c r="IVH186" s="10"/>
      <c r="IVI186" s="10"/>
      <c r="IVP186" s="3"/>
      <c r="IVR186" s="1"/>
      <c r="IVT186" s="16"/>
      <c r="IVU186" s="16"/>
      <c r="IVV186" s="16"/>
      <c r="IVW186" s="16"/>
      <c r="IVX186" s="10"/>
      <c r="IVY186" s="10"/>
      <c r="IWF186" s="3"/>
      <c r="IWH186" s="1"/>
      <c r="IWJ186" s="16"/>
      <c r="IWK186" s="16"/>
      <c r="IWL186" s="16"/>
      <c r="IWM186" s="16"/>
      <c r="IWN186" s="10"/>
      <c r="IWO186" s="10"/>
      <c r="IWV186" s="3"/>
      <c r="IWX186" s="1"/>
      <c r="IWZ186" s="16"/>
      <c r="IXA186" s="16"/>
      <c r="IXB186" s="16"/>
      <c r="IXC186" s="16"/>
      <c r="IXD186" s="10"/>
      <c r="IXE186" s="10"/>
      <c r="IXL186" s="3"/>
      <c r="IXN186" s="1"/>
      <c r="IXP186" s="16"/>
      <c r="IXQ186" s="16"/>
      <c r="IXR186" s="16"/>
      <c r="IXS186" s="16"/>
      <c r="IXT186" s="10"/>
      <c r="IXU186" s="10"/>
      <c r="IYB186" s="3"/>
      <c r="IYD186" s="1"/>
      <c r="IYF186" s="16"/>
      <c r="IYG186" s="16"/>
      <c r="IYH186" s="16"/>
      <c r="IYI186" s="16"/>
      <c r="IYJ186" s="10"/>
      <c r="IYK186" s="10"/>
      <c r="IYR186" s="3"/>
      <c r="IYT186" s="1"/>
      <c r="IYV186" s="16"/>
      <c r="IYW186" s="16"/>
      <c r="IYX186" s="16"/>
      <c r="IYY186" s="16"/>
      <c r="IYZ186" s="10"/>
      <c r="IZA186" s="10"/>
      <c r="IZH186" s="3"/>
      <c r="IZJ186" s="1"/>
      <c r="IZL186" s="16"/>
      <c r="IZM186" s="16"/>
      <c r="IZN186" s="16"/>
      <c r="IZO186" s="16"/>
      <c r="IZP186" s="10"/>
      <c r="IZQ186" s="10"/>
      <c r="IZX186" s="3"/>
      <c r="IZZ186" s="1"/>
      <c r="JAB186" s="16"/>
      <c r="JAC186" s="16"/>
      <c r="JAD186" s="16"/>
      <c r="JAE186" s="16"/>
      <c r="JAF186" s="10"/>
      <c r="JAG186" s="10"/>
      <c r="JAN186" s="3"/>
      <c r="JAP186" s="1"/>
      <c r="JAR186" s="16"/>
      <c r="JAS186" s="16"/>
      <c r="JAT186" s="16"/>
      <c r="JAU186" s="16"/>
      <c r="JAV186" s="10"/>
      <c r="JAW186" s="10"/>
      <c r="JBD186" s="3"/>
      <c r="JBF186" s="1"/>
      <c r="JBH186" s="16"/>
      <c r="JBI186" s="16"/>
      <c r="JBJ186" s="16"/>
      <c r="JBK186" s="16"/>
      <c r="JBL186" s="10"/>
      <c r="JBM186" s="10"/>
      <c r="JBT186" s="3"/>
      <c r="JBV186" s="1"/>
      <c r="JBX186" s="16"/>
      <c r="JBY186" s="16"/>
      <c r="JBZ186" s="16"/>
      <c r="JCA186" s="16"/>
      <c r="JCB186" s="10"/>
      <c r="JCC186" s="10"/>
      <c r="JCJ186" s="3"/>
      <c r="JCL186" s="1"/>
      <c r="JCN186" s="16"/>
      <c r="JCO186" s="16"/>
      <c r="JCP186" s="16"/>
      <c r="JCQ186" s="16"/>
      <c r="JCR186" s="10"/>
      <c r="JCS186" s="10"/>
      <c r="JCZ186" s="3"/>
      <c r="JDB186" s="1"/>
      <c r="JDD186" s="16"/>
      <c r="JDE186" s="16"/>
      <c r="JDF186" s="16"/>
      <c r="JDG186" s="16"/>
      <c r="JDH186" s="10"/>
      <c r="JDI186" s="10"/>
      <c r="JDP186" s="3"/>
      <c r="JDR186" s="1"/>
      <c r="JDT186" s="16"/>
      <c r="JDU186" s="16"/>
      <c r="JDV186" s="16"/>
      <c r="JDW186" s="16"/>
      <c r="JDX186" s="10"/>
      <c r="JDY186" s="10"/>
      <c r="JEF186" s="3"/>
      <c r="JEH186" s="1"/>
      <c r="JEJ186" s="16"/>
      <c r="JEK186" s="16"/>
      <c r="JEL186" s="16"/>
      <c r="JEM186" s="16"/>
      <c r="JEN186" s="10"/>
      <c r="JEO186" s="10"/>
      <c r="JEV186" s="3"/>
      <c r="JEX186" s="1"/>
      <c r="JEZ186" s="16"/>
      <c r="JFA186" s="16"/>
      <c r="JFB186" s="16"/>
      <c r="JFC186" s="16"/>
      <c r="JFD186" s="10"/>
      <c r="JFE186" s="10"/>
      <c r="JFL186" s="3"/>
      <c r="JFN186" s="1"/>
      <c r="JFP186" s="16"/>
      <c r="JFQ186" s="16"/>
      <c r="JFR186" s="16"/>
      <c r="JFS186" s="16"/>
      <c r="JFT186" s="10"/>
      <c r="JFU186" s="10"/>
      <c r="JGB186" s="3"/>
      <c r="JGD186" s="1"/>
      <c r="JGF186" s="16"/>
      <c r="JGG186" s="16"/>
      <c r="JGH186" s="16"/>
      <c r="JGI186" s="16"/>
      <c r="JGJ186" s="10"/>
      <c r="JGK186" s="10"/>
      <c r="JGR186" s="3"/>
      <c r="JGT186" s="1"/>
      <c r="JGV186" s="16"/>
      <c r="JGW186" s="16"/>
      <c r="JGX186" s="16"/>
      <c r="JGY186" s="16"/>
      <c r="JGZ186" s="10"/>
      <c r="JHA186" s="10"/>
      <c r="JHH186" s="3"/>
      <c r="JHJ186" s="1"/>
      <c r="JHL186" s="16"/>
      <c r="JHM186" s="16"/>
      <c r="JHN186" s="16"/>
      <c r="JHO186" s="16"/>
      <c r="JHP186" s="10"/>
      <c r="JHQ186" s="10"/>
      <c r="JHX186" s="3"/>
      <c r="JHZ186" s="1"/>
      <c r="JIB186" s="16"/>
      <c r="JIC186" s="16"/>
      <c r="JID186" s="16"/>
      <c r="JIE186" s="16"/>
      <c r="JIF186" s="10"/>
      <c r="JIG186" s="10"/>
      <c r="JIN186" s="3"/>
      <c r="JIP186" s="1"/>
      <c r="JIR186" s="16"/>
      <c r="JIS186" s="16"/>
      <c r="JIT186" s="16"/>
      <c r="JIU186" s="16"/>
      <c r="JIV186" s="10"/>
      <c r="JIW186" s="10"/>
      <c r="JJD186" s="3"/>
      <c r="JJF186" s="1"/>
      <c r="JJH186" s="16"/>
      <c r="JJI186" s="16"/>
      <c r="JJJ186" s="16"/>
      <c r="JJK186" s="16"/>
      <c r="JJL186" s="10"/>
      <c r="JJM186" s="10"/>
      <c r="JJT186" s="3"/>
      <c r="JJV186" s="1"/>
      <c r="JJX186" s="16"/>
      <c r="JJY186" s="16"/>
      <c r="JJZ186" s="16"/>
      <c r="JKA186" s="16"/>
      <c r="JKB186" s="10"/>
      <c r="JKC186" s="10"/>
      <c r="JKJ186" s="3"/>
      <c r="JKL186" s="1"/>
      <c r="JKN186" s="16"/>
      <c r="JKO186" s="16"/>
      <c r="JKP186" s="16"/>
      <c r="JKQ186" s="16"/>
      <c r="JKR186" s="10"/>
      <c r="JKS186" s="10"/>
      <c r="JKZ186" s="3"/>
      <c r="JLB186" s="1"/>
      <c r="JLD186" s="16"/>
      <c r="JLE186" s="16"/>
      <c r="JLF186" s="16"/>
      <c r="JLG186" s="16"/>
      <c r="JLH186" s="10"/>
      <c r="JLI186" s="10"/>
      <c r="JLP186" s="3"/>
      <c r="JLR186" s="1"/>
      <c r="JLT186" s="16"/>
      <c r="JLU186" s="16"/>
      <c r="JLV186" s="16"/>
      <c r="JLW186" s="16"/>
      <c r="JLX186" s="10"/>
      <c r="JLY186" s="10"/>
      <c r="JMF186" s="3"/>
      <c r="JMH186" s="1"/>
      <c r="JMJ186" s="16"/>
      <c r="JMK186" s="16"/>
      <c r="JML186" s="16"/>
      <c r="JMM186" s="16"/>
      <c r="JMN186" s="10"/>
      <c r="JMO186" s="10"/>
      <c r="JMV186" s="3"/>
      <c r="JMX186" s="1"/>
      <c r="JMZ186" s="16"/>
      <c r="JNA186" s="16"/>
      <c r="JNB186" s="16"/>
      <c r="JNC186" s="16"/>
      <c r="JND186" s="10"/>
      <c r="JNE186" s="10"/>
      <c r="JNL186" s="3"/>
      <c r="JNN186" s="1"/>
      <c r="JNP186" s="16"/>
      <c r="JNQ186" s="16"/>
      <c r="JNR186" s="16"/>
      <c r="JNS186" s="16"/>
      <c r="JNT186" s="10"/>
      <c r="JNU186" s="10"/>
      <c r="JOB186" s="3"/>
      <c r="JOD186" s="1"/>
      <c r="JOF186" s="16"/>
      <c r="JOG186" s="16"/>
      <c r="JOH186" s="16"/>
      <c r="JOI186" s="16"/>
      <c r="JOJ186" s="10"/>
      <c r="JOK186" s="10"/>
      <c r="JOR186" s="3"/>
      <c r="JOT186" s="1"/>
      <c r="JOV186" s="16"/>
      <c r="JOW186" s="16"/>
      <c r="JOX186" s="16"/>
      <c r="JOY186" s="16"/>
      <c r="JOZ186" s="10"/>
      <c r="JPA186" s="10"/>
      <c r="JPH186" s="3"/>
      <c r="JPJ186" s="1"/>
      <c r="JPL186" s="16"/>
      <c r="JPM186" s="16"/>
      <c r="JPN186" s="16"/>
      <c r="JPO186" s="16"/>
      <c r="JPP186" s="10"/>
      <c r="JPQ186" s="10"/>
      <c r="JPX186" s="3"/>
      <c r="JPZ186" s="1"/>
      <c r="JQB186" s="16"/>
      <c r="JQC186" s="16"/>
      <c r="JQD186" s="16"/>
      <c r="JQE186" s="16"/>
      <c r="JQF186" s="10"/>
      <c r="JQG186" s="10"/>
      <c r="JQN186" s="3"/>
      <c r="JQP186" s="1"/>
      <c r="JQR186" s="16"/>
      <c r="JQS186" s="16"/>
      <c r="JQT186" s="16"/>
      <c r="JQU186" s="16"/>
      <c r="JQV186" s="10"/>
      <c r="JQW186" s="10"/>
      <c r="JRD186" s="3"/>
      <c r="JRF186" s="1"/>
      <c r="JRH186" s="16"/>
      <c r="JRI186" s="16"/>
      <c r="JRJ186" s="16"/>
      <c r="JRK186" s="16"/>
      <c r="JRL186" s="10"/>
      <c r="JRM186" s="10"/>
      <c r="JRT186" s="3"/>
      <c r="JRV186" s="1"/>
      <c r="JRX186" s="16"/>
      <c r="JRY186" s="16"/>
      <c r="JRZ186" s="16"/>
      <c r="JSA186" s="16"/>
      <c r="JSB186" s="10"/>
      <c r="JSC186" s="10"/>
      <c r="JSJ186" s="3"/>
      <c r="JSL186" s="1"/>
      <c r="JSN186" s="16"/>
      <c r="JSO186" s="16"/>
      <c r="JSP186" s="16"/>
      <c r="JSQ186" s="16"/>
      <c r="JSR186" s="10"/>
      <c r="JSS186" s="10"/>
      <c r="JSZ186" s="3"/>
      <c r="JTB186" s="1"/>
      <c r="JTD186" s="16"/>
      <c r="JTE186" s="16"/>
      <c r="JTF186" s="16"/>
      <c r="JTG186" s="16"/>
      <c r="JTH186" s="10"/>
      <c r="JTI186" s="10"/>
      <c r="JTP186" s="3"/>
      <c r="JTR186" s="1"/>
      <c r="JTT186" s="16"/>
      <c r="JTU186" s="16"/>
      <c r="JTV186" s="16"/>
      <c r="JTW186" s="16"/>
      <c r="JTX186" s="10"/>
      <c r="JTY186" s="10"/>
      <c r="JUF186" s="3"/>
      <c r="JUH186" s="1"/>
      <c r="JUJ186" s="16"/>
      <c r="JUK186" s="16"/>
      <c r="JUL186" s="16"/>
      <c r="JUM186" s="16"/>
      <c r="JUN186" s="10"/>
      <c r="JUO186" s="10"/>
      <c r="JUV186" s="3"/>
      <c r="JUX186" s="1"/>
      <c r="JUZ186" s="16"/>
      <c r="JVA186" s="16"/>
      <c r="JVB186" s="16"/>
      <c r="JVC186" s="16"/>
      <c r="JVD186" s="10"/>
      <c r="JVE186" s="10"/>
      <c r="JVL186" s="3"/>
      <c r="JVN186" s="1"/>
      <c r="JVP186" s="16"/>
      <c r="JVQ186" s="16"/>
      <c r="JVR186" s="16"/>
      <c r="JVS186" s="16"/>
      <c r="JVT186" s="10"/>
      <c r="JVU186" s="10"/>
      <c r="JWB186" s="3"/>
      <c r="JWD186" s="1"/>
      <c r="JWF186" s="16"/>
      <c r="JWG186" s="16"/>
      <c r="JWH186" s="16"/>
      <c r="JWI186" s="16"/>
      <c r="JWJ186" s="10"/>
      <c r="JWK186" s="10"/>
      <c r="JWR186" s="3"/>
      <c r="JWT186" s="1"/>
      <c r="JWV186" s="16"/>
      <c r="JWW186" s="16"/>
      <c r="JWX186" s="16"/>
      <c r="JWY186" s="16"/>
      <c r="JWZ186" s="10"/>
      <c r="JXA186" s="10"/>
      <c r="JXH186" s="3"/>
      <c r="JXJ186" s="1"/>
      <c r="JXL186" s="16"/>
      <c r="JXM186" s="16"/>
      <c r="JXN186" s="16"/>
      <c r="JXO186" s="16"/>
      <c r="JXP186" s="10"/>
      <c r="JXQ186" s="10"/>
      <c r="JXX186" s="3"/>
      <c r="JXZ186" s="1"/>
      <c r="JYB186" s="16"/>
      <c r="JYC186" s="16"/>
      <c r="JYD186" s="16"/>
      <c r="JYE186" s="16"/>
      <c r="JYF186" s="10"/>
      <c r="JYG186" s="10"/>
      <c r="JYN186" s="3"/>
      <c r="JYP186" s="1"/>
      <c r="JYR186" s="16"/>
      <c r="JYS186" s="16"/>
      <c r="JYT186" s="16"/>
      <c r="JYU186" s="16"/>
      <c r="JYV186" s="10"/>
      <c r="JYW186" s="10"/>
      <c r="JZD186" s="3"/>
      <c r="JZF186" s="1"/>
      <c r="JZH186" s="16"/>
      <c r="JZI186" s="16"/>
      <c r="JZJ186" s="16"/>
      <c r="JZK186" s="16"/>
      <c r="JZL186" s="10"/>
      <c r="JZM186" s="10"/>
      <c r="JZT186" s="3"/>
      <c r="JZV186" s="1"/>
      <c r="JZX186" s="16"/>
      <c r="JZY186" s="16"/>
      <c r="JZZ186" s="16"/>
      <c r="KAA186" s="16"/>
      <c r="KAB186" s="10"/>
      <c r="KAC186" s="10"/>
      <c r="KAJ186" s="3"/>
      <c r="KAL186" s="1"/>
      <c r="KAN186" s="16"/>
      <c r="KAO186" s="16"/>
      <c r="KAP186" s="16"/>
      <c r="KAQ186" s="16"/>
      <c r="KAR186" s="10"/>
      <c r="KAS186" s="10"/>
      <c r="KAZ186" s="3"/>
      <c r="KBB186" s="1"/>
      <c r="KBD186" s="16"/>
      <c r="KBE186" s="16"/>
      <c r="KBF186" s="16"/>
      <c r="KBG186" s="16"/>
      <c r="KBH186" s="10"/>
      <c r="KBI186" s="10"/>
      <c r="KBP186" s="3"/>
      <c r="KBR186" s="1"/>
      <c r="KBT186" s="16"/>
      <c r="KBU186" s="16"/>
      <c r="KBV186" s="16"/>
      <c r="KBW186" s="16"/>
      <c r="KBX186" s="10"/>
      <c r="KBY186" s="10"/>
      <c r="KCF186" s="3"/>
      <c r="KCH186" s="1"/>
      <c r="KCJ186" s="16"/>
      <c r="KCK186" s="16"/>
      <c r="KCL186" s="16"/>
      <c r="KCM186" s="16"/>
      <c r="KCN186" s="10"/>
      <c r="KCO186" s="10"/>
      <c r="KCV186" s="3"/>
      <c r="KCX186" s="1"/>
      <c r="KCZ186" s="16"/>
      <c r="KDA186" s="16"/>
      <c r="KDB186" s="16"/>
      <c r="KDC186" s="16"/>
      <c r="KDD186" s="10"/>
      <c r="KDE186" s="10"/>
      <c r="KDL186" s="3"/>
      <c r="KDN186" s="1"/>
      <c r="KDP186" s="16"/>
      <c r="KDQ186" s="16"/>
      <c r="KDR186" s="16"/>
      <c r="KDS186" s="16"/>
      <c r="KDT186" s="10"/>
      <c r="KDU186" s="10"/>
      <c r="KEB186" s="3"/>
      <c r="KED186" s="1"/>
      <c r="KEF186" s="16"/>
      <c r="KEG186" s="16"/>
      <c r="KEH186" s="16"/>
      <c r="KEI186" s="16"/>
      <c r="KEJ186" s="10"/>
      <c r="KEK186" s="10"/>
      <c r="KER186" s="3"/>
      <c r="KET186" s="1"/>
      <c r="KEV186" s="16"/>
      <c r="KEW186" s="16"/>
      <c r="KEX186" s="16"/>
      <c r="KEY186" s="16"/>
      <c r="KEZ186" s="10"/>
      <c r="KFA186" s="10"/>
      <c r="KFH186" s="3"/>
      <c r="KFJ186" s="1"/>
      <c r="KFL186" s="16"/>
      <c r="KFM186" s="16"/>
      <c r="KFN186" s="16"/>
      <c r="KFO186" s="16"/>
      <c r="KFP186" s="10"/>
      <c r="KFQ186" s="10"/>
      <c r="KFX186" s="3"/>
      <c r="KFZ186" s="1"/>
      <c r="KGB186" s="16"/>
      <c r="KGC186" s="16"/>
      <c r="KGD186" s="16"/>
      <c r="KGE186" s="16"/>
      <c r="KGF186" s="10"/>
      <c r="KGG186" s="10"/>
      <c r="KGN186" s="3"/>
      <c r="KGP186" s="1"/>
      <c r="KGR186" s="16"/>
      <c r="KGS186" s="16"/>
      <c r="KGT186" s="16"/>
      <c r="KGU186" s="16"/>
      <c r="KGV186" s="10"/>
      <c r="KGW186" s="10"/>
      <c r="KHD186" s="3"/>
      <c r="KHF186" s="1"/>
      <c r="KHH186" s="16"/>
      <c r="KHI186" s="16"/>
      <c r="KHJ186" s="16"/>
      <c r="KHK186" s="16"/>
      <c r="KHL186" s="10"/>
      <c r="KHM186" s="10"/>
      <c r="KHT186" s="3"/>
      <c r="KHV186" s="1"/>
      <c r="KHX186" s="16"/>
      <c r="KHY186" s="16"/>
      <c r="KHZ186" s="16"/>
      <c r="KIA186" s="16"/>
      <c r="KIB186" s="10"/>
      <c r="KIC186" s="10"/>
      <c r="KIJ186" s="3"/>
      <c r="KIL186" s="1"/>
      <c r="KIN186" s="16"/>
      <c r="KIO186" s="16"/>
      <c r="KIP186" s="16"/>
      <c r="KIQ186" s="16"/>
      <c r="KIR186" s="10"/>
      <c r="KIS186" s="10"/>
      <c r="KIZ186" s="3"/>
      <c r="KJB186" s="1"/>
      <c r="KJD186" s="16"/>
      <c r="KJE186" s="16"/>
      <c r="KJF186" s="16"/>
      <c r="KJG186" s="16"/>
      <c r="KJH186" s="10"/>
      <c r="KJI186" s="10"/>
      <c r="KJP186" s="3"/>
      <c r="KJR186" s="1"/>
      <c r="KJT186" s="16"/>
      <c r="KJU186" s="16"/>
      <c r="KJV186" s="16"/>
      <c r="KJW186" s="16"/>
      <c r="KJX186" s="10"/>
      <c r="KJY186" s="10"/>
      <c r="KKF186" s="3"/>
      <c r="KKH186" s="1"/>
      <c r="KKJ186" s="16"/>
      <c r="KKK186" s="16"/>
      <c r="KKL186" s="16"/>
      <c r="KKM186" s="16"/>
      <c r="KKN186" s="10"/>
      <c r="KKO186" s="10"/>
      <c r="KKV186" s="3"/>
      <c r="KKX186" s="1"/>
      <c r="KKZ186" s="16"/>
      <c r="KLA186" s="16"/>
      <c r="KLB186" s="16"/>
      <c r="KLC186" s="16"/>
      <c r="KLD186" s="10"/>
      <c r="KLE186" s="10"/>
      <c r="KLL186" s="3"/>
      <c r="KLN186" s="1"/>
      <c r="KLP186" s="16"/>
      <c r="KLQ186" s="16"/>
      <c r="KLR186" s="16"/>
      <c r="KLS186" s="16"/>
      <c r="KLT186" s="10"/>
      <c r="KLU186" s="10"/>
      <c r="KMB186" s="3"/>
      <c r="KMD186" s="1"/>
      <c r="KMF186" s="16"/>
      <c r="KMG186" s="16"/>
      <c r="KMH186" s="16"/>
      <c r="KMI186" s="16"/>
      <c r="KMJ186" s="10"/>
      <c r="KMK186" s="10"/>
      <c r="KMR186" s="3"/>
      <c r="KMT186" s="1"/>
      <c r="KMV186" s="16"/>
      <c r="KMW186" s="16"/>
      <c r="KMX186" s="16"/>
      <c r="KMY186" s="16"/>
      <c r="KMZ186" s="10"/>
      <c r="KNA186" s="10"/>
      <c r="KNH186" s="3"/>
      <c r="KNJ186" s="1"/>
      <c r="KNL186" s="16"/>
      <c r="KNM186" s="16"/>
      <c r="KNN186" s="16"/>
      <c r="KNO186" s="16"/>
      <c r="KNP186" s="10"/>
      <c r="KNQ186" s="10"/>
      <c r="KNX186" s="3"/>
      <c r="KNZ186" s="1"/>
      <c r="KOB186" s="16"/>
      <c r="KOC186" s="16"/>
      <c r="KOD186" s="16"/>
      <c r="KOE186" s="16"/>
      <c r="KOF186" s="10"/>
      <c r="KOG186" s="10"/>
      <c r="KON186" s="3"/>
      <c r="KOP186" s="1"/>
      <c r="KOR186" s="16"/>
      <c r="KOS186" s="16"/>
      <c r="KOT186" s="16"/>
      <c r="KOU186" s="16"/>
      <c r="KOV186" s="10"/>
      <c r="KOW186" s="10"/>
      <c r="KPD186" s="3"/>
      <c r="KPF186" s="1"/>
      <c r="KPH186" s="16"/>
      <c r="KPI186" s="16"/>
      <c r="KPJ186" s="16"/>
      <c r="KPK186" s="16"/>
      <c r="KPL186" s="10"/>
      <c r="KPM186" s="10"/>
      <c r="KPT186" s="3"/>
      <c r="KPV186" s="1"/>
      <c r="KPX186" s="16"/>
      <c r="KPY186" s="16"/>
      <c r="KPZ186" s="16"/>
      <c r="KQA186" s="16"/>
      <c r="KQB186" s="10"/>
      <c r="KQC186" s="10"/>
      <c r="KQJ186" s="3"/>
      <c r="KQL186" s="1"/>
      <c r="KQN186" s="16"/>
      <c r="KQO186" s="16"/>
      <c r="KQP186" s="16"/>
      <c r="KQQ186" s="16"/>
      <c r="KQR186" s="10"/>
      <c r="KQS186" s="10"/>
      <c r="KQZ186" s="3"/>
      <c r="KRB186" s="1"/>
      <c r="KRD186" s="16"/>
      <c r="KRE186" s="16"/>
      <c r="KRF186" s="16"/>
      <c r="KRG186" s="16"/>
      <c r="KRH186" s="10"/>
      <c r="KRI186" s="10"/>
      <c r="KRP186" s="3"/>
      <c r="KRR186" s="1"/>
      <c r="KRT186" s="16"/>
      <c r="KRU186" s="16"/>
      <c r="KRV186" s="16"/>
      <c r="KRW186" s="16"/>
      <c r="KRX186" s="10"/>
      <c r="KRY186" s="10"/>
      <c r="KSF186" s="3"/>
      <c r="KSH186" s="1"/>
      <c r="KSJ186" s="16"/>
      <c r="KSK186" s="16"/>
      <c r="KSL186" s="16"/>
      <c r="KSM186" s="16"/>
      <c r="KSN186" s="10"/>
      <c r="KSO186" s="10"/>
      <c r="KSV186" s="3"/>
      <c r="KSX186" s="1"/>
      <c r="KSZ186" s="16"/>
      <c r="KTA186" s="16"/>
      <c r="KTB186" s="16"/>
      <c r="KTC186" s="16"/>
      <c r="KTD186" s="10"/>
      <c r="KTE186" s="10"/>
      <c r="KTL186" s="3"/>
      <c r="KTN186" s="1"/>
      <c r="KTP186" s="16"/>
      <c r="KTQ186" s="16"/>
      <c r="KTR186" s="16"/>
      <c r="KTS186" s="16"/>
      <c r="KTT186" s="10"/>
      <c r="KTU186" s="10"/>
      <c r="KUB186" s="3"/>
      <c r="KUD186" s="1"/>
      <c r="KUF186" s="16"/>
      <c r="KUG186" s="16"/>
      <c r="KUH186" s="16"/>
      <c r="KUI186" s="16"/>
      <c r="KUJ186" s="10"/>
      <c r="KUK186" s="10"/>
      <c r="KUR186" s="3"/>
      <c r="KUT186" s="1"/>
      <c r="KUV186" s="16"/>
      <c r="KUW186" s="16"/>
      <c r="KUX186" s="16"/>
      <c r="KUY186" s="16"/>
      <c r="KUZ186" s="10"/>
      <c r="KVA186" s="10"/>
      <c r="KVH186" s="3"/>
      <c r="KVJ186" s="1"/>
      <c r="KVL186" s="16"/>
      <c r="KVM186" s="16"/>
      <c r="KVN186" s="16"/>
      <c r="KVO186" s="16"/>
      <c r="KVP186" s="10"/>
      <c r="KVQ186" s="10"/>
      <c r="KVX186" s="3"/>
      <c r="KVZ186" s="1"/>
      <c r="KWB186" s="16"/>
      <c r="KWC186" s="16"/>
      <c r="KWD186" s="16"/>
      <c r="KWE186" s="16"/>
      <c r="KWF186" s="10"/>
      <c r="KWG186" s="10"/>
      <c r="KWN186" s="3"/>
      <c r="KWP186" s="1"/>
      <c r="KWR186" s="16"/>
      <c r="KWS186" s="16"/>
      <c r="KWT186" s="16"/>
      <c r="KWU186" s="16"/>
      <c r="KWV186" s="10"/>
      <c r="KWW186" s="10"/>
      <c r="KXD186" s="3"/>
      <c r="KXF186" s="1"/>
      <c r="KXH186" s="16"/>
      <c r="KXI186" s="16"/>
      <c r="KXJ186" s="16"/>
      <c r="KXK186" s="16"/>
      <c r="KXL186" s="10"/>
      <c r="KXM186" s="10"/>
      <c r="KXT186" s="3"/>
      <c r="KXV186" s="1"/>
      <c r="KXX186" s="16"/>
      <c r="KXY186" s="16"/>
      <c r="KXZ186" s="16"/>
      <c r="KYA186" s="16"/>
      <c r="KYB186" s="10"/>
      <c r="KYC186" s="10"/>
      <c r="KYJ186" s="3"/>
      <c r="KYL186" s="1"/>
      <c r="KYN186" s="16"/>
      <c r="KYO186" s="16"/>
      <c r="KYP186" s="16"/>
      <c r="KYQ186" s="16"/>
      <c r="KYR186" s="10"/>
      <c r="KYS186" s="10"/>
      <c r="KYZ186" s="3"/>
      <c r="KZB186" s="1"/>
      <c r="KZD186" s="16"/>
      <c r="KZE186" s="16"/>
      <c r="KZF186" s="16"/>
      <c r="KZG186" s="16"/>
      <c r="KZH186" s="10"/>
      <c r="KZI186" s="10"/>
      <c r="KZP186" s="3"/>
      <c r="KZR186" s="1"/>
      <c r="KZT186" s="16"/>
      <c r="KZU186" s="16"/>
      <c r="KZV186" s="16"/>
      <c r="KZW186" s="16"/>
      <c r="KZX186" s="10"/>
      <c r="KZY186" s="10"/>
      <c r="LAF186" s="3"/>
      <c r="LAH186" s="1"/>
      <c r="LAJ186" s="16"/>
      <c r="LAK186" s="16"/>
      <c r="LAL186" s="16"/>
      <c r="LAM186" s="16"/>
      <c r="LAN186" s="10"/>
      <c r="LAO186" s="10"/>
      <c r="LAV186" s="3"/>
      <c r="LAX186" s="1"/>
      <c r="LAZ186" s="16"/>
      <c r="LBA186" s="16"/>
      <c r="LBB186" s="16"/>
      <c r="LBC186" s="16"/>
      <c r="LBD186" s="10"/>
      <c r="LBE186" s="10"/>
      <c r="LBL186" s="3"/>
      <c r="LBN186" s="1"/>
      <c r="LBP186" s="16"/>
      <c r="LBQ186" s="16"/>
      <c r="LBR186" s="16"/>
      <c r="LBS186" s="16"/>
      <c r="LBT186" s="10"/>
      <c r="LBU186" s="10"/>
      <c r="LCB186" s="3"/>
      <c r="LCD186" s="1"/>
      <c r="LCF186" s="16"/>
      <c r="LCG186" s="16"/>
      <c r="LCH186" s="16"/>
      <c r="LCI186" s="16"/>
      <c r="LCJ186" s="10"/>
      <c r="LCK186" s="10"/>
      <c r="LCR186" s="3"/>
      <c r="LCT186" s="1"/>
      <c r="LCV186" s="16"/>
      <c r="LCW186" s="16"/>
      <c r="LCX186" s="16"/>
      <c r="LCY186" s="16"/>
      <c r="LCZ186" s="10"/>
      <c r="LDA186" s="10"/>
      <c r="LDH186" s="3"/>
      <c r="LDJ186" s="1"/>
      <c r="LDL186" s="16"/>
      <c r="LDM186" s="16"/>
      <c r="LDN186" s="16"/>
      <c r="LDO186" s="16"/>
      <c r="LDP186" s="10"/>
      <c r="LDQ186" s="10"/>
      <c r="LDX186" s="3"/>
      <c r="LDZ186" s="1"/>
      <c r="LEB186" s="16"/>
      <c r="LEC186" s="16"/>
      <c r="LED186" s="16"/>
      <c r="LEE186" s="16"/>
      <c r="LEF186" s="10"/>
      <c r="LEG186" s="10"/>
      <c r="LEN186" s="3"/>
      <c r="LEP186" s="1"/>
      <c r="LER186" s="16"/>
      <c r="LES186" s="16"/>
      <c r="LET186" s="16"/>
      <c r="LEU186" s="16"/>
      <c r="LEV186" s="10"/>
      <c r="LEW186" s="10"/>
      <c r="LFD186" s="3"/>
      <c r="LFF186" s="1"/>
      <c r="LFH186" s="16"/>
      <c r="LFI186" s="16"/>
      <c r="LFJ186" s="16"/>
      <c r="LFK186" s="16"/>
      <c r="LFL186" s="10"/>
      <c r="LFM186" s="10"/>
      <c r="LFT186" s="3"/>
      <c r="LFV186" s="1"/>
      <c r="LFX186" s="16"/>
      <c r="LFY186" s="16"/>
      <c r="LFZ186" s="16"/>
      <c r="LGA186" s="16"/>
      <c r="LGB186" s="10"/>
      <c r="LGC186" s="10"/>
      <c r="LGJ186" s="3"/>
      <c r="LGL186" s="1"/>
      <c r="LGN186" s="16"/>
      <c r="LGO186" s="16"/>
      <c r="LGP186" s="16"/>
      <c r="LGQ186" s="16"/>
      <c r="LGR186" s="10"/>
      <c r="LGS186" s="10"/>
      <c r="LGZ186" s="3"/>
      <c r="LHB186" s="1"/>
      <c r="LHD186" s="16"/>
      <c r="LHE186" s="16"/>
      <c r="LHF186" s="16"/>
      <c r="LHG186" s="16"/>
      <c r="LHH186" s="10"/>
      <c r="LHI186" s="10"/>
      <c r="LHP186" s="3"/>
      <c r="LHR186" s="1"/>
      <c r="LHT186" s="16"/>
      <c r="LHU186" s="16"/>
      <c r="LHV186" s="16"/>
      <c r="LHW186" s="16"/>
      <c r="LHX186" s="10"/>
      <c r="LHY186" s="10"/>
      <c r="LIF186" s="3"/>
      <c r="LIH186" s="1"/>
      <c r="LIJ186" s="16"/>
      <c r="LIK186" s="16"/>
      <c r="LIL186" s="16"/>
      <c r="LIM186" s="16"/>
      <c r="LIN186" s="10"/>
      <c r="LIO186" s="10"/>
      <c r="LIV186" s="3"/>
      <c r="LIX186" s="1"/>
      <c r="LIZ186" s="16"/>
      <c r="LJA186" s="16"/>
      <c r="LJB186" s="16"/>
      <c r="LJC186" s="16"/>
      <c r="LJD186" s="10"/>
      <c r="LJE186" s="10"/>
      <c r="LJL186" s="3"/>
      <c r="LJN186" s="1"/>
      <c r="LJP186" s="16"/>
      <c r="LJQ186" s="16"/>
      <c r="LJR186" s="16"/>
      <c r="LJS186" s="16"/>
      <c r="LJT186" s="10"/>
      <c r="LJU186" s="10"/>
      <c r="LKB186" s="3"/>
      <c r="LKD186" s="1"/>
      <c r="LKF186" s="16"/>
      <c r="LKG186" s="16"/>
      <c r="LKH186" s="16"/>
      <c r="LKI186" s="16"/>
      <c r="LKJ186" s="10"/>
      <c r="LKK186" s="10"/>
      <c r="LKR186" s="3"/>
      <c r="LKT186" s="1"/>
      <c r="LKV186" s="16"/>
      <c r="LKW186" s="16"/>
      <c r="LKX186" s="16"/>
      <c r="LKY186" s="16"/>
      <c r="LKZ186" s="10"/>
      <c r="LLA186" s="10"/>
      <c r="LLH186" s="3"/>
      <c r="LLJ186" s="1"/>
      <c r="LLL186" s="16"/>
      <c r="LLM186" s="16"/>
      <c r="LLN186" s="16"/>
      <c r="LLO186" s="16"/>
      <c r="LLP186" s="10"/>
      <c r="LLQ186" s="10"/>
      <c r="LLX186" s="3"/>
      <c r="LLZ186" s="1"/>
      <c r="LMB186" s="16"/>
      <c r="LMC186" s="16"/>
      <c r="LMD186" s="16"/>
      <c r="LME186" s="16"/>
      <c r="LMF186" s="10"/>
      <c r="LMG186" s="10"/>
      <c r="LMN186" s="3"/>
      <c r="LMP186" s="1"/>
      <c r="LMR186" s="16"/>
      <c r="LMS186" s="16"/>
      <c r="LMT186" s="16"/>
      <c r="LMU186" s="16"/>
      <c r="LMV186" s="10"/>
      <c r="LMW186" s="10"/>
      <c r="LND186" s="3"/>
      <c r="LNF186" s="1"/>
      <c r="LNH186" s="16"/>
      <c r="LNI186" s="16"/>
      <c r="LNJ186" s="16"/>
      <c r="LNK186" s="16"/>
      <c r="LNL186" s="10"/>
      <c r="LNM186" s="10"/>
      <c r="LNT186" s="3"/>
      <c r="LNV186" s="1"/>
      <c r="LNX186" s="16"/>
      <c r="LNY186" s="16"/>
      <c r="LNZ186" s="16"/>
      <c r="LOA186" s="16"/>
      <c r="LOB186" s="10"/>
      <c r="LOC186" s="10"/>
      <c r="LOJ186" s="3"/>
      <c r="LOL186" s="1"/>
      <c r="LON186" s="16"/>
      <c r="LOO186" s="16"/>
      <c r="LOP186" s="16"/>
      <c r="LOQ186" s="16"/>
      <c r="LOR186" s="10"/>
      <c r="LOS186" s="10"/>
      <c r="LOZ186" s="3"/>
      <c r="LPB186" s="1"/>
      <c r="LPD186" s="16"/>
      <c r="LPE186" s="16"/>
      <c r="LPF186" s="16"/>
      <c r="LPG186" s="16"/>
      <c r="LPH186" s="10"/>
      <c r="LPI186" s="10"/>
      <c r="LPP186" s="3"/>
      <c r="LPR186" s="1"/>
      <c r="LPT186" s="16"/>
      <c r="LPU186" s="16"/>
      <c r="LPV186" s="16"/>
      <c r="LPW186" s="16"/>
      <c r="LPX186" s="10"/>
      <c r="LPY186" s="10"/>
      <c r="LQF186" s="3"/>
      <c r="LQH186" s="1"/>
      <c r="LQJ186" s="16"/>
      <c r="LQK186" s="16"/>
      <c r="LQL186" s="16"/>
      <c r="LQM186" s="16"/>
      <c r="LQN186" s="10"/>
      <c r="LQO186" s="10"/>
      <c r="LQV186" s="3"/>
      <c r="LQX186" s="1"/>
      <c r="LQZ186" s="16"/>
      <c r="LRA186" s="16"/>
      <c r="LRB186" s="16"/>
      <c r="LRC186" s="16"/>
      <c r="LRD186" s="10"/>
      <c r="LRE186" s="10"/>
      <c r="LRL186" s="3"/>
      <c r="LRN186" s="1"/>
      <c r="LRP186" s="16"/>
      <c r="LRQ186" s="16"/>
      <c r="LRR186" s="16"/>
      <c r="LRS186" s="16"/>
      <c r="LRT186" s="10"/>
      <c r="LRU186" s="10"/>
      <c r="LSB186" s="3"/>
      <c r="LSD186" s="1"/>
      <c r="LSF186" s="16"/>
      <c r="LSG186" s="16"/>
      <c r="LSH186" s="16"/>
      <c r="LSI186" s="16"/>
      <c r="LSJ186" s="10"/>
      <c r="LSK186" s="10"/>
      <c r="LSR186" s="3"/>
      <c r="LST186" s="1"/>
      <c r="LSV186" s="16"/>
      <c r="LSW186" s="16"/>
      <c r="LSX186" s="16"/>
      <c r="LSY186" s="16"/>
      <c r="LSZ186" s="10"/>
      <c r="LTA186" s="10"/>
      <c r="LTH186" s="3"/>
      <c r="LTJ186" s="1"/>
      <c r="LTL186" s="16"/>
      <c r="LTM186" s="16"/>
      <c r="LTN186" s="16"/>
      <c r="LTO186" s="16"/>
      <c r="LTP186" s="10"/>
      <c r="LTQ186" s="10"/>
      <c r="LTX186" s="3"/>
      <c r="LTZ186" s="1"/>
      <c r="LUB186" s="16"/>
      <c r="LUC186" s="16"/>
      <c r="LUD186" s="16"/>
      <c r="LUE186" s="16"/>
      <c r="LUF186" s="10"/>
      <c r="LUG186" s="10"/>
      <c r="LUN186" s="3"/>
      <c r="LUP186" s="1"/>
      <c r="LUR186" s="16"/>
      <c r="LUS186" s="16"/>
      <c r="LUT186" s="16"/>
      <c r="LUU186" s="16"/>
      <c r="LUV186" s="10"/>
      <c r="LUW186" s="10"/>
      <c r="LVD186" s="3"/>
      <c r="LVF186" s="1"/>
      <c r="LVH186" s="16"/>
      <c r="LVI186" s="16"/>
      <c r="LVJ186" s="16"/>
      <c r="LVK186" s="16"/>
      <c r="LVL186" s="10"/>
      <c r="LVM186" s="10"/>
      <c r="LVT186" s="3"/>
      <c r="LVV186" s="1"/>
      <c r="LVX186" s="16"/>
      <c r="LVY186" s="16"/>
      <c r="LVZ186" s="16"/>
      <c r="LWA186" s="16"/>
      <c r="LWB186" s="10"/>
      <c r="LWC186" s="10"/>
      <c r="LWJ186" s="3"/>
      <c r="LWL186" s="1"/>
      <c r="LWN186" s="16"/>
      <c r="LWO186" s="16"/>
      <c r="LWP186" s="16"/>
      <c r="LWQ186" s="16"/>
      <c r="LWR186" s="10"/>
      <c r="LWS186" s="10"/>
      <c r="LWZ186" s="3"/>
      <c r="LXB186" s="1"/>
      <c r="LXD186" s="16"/>
      <c r="LXE186" s="16"/>
      <c r="LXF186" s="16"/>
      <c r="LXG186" s="16"/>
      <c r="LXH186" s="10"/>
      <c r="LXI186" s="10"/>
      <c r="LXP186" s="3"/>
      <c r="LXR186" s="1"/>
      <c r="LXT186" s="16"/>
      <c r="LXU186" s="16"/>
      <c r="LXV186" s="16"/>
      <c r="LXW186" s="16"/>
      <c r="LXX186" s="10"/>
      <c r="LXY186" s="10"/>
      <c r="LYF186" s="3"/>
      <c r="LYH186" s="1"/>
      <c r="LYJ186" s="16"/>
      <c r="LYK186" s="16"/>
      <c r="LYL186" s="16"/>
      <c r="LYM186" s="16"/>
      <c r="LYN186" s="10"/>
      <c r="LYO186" s="10"/>
      <c r="LYV186" s="3"/>
      <c r="LYX186" s="1"/>
      <c r="LYZ186" s="16"/>
      <c r="LZA186" s="16"/>
      <c r="LZB186" s="16"/>
      <c r="LZC186" s="16"/>
      <c r="LZD186" s="10"/>
      <c r="LZE186" s="10"/>
      <c r="LZL186" s="3"/>
      <c r="LZN186" s="1"/>
      <c r="LZP186" s="16"/>
      <c r="LZQ186" s="16"/>
      <c r="LZR186" s="16"/>
      <c r="LZS186" s="16"/>
      <c r="LZT186" s="10"/>
      <c r="LZU186" s="10"/>
      <c r="MAB186" s="3"/>
      <c r="MAD186" s="1"/>
      <c r="MAF186" s="16"/>
      <c r="MAG186" s="16"/>
      <c r="MAH186" s="16"/>
      <c r="MAI186" s="16"/>
      <c r="MAJ186" s="10"/>
      <c r="MAK186" s="10"/>
      <c r="MAR186" s="3"/>
      <c r="MAT186" s="1"/>
      <c r="MAV186" s="16"/>
      <c r="MAW186" s="16"/>
      <c r="MAX186" s="16"/>
      <c r="MAY186" s="16"/>
      <c r="MAZ186" s="10"/>
      <c r="MBA186" s="10"/>
      <c r="MBH186" s="3"/>
      <c r="MBJ186" s="1"/>
      <c r="MBL186" s="16"/>
      <c r="MBM186" s="16"/>
      <c r="MBN186" s="16"/>
      <c r="MBO186" s="16"/>
      <c r="MBP186" s="10"/>
      <c r="MBQ186" s="10"/>
      <c r="MBX186" s="3"/>
      <c r="MBZ186" s="1"/>
      <c r="MCB186" s="16"/>
      <c r="MCC186" s="16"/>
      <c r="MCD186" s="16"/>
      <c r="MCE186" s="16"/>
      <c r="MCF186" s="10"/>
      <c r="MCG186" s="10"/>
      <c r="MCN186" s="3"/>
      <c r="MCP186" s="1"/>
      <c r="MCR186" s="16"/>
      <c r="MCS186" s="16"/>
      <c r="MCT186" s="16"/>
      <c r="MCU186" s="16"/>
      <c r="MCV186" s="10"/>
      <c r="MCW186" s="10"/>
      <c r="MDD186" s="3"/>
      <c r="MDF186" s="1"/>
      <c r="MDH186" s="16"/>
      <c r="MDI186" s="16"/>
      <c r="MDJ186" s="16"/>
      <c r="MDK186" s="16"/>
      <c r="MDL186" s="10"/>
      <c r="MDM186" s="10"/>
      <c r="MDT186" s="3"/>
      <c r="MDV186" s="1"/>
      <c r="MDX186" s="16"/>
      <c r="MDY186" s="16"/>
      <c r="MDZ186" s="16"/>
      <c r="MEA186" s="16"/>
      <c r="MEB186" s="10"/>
      <c r="MEC186" s="10"/>
      <c r="MEJ186" s="3"/>
      <c r="MEL186" s="1"/>
      <c r="MEN186" s="16"/>
      <c r="MEO186" s="16"/>
      <c r="MEP186" s="16"/>
      <c r="MEQ186" s="16"/>
      <c r="MER186" s="10"/>
      <c r="MES186" s="10"/>
      <c r="MEZ186" s="3"/>
      <c r="MFB186" s="1"/>
      <c r="MFD186" s="16"/>
      <c r="MFE186" s="16"/>
      <c r="MFF186" s="16"/>
      <c r="MFG186" s="16"/>
      <c r="MFH186" s="10"/>
      <c r="MFI186" s="10"/>
      <c r="MFP186" s="3"/>
      <c r="MFR186" s="1"/>
      <c r="MFT186" s="16"/>
      <c r="MFU186" s="16"/>
      <c r="MFV186" s="16"/>
      <c r="MFW186" s="16"/>
      <c r="MFX186" s="10"/>
      <c r="MFY186" s="10"/>
      <c r="MGF186" s="3"/>
      <c r="MGH186" s="1"/>
      <c r="MGJ186" s="16"/>
      <c r="MGK186" s="16"/>
      <c r="MGL186" s="16"/>
      <c r="MGM186" s="16"/>
      <c r="MGN186" s="10"/>
      <c r="MGO186" s="10"/>
      <c r="MGV186" s="3"/>
      <c r="MGX186" s="1"/>
      <c r="MGZ186" s="16"/>
      <c r="MHA186" s="16"/>
      <c r="MHB186" s="16"/>
      <c r="MHC186" s="16"/>
      <c r="MHD186" s="10"/>
      <c r="MHE186" s="10"/>
      <c r="MHL186" s="3"/>
      <c r="MHN186" s="1"/>
      <c r="MHP186" s="16"/>
      <c r="MHQ186" s="16"/>
      <c r="MHR186" s="16"/>
      <c r="MHS186" s="16"/>
      <c r="MHT186" s="10"/>
      <c r="MHU186" s="10"/>
      <c r="MIB186" s="3"/>
      <c r="MID186" s="1"/>
      <c r="MIF186" s="16"/>
      <c r="MIG186" s="16"/>
      <c r="MIH186" s="16"/>
      <c r="MII186" s="16"/>
      <c r="MIJ186" s="10"/>
      <c r="MIK186" s="10"/>
      <c r="MIR186" s="3"/>
      <c r="MIT186" s="1"/>
      <c r="MIV186" s="16"/>
      <c r="MIW186" s="16"/>
      <c r="MIX186" s="16"/>
      <c r="MIY186" s="16"/>
      <c r="MIZ186" s="10"/>
      <c r="MJA186" s="10"/>
      <c r="MJH186" s="3"/>
      <c r="MJJ186" s="1"/>
      <c r="MJL186" s="16"/>
      <c r="MJM186" s="16"/>
      <c r="MJN186" s="16"/>
      <c r="MJO186" s="16"/>
      <c r="MJP186" s="10"/>
      <c r="MJQ186" s="10"/>
      <c r="MJX186" s="3"/>
      <c r="MJZ186" s="1"/>
      <c r="MKB186" s="16"/>
      <c r="MKC186" s="16"/>
      <c r="MKD186" s="16"/>
      <c r="MKE186" s="16"/>
      <c r="MKF186" s="10"/>
      <c r="MKG186" s="10"/>
      <c r="MKN186" s="3"/>
      <c r="MKP186" s="1"/>
      <c r="MKR186" s="16"/>
      <c r="MKS186" s="16"/>
      <c r="MKT186" s="16"/>
      <c r="MKU186" s="16"/>
      <c r="MKV186" s="10"/>
      <c r="MKW186" s="10"/>
      <c r="MLD186" s="3"/>
      <c r="MLF186" s="1"/>
      <c r="MLH186" s="16"/>
      <c r="MLI186" s="16"/>
      <c r="MLJ186" s="16"/>
      <c r="MLK186" s="16"/>
      <c r="MLL186" s="10"/>
      <c r="MLM186" s="10"/>
      <c r="MLT186" s="3"/>
      <c r="MLV186" s="1"/>
      <c r="MLX186" s="16"/>
      <c r="MLY186" s="16"/>
      <c r="MLZ186" s="16"/>
      <c r="MMA186" s="16"/>
      <c r="MMB186" s="10"/>
      <c r="MMC186" s="10"/>
      <c r="MMJ186" s="3"/>
      <c r="MML186" s="1"/>
      <c r="MMN186" s="16"/>
      <c r="MMO186" s="16"/>
      <c r="MMP186" s="16"/>
      <c r="MMQ186" s="16"/>
      <c r="MMR186" s="10"/>
      <c r="MMS186" s="10"/>
      <c r="MMZ186" s="3"/>
      <c r="MNB186" s="1"/>
      <c r="MND186" s="16"/>
      <c r="MNE186" s="16"/>
      <c r="MNF186" s="16"/>
      <c r="MNG186" s="16"/>
      <c r="MNH186" s="10"/>
      <c r="MNI186" s="10"/>
      <c r="MNP186" s="3"/>
      <c r="MNR186" s="1"/>
      <c r="MNT186" s="16"/>
      <c r="MNU186" s="16"/>
      <c r="MNV186" s="16"/>
      <c r="MNW186" s="16"/>
      <c r="MNX186" s="10"/>
      <c r="MNY186" s="10"/>
      <c r="MOF186" s="3"/>
      <c r="MOH186" s="1"/>
      <c r="MOJ186" s="16"/>
      <c r="MOK186" s="16"/>
      <c r="MOL186" s="16"/>
      <c r="MOM186" s="16"/>
      <c r="MON186" s="10"/>
      <c r="MOO186" s="10"/>
      <c r="MOV186" s="3"/>
      <c r="MOX186" s="1"/>
      <c r="MOZ186" s="16"/>
      <c r="MPA186" s="16"/>
      <c r="MPB186" s="16"/>
      <c r="MPC186" s="16"/>
      <c r="MPD186" s="10"/>
      <c r="MPE186" s="10"/>
      <c r="MPL186" s="3"/>
      <c r="MPN186" s="1"/>
      <c r="MPP186" s="16"/>
      <c r="MPQ186" s="16"/>
      <c r="MPR186" s="16"/>
      <c r="MPS186" s="16"/>
      <c r="MPT186" s="10"/>
      <c r="MPU186" s="10"/>
      <c r="MQB186" s="3"/>
      <c r="MQD186" s="1"/>
      <c r="MQF186" s="16"/>
      <c r="MQG186" s="16"/>
      <c r="MQH186" s="16"/>
      <c r="MQI186" s="16"/>
      <c r="MQJ186" s="10"/>
      <c r="MQK186" s="10"/>
      <c r="MQR186" s="3"/>
      <c r="MQT186" s="1"/>
      <c r="MQV186" s="16"/>
      <c r="MQW186" s="16"/>
      <c r="MQX186" s="16"/>
      <c r="MQY186" s="16"/>
      <c r="MQZ186" s="10"/>
      <c r="MRA186" s="10"/>
      <c r="MRH186" s="3"/>
      <c r="MRJ186" s="1"/>
      <c r="MRL186" s="16"/>
      <c r="MRM186" s="16"/>
      <c r="MRN186" s="16"/>
      <c r="MRO186" s="16"/>
      <c r="MRP186" s="10"/>
      <c r="MRQ186" s="10"/>
      <c r="MRX186" s="3"/>
      <c r="MRZ186" s="1"/>
      <c r="MSB186" s="16"/>
      <c r="MSC186" s="16"/>
      <c r="MSD186" s="16"/>
      <c r="MSE186" s="16"/>
      <c r="MSF186" s="10"/>
      <c r="MSG186" s="10"/>
      <c r="MSN186" s="3"/>
      <c r="MSP186" s="1"/>
      <c r="MSR186" s="16"/>
      <c r="MSS186" s="16"/>
      <c r="MST186" s="16"/>
      <c r="MSU186" s="16"/>
      <c r="MSV186" s="10"/>
      <c r="MSW186" s="10"/>
      <c r="MTD186" s="3"/>
      <c r="MTF186" s="1"/>
      <c r="MTH186" s="16"/>
      <c r="MTI186" s="16"/>
      <c r="MTJ186" s="16"/>
      <c r="MTK186" s="16"/>
      <c r="MTL186" s="10"/>
      <c r="MTM186" s="10"/>
      <c r="MTT186" s="3"/>
      <c r="MTV186" s="1"/>
      <c r="MTX186" s="16"/>
      <c r="MTY186" s="16"/>
      <c r="MTZ186" s="16"/>
      <c r="MUA186" s="16"/>
      <c r="MUB186" s="10"/>
      <c r="MUC186" s="10"/>
      <c r="MUJ186" s="3"/>
      <c r="MUL186" s="1"/>
      <c r="MUN186" s="16"/>
      <c r="MUO186" s="16"/>
      <c r="MUP186" s="16"/>
      <c r="MUQ186" s="16"/>
      <c r="MUR186" s="10"/>
      <c r="MUS186" s="10"/>
      <c r="MUZ186" s="3"/>
      <c r="MVB186" s="1"/>
      <c r="MVD186" s="16"/>
      <c r="MVE186" s="16"/>
      <c r="MVF186" s="16"/>
      <c r="MVG186" s="16"/>
      <c r="MVH186" s="10"/>
      <c r="MVI186" s="10"/>
      <c r="MVP186" s="3"/>
      <c r="MVR186" s="1"/>
      <c r="MVT186" s="16"/>
      <c r="MVU186" s="16"/>
      <c r="MVV186" s="16"/>
      <c r="MVW186" s="16"/>
      <c r="MVX186" s="10"/>
      <c r="MVY186" s="10"/>
      <c r="MWF186" s="3"/>
      <c r="MWH186" s="1"/>
      <c r="MWJ186" s="16"/>
      <c r="MWK186" s="16"/>
      <c r="MWL186" s="16"/>
      <c r="MWM186" s="16"/>
      <c r="MWN186" s="10"/>
      <c r="MWO186" s="10"/>
      <c r="MWV186" s="3"/>
      <c r="MWX186" s="1"/>
      <c r="MWZ186" s="16"/>
      <c r="MXA186" s="16"/>
      <c r="MXB186" s="16"/>
      <c r="MXC186" s="16"/>
      <c r="MXD186" s="10"/>
      <c r="MXE186" s="10"/>
      <c r="MXL186" s="3"/>
      <c r="MXN186" s="1"/>
      <c r="MXP186" s="16"/>
      <c r="MXQ186" s="16"/>
      <c r="MXR186" s="16"/>
      <c r="MXS186" s="16"/>
      <c r="MXT186" s="10"/>
      <c r="MXU186" s="10"/>
      <c r="MYB186" s="3"/>
      <c r="MYD186" s="1"/>
      <c r="MYF186" s="16"/>
      <c r="MYG186" s="16"/>
      <c r="MYH186" s="16"/>
      <c r="MYI186" s="16"/>
      <c r="MYJ186" s="10"/>
      <c r="MYK186" s="10"/>
      <c r="MYR186" s="3"/>
      <c r="MYT186" s="1"/>
      <c r="MYV186" s="16"/>
      <c r="MYW186" s="16"/>
      <c r="MYX186" s="16"/>
      <c r="MYY186" s="16"/>
      <c r="MYZ186" s="10"/>
      <c r="MZA186" s="10"/>
      <c r="MZH186" s="3"/>
      <c r="MZJ186" s="1"/>
      <c r="MZL186" s="16"/>
      <c r="MZM186" s="16"/>
      <c r="MZN186" s="16"/>
      <c r="MZO186" s="16"/>
      <c r="MZP186" s="10"/>
      <c r="MZQ186" s="10"/>
      <c r="MZX186" s="3"/>
      <c r="MZZ186" s="1"/>
      <c r="NAB186" s="16"/>
      <c r="NAC186" s="16"/>
      <c r="NAD186" s="16"/>
      <c r="NAE186" s="16"/>
      <c r="NAF186" s="10"/>
      <c r="NAG186" s="10"/>
      <c r="NAN186" s="3"/>
      <c r="NAP186" s="1"/>
      <c r="NAR186" s="16"/>
      <c r="NAS186" s="16"/>
      <c r="NAT186" s="16"/>
      <c r="NAU186" s="16"/>
      <c r="NAV186" s="10"/>
      <c r="NAW186" s="10"/>
      <c r="NBD186" s="3"/>
      <c r="NBF186" s="1"/>
      <c r="NBH186" s="16"/>
      <c r="NBI186" s="16"/>
      <c r="NBJ186" s="16"/>
      <c r="NBK186" s="16"/>
      <c r="NBL186" s="10"/>
      <c r="NBM186" s="10"/>
      <c r="NBT186" s="3"/>
      <c r="NBV186" s="1"/>
      <c r="NBX186" s="16"/>
      <c r="NBY186" s="16"/>
      <c r="NBZ186" s="16"/>
      <c r="NCA186" s="16"/>
      <c r="NCB186" s="10"/>
      <c r="NCC186" s="10"/>
      <c r="NCJ186" s="3"/>
      <c r="NCL186" s="1"/>
      <c r="NCN186" s="16"/>
      <c r="NCO186" s="16"/>
      <c r="NCP186" s="16"/>
      <c r="NCQ186" s="16"/>
      <c r="NCR186" s="10"/>
      <c r="NCS186" s="10"/>
      <c r="NCZ186" s="3"/>
      <c r="NDB186" s="1"/>
      <c r="NDD186" s="16"/>
      <c r="NDE186" s="16"/>
      <c r="NDF186" s="16"/>
      <c r="NDG186" s="16"/>
      <c r="NDH186" s="10"/>
      <c r="NDI186" s="10"/>
      <c r="NDP186" s="3"/>
      <c r="NDR186" s="1"/>
      <c r="NDT186" s="16"/>
      <c r="NDU186" s="16"/>
      <c r="NDV186" s="16"/>
      <c r="NDW186" s="16"/>
      <c r="NDX186" s="10"/>
      <c r="NDY186" s="10"/>
      <c r="NEF186" s="3"/>
      <c r="NEH186" s="1"/>
      <c r="NEJ186" s="16"/>
      <c r="NEK186" s="16"/>
      <c r="NEL186" s="16"/>
      <c r="NEM186" s="16"/>
      <c r="NEN186" s="10"/>
      <c r="NEO186" s="10"/>
      <c r="NEV186" s="3"/>
      <c r="NEX186" s="1"/>
      <c r="NEZ186" s="16"/>
      <c r="NFA186" s="16"/>
      <c r="NFB186" s="16"/>
      <c r="NFC186" s="16"/>
      <c r="NFD186" s="10"/>
      <c r="NFE186" s="10"/>
      <c r="NFL186" s="3"/>
      <c r="NFN186" s="1"/>
      <c r="NFP186" s="16"/>
      <c r="NFQ186" s="16"/>
      <c r="NFR186" s="16"/>
      <c r="NFS186" s="16"/>
      <c r="NFT186" s="10"/>
      <c r="NFU186" s="10"/>
      <c r="NGB186" s="3"/>
      <c r="NGD186" s="1"/>
      <c r="NGF186" s="16"/>
      <c r="NGG186" s="16"/>
      <c r="NGH186" s="16"/>
      <c r="NGI186" s="16"/>
      <c r="NGJ186" s="10"/>
      <c r="NGK186" s="10"/>
      <c r="NGR186" s="3"/>
      <c r="NGT186" s="1"/>
      <c r="NGV186" s="16"/>
      <c r="NGW186" s="16"/>
      <c r="NGX186" s="16"/>
      <c r="NGY186" s="16"/>
      <c r="NGZ186" s="10"/>
      <c r="NHA186" s="10"/>
      <c r="NHH186" s="3"/>
      <c r="NHJ186" s="1"/>
      <c r="NHL186" s="16"/>
      <c r="NHM186" s="16"/>
      <c r="NHN186" s="16"/>
      <c r="NHO186" s="16"/>
      <c r="NHP186" s="10"/>
      <c r="NHQ186" s="10"/>
      <c r="NHX186" s="3"/>
      <c r="NHZ186" s="1"/>
      <c r="NIB186" s="16"/>
      <c r="NIC186" s="16"/>
      <c r="NID186" s="16"/>
      <c r="NIE186" s="16"/>
      <c r="NIF186" s="10"/>
      <c r="NIG186" s="10"/>
      <c r="NIN186" s="3"/>
      <c r="NIP186" s="1"/>
      <c r="NIR186" s="16"/>
      <c r="NIS186" s="16"/>
      <c r="NIT186" s="16"/>
      <c r="NIU186" s="16"/>
      <c r="NIV186" s="10"/>
      <c r="NIW186" s="10"/>
      <c r="NJD186" s="3"/>
      <c r="NJF186" s="1"/>
      <c r="NJH186" s="16"/>
      <c r="NJI186" s="16"/>
      <c r="NJJ186" s="16"/>
      <c r="NJK186" s="16"/>
      <c r="NJL186" s="10"/>
      <c r="NJM186" s="10"/>
      <c r="NJT186" s="3"/>
      <c r="NJV186" s="1"/>
      <c r="NJX186" s="16"/>
      <c r="NJY186" s="16"/>
      <c r="NJZ186" s="16"/>
      <c r="NKA186" s="16"/>
      <c r="NKB186" s="10"/>
      <c r="NKC186" s="10"/>
      <c r="NKJ186" s="3"/>
      <c r="NKL186" s="1"/>
      <c r="NKN186" s="16"/>
      <c r="NKO186" s="16"/>
      <c r="NKP186" s="16"/>
      <c r="NKQ186" s="16"/>
      <c r="NKR186" s="10"/>
      <c r="NKS186" s="10"/>
      <c r="NKZ186" s="3"/>
      <c r="NLB186" s="1"/>
      <c r="NLD186" s="16"/>
      <c r="NLE186" s="16"/>
      <c r="NLF186" s="16"/>
      <c r="NLG186" s="16"/>
      <c r="NLH186" s="10"/>
      <c r="NLI186" s="10"/>
      <c r="NLP186" s="3"/>
      <c r="NLR186" s="1"/>
      <c r="NLT186" s="16"/>
      <c r="NLU186" s="16"/>
      <c r="NLV186" s="16"/>
      <c r="NLW186" s="16"/>
      <c r="NLX186" s="10"/>
      <c r="NLY186" s="10"/>
      <c r="NMF186" s="3"/>
      <c r="NMH186" s="1"/>
      <c r="NMJ186" s="16"/>
      <c r="NMK186" s="16"/>
      <c r="NML186" s="16"/>
      <c r="NMM186" s="16"/>
      <c r="NMN186" s="10"/>
      <c r="NMO186" s="10"/>
      <c r="NMV186" s="3"/>
      <c r="NMX186" s="1"/>
      <c r="NMZ186" s="16"/>
      <c r="NNA186" s="16"/>
      <c r="NNB186" s="16"/>
      <c r="NNC186" s="16"/>
      <c r="NND186" s="10"/>
      <c r="NNE186" s="10"/>
      <c r="NNL186" s="3"/>
      <c r="NNN186" s="1"/>
      <c r="NNP186" s="16"/>
      <c r="NNQ186" s="16"/>
      <c r="NNR186" s="16"/>
      <c r="NNS186" s="16"/>
      <c r="NNT186" s="10"/>
      <c r="NNU186" s="10"/>
      <c r="NOB186" s="3"/>
      <c r="NOD186" s="1"/>
      <c r="NOF186" s="16"/>
      <c r="NOG186" s="16"/>
      <c r="NOH186" s="16"/>
      <c r="NOI186" s="16"/>
      <c r="NOJ186" s="10"/>
      <c r="NOK186" s="10"/>
      <c r="NOR186" s="3"/>
      <c r="NOT186" s="1"/>
      <c r="NOV186" s="16"/>
      <c r="NOW186" s="16"/>
      <c r="NOX186" s="16"/>
      <c r="NOY186" s="16"/>
      <c r="NOZ186" s="10"/>
      <c r="NPA186" s="10"/>
      <c r="NPH186" s="3"/>
      <c r="NPJ186" s="1"/>
      <c r="NPL186" s="16"/>
      <c r="NPM186" s="16"/>
      <c r="NPN186" s="16"/>
      <c r="NPO186" s="16"/>
      <c r="NPP186" s="10"/>
      <c r="NPQ186" s="10"/>
      <c r="NPX186" s="3"/>
      <c r="NPZ186" s="1"/>
      <c r="NQB186" s="16"/>
      <c r="NQC186" s="16"/>
      <c r="NQD186" s="16"/>
      <c r="NQE186" s="16"/>
      <c r="NQF186" s="10"/>
      <c r="NQG186" s="10"/>
      <c r="NQN186" s="3"/>
      <c r="NQP186" s="1"/>
      <c r="NQR186" s="16"/>
      <c r="NQS186" s="16"/>
      <c r="NQT186" s="16"/>
      <c r="NQU186" s="16"/>
      <c r="NQV186" s="10"/>
      <c r="NQW186" s="10"/>
      <c r="NRD186" s="3"/>
      <c r="NRF186" s="1"/>
      <c r="NRH186" s="16"/>
      <c r="NRI186" s="16"/>
      <c r="NRJ186" s="16"/>
      <c r="NRK186" s="16"/>
      <c r="NRL186" s="10"/>
      <c r="NRM186" s="10"/>
      <c r="NRT186" s="3"/>
      <c r="NRV186" s="1"/>
      <c r="NRX186" s="16"/>
      <c r="NRY186" s="16"/>
      <c r="NRZ186" s="16"/>
      <c r="NSA186" s="16"/>
      <c r="NSB186" s="10"/>
      <c r="NSC186" s="10"/>
      <c r="NSJ186" s="3"/>
      <c r="NSL186" s="1"/>
      <c r="NSN186" s="16"/>
      <c r="NSO186" s="16"/>
      <c r="NSP186" s="16"/>
      <c r="NSQ186" s="16"/>
      <c r="NSR186" s="10"/>
      <c r="NSS186" s="10"/>
      <c r="NSZ186" s="3"/>
      <c r="NTB186" s="1"/>
      <c r="NTD186" s="16"/>
      <c r="NTE186" s="16"/>
      <c r="NTF186" s="16"/>
      <c r="NTG186" s="16"/>
      <c r="NTH186" s="10"/>
      <c r="NTI186" s="10"/>
      <c r="NTP186" s="3"/>
      <c r="NTR186" s="1"/>
      <c r="NTT186" s="16"/>
      <c r="NTU186" s="16"/>
      <c r="NTV186" s="16"/>
      <c r="NTW186" s="16"/>
      <c r="NTX186" s="10"/>
      <c r="NTY186" s="10"/>
      <c r="NUF186" s="3"/>
      <c r="NUH186" s="1"/>
      <c r="NUJ186" s="16"/>
      <c r="NUK186" s="16"/>
      <c r="NUL186" s="16"/>
      <c r="NUM186" s="16"/>
      <c r="NUN186" s="10"/>
      <c r="NUO186" s="10"/>
      <c r="NUV186" s="3"/>
      <c r="NUX186" s="1"/>
      <c r="NUZ186" s="16"/>
      <c r="NVA186" s="16"/>
      <c r="NVB186" s="16"/>
      <c r="NVC186" s="16"/>
      <c r="NVD186" s="10"/>
      <c r="NVE186" s="10"/>
      <c r="NVL186" s="3"/>
      <c r="NVN186" s="1"/>
      <c r="NVP186" s="16"/>
      <c r="NVQ186" s="16"/>
      <c r="NVR186" s="16"/>
      <c r="NVS186" s="16"/>
      <c r="NVT186" s="10"/>
      <c r="NVU186" s="10"/>
      <c r="NWB186" s="3"/>
      <c r="NWD186" s="1"/>
      <c r="NWF186" s="16"/>
      <c r="NWG186" s="16"/>
      <c r="NWH186" s="16"/>
      <c r="NWI186" s="16"/>
      <c r="NWJ186" s="10"/>
      <c r="NWK186" s="10"/>
      <c r="NWR186" s="3"/>
      <c r="NWT186" s="1"/>
      <c r="NWV186" s="16"/>
      <c r="NWW186" s="16"/>
      <c r="NWX186" s="16"/>
      <c r="NWY186" s="16"/>
      <c r="NWZ186" s="10"/>
      <c r="NXA186" s="10"/>
      <c r="NXH186" s="3"/>
      <c r="NXJ186" s="1"/>
      <c r="NXL186" s="16"/>
      <c r="NXM186" s="16"/>
      <c r="NXN186" s="16"/>
      <c r="NXO186" s="16"/>
      <c r="NXP186" s="10"/>
      <c r="NXQ186" s="10"/>
      <c r="NXX186" s="3"/>
      <c r="NXZ186" s="1"/>
      <c r="NYB186" s="16"/>
      <c r="NYC186" s="16"/>
      <c r="NYD186" s="16"/>
      <c r="NYE186" s="16"/>
      <c r="NYF186" s="10"/>
      <c r="NYG186" s="10"/>
      <c r="NYN186" s="3"/>
      <c r="NYP186" s="1"/>
      <c r="NYR186" s="16"/>
      <c r="NYS186" s="16"/>
      <c r="NYT186" s="16"/>
      <c r="NYU186" s="16"/>
      <c r="NYV186" s="10"/>
      <c r="NYW186" s="10"/>
      <c r="NZD186" s="3"/>
      <c r="NZF186" s="1"/>
      <c r="NZH186" s="16"/>
      <c r="NZI186" s="16"/>
      <c r="NZJ186" s="16"/>
      <c r="NZK186" s="16"/>
      <c r="NZL186" s="10"/>
      <c r="NZM186" s="10"/>
      <c r="NZT186" s="3"/>
      <c r="NZV186" s="1"/>
      <c r="NZX186" s="16"/>
      <c r="NZY186" s="16"/>
      <c r="NZZ186" s="16"/>
      <c r="OAA186" s="16"/>
      <c r="OAB186" s="10"/>
      <c r="OAC186" s="10"/>
      <c r="OAJ186" s="3"/>
      <c r="OAL186" s="1"/>
      <c r="OAN186" s="16"/>
      <c r="OAO186" s="16"/>
      <c r="OAP186" s="16"/>
      <c r="OAQ186" s="16"/>
      <c r="OAR186" s="10"/>
      <c r="OAS186" s="10"/>
      <c r="OAZ186" s="3"/>
      <c r="OBB186" s="1"/>
      <c r="OBD186" s="16"/>
      <c r="OBE186" s="16"/>
      <c r="OBF186" s="16"/>
      <c r="OBG186" s="16"/>
      <c r="OBH186" s="10"/>
      <c r="OBI186" s="10"/>
      <c r="OBP186" s="3"/>
      <c r="OBR186" s="1"/>
      <c r="OBT186" s="16"/>
      <c r="OBU186" s="16"/>
      <c r="OBV186" s="16"/>
      <c r="OBW186" s="16"/>
      <c r="OBX186" s="10"/>
      <c r="OBY186" s="10"/>
      <c r="OCF186" s="3"/>
      <c r="OCH186" s="1"/>
      <c r="OCJ186" s="16"/>
      <c r="OCK186" s="16"/>
      <c r="OCL186" s="16"/>
      <c r="OCM186" s="16"/>
      <c r="OCN186" s="10"/>
      <c r="OCO186" s="10"/>
      <c r="OCV186" s="3"/>
      <c r="OCX186" s="1"/>
      <c r="OCZ186" s="16"/>
      <c r="ODA186" s="16"/>
      <c r="ODB186" s="16"/>
      <c r="ODC186" s="16"/>
      <c r="ODD186" s="10"/>
      <c r="ODE186" s="10"/>
      <c r="ODL186" s="3"/>
      <c r="ODN186" s="1"/>
      <c r="ODP186" s="16"/>
      <c r="ODQ186" s="16"/>
      <c r="ODR186" s="16"/>
      <c r="ODS186" s="16"/>
      <c r="ODT186" s="10"/>
      <c r="ODU186" s="10"/>
      <c r="OEB186" s="3"/>
      <c r="OED186" s="1"/>
      <c r="OEF186" s="16"/>
      <c r="OEG186" s="16"/>
      <c r="OEH186" s="16"/>
      <c r="OEI186" s="16"/>
      <c r="OEJ186" s="10"/>
      <c r="OEK186" s="10"/>
      <c r="OER186" s="3"/>
      <c r="OET186" s="1"/>
      <c r="OEV186" s="16"/>
      <c r="OEW186" s="16"/>
      <c r="OEX186" s="16"/>
      <c r="OEY186" s="16"/>
      <c r="OEZ186" s="10"/>
      <c r="OFA186" s="10"/>
      <c r="OFH186" s="3"/>
      <c r="OFJ186" s="1"/>
      <c r="OFL186" s="16"/>
      <c r="OFM186" s="16"/>
      <c r="OFN186" s="16"/>
      <c r="OFO186" s="16"/>
      <c r="OFP186" s="10"/>
      <c r="OFQ186" s="10"/>
      <c r="OFX186" s="3"/>
      <c r="OFZ186" s="1"/>
      <c r="OGB186" s="16"/>
      <c r="OGC186" s="16"/>
      <c r="OGD186" s="16"/>
      <c r="OGE186" s="16"/>
      <c r="OGF186" s="10"/>
      <c r="OGG186" s="10"/>
      <c r="OGN186" s="3"/>
      <c r="OGP186" s="1"/>
      <c r="OGR186" s="16"/>
      <c r="OGS186" s="16"/>
      <c r="OGT186" s="16"/>
      <c r="OGU186" s="16"/>
      <c r="OGV186" s="10"/>
      <c r="OGW186" s="10"/>
      <c r="OHD186" s="3"/>
      <c r="OHF186" s="1"/>
      <c r="OHH186" s="16"/>
      <c r="OHI186" s="16"/>
      <c r="OHJ186" s="16"/>
      <c r="OHK186" s="16"/>
      <c r="OHL186" s="10"/>
      <c r="OHM186" s="10"/>
      <c r="OHT186" s="3"/>
      <c r="OHV186" s="1"/>
      <c r="OHX186" s="16"/>
      <c r="OHY186" s="16"/>
      <c r="OHZ186" s="16"/>
      <c r="OIA186" s="16"/>
      <c r="OIB186" s="10"/>
      <c r="OIC186" s="10"/>
      <c r="OIJ186" s="3"/>
      <c r="OIL186" s="1"/>
      <c r="OIN186" s="16"/>
      <c r="OIO186" s="16"/>
      <c r="OIP186" s="16"/>
      <c r="OIQ186" s="16"/>
      <c r="OIR186" s="10"/>
      <c r="OIS186" s="10"/>
      <c r="OIZ186" s="3"/>
      <c r="OJB186" s="1"/>
      <c r="OJD186" s="16"/>
      <c r="OJE186" s="16"/>
      <c r="OJF186" s="16"/>
      <c r="OJG186" s="16"/>
      <c r="OJH186" s="10"/>
      <c r="OJI186" s="10"/>
      <c r="OJP186" s="3"/>
      <c r="OJR186" s="1"/>
      <c r="OJT186" s="16"/>
      <c r="OJU186" s="16"/>
      <c r="OJV186" s="16"/>
      <c r="OJW186" s="16"/>
      <c r="OJX186" s="10"/>
      <c r="OJY186" s="10"/>
      <c r="OKF186" s="3"/>
      <c r="OKH186" s="1"/>
      <c r="OKJ186" s="16"/>
      <c r="OKK186" s="16"/>
      <c r="OKL186" s="16"/>
      <c r="OKM186" s="16"/>
      <c r="OKN186" s="10"/>
      <c r="OKO186" s="10"/>
      <c r="OKV186" s="3"/>
      <c r="OKX186" s="1"/>
      <c r="OKZ186" s="16"/>
      <c r="OLA186" s="16"/>
      <c r="OLB186" s="16"/>
      <c r="OLC186" s="16"/>
      <c r="OLD186" s="10"/>
      <c r="OLE186" s="10"/>
      <c r="OLL186" s="3"/>
      <c r="OLN186" s="1"/>
      <c r="OLP186" s="16"/>
      <c r="OLQ186" s="16"/>
      <c r="OLR186" s="16"/>
      <c r="OLS186" s="16"/>
      <c r="OLT186" s="10"/>
      <c r="OLU186" s="10"/>
      <c r="OMB186" s="3"/>
      <c r="OMD186" s="1"/>
      <c r="OMF186" s="16"/>
      <c r="OMG186" s="16"/>
      <c r="OMH186" s="16"/>
      <c r="OMI186" s="16"/>
      <c r="OMJ186" s="10"/>
      <c r="OMK186" s="10"/>
      <c r="OMR186" s="3"/>
      <c r="OMT186" s="1"/>
      <c r="OMV186" s="16"/>
      <c r="OMW186" s="16"/>
      <c r="OMX186" s="16"/>
      <c r="OMY186" s="16"/>
      <c r="OMZ186" s="10"/>
      <c r="ONA186" s="10"/>
      <c r="ONH186" s="3"/>
      <c r="ONJ186" s="1"/>
      <c r="ONL186" s="16"/>
      <c r="ONM186" s="16"/>
      <c r="ONN186" s="16"/>
      <c r="ONO186" s="16"/>
      <c r="ONP186" s="10"/>
      <c r="ONQ186" s="10"/>
      <c r="ONX186" s="3"/>
      <c r="ONZ186" s="1"/>
      <c r="OOB186" s="16"/>
      <c r="OOC186" s="16"/>
      <c r="OOD186" s="16"/>
      <c r="OOE186" s="16"/>
      <c r="OOF186" s="10"/>
      <c r="OOG186" s="10"/>
      <c r="OON186" s="3"/>
      <c r="OOP186" s="1"/>
      <c r="OOR186" s="16"/>
      <c r="OOS186" s="16"/>
      <c r="OOT186" s="16"/>
      <c r="OOU186" s="16"/>
      <c r="OOV186" s="10"/>
      <c r="OOW186" s="10"/>
      <c r="OPD186" s="3"/>
      <c r="OPF186" s="1"/>
      <c r="OPH186" s="16"/>
      <c r="OPI186" s="16"/>
      <c r="OPJ186" s="16"/>
      <c r="OPK186" s="16"/>
      <c r="OPL186" s="10"/>
      <c r="OPM186" s="10"/>
      <c r="OPT186" s="3"/>
      <c r="OPV186" s="1"/>
      <c r="OPX186" s="16"/>
      <c r="OPY186" s="16"/>
      <c r="OPZ186" s="16"/>
      <c r="OQA186" s="16"/>
      <c r="OQB186" s="10"/>
      <c r="OQC186" s="10"/>
      <c r="OQJ186" s="3"/>
      <c r="OQL186" s="1"/>
      <c r="OQN186" s="16"/>
      <c r="OQO186" s="16"/>
      <c r="OQP186" s="16"/>
      <c r="OQQ186" s="16"/>
      <c r="OQR186" s="10"/>
      <c r="OQS186" s="10"/>
      <c r="OQZ186" s="3"/>
      <c r="ORB186" s="1"/>
      <c r="ORD186" s="16"/>
      <c r="ORE186" s="16"/>
      <c r="ORF186" s="16"/>
      <c r="ORG186" s="16"/>
      <c r="ORH186" s="10"/>
      <c r="ORI186" s="10"/>
      <c r="ORP186" s="3"/>
      <c r="ORR186" s="1"/>
      <c r="ORT186" s="16"/>
      <c r="ORU186" s="16"/>
      <c r="ORV186" s="16"/>
      <c r="ORW186" s="16"/>
      <c r="ORX186" s="10"/>
      <c r="ORY186" s="10"/>
      <c r="OSF186" s="3"/>
      <c r="OSH186" s="1"/>
      <c r="OSJ186" s="16"/>
      <c r="OSK186" s="16"/>
      <c r="OSL186" s="16"/>
      <c r="OSM186" s="16"/>
      <c r="OSN186" s="10"/>
      <c r="OSO186" s="10"/>
      <c r="OSV186" s="3"/>
      <c r="OSX186" s="1"/>
      <c r="OSZ186" s="16"/>
      <c r="OTA186" s="16"/>
      <c r="OTB186" s="16"/>
      <c r="OTC186" s="16"/>
      <c r="OTD186" s="10"/>
      <c r="OTE186" s="10"/>
      <c r="OTL186" s="3"/>
      <c r="OTN186" s="1"/>
      <c r="OTP186" s="16"/>
      <c r="OTQ186" s="16"/>
      <c r="OTR186" s="16"/>
      <c r="OTS186" s="16"/>
      <c r="OTT186" s="10"/>
      <c r="OTU186" s="10"/>
      <c r="OUB186" s="3"/>
      <c r="OUD186" s="1"/>
      <c r="OUF186" s="16"/>
      <c r="OUG186" s="16"/>
      <c r="OUH186" s="16"/>
      <c r="OUI186" s="16"/>
      <c r="OUJ186" s="10"/>
      <c r="OUK186" s="10"/>
      <c r="OUR186" s="3"/>
      <c r="OUT186" s="1"/>
      <c r="OUV186" s="16"/>
      <c r="OUW186" s="16"/>
      <c r="OUX186" s="16"/>
      <c r="OUY186" s="16"/>
      <c r="OUZ186" s="10"/>
      <c r="OVA186" s="10"/>
      <c r="OVH186" s="3"/>
      <c r="OVJ186" s="1"/>
      <c r="OVL186" s="16"/>
      <c r="OVM186" s="16"/>
      <c r="OVN186" s="16"/>
      <c r="OVO186" s="16"/>
      <c r="OVP186" s="10"/>
      <c r="OVQ186" s="10"/>
      <c r="OVX186" s="3"/>
      <c r="OVZ186" s="1"/>
      <c r="OWB186" s="16"/>
      <c r="OWC186" s="16"/>
      <c r="OWD186" s="16"/>
      <c r="OWE186" s="16"/>
      <c r="OWF186" s="10"/>
      <c r="OWG186" s="10"/>
      <c r="OWN186" s="3"/>
      <c r="OWP186" s="1"/>
      <c r="OWR186" s="16"/>
      <c r="OWS186" s="16"/>
      <c r="OWT186" s="16"/>
      <c r="OWU186" s="16"/>
      <c r="OWV186" s="10"/>
      <c r="OWW186" s="10"/>
      <c r="OXD186" s="3"/>
      <c r="OXF186" s="1"/>
      <c r="OXH186" s="16"/>
      <c r="OXI186" s="16"/>
      <c r="OXJ186" s="16"/>
      <c r="OXK186" s="16"/>
      <c r="OXL186" s="10"/>
      <c r="OXM186" s="10"/>
      <c r="OXT186" s="3"/>
      <c r="OXV186" s="1"/>
      <c r="OXX186" s="16"/>
      <c r="OXY186" s="16"/>
      <c r="OXZ186" s="16"/>
      <c r="OYA186" s="16"/>
      <c r="OYB186" s="10"/>
      <c r="OYC186" s="10"/>
      <c r="OYJ186" s="3"/>
      <c r="OYL186" s="1"/>
      <c r="OYN186" s="16"/>
      <c r="OYO186" s="16"/>
      <c r="OYP186" s="16"/>
      <c r="OYQ186" s="16"/>
      <c r="OYR186" s="10"/>
      <c r="OYS186" s="10"/>
      <c r="OYZ186" s="3"/>
      <c r="OZB186" s="1"/>
      <c r="OZD186" s="16"/>
      <c r="OZE186" s="16"/>
      <c r="OZF186" s="16"/>
      <c r="OZG186" s="16"/>
      <c r="OZH186" s="10"/>
      <c r="OZI186" s="10"/>
      <c r="OZP186" s="3"/>
      <c r="OZR186" s="1"/>
      <c r="OZT186" s="16"/>
      <c r="OZU186" s="16"/>
      <c r="OZV186" s="16"/>
      <c r="OZW186" s="16"/>
      <c r="OZX186" s="10"/>
      <c r="OZY186" s="10"/>
      <c r="PAF186" s="3"/>
      <c r="PAH186" s="1"/>
      <c r="PAJ186" s="16"/>
      <c r="PAK186" s="16"/>
      <c r="PAL186" s="16"/>
      <c r="PAM186" s="16"/>
      <c r="PAN186" s="10"/>
      <c r="PAO186" s="10"/>
      <c r="PAV186" s="3"/>
      <c r="PAX186" s="1"/>
      <c r="PAZ186" s="16"/>
      <c r="PBA186" s="16"/>
      <c r="PBB186" s="16"/>
      <c r="PBC186" s="16"/>
      <c r="PBD186" s="10"/>
      <c r="PBE186" s="10"/>
      <c r="PBL186" s="3"/>
      <c r="PBN186" s="1"/>
      <c r="PBP186" s="16"/>
      <c r="PBQ186" s="16"/>
      <c r="PBR186" s="16"/>
      <c r="PBS186" s="16"/>
      <c r="PBT186" s="10"/>
      <c r="PBU186" s="10"/>
      <c r="PCB186" s="3"/>
      <c r="PCD186" s="1"/>
      <c r="PCF186" s="16"/>
      <c r="PCG186" s="16"/>
      <c r="PCH186" s="16"/>
      <c r="PCI186" s="16"/>
      <c r="PCJ186" s="10"/>
      <c r="PCK186" s="10"/>
      <c r="PCR186" s="3"/>
      <c r="PCT186" s="1"/>
      <c r="PCV186" s="16"/>
      <c r="PCW186" s="16"/>
      <c r="PCX186" s="16"/>
      <c r="PCY186" s="16"/>
      <c r="PCZ186" s="10"/>
      <c r="PDA186" s="10"/>
      <c r="PDH186" s="3"/>
      <c r="PDJ186" s="1"/>
      <c r="PDL186" s="16"/>
      <c r="PDM186" s="16"/>
      <c r="PDN186" s="16"/>
      <c r="PDO186" s="16"/>
      <c r="PDP186" s="10"/>
      <c r="PDQ186" s="10"/>
      <c r="PDX186" s="3"/>
      <c r="PDZ186" s="1"/>
      <c r="PEB186" s="16"/>
      <c r="PEC186" s="16"/>
      <c r="PED186" s="16"/>
      <c r="PEE186" s="16"/>
      <c r="PEF186" s="10"/>
      <c r="PEG186" s="10"/>
      <c r="PEN186" s="3"/>
      <c r="PEP186" s="1"/>
      <c r="PER186" s="16"/>
      <c r="PES186" s="16"/>
      <c r="PET186" s="16"/>
      <c r="PEU186" s="16"/>
      <c r="PEV186" s="10"/>
      <c r="PEW186" s="10"/>
      <c r="PFD186" s="3"/>
      <c r="PFF186" s="1"/>
      <c r="PFH186" s="16"/>
      <c r="PFI186" s="16"/>
      <c r="PFJ186" s="16"/>
      <c r="PFK186" s="16"/>
      <c r="PFL186" s="10"/>
      <c r="PFM186" s="10"/>
      <c r="PFT186" s="3"/>
      <c r="PFV186" s="1"/>
      <c r="PFX186" s="16"/>
      <c r="PFY186" s="16"/>
      <c r="PFZ186" s="16"/>
      <c r="PGA186" s="16"/>
      <c r="PGB186" s="10"/>
      <c r="PGC186" s="10"/>
      <c r="PGJ186" s="3"/>
      <c r="PGL186" s="1"/>
      <c r="PGN186" s="16"/>
      <c r="PGO186" s="16"/>
      <c r="PGP186" s="16"/>
      <c r="PGQ186" s="16"/>
      <c r="PGR186" s="10"/>
      <c r="PGS186" s="10"/>
      <c r="PGZ186" s="3"/>
      <c r="PHB186" s="1"/>
      <c r="PHD186" s="16"/>
      <c r="PHE186" s="16"/>
      <c r="PHF186" s="16"/>
      <c r="PHG186" s="16"/>
      <c r="PHH186" s="10"/>
      <c r="PHI186" s="10"/>
      <c r="PHP186" s="3"/>
      <c r="PHR186" s="1"/>
      <c r="PHT186" s="16"/>
      <c r="PHU186" s="16"/>
      <c r="PHV186" s="16"/>
      <c r="PHW186" s="16"/>
      <c r="PHX186" s="10"/>
      <c r="PHY186" s="10"/>
      <c r="PIF186" s="3"/>
      <c r="PIH186" s="1"/>
      <c r="PIJ186" s="16"/>
      <c r="PIK186" s="16"/>
      <c r="PIL186" s="16"/>
      <c r="PIM186" s="16"/>
      <c r="PIN186" s="10"/>
      <c r="PIO186" s="10"/>
      <c r="PIV186" s="3"/>
      <c r="PIX186" s="1"/>
      <c r="PIZ186" s="16"/>
      <c r="PJA186" s="16"/>
      <c r="PJB186" s="16"/>
      <c r="PJC186" s="16"/>
      <c r="PJD186" s="10"/>
      <c r="PJE186" s="10"/>
      <c r="PJL186" s="3"/>
      <c r="PJN186" s="1"/>
      <c r="PJP186" s="16"/>
      <c r="PJQ186" s="16"/>
      <c r="PJR186" s="16"/>
      <c r="PJS186" s="16"/>
      <c r="PJT186" s="10"/>
      <c r="PJU186" s="10"/>
      <c r="PKB186" s="3"/>
      <c r="PKD186" s="1"/>
      <c r="PKF186" s="16"/>
      <c r="PKG186" s="16"/>
      <c r="PKH186" s="16"/>
      <c r="PKI186" s="16"/>
      <c r="PKJ186" s="10"/>
      <c r="PKK186" s="10"/>
      <c r="PKR186" s="3"/>
      <c r="PKT186" s="1"/>
      <c r="PKV186" s="16"/>
      <c r="PKW186" s="16"/>
      <c r="PKX186" s="16"/>
      <c r="PKY186" s="16"/>
      <c r="PKZ186" s="10"/>
      <c r="PLA186" s="10"/>
      <c r="PLH186" s="3"/>
      <c r="PLJ186" s="1"/>
      <c r="PLL186" s="16"/>
      <c r="PLM186" s="16"/>
      <c r="PLN186" s="16"/>
      <c r="PLO186" s="16"/>
      <c r="PLP186" s="10"/>
      <c r="PLQ186" s="10"/>
      <c r="PLX186" s="3"/>
      <c r="PLZ186" s="1"/>
      <c r="PMB186" s="16"/>
      <c r="PMC186" s="16"/>
      <c r="PMD186" s="16"/>
      <c r="PME186" s="16"/>
      <c r="PMF186" s="10"/>
      <c r="PMG186" s="10"/>
      <c r="PMN186" s="3"/>
      <c r="PMP186" s="1"/>
      <c r="PMR186" s="16"/>
      <c r="PMS186" s="16"/>
      <c r="PMT186" s="16"/>
      <c r="PMU186" s="16"/>
      <c r="PMV186" s="10"/>
      <c r="PMW186" s="10"/>
      <c r="PND186" s="3"/>
      <c r="PNF186" s="1"/>
      <c r="PNH186" s="16"/>
      <c r="PNI186" s="16"/>
      <c r="PNJ186" s="16"/>
      <c r="PNK186" s="16"/>
      <c r="PNL186" s="10"/>
      <c r="PNM186" s="10"/>
      <c r="PNT186" s="3"/>
      <c r="PNV186" s="1"/>
      <c r="PNX186" s="16"/>
      <c r="PNY186" s="16"/>
      <c r="PNZ186" s="16"/>
      <c r="POA186" s="16"/>
      <c r="POB186" s="10"/>
      <c r="POC186" s="10"/>
      <c r="POJ186" s="3"/>
      <c r="POL186" s="1"/>
      <c r="PON186" s="16"/>
      <c r="POO186" s="16"/>
      <c r="POP186" s="16"/>
      <c r="POQ186" s="16"/>
      <c r="POR186" s="10"/>
      <c r="POS186" s="10"/>
      <c r="POZ186" s="3"/>
      <c r="PPB186" s="1"/>
      <c r="PPD186" s="16"/>
      <c r="PPE186" s="16"/>
      <c r="PPF186" s="16"/>
      <c r="PPG186" s="16"/>
      <c r="PPH186" s="10"/>
      <c r="PPI186" s="10"/>
      <c r="PPP186" s="3"/>
      <c r="PPR186" s="1"/>
      <c r="PPT186" s="16"/>
      <c r="PPU186" s="16"/>
      <c r="PPV186" s="16"/>
      <c r="PPW186" s="16"/>
      <c r="PPX186" s="10"/>
      <c r="PPY186" s="10"/>
      <c r="PQF186" s="3"/>
      <c r="PQH186" s="1"/>
      <c r="PQJ186" s="16"/>
      <c r="PQK186" s="16"/>
      <c r="PQL186" s="16"/>
      <c r="PQM186" s="16"/>
      <c r="PQN186" s="10"/>
      <c r="PQO186" s="10"/>
      <c r="PQV186" s="3"/>
      <c r="PQX186" s="1"/>
      <c r="PQZ186" s="16"/>
      <c r="PRA186" s="16"/>
      <c r="PRB186" s="16"/>
      <c r="PRC186" s="16"/>
      <c r="PRD186" s="10"/>
      <c r="PRE186" s="10"/>
      <c r="PRL186" s="3"/>
      <c r="PRN186" s="1"/>
      <c r="PRP186" s="16"/>
      <c r="PRQ186" s="16"/>
      <c r="PRR186" s="16"/>
      <c r="PRS186" s="16"/>
      <c r="PRT186" s="10"/>
      <c r="PRU186" s="10"/>
      <c r="PSB186" s="3"/>
      <c r="PSD186" s="1"/>
      <c r="PSF186" s="16"/>
      <c r="PSG186" s="16"/>
      <c r="PSH186" s="16"/>
      <c r="PSI186" s="16"/>
      <c r="PSJ186" s="10"/>
      <c r="PSK186" s="10"/>
      <c r="PSR186" s="3"/>
      <c r="PST186" s="1"/>
      <c r="PSV186" s="16"/>
      <c r="PSW186" s="16"/>
      <c r="PSX186" s="16"/>
      <c r="PSY186" s="16"/>
      <c r="PSZ186" s="10"/>
      <c r="PTA186" s="10"/>
      <c r="PTH186" s="3"/>
      <c r="PTJ186" s="1"/>
      <c r="PTL186" s="16"/>
      <c r="PTM186" s="16"/>
      <c r="PTN186" s="16"/>
      <c r="PTO186" s="16"/>
      <c r="PTP186" s="10"/>
      <c r="PTQ186" s="10"/>
      <c r="PTX186" s="3"/>
      <c r="PTZ186" s="1"/>
      <c r="PUB186" s="16"/>
      <c r="PUC186" s="16"/>
      <c r="PUD186" s="16"/>
      <c r="PUE186" s="16"/>
      <c r="PUF186" s="10"/>
      <c r="PUG186" s="10"/>
      <c r="PUN186" s="3"/>
      <c r="PUP186" s="1"/>
      <c r="PUR186" s="16"/>
      <c r="PUS186" s="16"/>
      <c r="PUT186" s="16"/>
      <c r="PUU186" s="16"/>
      <c r="PUV186" s="10"/>
      <c r="PUW186" s="10"/>
      <c r="PVD186" s="3"/>
      <c r="PVF186" s="1"/>
      <c r="PVH186" s="16"/>
      <c r="PVI186" s="16"/>
      <c r="PVJ186" s="16"/>
      <c r="PVK186" s="16"/>
      <c r="PVL186" s="10"/>
      <c r="PVM186" s="10"/>
      <c r="PVT186" s="3"/>
      <c r="PVV186" s="1"/>
      <c r="PVX186" s="16"/>
      <c r="PVY186" s="16"/>
      <c r="PVZ186" s="16"/>
      <c r="PWA186" s="16"/>
      <c r="PWB186" s="10"/>
      <c r="PWC186" s="10"/>
      <c r="PWJ186" s="3"/>
      <c r="PWL186" s="1"/>
      <c r="PWN186" s="16"/>
      <c r="PWO186" s="16"/>
      <c r="PWP186" s="16"/>
      <c r="PWQ186" s="16"/>
      <c r="PWR186" s="10"/>
      <c r="PWS186" s="10"/>
      <c r="PWZ186" s="3"/>
      <c r="PXB186" s="1"/>
      <c r="PXD186" s="16"/>
      <c r="PXE186" s="16"/>
      <c r="PXF186" s="16"/>
      <c r="PXG186" s="16"/>
      <c r="PXH186" s="10"/>
      <c r="PXI186" s="10"/>
      <c r="PXP186" s="3"/>
      <c r="PXR186" s="1"/>
      <c r="PXT186" s="16"/>
      <c r="PXU186" s="16"/>
      <c r="PXV186" s="16"/>
      <c r="PXW186" s="16"/>
      <c r="PXX186" s="10"/>
      <c r="PXY186" s="10"/>
      <c r="PYF186" s="3"/>
      <c r="PYH186" s="1"/>
      <c r="PYJ186" s="16"/>
      <c r="PYK186" s="16"/>
      <c r="PYL186" s="16"/>
      <c r="PYM186" s="16"/>
      <c r="PYN186" s="10"/>
      <c r="PYO186" s="10"/>
      <c r="PYV186" s="3"/>
      <c r="PYX186" s="1"/>
      <c r="PYZ186" s="16"/>
      <c r="PZA186" s="16"/>
      <c r="PZB186" s="16"/>
      <c r="PZC186" s="16"/>
      <c r="PZD186" s="10"/>
      <c r="PZE186" s="10"/>
      <c r="PZL186" s="3"/>
      <c r="PZN186" s="1"/>
      <c r="PZP186" s="16"/>
      <c r="PZQ186" s="16"/>
      <c r="PZR186" s="16"/>
      <c r="PZS186" s="16"/>
      <c r="PZT186" s="10"/>
      <c r="PZU186" s="10"/>
      <c r="QAB186" s="3"/>
      <c r="QAD186" s="1"/>
      <c r="QAF186" s="16"/>
      <c r="QAG186" s="16"/>
      <c r="QAH186" s="16"/>
      <c r="QAI186" s="16"/>
      <c r="QAJ186" s="10"/>
      <c r="QAK186" s="10"/>
      <c r="QAR186" s="3"/>
      <c r="QAT186" s="1"/>
      <c r="QAV186" s="16"/>
      <c r="QAW186" s="16"/>
      <c r="QAX186" s="16"/>
      <c r="QAY186" s="16"/>
      <c r="QAZ186" s="10"/>
      <c r="QBA186" s="10"/>
      <c r="QBH186" s="3"/>
      <c r="QBJ186" s="1"/>
      <c r="QBL186" s="16"/>
      <c r="QBM186" s="16"/>
      <c r="QBN186" s="16"/>
      <c r="QBO186" s="16"/>
      <c r="QBP186" s="10"/>
      <c r="QBQ186" s="10"/>
      <c r="QBX186" s="3"/>
      <c r="QBZ186" s="1"/>
      <c r="QCB186" s="16"/>
      <c r="QCC186" s="16"/>
      <c r="QCD186" s="16"/>
      <c r="QCE186" s="16"/>
      <c r="QCF186" s="10"/>
      <c r="QCG186" s="10"/>
      <c r="QCN186" s="3"/>
      <c r="QCP186" s="1"/>
      <c r="QCR186" s="16"/>
      <c r="QCS186" s="16"/>
      <c r="QCT186" s="16"/>
      <c r="QCU186" s="16"/>
      <c r="QCV186" s="10"/>
      <c r="QCW186" s="10"/>
      <c r="QDD186" s="3"/>
      <c r="QDF186" s="1"/>
      <c r="QDH186" s="16"/>
      <c r="QDI186" s="16"/>
      <c r="QDJ186" s="16"/>
      <c r="QDK186" s="16"/>
      <c r="QDL186" s="10"/>
      <c r="QDM186" s="10"/>
      <c r="QDT186" s="3"/>
      <c r="QDV186" s="1"/>
      <c r="QDX186" s="16"/>
      <c r="QDY186" s="16"/>
      <c r="QDZ186" s="16"/>
      <c r="QEA186" s="16"/>
      <c r="QEB186" s="10"/>
      <c r="QEC186" s="10"/>
      <c r="QEJ186" s="3"/>
      <c r="QEL186" s="1"/>
      <c r="QEN186" s="16"/>
      <c r="QEO186" s="16"/>
      <c r="QEP186" s="16"/>
      <c r="QEQ186" s="16"/>
      <c r="QER186" s="10"/>
      <c r="QES186" s="10"/>
      <c r="QEZ186" s="3"/>
      <c r="QFB186" s="1"/>
      <c r="QFD186" s="16"/>
      <c r="QFE186" s="16"/>
      <c r="QFF186" s="16"/>
      <c r="QFG186" s="16"/>
      <c r="QFH186" s="10"/>
      <c r="QFI186" s="10"/>
      <c r="QFP186" s="3"/>
      <c r="QFR186" s="1"/>
      <c r="QFT186" s="16"/>
      <c r="QFU186" s="16"/>
      <c r="QFV186" s="16"/>
      <c r="QFW186" s="16"/>
      <c r="QFX186" s="10"/>
      <c r="QFY186" s="10"/>
      <c r="QGF186" s="3"/>
      <c r="QGH186" s="1"/>
      <c r="QGJ186" s="16"/>
      <c r="QGK186" s="16"/>
      <c r="QGL186" s="16"/>
      <c r="QGM186" s="16"/>
      <c r="QGN186" s="10"/>
      <c r="QGO186" s="10"/>
      <c r="QGV186" s="3"/>
      <c r="QGX186" s="1"/>
      <c r="QGZ186" s="16"/>
      <c r="QHA186" s="16"/>
      <c r="QHB186" s="16"/>
      <c r="QHC186" s="16"/>
      <c r="QHD186" s="10"/>
      <c r="QHE186" s="10"/>
      <c r="QHL186" s="3"/>
      <c r="QHN186" s="1"/>
      <c r="QHP186" s="16"/>
      <c r="QHQ186" s="16"/>
      <c r="QHR186" s="16"/>
      <c r="QHS186" s="16"/>
      <c r="QHT186" s="10"/>
      <c r="QHU186" s="10"/>
      <c r="QIB186" s="3"/>
      <c r="QID186" s="1"/>
      <c r="QIF186" s="16"/>
      <c r="QIG186" s="16"/>
      <c r="QIH186" s="16"/>
      <c r="QII186" s="16"/>
      <c r="QIJ186" s="10"/>
      <c r="QIK186" s="10"/>
      <c r="QIR186" s="3"/>
      <c r="QIT186" s="1"/>
      <c r="QIV186" s="16"/>
      <c r="QIW186" s="16"/>
      <c r="QIX186" s="16"/>
      <c r="QIY186" s="16"/>
      <c r="QIZ186" s="10"/>
      <c r="QJA186" s="10"/>
      <c r="QJH186" s="3"/>
      <c r="QJJ186" s="1"/>
      <c r="QJL186" s="16"/>
      <c r="QJM186" s="16"/>
      <c r="QJN186" s="16"/>
      <c r="QJO186" s="16"/>
      <c r="QJP186" s="10"/>
      <c r="QJQ186" s="10"/>
      <c r="QJX186" s="3"/>
      <c r="QJZ186" s="1"/>
      <c r="QKB186" s="16"/>
      <c r="QKC186" s="16"/>
      <c r="QKD186" s="16"/>
      <c r="QKE186" s="16"/>
      <c r="QKF186" s="10"/>
      <c r="QKG186" s="10"/>
      <c r="QKN186" s="3"/>
      <c r="QKP186" s="1"/>
      <c r="QKR186" s="16"/>
      <c r="QKS186" s="16"/>
      <c r="QKT186" s="16"/>
      <c r="QKU186" s="16"/>
      <c r="QKV186" s="10"/>
      <c r="QKW186" s="10"/>
      <c r="QLD186" s="3"/>
      <c r="QLF186" s="1"/>
      <c r="QLH186" s="16"/>
      <c r="QLI186" s="16"/>
      <c r="QLJ186" s="16"/>
      <c r="QLK186" s="16"/>
      <c r="QLL186" s="10"/>
      <c r="QLM186" s="10"/>
      <c r="QLT186" s="3"/>
      <c r="QLV186" s="1"/>
      <c r="QLX186" s="16"/>
      <c r="QLY186" s="16"/>
      <c r="QLZ186" s="16"/>
      <c r="QMA186" s="16"/>
      <c r="QMB186" s="10"/>
      <c r="QMC186" s="10"/>
      <c r="QMJ186" s="3"/>
      <c r="QML186" s="1"/>
      <c r="QMN186" s="16"/>
      <c r="QMO186" s="16"/>
      <c r="QMP186" s="16"/>
      <c r="QMQ186" s="16"/>
      <c r="QMR186" s="10"/>
      <c r="QMS186" s="10"/>
      <c r="QMZ186" s="3"/>
      <c r="QNB186" s="1"/>
      <c r="QND186" s="16"/>
      <c r="QNE186" s="16"/>
      <c r="QNF186" s="16"/>
      <c r="QNG186" s="16"/>
      <c r="QNH186" s="10"/>
      <c r="QNI186" s="10"/>
      <c r="QNP186" s="3"/>
      <c r="QNR186" s="1"/>
      <c r="QNT186" s="16"/>
      <c r="QNU186" s="16"/>
      <c r="QNV186" s="16"/>
      <c r="QNW186" s="16"/>
      <c r="QNX186" s="10"/>
      <c r="QNY186" s="10"/>
      <c r="QOF186" s="3"/>
      <c r="QOH186" s="1"/>
      <c r="QOJ186" s="16"/>
      <c r="QOK186" s="16"/>
      <c r="QOL186" s="16"/>
      <c r="QOM186" s="16"/>
      <c r="QON186" s="10"/>
      <c r="QOO186" s="10"/>
      <c r="QOV186" s="3"/>
      <c r="QOX186" s="1"/>
      <c r="QOZ186" s="16"/>
      <c r="QPA186" s="16"/>
      <c r="QPB186" s="16"/>
      <c r="QPC186" s="16"/>
      <c r="QPD186" s="10"/>
      <c r="QPE186" s="10"/>
      <c r="QPL186" s="3"/>
      <c r="QPN186" s="1"/>
      <c r="QPP186" s="16"/>
      <c r="QPQ186" s="16"/>
      <c r="QPR186" s="16"/>
      <c r="QPS186" s="16"/>
      <c r="QPT186" s="10"/>
      <c r="QPU186" s="10"/>
      <c r="QQB186" s="3"/>
      <c r="QQD186" s="1"/>
      <c r="QQF186" s="16"/>
      <c r="QQG186" s="16"/>
      <c r="QQH186" s="16"/>
      <c r="QQI186" s="16"/>
      <c r="QQJ186" s="10"/>
      <c r="QQK186" s="10"/>
      <c r="QQR186" s="3"/>
      <c r="QQT186" s="1"/>
      <c r="QQV186" s="16"/>
      <c r="QQW186" s="16"/>
      <c r="QQX186" s="16"/>
      <c r="QQY186" s="16"/>
      <c r="QQZ186" s="10"/>
      <c r="QRA186" s="10"/>
      <c r="QRH186" s="3"/>
      <c r="QRJ186" s="1"/>
      <c r="QRL186" s="16"/>
      <c r="QRM186" s="16"/>
      <c r="QRN186" s="16"/>
      <c r="QRO186" s="16"/>
      <c r="QRP186" s="10"/>
      <c r="QRQ186" s="10"/>
      <c r="QRX186" s="3"/>
      <c r="QRZ186" s="1"/>
      <c r="QSB186" s="16"/>
      <c r="QSC186" s="16"/>
      <c r="QSD186" s="16"/>
      <c r="QSE186" s="16"/>
      <c r="QSF186" s="10"/>
      <c r="QSG186" s="10"/>
      <c r="QSN186" s="3"/>
      <c r="QSP186" s="1"/>
      <c r="QSR186" s="16"/>
      <c r="QSS186" s="16"/>
      <c r="QST186" s="16"/>
      <c r="QSU186" s="16"/>
      <c r="QSV186" s="10"/>
      <c r="QSW186" s="10"/>
      <c r="QTD186" s="3"/>
      <c r="QTF186" s="1"/>
      <c r="QTH186" s="16"/>
      <c r="QTI186" s="16"/>
      <c r="QTJ186" s="16"/>
      <c r="QTK186" s="16"/>
      <c r="QTL186" s="10"/>
      <c r="QTM186" s="10"/>
      <c r="QTT186" s="3"/>
      <c r="QTV186" s="1"/>
      <c r="QTX186" s="16"/>
      <c r="QTY186" s="16"/>
      <c r="QTZ186" s="16"/>
      <c r="QUA186" s="16"/>
      <c r="QUB186" s="10"/>
      <c r="QUC186" s="10"/>
      <c r="QUJ186" s="3"/>
      <c r="QUL186" s="1"/>
      <c r="QUN186" s="16"/>
      <c r="QUO186" s="16"/>
      <c r="QUP186" s="16"/>
      <c r="QUQ186" s="16"/>
      <c r="QUR186" s="10"/>
      <c r="QUS186" s="10"/>
      <c r="QUZ186" s="3"/>
      <c r="QVB186" s="1"/>
      <c r="QVD186" s="16"/>
      <c r="QVE186" s="16"/>
      <c r="QVF186" s="16"/>
      <c r="QVG186" s="16"/>
      <c r="QVH186" s="10"/>
      <c r="QVI186" s="10"/>
      <c r="QVP186" s="3"/>
      <c r="QVR186" s="1"/>
      <c r="QVT186" s="16"/>
      <c r="QVU186" s="16"/>
      <c r="QVV186" s="16"/>
      <c r="QVW186" s="16"/>
      <c r="QVX186" s="10"/>
      <c r="QVY186" s="10"/>
      <c r="QWF186" s="3"/>
      <c r="QWH186" s="1"/>
      <c r="QWJ186" s="16"/>
      <c r="QWK186" s="16"/>
      <c r="QWL186" s="16"/>
      <c r="QWM186" s="16"/>
      <c r="QWN186" s="10"/>
      <c r="QWO186" s="10"/>
      <c r="QWV186" s="3"/>
      <c r="QWX186" s="1"/>
      <c r="QWZ186" s="16"/>
      <c r="QXA186" s="16"/>
      <c r="QXB186" s="16"/>
      <c r="QXC186" s="16"/>
      <c r="QXD186" s="10"/>
      <c r="QXE186" s="10"/>
      <c r="QXL186" s="3"/>
      <c r="QXN186" s="1"/>
      <c r="QXP186" s="16"/>
      <c r="QXQ186" s="16"/>
      <c r="QXR186" s="16"/>
      <c r="QXS186" s="16"/>
      <c r="QXT186" s="10"/>
      <c r="QXU186" s="10"/>
      <c r="QYB186" s="3"/>
      <c r="QYD186" s="1"/>
      <c r="QYF186" s="16"/>
      <c r="QYG186" s="16"/>
      <c r="QYH186" s="16"/>
      <c r="QYI186" s="16"/>
      <c r="QYJ186" s="10"/>
      <c r="QYK186" s="10"/>
      <c r="QYR186" s="3"/>
      <c r="QYT186" s="1"/>
      <c r="QYV186" s="16"/>
      <c r="QYW186" s="16"/>
      <c r="QYX186" s="16"/>
      <c r="QYY186" s="16"/>
      <c r="QYZ186" s="10"/>
      <c r="QZA186" s="10"/>
      <c r="QZH186" s="3"/>
      <c r="QZJ186" s="1"/>
      <c r="QZL186" s="16"/>
      <c r="QZM186" s="16"/>
      <c r="QZN186" s="16"/>
      <c r="QZO186" s="16"/>
      <c r="QZP186" s="10"/>
      <c r="QZQ186" s="10"/>
      <c r="QZX186" s="3"/>
      <c r="QZZ186" s="1"/>
      <c r="RAB186" s="16"/>
      <c r="RAC186" s="16"/>
      <c r="RAD186" s="16"/>
      <c r="RAE186" s="16"/>
      <c r="RAF186" s="10"/>
      <c r="RAG186" s="10"/>
      <c r="RAN186" s="3"/>
      <c r="RAP186" s="1"/>
      <c r="RAR186" s="16"/>
      <c r="RAS186" s="16"/>
      <c r="RAT186" s="16"/>
      <c r="RAU186" s="16"/>
      <c r="RAV186" s="10"/>
      <c r="RAW186" s="10"/>
      <c r="RBD186" s="3"/>
      <c r="RBF186" s="1"/>
      <c r="RBH186" s="16"/>
      <c r="RBI186" s="16"/>
      <c r="RBJ186" s="16"/>
      <c r="RBK186" s="16"/>
      <c r="RBL186" s="10"/>
      <c r="RBM186" s="10"/>
      <c r="RBT186" s="3"/>
      <c r="RBV186" s="1"/>
      <c r="RBX186" s="16"/>
      <c r="RBY186" s="16"/>
      <c r="RBZ186" s="16"/>
      <c r="RCA186" s="16"/>
      <c r="RCB186" s="10"/>
      <c r="RCC186" s="10"/>
      <c r="RCJ186" s="3"/>
      <c r="RCL186" s="1"/>
      <c r="RCN186" s="16"/>
      <c r="RCO186" s="16"/>
      <c r="RCP186" s="16"/>
      <c r="RCQ186" s="16"/>
      <c r="RCR186" s="10"/>
      <c r="RCS186" s="10"/>
      <c r="RCZ186" s="3"/>
      <c r="RDB186" s="1"/>
      <c r="RDD186" s="16"/>
      <c r="RDE186" s="16"/>
      <c r="RDF186" s="16"/>
      <c r="RDG186" s="16"/>
      <c r="RDH186" s="10"/>
      <c r="RDI186" s="10"/>
      <c r="RDP186" s="3"/>
      <c r="RDR186" s="1"/>
      <c r="RDT186" s="16"/>
      <c r="RDU186" s="16"/>
      <c r="RDV186" s="16"/>
      <c r="RDW186" s="16"/>
      <c r="RDX186" s="10"/>
      <c r="RDY186" s="10"/>
      <c r="REF186" s="3"/>
      <c r="REH186" s="1"/>
      <c r="REJ186" s="16"/>
      <c r="REK186" s="16"/>
      <c r="REL186" s="16"/>
      <c r="REM186" s="16"/>
      <c r="REN186" s="10"/>
      <c r="REO186" s="10"/>
      <c r="REV186" s="3"/>
      <c r="REX186" s="1"/>
      <c r="REZ186" s="16"/>
      <c r="RFA186" s="16"/>
      <c r="RFB186" s="16"/>
      <c r="RFC186" s="16"/>
      <c r="RFD186" s="10"/>
      <c r="RFE186" s="10"/>
      <c r="RFL186" s="3"/>
      <c r="RFN186" s="1"/>
      <c r="RFP186" s="16"/>
      <c r="RFQ186" s="16"/>
      <c r="RFR186" s="16"/>
      <c r="RFS186" s="16"/>
      <c r="RFT186" s="10"/>
      <c r="RFU186" s="10"/>
      <c r="RGB186" s="3"/>
      <c r="RGD186" s="1"/>
      <c r="RGF186" s="16"/>
      <c r="RGG186" s="16"/>
      <c r="RGH186" s="16"/>
      <c r="RGI186" s="16"/>
      <c r="RGJ186" s="10"/>
      <c r="RGK186" s="10"/>
      <c r="RGR186" s="3"/>
      <c r="RGT186" s="1"/>
      <c r="RGV186" s="16"/>
      <c r="RGW186" s="16"/>
      <c r="RGX186" s="16"/>
      <c r="RGY186" s="16"/>
      <c r="RGZ186" s="10"/>
      <c r="RHA186" s="10"/>
      <c r="RHH186" s="3"/>
      <c r="RHJ186" s="1"/>
      <c r="RHL186" s="16"/>
      <c r="RHM186" s="16"/>
      <c r="RHN186" s="16"/>
      <c r="RHO186" s="16"/>
      <c r="RHP186" s="10"/>
      <c r="RHQ186" s="10"/>
      <c r="RHX186" s="3"/>
      <c r="RHZ186" s="1"/>
      <c r="RIB186" s="16"/>
      <c r="RIC186" s="16"/>
      <c r="RID186" s="16"/>
      <c r="RIE186" s="16"/>
      <c r="RIF186" s="10"/>
      <c r="RIG186" s="10"/>
      <c r="RIN186" s="3"/>
      <c r="RIP186" s="1"/>
      <c r="RIR186" s="16"/>
      <c r="RIS186" s="16"/>
      <c r="RIT186" s="16"/>
      <c r="RIU186" s="16"/>
      <c r="RIV186" s="10"/>
      <c r="RIW186" s="10"/>
      <c r="RJD186" s="3"/>
      <c r="RJF186" s="1"/>
      <c r="RJH186" s="16"/>
      <c r="RJI186" s="16"/>
      <c r="RJJ186" s="16"/>
      <c r="RJK186" s="16"/>
      <c r="RJL186" s="10"/>
      <c r="RJM186" s="10"/>
      <c r="RJT186" s="3"/>
      <c r="RJV186" s="1"/>
      <c r="RJX186" s="16"/>
      <c r="RJY186" s="16"/>
      <c r="RJZ186" s="16"/>
      <c r="RKA186" s="16"/>
      <c r="RKB186" s="10"/>
      <c r="RKC186" s="10"/>
      <c r="RKJ186" s="3"/>
      <c r="RKL186" s="1"/>
      <c r="RKN186" s="16"/>
      <c r="RKO186" s="16"/>
      <c r="RKP186" s="16"/>
      <c r="RKQ186" s="16"/>
      <c r="RKR186" s="10"/>
      <c r="RKS186" s="10"/>
      <c r="RKZ186" s="3"/>
      <c r="RLB186" s="1"/>
      <c r="RLD186" s="16"/>
      <c r="RLE186" s="16"/>
      <c r="RLF186" s="16"/>
      <c r="RLG186" s="16"/>
      <c r="RLH186" s="10"/>
      <c r="RLI186" s="10"/>
      <c r="RLP186" s="3"/>
      <c r="RLR186" s="1"/>
      <c r="RLT186" s="16"/>
      <c r="RLU186" s="16"/>
      <c r="RLV186" s="16"/>
      <c r="RLW186" s="16"/>
      <c r="RLX186" s="10"/>
      <c r="RLY186" s="10"/>
      <c r="RMF186" s="3"/>
      <c r="RMH186" s="1"/>
      <c r="RMJ186" s="16"/>
      <c r="RMK186" s="16"/>
      <c r="RML186" s="16"/>
      <c r="RMM186" s="16"/>
      <c r="RMN186" s="10"/>
      <c r="RMO186" s="10"/>
      <c r="RMV186" s="3"/>
      <c r="RMX186" s="1"/>
      <c r="RMZ186" s="16"/>
      <c r="RNA186" s="16"/>
      <c r="RNB186" s="16"/>
      <c r="RNC186" s="16"/>
      <c r="RND186" s="10"/>
      <c r="RNE186" s="10"/>
      <c r="RNL186" s="3"/>
      <c r="RNN186" s="1"/>
      <c r="RNP186" s="16"/>
      <c r="RNQ186" s="16"/>
      <c r="RNR186" s="16"/>
      <c r="RNS186" s="16"/>
      <c r="RNT186" s="10"/>
      <c r="RNU186" s="10"/>
      <c r="ROB186" s="3"/>
      <c r="ROD186" s="1"/>
      <c r="ROF186" s="16"/>
      <c r="ROG186" s="16"/>
      <c r="ROH186" s="16"/>
      <c r="ROI186" s="16"/>
      <c r="ROJ186" s="10"/>
      <c r="ROK186" s="10"/>
      <c r="ROR186" s="3"/>
      <c r="ROT186" s="1"/>
      <c r="ROV186" s="16"/>
      <c r="ROW186" s="16"/>
      <c r="ROX186" s="16"/>
      <c r="ROY186" s="16"/>
      <c r="ROZ186" s="10"/>
      <c r="RPA186" s="10"/>
      <c r="RPH186" s="3"/>
      <c r="RPJ186" s="1"/>
      <c r="RPL186" s="16"/>
      <c r="RPM186" s="16"/>
      <c r="RPN186" s="16"/>
      <c r="RPO186" s="16"/>
      <c r="RPP186" s="10"/>
      <c r="RPQ186" s="10"/>
      <c r="RPX186" s="3"/>
      <c r="RPZ186" s="1"/>
      <c r="RQB186" s="16"/>
      <c r="RQC186" s="16"/>
      <c r="RQD186" s="16"/>
      <c r="RQE186" s="16"/>
      <c r="RQF186" s="10"/>
      <c r="RQG186" s="10"/>
      <c r="RQN186" s="3"/>
      <c r="RQP186" s="1"/>
      <c r="RQR186" s="16"/>
      <c r="RQS186" s="16"/>
      <c r="RQT186" s="16"/>
      <c r="RQU186" s="16"/>
      <c r="RQV186" s="10"/>
      <c r="RQW186" s="10"/>
      <c r="RRD186" s="3"/>
      <c r="RRF186" s="1"/>
      <c r="RRH186" s="16"/>
      <c r="RRI186" s="16"/>
      <c r="RRJ186" s="16"/>
      <c r="RRK186" s="16"/>
      <c r="RRL186" s="10"/>
      <c r="RRM186" s="10"/>
      <c r="RRT186" s="3"/>
      <c r="RRV186" s="1"/>
      <c r="RRX186" s="16"/>
      <c r="RRY186" s="16"/>
      <c r="RRZ186" s="16"/>
      <c r="RSA186" s="16"/>
      <c r="RSB186" s="10"/>
      <c r="RSC186" s="10"/>
      <c r="RSJ186" s="3"/>
      <c r="RSL186" s="1"/>
      <c r="RSN186" s="16"/>
      <c r="RSO186" s="16"/>
      <c r="RSP186" s="16"/>
      <c r="RSQ186" s="16"/>
      <c r="RSR186" s="10"/>
      <c r="RSS186" s="10"/>
      <c r="RSZ186" s="3"/>
      <c r="RTB186" s="1"/>
      <c r="RTD186" s="16"/>
      <c r="RTE186" s="16"/>
      <c r="RTF186" s="16"/>
      <c r="RTG186" s="16"/>
      <c r="RTH186" s="10"/>
      <c r="RTI186" s="10"/>
      <c r="RTP186" s="3"/>
      <c r="RTR186" s="1"/>
      <c r="RTT186" s="16"/>
      <c r="RTU186" s="16"/>
      <c r="RTV186" s="16"/>
      <c r="RTW186" s="16"/>
      <c r="RTX186" s="10"/>
      <c r="RTY186" s="10"/>
      <c r="RUF186" s="3"/>
      <c r="RUH186" s="1"/>
      <c r="RUJ186" s="16"/>
      <c r="RUK186" s="16"/>
      <c r="RUL186" s="16"/>
      <c r="RUM186" s="16"/>
      <c r="RUN186" s="10"/>
      <c r="RUO186" s="10"/>
      <c r="RUV186" s="3"/>
      <c r="RUX186" s="1"/>
      <c r="RUZ186" s="16"/>
      <c r="RVA186" s="16"/>
      <c r="RVB186" s="16"/>
      <c r="RVC186" s="16"/>
      <c r="RVD186" s="10"/>
      <c r="RVE186" s="10"/>
      <c r="RVL186" s="3"/>
      <c r="RVN186" s="1"/>
      <c r="RVP186" s="16"/>
      <c r="RVQ186" s="16"/>
      <c r="RVR186" s="16"/>
      <c r="RVS186" s="16"/>
      <c r="RVT186" s="10"/>
      <c r="RVU186" s="10"/>
      <c r="RWB186" s="3"/>
      <c r="RWD186" s="1"/>
      <c r="RWF186" s="16"/>
      <c r="RWG186" s="16"/>
      <c r="RWH186" s="16"/>
      <c r="RWI186" s="16"/>
      <c r="RWJ186" s="10"/>
      <c r="RWK186" s="10"/>
      <c r="RWR186" s="3"/>
      <c r="RWT186" s="1"/>
      <c r="RWV186" s="16"/>
      <c r="RWW186" s="16"/>
      <c r="RWX186" s="16"/>
      <c r="RWY186" s="16"/>
      <c r="RWZ186" s="10"/>
      <c r="RXA186" s="10"/>
      <c r="RXH186" s="3"/>
      <c r="RXJ186" s="1"/>
      <c r="RXL186" s="16"/>
      <c r="RXM186" s="16"/>
      <c r="RXN186" s="16"/>
      <c r="RXO186" s="16"/>
      <c r="RXP186" s="10"/>
      <c r="RXQ186" s="10"/>
      <c r="RXX186" s="3"/>
      <c r="RXZ186" s="1"/>
      <c r="RYB186" s="16"/>
      <c r="RYC186" s="16"/>
      <c r="RYD186" s="16"/>
      <c r="RYE186" s="16"/>
      <c r="RYF186" s="10"/>
      <c r="RYG186" s="10"/>
      <c r="RYN186" s="3"/>
      <c r="RYP186" s="1"/>
      <c r="RYR186" s="16"/>
      <c r="RYS186" s="16"/>
      <c r="RYT186" s="16"/>
      <c r="RYU186" s="16"/>
      <c r="RYV186" s="10"/>
      <c r="RYW186" s="10"/>
      <c r="RZD186" s="3"/>
      <c r="RZF186" s="1"/>
      <c r="RZH186" s="16"/>
      <c r="RZI186" s="16"/>
      <c r="RZJ186" s="16"/>
      <c r="RZK186" s="16"/>
      <c r="RZL186" s="10"/>
      <c r="RZM186" s="10"/>
      <c r="RZT186" s="3"/>
      <c r="RZV186" s="1"/>
      <c r="RZX186" s="16"/>
      <c r="RZY186" s="16"/>
      <c r="RZZ186" s="16"/>
      <c r="SAA186" s="16"/>
      <c r="SAB186" s="10"/>
      <c r="SAC186" s="10"/>
      <c r="SAJ186" s="3"/>
      <c r="SAL186" s="1"/>
      <c r="SAN186" s="16"/>
      <c r="SAO186" s="16"/>
      <c r="SAP186" s="16"/>
      <c r="SAQ186" s="16"/>
      <c r="SAR186" s="10"/>
      <c r="SAS186" s="10"/>
      <c r="SAZ186" s="3"/>
      <c r="SBB186" s="1"/>
      <c r="SBD186" s="16"/>
      <c r="SBE186" s="16"/>
      <c r="SBF186" s="16"/>
      <c r="SBG186" s="16"/>
      <c r="SBH186" s="10"/>
      <c r="SBI186" s="10"/>
      <c r="SBP186" s="3"/>
      <c r="SBR186" s="1"/>
      <c r="SBT186" s="16"/>
      <c r="SBU186" s="16"/>
      <c r="SBV186" s="16"/>
      <c r="SBW186" s="16"/>
      <c r="SBX186" s="10"/>
      <c r="SBY186" s="10"/>
      <c r="SCF186" s="3"/>
      <c r="SCH186" s="1"/>
      <c r="SCJ186" s="16"/>
      <c r="SCK186" s="16"/>
      <c r="SCL186" s="16"/>
      <c r="SCM186" s="16"/>
      <c r="SCN186" s="10"/>
      <c r="SCO186" s="10"/>
      <c r="SCV186" s="3"/>
      <c r="SCX186" s="1"/>
      <c r="SCZ186" s="16"/>
      <c r="SDA186" s="16"/>
      <c r="SDB186" s="16"/>
      <c r="SDC186" s="16"/>
      <c r="SDD186" s="10"/>
      <c r="SDE186" s="10"/>
      <c r="SDL186" s="3"/>
      <c r="SDN186" s="1"/>
      <c r="SDP186" s="16"/>
      <c r="SDQ186" s="16"/>
      <c r="SDR186" s="16"/>
      <c r="SDS186" s="16"/>
      <c r="SDT186" s="10"/>
      <c r="SDU186" s="10"/>
      <c r="SEB186" s="3"/>
      <c r="SED186" s="1"/>
      <c r="SEF186" s="16"/>
      <c r="SEG186" s="16"/>
      <c r="SEH186" s="16"/>
      <c r="SEI186" s="16"/>
      <c r="SEJ186" s="10"/>
      <c r="SEK186" s="10"/>
      <c r="SER186" s="3"/>
      <c r="SET186" s="1"/>
      <c r="SEV186" s="16"/>
      <c r="SEW186" s="16"/>
      <c r="SEX186" s="16"/>
      <c r="SEY186" s="16"/>
      <c r="SEZ186" s="10"/>
      <c r="SFA186" s="10"/>
      <c r="SFH186" s="3"/>
      <c r="SFJ186" s="1"/>
      <c r="SFL186" s="16"/>
      <c r="SFM186" s="16"/>
      <c r="SFN186" s="16"/>
      <c r="SFO186" s="16"/>
      <c r="SFP186" s="10"/>
      <c r="SFQ186" s="10"/>
      <c r="SFX186" s="3"/>
      <c r="SFZ186" s="1"/>
      <c r="SGB186" s="16"/>
      <c r="SGC186" s="16"/>
      <c r="SGD186" s="16"/>
      <c r="SGE186" s="16"/>
      <c r="SGF186" s="10"/>
      <c r="SGG186" s="10"/>
      <c r="SGN186" s="3"/>
      <c r="SGP186" s="1"/>
      <c r="SGR186" s="16"/>
      <c r="SGS186" s="16"/>
      <c r="SGT186" s="16"/>
      <c r="SGU186" s="16"/>
      <c r="SGV186" s="10"/>
      <c r="SGW186" s="10"/>
      <c r="SHD186" s="3"/>
      <c r="SHF186" s="1"/>
      <c r="SHH186" s="16"/>
      <c r="SHI186" s="16"/>
      <c r="SHJ186" s="16"/>
      <c r="SHK186" s="16"/>
      <c r="SHL186" s="10"/>
      <c r="SHM186" s="10"/>
      <c r="SHT186" s="3"/>
      <c r="SHV186" s="1"/>
      <c r="SHX186" s="16"/>
      <c r="SHY186" s="16"/>
      <c r="SHZ186" s="16"/>
      <c r="SIA186" s="16"/>
      <c r="SIB186" s="10"/>
      <c r="SIC186" s="10"/>
      <c r="SIJ186" s="3"/>
      <c r="SIL186" s="1"/>
      <c r="SIN186" s="16"/>
      <c r="SIO186" s="16"/>
      <c r="SIP186" s="16"/>
      <c r="SIQ186" s="16"/>
      <c r="SIR186" s="10"/>
      <c r="SIS186" s="10"/>
      <c r="SIZ186" s="3"/>
      <c r="SJB186" s="1"/>
      <c r="SJD186" s="16"/>
      <c r="SJE186" s="16"/>
      <c r="SJF186" s="16"/>
      <c r="SJG186" s="16"/>
      <c r="SJH186" s="10"/>
      <c r="SJI186" s="10"/>
      <c r="SJP186" s="3"/>
      <c r="SJR186" s="1"/>
      <c r="SJT186" s="16"/>
      <c r="SJU186" s="16"/>
      <c r="SJV186" s="16"/>
      <c r="SJW186" s="16"/>
      <c r="SJX186" s="10"/>
      <c r="SJY186" s="10"/>
      <c r="SKF186" s="3"/>
      <c r="SKH186" s="1"/>
      <c r="SKJ186" s="16"/>
      <c r="SKK186" s="16"/>
      <c r="SKL186" s="16"/>
      <c r="SKM186" s="16"/>
      <c r="SKN186" s="10"/>
      <c r="SKO186" s="10"/>
      <c r="SKV186" s="3"/>
      <c r="SKX186" s="1"/>
      <c r="SKZ186" s="16"/>
      <c r="SLA186" s="16"/>
      <c r="SLB186" s="16"/>
      <c r="SLC186" s="16"/>
      <c r="SLD186" s="10"/>
      <c r="SLE186" s="10"/>
      <c r="SLL186" s="3"/>
      <c r="SLN186" s="1"/>
      <c r="SLP186" s="16"/>
      <c r="SLQ186" s="16"/>
      <c r="SLR186" s="16"/>
      <c r="SLS186" s="16"/>
      <c r="SLT186" s="10"/>
      <c r="SLU186" s="10"/>
      <c r="SMB186" s="3"/>
      <c r="SMD186" s="1"/>
      <c r="SMF186" s="16"/>
      <c r="SMG186" s="16"/>
      <c r="SMH186" s="16"/>
      <c r="SMI186" s="16"/>
      <c r="SMJ186" s="10"/>
      <c r="SMK186" s="10"/>
      <c r="SMR186" s="3"/>
      <c r="SMT186" s="1"/>
      <c r="SMV186" s="16"/>
      <c r="SMW186" s="16"/>
      <c r="SMX186" s="16"/>
      <c r="SMY186" s="16"/>
      <c r="SMZ186" s="10"/>
      <c r="SNA186" s="10"/>
      <c r="SNH186" s="3"/>
      <c r="SNJ186" s="1"/>
      <c r="SNL186" s="16"/>
      <c r="SNM186" s="16"/>
      <c r="SNN186" s="16"/>
      <c r="SNO186" s="16"/>
      <c r="SNP186" s="10"/>
      <c r="SNQ186" s="10"/>
      <c r="SNX186" s="3"/>
      <c r="SNZ186" s="1"/>
      <c r="SOB186" s="16"/>
      <c r="SOC186" s="16"/>
      <c r="SOD186" s="16"/>
      <c r="SOE186" s="16"/>
      <c r="SOF186" s="10"/>
      <c r="SOG186" s="10"/>
      <c r="SON186" s="3"/>
      <c r="SOP186" s="1"/>
      <c r="SOR186" s="16"/>
      <c r="SOS186" s="16"/>
      <c r="SOT186" s="16"/>
      <c r="SOU186" s="16"/>
      <c r="SOV186" s="10"/>
      <c r="SOW186" s="10"/>
      <c r="SPD186" s="3"/>
      <c r="SPF186" s="1"/>
      <c r="SPH186" s="16"/>
      <c r="SPI186" s="16"/>
      <c r="SPJ186" s="16"/>
      <c r="SPK186" s="16"/>
      <c r="SPL186" s="10"/>
      <c r="SPM186" s="10"/>
      <c r="SPT186" s="3"/>
      <c r="SPV186" s="1"/>
      <c r="SPX186" s="16"/>
      <c r="SPY186" s="16"/>
      <c r="SPZ186" s="16"/>
      <c r="SQA186" s="16"/>
      <c r="SQB186" s="10"/>
      <c r="SQC186" s="10"/>
      <c r="SQJ186" s="3"/>
      <c r="SQL186" s="1"/>
      <c r="SQN186" s="16"/>
      <c r="SQO186" s="16"/>
      <c r="SQP186" s="16"/>
      <c r="SQQ186" s="16"/>
      <c r="SQR186" s="10"/>
      <c r="SQS186" s="10"/>
      <c r="SQZ186" s="3"/>
      <c r="SRB186" s="1"/>
      <c r="SRD186" s="16"/>
      <c r="SRE186" s="16"/>
      <c r="SRF186" s="16"/>
      <c r="SRG186" s="16"/>
      <c r="SRH186" s="10"/>
      <c r="SRI186" s="10"/>
      <c r="SRP186" s="3"/>
      <c r="SRR186" s="1"/>
      <c r="SRT186" s="16"/>
      <c r="SRU186" s="16"/>
      <c r="SRV186" s="16"/>
      <c r="SRW186" s="16"/>
      <c r="SRX186" s="10"/>
      <c r="SRY186" s="10"/>
      <c r="SSF186" s="3"/>
      <c r="SSH186" s="1"/>
      <c r="SSJ186" s="16"/>
      <c r="SSK186" s="16"/>
      <c r="SSL186" s="16"/>
      <c r="SSM186" s="16"/>
      <c r="SSN186" s="10"/>
      <c r="SSO186" s="10"/>
      <c r="SSV186" s="3"/>
      <c r="SSX186" s="1"/>
      <c r="SSZ186" s="16"/>
      <c r="STA186" s="16"/>
      <c r="STB186" s="16"/>
      <c r="STC186" s="16"/>
      <c r="STD186" s="10"/>
      <c r="STE186" s="10"/>
      <c r="STL186" s="3"/>
      <c r="STN186" s="1"/>
      <c r="STP186" s="16"/>
      <c r="STQ186" s="16"/>
      <c r="STR186" s="16"/>
      <c r="STS186" s="16"/>
      <c r="STT186" s="10"/>
      <c r="STU186" s="10"/>
      <c r="SUB186" s="3"/>
      <c r="SUD186" s="1"/>
      <c r="SUF186" s="16"/>
      <c r="SUG186" s="16"/>
      <c r="SUH186" s="16"/>
      <c r="SUI186" s="16"/>
      <c r="SUJ186" s="10"/>
      <c r="SUK186" s="10"/>
      <c r="SUR186" s="3"/>
      <c r="SUT186" s="1"/>
      <c r="SUV186" s="16"/>
      <c r="SUW186" s="16"/>
      <c r="SUX186" s="16"/>
      <c r="SUY186" s="16"/>
      <c r="SUZ186" s="10"/>
      <c r="SVA186" s="10"/>
      <c r="SVH186" s="3"/>
      <c r="SVJ186" s="1"/>
      <c r="SVL186" s="16"/>
      <c r="SVM186" s="16"/>
      <c r="SVN186" s="16"/>
      <c r="SVO186" s="16"/>
      <c r="SVP186" s="10"/>
      <c r="SVQ186" s="10"/>
      <c r="SVX186" s="3"/>
      <c r="SVZ186" s="1"/>
      <c r="SWB186" s="16"/>
      <c r="SWC186" s="16"/>
      <c r="SWD186" s="16"/>
      <c r="SWE186" s="16"/>
      <c r="SWF186" s="10"/>
      <c r="SWG186" s="10"/>
      <c r="SWN186" s="3"/>
      <c r="SWP186" s="1"/>
      <c r="SWR186" s="16"/>
      <c r="SWS186" s="16"/>
      <c r="SWT186" s="16"/>
      <c r="SWU186" s="16"/>
      <c r="SWV186" s="10"/>
      <c r="SWW186" s="10"/>
      <c r="SXD186" s="3"/>
      <c r="SXF186" s="1"/>
      <c r="SXH186" s="16"/>
      <c r="SXI186" s="16"/>
      <c r="SXJ186" s="16"/>
      <c r="SXK186" s="16"/>
      <c r="SXL186" s="10"/>
      <c r="SXM186" s="10"/>
      <c r="SXT186" s="3"/>
      <c r="SXV186" s="1"/>
      <c r="SXX186" s="16"/>
      <c r="SXY186" s="16"/>
      <c r="SXZ186" s="16"/>
      <c r="SYA186" s="16"/>
      <c r="SYB186" s="10"/>
      <c r="SYC186" s="10"/>
      <c r="SYJ186" s="3"/>
      <c r="SYL186" s="1"/>
      <c r="SYN186" s="16"/>
      <c r="SYO186" s="16"/>
      <c r="SYP186" s="16"/>
      <c r="SYQ186" s="16"/>
      <c r="SYR186" s="10"/>
      <c r="SYS186" s="10"/>
      <c r="SYZ186" s="3"/>
      <c r="SZB186" s="1"/>
      <c r="SZD186" s="16"/>
      <c r="SZE186" s="16"/>
      <c r="SZF186" s="16"/>
      <c r="SZG186" s="16"/>
      <c r="SZH186" s="10"/>
      <c r="SZI186" s="10"/>
      <c r="SZP186" s="3"/>
      <c r="SZR186" s="1"/>
      <c r="SZT186" s="16"/>
      <c r="SZU186" s="16"/>
      <c r="SZV186" s="16"/>
      <c r="SZW186" s="16"/>
      <c r="SZX186" s="10"/>
      <c r="SZY186" s="10"/>
      <c r="TAF186" s="3"/>
      <c r="TAH186" s="1"/>
      <c r="TAJ186" s="16"/>
      <c r="TAK186" s="16"/>
      <c r="TAL186" s="16"/>
      <c r="TAM186" s="16"/>
      <c r="TAN186" s="10"/>
      <c r="TAO186" s="10"/>
      <c r="TAV186" s="3"/>
      <c r="TAX186" s="1"/>
      <c r="TAZ186" s="16"/>
      <c r="TBA186" s="16"/>
      <c r="TBB186" s="16"/>
      <c r="TBC186" s="16"/>
      <c r="TBD186" s="10"/>
      <c r="TBE186" s="10"/>
      <c r="TBL186" s="3"/>
      <c r="TBN186" s="1"/>
      <c r="TBP186" s="16"/>
      <c r="TBQ186" s="16"/>
      <c r="TBR186" s="16"/>
      <c r="TBS186" s="16"/>
      <c r="TBT186" s="10"/>
      <c r="TBU186" s="10"/>
      <c r="TCB186" s="3"/>
      <c r="TCD186" s="1"/>
      <c r="TCF186" s="16"/>
      <c r="TCG186" s="16"/>
      <c r="TCH186" s="16"/>
      <c r="TCI186" s="16"/>
      <c r="TCJ186" s="10"/>
      <c r="TCK186" s="10"/>
      <c r="TCR186" s="3"/>
      <c r="TCT186" s="1"/>
      <c r="TCV186" s="16"/>
      <c r="TCW186" s="16"/>
      <c r="TCX186" s="16"/>
      <c r="TCY186" s="16"/>
      <c r="TCZ186" s="10"/>
      <c r="TDA186" s="10"/>
      <c r="TDH186" s="3"/>
      <c r="TDJ186" s="1"/>
      <c r="TDL186" s="16"/>
      <c r="TDM186" s="16"/>
      <c r="TDN186" s="16"/>
      <c r="TDO186" s="16"/>
      <c r="TDP186" s="10"/>
      <c r="TDQ186" s="10"/>
      <c r="TDX186" s="3"/>
      <c r="TDZ186" s="1"/>
      <c r="TEB186" s="16"/>
      <c r="TEC186" s="16"/>
      <c r="TED186" s="16"/>
      <c r="TEE186" s="16"/>
      <c r="TEF186" s="10"/>
      <c r="TEG186" s="10"/>
      <c r="TEN186" s="3"/>
      <c r="TEP186" s="1"/>
      <c r="TER186" s="16"/>
      <c r="TES186" s="16"/>
      <c r="TET186" s="16"/>
      <c r="TEU186" s="16"/>
      <c r="TEV186" s="10"/>
      <c r="TEW186" s="10"/>
      <c r="TFD186" s="3"/>
      <c r="TFF186" s="1"/>
      <c r="TFH186" s="16"/>
      <c r="TFI186" s="16"/>
      <c r="TFJ186" s="16"/>
      <c r="TFK186" s="16"/>
      <c r="TFL186" s="10"/>
      <c r="TFM186" s="10"/>
      <c r="TFT186" s="3"/>
      <c r="TFV186" s="1"/>
      <c r="TFX186" s="16"/>
      <c r="TFY186" s="16"/>
      <c r="TFZ186" s="16"/>
      <c r="TGA186" s="16"/>
      <c r="TGB186" s="10"/>
      <c r="TGC186" s="10"/>
      <c r="TGJ186" s="3"/>
      <c r="TGL186" s="1"/>
      <c r="TGN186" s="16"/>
      <c r="TGO186" s="16"/>
      <c r="TGP186" s="16"/>
      <c r="TGQ186" s="16"/>
      <c r="TGR186" s="10"/>
      <c r="TGS186" s="10"/>
      <c r="TGZ186" s="3"/>
      <c r="THB186" s="1"/>
      <c r="THD186" s="16"/>
      <c r="THE186" s="16"/>
      <c r="THF186" s="16"/>
      <c r="THG186" s="16"/>
      <c r="THH186" s="10"/>
      <c r="THI186" s="10"/>
      <c r="THP186" s="3"/>
      <c r="THR186" s="1"/>
      <c r="THT186" s="16"/>
      <c r="THU186" s="16"/>
      <c r="THV186" s="16"/>
      <c r="THW186" s="16"/>
      <c r="THX186" s="10"/>
      <c r="THY186" s="10"/>
      <c r="TIF186" s="3"/>
      <c r="TIH186" s="1"/>
      <c r="TIJ186" s="16"/>
      <c r="TIK186" s="16"/>
      <c r="TIL186" s="16"/>
      <c r="TIM186" s="16"/>
      <c r="TIN186" s="10"/>
      <c r="TIO186" s="10"/>
      <c r="TIV186" s="3"/>
      <c r="TIX186" s="1"/>
      <c r="TIZ186" s="16"/>
      <c r="TJA186" s="16"/>
      <c r="TJB186" s="16"/>
      <c r="TJC186" s="16"/>
      <c r="TJD186" s="10"/>
      <c r="TJE186" s="10"/>
      <c r="TJL186" s="3"/>
      <c r="TJN186" s="1"/>
      <c r="TJP186" s="16"/>
      <c r="TJQ186" s="16"/>
      <c r="TJR186" s="16"/>
      <c r="TJS186" s="16"/>
      <c r="TJT186" s="10"/>
      <c r="TJU186" s="10"/>
      <c r="TKB186" s="3"/>
      <c r="TKD186" s="1"/>
      <c r="TKF186" s="16"/>
      <c r="TKG186" s="16"/>
      <c r="TKH186" s="16"/>
      <c r="TKI186" s="16"/>
      <c r="TKJ186" s="10"/>
      <c r="TKK186" s="10"/>
      <c r="TKR186" s="3"/>
      <c r="TKT186" s="1"/>
      <c r="TKV186" s="16"/>
      <c r="TKW186" s="16"/>
      <c r="TKX186" s="16"/>
      <c r="TKY186" s="16"/>
      <c r="TKZ186" s="10"/>
      <c r="TLA186" s="10"/>
      <c r="TLH186" s="3"/>
      <c r="TLJ186" s="1"/>
      <c r="TLL186" s="16"/>
      <c r="TLM186" s="16"/>
      <c r="TLN186" s="16"/>
      <c r="TLO186" s="16"/>
      <c r="TLP186" s="10"/>
      <c r="TLQ186" s="10"/>
      <c r="TLX186" s="3"/>
      <c r="TLZ186" s="1"/>
      <c r="TMB186" s="16"/>
      <c r="TMC186" s="16"/>
      <c r="TMD186" s="16"/>
      <c r="TME186" s="16"/>
      <c r="TMF186" s="10"/>
      <c r="TMG186" s="10"/>
      <c r="TMN186" s="3"/>
      <c r="TMP186" s="1"/>
      <c r="TMR186" s="16"/>
      <c r="TMS186" s="16"/>
      <c r="TMT186" s="16"/>
      <c r="TMU186" s="16"/>
      <c r="TMV186" s="10"/>
      <c r="TMW186" s="10"/>
      <c r="TND186" s="3"/>
      <c r="TNF186" s="1"/>
      <c r="TNH186" s="16"/>
      <c r="TNI186" s="16"/>
      <c r="TNJ186" s="16"/>
      <c r="TNK186" s="16"/>
      <c r="TNL186" s="10"/>
      <c r="TNM186" s="10"/>
      <c r="TNT186" s="3"/>
      <c r="TNV186" s="1"/>
      <c r="TNX186" s="16"/>
      <c r="TNY186" s="16"/>
      <c r="TNZ186" s="16"/>
      <c r="TOA186" s="16"/>
      <c r="TOB186" s="10"/>
      <c r="TOC186" s="10"/>
      <c r="TOJ186" s="3"/>
      <c r="TOL186" s="1"/>
      <c r="TON186" s="16"/>
      <c r="TOO186" s="16"/>
      <c r="TOP186" s="16"/>
      <c r="TOQ186" s="16"/>
      <c r="TOR186" s="10"/>
      <c r="TOS186" s="10"/>
      <c r="TOZ186" s="3"/>
      <c r="TPB186" s="1"/>
      <c r="TPD186" s="16"/>
      <c r="TPE186" s="16"/>
      <c r="TPF186" s="16"/>
      <c r="TPG186" s="16"/>
      <c r="TPH186" s="10"/>
      <c r="TPI186" s="10"/>
      <c r="TPP186" s="3"/>
      <c r="TPR186" s="1"/>
      <c r="TPT186" s="16"/>
      <c r="TPU186" s="16"/>
      <c r="TPV186" s="16"/>
      <c r="TPW186" s="16"/>
      <c r="TPX186" s="10"/>
      <c r="TPY186" s="10"/>
      <c r="TQF186" s="3"/>
      <c r="TQH186" s="1"/>
      <c r="TQJ186" s="16"/>
      <c r="TQK186" s="16"/>
      <c r="TQL186" s="16"/>
      <c r="TQM186" s="16"/>
      <c r="TQN186" s="10"/>
      <c r="TQO186" s="10"/>
      <c r="TQV186" s="3"/>
      <c r="TQX186" s="1"/>
      <c r="TQZ186" s="16"/>
      <c r="TRA186" s="16"/>
      <c r="TRB186" s="16"/>
      <c r="TRC186" s="16"/>
      <c r="TRD186" s="10"/>
      <c r="TRE186" s="10"/>
      <c r="TRL186" s="3"/>
      <c r="TRN186" s="1"/>
      <c r="TRP186" s="16"/>
      <c r="TRQ186" s="16"/>
      <c r="TRR186" s="16"/>
      <c r="TRS186" s="16"/>
      <c r="TRT186" s="10"/>
      <c r="TRU186" s="10"/>
      <c r="TSB186" s="3"/>
      <c r="TSD186" s="1"/>
      <c r="TSF186" s="16"/>
      <c r="TSG186" s="16"/>
      <c r="TSH186" s="16"/>
      <c r="TSI186" s="16"/>
      <c r="TSJ186" s="10"/>
      <c r="TSK186" s="10"/>
      <c r="TSR186" s="3"/>
      <c r="TST186" s="1"/>
      <c r="TSV186" s="16"/>
      <c r="TSW186" s="16"/>
      <c r="TSX186" s="16"/>
      <c r="TSY186" s="16"/>
      <c r="TSZ186" s="10"/>
      <c r="TTA186" s="10"/>
      <c r="TTH186" s="3"/>
      <c r="TTJ186" s="1"/>
      <c r="TTL186" s="16"/>
      <c r="TTM186" s="16"/>
      <c r="TTN186" s="16"/>
      <c r="TTO186" s="16"/>
      <c r="TTP186" s="10"/>
      <c r="TTQ186" s="10"/>
      <c r="TTX186" s="3"/>
      <c r="TTZ186" s="1"/>
      <c r="TUB186" s="16"/>
      <c r="TUC186" s="16"/>
      <c r="TUD186" s="16"/>
      <c r="TUE186" s="16"/>
      <c r="TUF186" s="10"/>
      <c r="TUG186" s="10"/>
      <c r="TUN186" s="3"/>
      <c r="TUP186" s="1"/>
      <c r="TUR186" s="16"/>
      <c r="TUS186" s="16"/>
      <c r="TUT186" s="16"/>
      <c r="TUU186" s="16"/>
      <c r="TUV186" s="10"/>
      <c r="TUW186" s="10"/>
      <c r="TVD186" s="3"/>
      <c r="TVF186" s="1"/>
      <c r="TVH186" s="16"/>
      <c r="TVI186" s="16"/>
      <c r="TVJ186" s="16"/>
      <c r="TVK186" s="16"/>
      <c r="TVL186" s="10"/>
      <c r="TVM186" s="10"/>
      <c r="TVT186" s="3"/>
      <c r="TVV186" s="1"/>
      <c r="TVX186" s="16"/>
      <c r="TVY186" s="16"/>
      <c r="TVZ186" s="16"/>
      <c r="TWA186" s="16"/>
      <c r="TWB186" s="10"/>
      <c r="TWC186" s="10"/>
      <c r="TWJ186" s="3"/>
      <c r="TWL186" s="1"/>
      <c r="TWN186" s="16"/>
      <c r="TWO186" s="16"/>
      <c r="TWP186" s="16"/>
      <c r="TWQ186" s="16"/>
      <c r="TWR186" s="10"/>
      <c r="TWS186" s="10"/>
      <c r="TWZ186" s="3"/>
      <c r="TXB186" s="1"/>
      <c r="TXD186" s="16"/>
      <c r="TXE186" s="16"/>
      <c r="TXF186" s="16"/>
      <c r="TXG186" s="16"/>
      <c r="TXH186" s="10"/>
      <c r="TXI186" s="10"/>
      <c r="TXP186" s="3"/>
      <c r="TXR186" s="1"/>
      <c r="TXT186" s="16"/>
      <c r="TXU186" s="16"/>
      <c r="TXV186" s="16"/>
      <c r="TXW186" s="16"/>
      <c r="TXX186" s="10"/>
      <c r="TXY186" s="10"/>
      <c r="TYF186" s="3"/>
      <c r="TYH186" s="1"/>
      <c r="TYJ186" s="16"/>
      <c r="TYK186" s="16"/>
      <c r="TYL186" s="16"/>
      <c r="TYM186" s="16"/>
      <c r="TYN186" s="10"/>
      <c r="TYO186" s="10"/>
      <c r="TYV186" s="3"/>
      <c r="TYX186" s="1"/>
      <c r="TYZ186" s="16"/>
      <c r="TZA186" s="16"/>
      <c r="TZB186" s="16"/>
      <c r="TZC186" s="16"/>
      <c r="TZD186" s="10"/>
      <c r="TZE186" s="10"/>
      <c r="TZL186" s="3"/>
      <c r="TZN186" s="1"/>
      <c r="TZP186" s="16"/>
      <c r="TZQ186" s="16"/>
      <c r="TZR186" s="16"/>
      <c r="TZS186" s="16"/>
      <c r="TZT186" s="10"/>
      <c r="TZU186" s="10"/>
      <c r="UAB186" s="3"/>
      <c r="UAD186" s="1"/>
      <c r="UAF186" s="16"/>
      <c r="UAG186" s="16"/>
      <c r="UAH186" s="16"/>
      <c r="UAI186" s="16"/>
      <c r="UAJ186" s="10"/>
      <c r="UAK186" s="10"/>
      <c r="UAR186" s="3"/>
      <c r="UAT186" s="1"/>
      <c r="UAV186" s="16"/>
      <c r="UAW186" s="16"/>
      <c r="UAX186" s="16"/>
      <c r="UAY186" s="16"/>
      <c r="UAZ186" s="10"/>
      <c r="UBA186" s="10"/>
      <c r="UBH186" s="3"/>
      <c r="UBJ186" s="1"/>
      <c r="UBL186" s="16"/>
      <c r="UBM186" s="16"/>
      <c r="UBN186" s="16"/>
      <c r="UBO186" s="16"/>
      <c r="UBP186" s="10"/>
      <c r="UBQ186" s="10"/>
      <c r="UBX186" s="3"/>
      <c r="UBZ186" s="1"/>
      <c r="UCB186" s="16"/>
      <c r="UCC186" s="16"/>
      <c r="UCD186" s="16"/>
      <c r="UCE186" s="16"/>
      <c r="UCF186" s="10"/>
      <c r="UCG186" s="10"/>
      <c r="UCN186" s="3"/>
      <c r="UCP186" s="1"/>
      <c r="UCR186" s="16"/>
      <c r="UCS186" s="16"/>
      <c r="UCT186" s="16"/>
      <c r="UCU186" s="16"/>
      <c r="UCV186" s="10"/>
      <c r="UCW186" s="10"/>
      <c r="UDD186" s="3"/>
      <c r="UDF186" s="1"/>
      <c r="UDH186" s="16"/>
      <c r="UDI186" s="16"/>
      <c r="UDJ186" s="16"/>
      <c r="UDK186" s="16"/>
      <c r="UDL186" s="10"/>
      <c r="UDM186" s="10"/>
      <c r="UDT186" s="3"/>
      <c r="UDV186" s="1"/>
      <c r="UDX186" s="16"/>
      <c r="UDY186" s="16"/>
      <c r="UDZ186" s="16"/>
      <c r="UEA186" s="16"/>
      <c r="UEB186" s="10"/>
      <c r="UEC186" s="10"/>
      <c r="UEJ186" s="3"/>
      <c r="UEL186" s="1"/>
      <c r="UEN186" s="16"/>
      <c r="UEO186" s="16"/>
      <c r="UEP186" s="16"/>
      <c r="UEQ186" s="16"/>
      <c r="UER186" s="10"/>
      <c r="UES186" s="10"/>
      <c r="UEZ186" s="3"/>
      <c r="UFB186" s="1"/>
      <c r="UFD186" s="16"/>
      <c r="UFE186" s="16"/>
      <c r="UFF186" s="16"/>
      <c r="UFG186" s="16"/>
      <c r="UFH186" s="10"/>
      <c r="UFI186" s="10"/>
      <c r="UFP186" s="3"/>
      <c r="UFR186" s="1"/>
      <c r="UFT186" s="16"/>
      <c r="UFU186" s="16"/>
      <c r="UFV186" s="16"/>
      <c r="UFW186" s="16"/>
      <c r="UFX186" s="10"/>
      <c r="UFY186" s="10"/>
      <c r="UGF186" s="3"/>
      <c r="UGH186" s="1"/>
      <c r="UGJ186" s="16"/>
      <c r="UGK186" s="16"/>
      <c r="UGL186" s="16"/>
      <c r="UGM186" s="16"/>
      <c r="UGN186" s="10"/>
      <c r="UGO186" s="10"/>
      <c r="UGV186" s="3"/>
      <c r="UGX186" s="1"/>
      <c r="UGZ186" s="16"/>
      <c r="UHA186" s="16"/>
      <c r="UHB186" s="16"/>
      <c r="UHC186" s="16"/>
      <c r="UHD186" s="10"/>
      <c r="UHE186" s="10"/>
      <c r="UHL186" s="3"/>
      <c r="UHN186" s="1"/>
      <c r="UHP186" s="16"/>
      <c r="UHQ186" s="16"/>
      <c r="UHR186" s="16"/>
      <c r="UHS186" s="16"/>
      <c r="UHT186" s="10"/>
      <c r="UHU186" s="10"/>
      <c r="UIB186" s="3"/>
      <c r="UID186" s="1"/>
      <c r="UIF186" s="16"/>
      <c r="UIG186" s="16"/>
      <c r="UIH186" s="16"/>
      <c r="UII186" s="16"/>
      <c r="UIJ186" s="10"/>
      <c r="UIK186" s="10"/>
      <c r="UIR186" s="3"/>
      <c r="UIT186" s="1"/>
      <c r="UIV186" s="16"/>
      <c r="UIW186" s="16"/>
      <c r="UIX186" s="16"/>
      <c r="UIY186" s="16"/>
      <c r="UIZ186" s="10"/>
      <c r="UJA186" s="10"/>
      <c r="UJH186" s="3"/>
      <c r="UJJ186" s="1"/>
      <c r="UJL186" s="16"/>
      <c r="UJM186" s="16"/>
      <c r="UJN186" s="16"/>
      <c r="UJO186" s="16"/>
      <c r="UJP186" s="10"/>
      <c r="UJQ186" s="10"/>
      <c r="UJX186" s="3"/>
      <c r="UJZ186" s="1"/>
      <c r="UKB186" s="16"/>
      <c r="UKC186" s="16"/>
      <c r="UKD186" s="16"/>
      <c r="UKE186" s="16"/>
      <c r="UKF186" s="10"/>
      <c r="UKG186" s="10"/>
      <c r="UKN186" s="3"/>
      <c r="UKP186" s="1"/>
      <c r="UKR186" s="16"/>
      <c r="UKS186" s="16"/>
      <c r="UKT186" s="16"/>
      <c r="UKU186" s="16"/>
      <c r="UKV186" s="10"/>
      <c r="UKW186" s="10"/>
      <c r="ULD186" s="3"/>
      <c r="ULF186" s="1"/>
      <c r="ULH186" s="16"/>
      <c r="ULI186" s="16"/>
      <c r="ULJ186" s="16"/>
      <c r="ULK186" s="16"/>
      <c r="ULL186" s="10"/>
      <c r="ULM186" s="10"/>
      <c r="ULT186" s="3"/>
      <c r="ULV186" s="1"/>
      <c r="ULX186" s="16"/>
      <c r="ULY186" s="16"/>
      <c r="ULZ186" s="16"/>
      <c r="UMA186" s="16"/>
      <c r="UMB186" s="10"/>
      <c r="UMC186" s="10"/>
      <c r="UMJ186" s="3"/>
      <c r="UML186" s="1"/>
      <c r="UMN186" s="16"/>
      <c r="UMO186" s="16"/>
      <c r="UMP186" s="16"/>
      <c r="UMQ186" s="16"/>
      <c r="UMR186" s="10"/>
      <c r="UMS186" s="10"/>
      <c r="UMZ186" s="3"/>
      <c r="UNB186" s="1"/>
      <c r="UND186" s="16"/>
      <c r="UNE186" s="16"/>
      <c r="UNF186" s="16"/>
      <c r="UNG186" s="16"/>
      <c r="UNH186" s="10"/>
      <c r="UNI186" s="10"/>
      <c r="UNP186" s="3"/>
      <c r="UNR186" s="1"/>
      <c r="UNT186" s="16"/>
      <c r="UNU186" s="16"/>
      <c r="UNV186" s="16"/>
      <c r="UNW186" s="16"/>
      <c r="UNX186" s="10"/>
      <c r="UNY186" s="10"/>
      <c r="UOF186" s="3"/>
      <c r="UOH186" s="1"/>
      <c r="UOJ186" s="16"/>
      <c r="UOK186" s="16"/>
      <c r="UOL186" s="16"/>
      <c r="UOM186" s="16"/>
      <c r="UON186" s="10"/>
      <c r="UOO186" s="10"/>
      <c r="UOV186" s="3"/>
      <c r="UOX186" s="1"/>
      <c r="UOZ186" s="16"/>
      <c r="UPA186" s="16"/>
      <c r="UPB186" s="16"/>
      <c r="UPC186" s="16"/>
      <c r="UPD186" s="10"/>
      <c r="UPE186" s="10"/>
      <c r="UPL186" s="3"/>
      <c r="UPN186" s="1"/>
      <c r="UPP186" s="16"/>
      <c r="UPQ186" s="16"/>
      <c r="UPR186" s="16"/>
      <c r="UPS186" s="16"/>
      <c r="UPT186" s="10"/>
      <c r="UPU186" s="10"/>
      <c r="UQB186" s="3"/>
      <c r="UQD186" s="1"/>
      <c r="UQF186" s="16"/>
      <c r="UQG186" s="16"/>
      <c r="UQH186" s="16"/>
      <c r="UQI186" s="16"/>
      <c r="UQJ186" s="10"/>
      <c r="UQK186" s="10"/>
      <c r="UQR186" s="3"/>
      <c r="UQT186" s="1"/>
      <c r="UQV186" s="16"/>
      <c r="UQW186" s="16"/>
      <c r="UQX186" s="16"/>
      <c r="UQY186" s="16"/>
      <c r="UQZ186" s="10"/>
      <c r="URA186" s="10"/>
      <c r="URH186" s="3"/>
      <c r="URJ186" s="1"/>
      <c r="URL186" s="16"/>
      <c r="URM186" s="16"/>
      <c r="URN186" s="16"/>
      <c r="URO186" s="16"/>
      <c r="URP186" s="10"/>
      <c r="URQ186" s="10"/>
      <c r="URX186" s="3"/>
      <c r="URZ186" s="1"/>
      <c r="USB186" s="16"/>
      <c r="USC186" s="16"/>
      <c r="USD186" s="16"/>
      <c r="USE186" s="16"/>
      <c r="USF186" s="10"/>
      <c r="USG186" s="10"/>
      <c r="USN186" s="3"/>
      <c r="USP186" s="1"/>
      <c r="USR186" s="16"/>
      <c r="USS186" s="16"/>
      <c r="UST186" s="16"/>
      <c r="USU186" s="16"/>
      <c r="USV186" s="10"/>
      <c r="USW186" s="10"/>
      <c r="UTD186" s="3"/>
      <c r="UTF186" s="1"/>
      <c r="UTH186" s="16"/>
      <c r="UTI186" s="16"/>
      <c r="UTJ186" s="16"/>
      <c r="UTK186" s="16"/>
      <c r="UTL186" s="10"/>
      <c r="UTM186" s="10"/>
      <c r="UTT186" s="3"/>
      <c r="UTV186" s="1"/>
      <c r="UTX186" s="16"/>
      <c r="UTY186" s="16"/>
      <c r="UTZ186" s="16"/>
      <c r="UUA186" s="16"/>
      <c r="UUB186" s="10"/>
      <c r="UUC186" s="10"/>
      <c r="UUJ186" s="3"/>
      <c r="UUL186" s="1"/>
      <c r="UUN186" s="16"/>
      <c r="UUO186" s="16"/>
      <c r="UUP186" s="16"/>
      <c r="UUQ186" s="16"/>
      <c r="UUR186" s="10"/>
      <c r="UUS186" s="10"/>
      <c r="UUZ186" s="3"/>
      <c r="UVB186" s="1"/>
      <c r="UVD186" s="16"/>
      <c r="UVE186" s="16"/>
      <c r="UVF186" s="16"/>
      <c r="UVG186" s="16"/>
      <c r="UVH186" s="10"/>
      <c r="UVI186" s="10"/>
      <c r="UVP186" s="3"/>
      <c r="UVR186" s="1"/>
      <c r="UVT186" s="16"/>
      <c r="UVU186" s="16"/>
      <c r="UVV186" s="16"/>
      <c r="UVW186" s="16"/>
      <c r="UVX186" s="10"/>
      <c r="UVY186" s="10"/>
      <c r="UWF186" s="3"/>
      <c r="UWH186" s="1"/>
      <c r="UWJ186" s="16"/>
      <c r="UWK186" s="16"/>
      <c r="UWL186" s="16"/>
      <c r="UWM186" s="16"/>
      <c r="UWN186" s="10"/>
      <c r="UWO186" s="10"/>
      <c r="UWV186" s="3"/>
      <c r="UWX186" s="1"/>
      <c r="UWZ186" s="16"/>
      <c r="UXA186" s="16"/>
      <c r="UXB186" s="16"/>
      <c r="UXC186" s="16"/>
      <c r="UXD186" s="10"/>
      <c r="UXE186" s="10"/>
      <c r="UXL186" s="3"/>
      <c r="UXN186" s="1"/>
      <c r="UXP186" s="16"/>
      <c r="UXQ186" s="16"/>
      <c r="UXR186" s="16"/>
      <c r="UXS186" s="16"/>
      <c r="UXT186" s="10"/>
      <c r="UXU186" s="10"/>
      <c r="UYB186" s="3"/>
      <c r="UYD186" s="1"/>
      <c r="UYF186" s="16"/>
      <c r="UYG186" s="16"/>
      <c r="UYH186" s="16"/>
      <c r="UYI186" s="16"/>
      <c r="UYJ186" s="10"/>
      <c r="UYK186" s="10"/>
      <c r="UYR186" s="3"/>
      <c r="UYT186" s="1"/>
      <c r="UYV186" s="16"/>
      <c r="UYW186" s="16"/>
      <c r="UYX186" s="16"/>
      <c r="UYY186" s="16"/>
      <c r="UYZ186" s="10"/>
      <c r="UZA186" s="10"/>
      <c r="UZH186" s="3"/>
      <c r="UZJ186" s="1"/>
      <c r="UZL186" s="16"/>
      <c r="UZM186" s="16"/>
      <c r="UZN186" s="16"/>
      <c r="UZO186" s="16"/>
      <c r="UZP186" s="10"/>
      <c r="UZQ186" s="10"/>
      <c r="UZX186" s="3"/>
      <c r="UZZ186" s="1"/>
      <c r="VAB186" s="16"/>
      <c r="VAC186" s="16"/>
      <c r="VAD186" s="16"/>
      <c r="VAE186" s="16"/>
      <c r="VAF186" s="10"/>
      <c r="VAG186" s="10"/>
      <c r="VAN186" s="3"/>
      <c r="VAP186" s="1"/>
      <c r="VAR186" s="16"/>
      <c r="VAS186" s="16"/>
      <c r="VAT186" s="16"/>
      <c r="VAU186" s="16"/>
      <c r="VAV186" s="10"/>
      <c r="VAW186" s="10"/>
      <c r="VBD186" s="3"/>
      <c r="VBF186" s="1"/>
      <c r="VBH186" s="16"/>
      <c r="VBI186" s="16"/>
      <c r="VBJ186" s="16"/>
      <c r="VBK186" s="16"/>
      <c r="VBL186" s="10"/>
      <c r="VBM186" s="10"/>
      <c r="VBT186" s="3"/>
      <c r="VBV186" s="1"/>
      <c r="VBX186" s="16"/>
      <c r="VBY186" s="16"/>
      <c r="VBZ186" s="16"/>
      <c r="VCA186" s="16"/>
      <c r="VCB186" s="10"/>
      <c r="VCC186" s="10"/>
      <c r="VCJ186" s="3"/>
      <c r="VCL186" s="1"/>
      <c r="VCN186" s="16"/>
      <c r="VCO186" s="16"/>
      <c r="VCP186" s="16"/>
      <c r="VCQ186" s="16"/>
      <c r="VCR186" s="10"/>
      <c r="VCS186" s="10"/>
      <c r="VCZ186" s="3"/>
      <c r="VDB186" s="1"/>
      <c r="VDD186" s="16"/>
      <c r="VDE186" s="16"/>
      <c r="VDF186" s="16"/>
      <c r="VDG186" s="16"/>
      <c r="VDH186" s="10"/>
      <c r="VDI186" s="10"/>
      <c r="VDP186" s="3"/>
      <c r="VDR186" s="1"/>
      <c r="VDT186" s="16"/>
      <c r="VDU186" s="16"/>
      <c r="VDV186" s="16"/>
      <c r="VDW186" s="16"/>
      <c r="VDX186" s="10"/>
      <c r="VDY186" s="10"/>
      <c r="VEF186" s="3"/>
      <c r="VEH186" s="1"/>
      <c r="VEJ186" s="16"/>
      <c r="VEK186" s="16"/>
      <c r="VEL186" s="16"/>
      <c r="VEM186" s="16"/>
      <c r="VEN186" s="10"/>
      <c r="VEO186" s="10"/>
      <c r="VEV186" s="3"/>
      <c r="VEX186" s="1"/>
      <c r="VEZ186" s="16"/>
      <c r="VFA186" s="16"/>
      <c r="VFB186" s="16"/>
      <c r="VFC186" s="16"/>
      <c r="VFD186" s="10"/>
      <c r="VFE186" s="10"/>
      <c r="VFL186" s="3"/>
      <c r="VFN186" s="1"/>
      <c r="VFP186" s="16"/>
      <c r="VFQ186" s="16"/>
      <c r="VFR186" s="16"/>
      <c r="VFS186" s="16"/>
      <c r="VFT186" s="10"/>
      <c r="VFU186" s="10"/>
      <c r="VGB186" s="3"/>
      <c r="VGD186" s="1"/>
      <c r="VGF186" s="16"/>
      <c r="VGG186" s="16"/>
      <c r="VGH186" s="16"/>
      <c r="VGI186" s="16"/>
      <c r="VGJ186" s="10"/>
      <c r="VGK186" s="10"/>
      <c r="VGR186" s="3"/>
      <c r="VGT186" s="1"/>
      <c r="VGV186" s="16"/>
      <c r="VGW186" s="16"/>
      <c r="VGX186" s="16"/>
      <c r="VGY186" s="16"/>
      <c r="VGZ186" s="10"/>
      <c r="VHA186" s="10"/>
      <c r="VHH186" s="3"/>
      <c r="VHJ186" s="1"/>
      <c r="VHL186" s="16"/>
      <c r="VHM186" s="16"/>
      <c r="VHN186" s="16"/>
      <c r="VHO186" s="16"/>
      <c r="VHP186" s="10"/>
      <c r="VHQ186" s="10"/>
      <c r="VHX186" s="3"/>
      <c r="VHZ186" s="1"/>
      <c r="VIB186" s="16"/>
      <c r="VIC186" s="16"/>
      <c r="VID186" s="16"/>
      <c r="VIE186" s="16"/>
      <c r="VIF186" s="10"/>
      <c r="VIG186" s="10"/>
      <c r="VIN186" s="3"/>
      <c r="VIP186" s="1"/>
      <c r="VIR186" s="16"/>
      <c r="VIS186" s="16"/>
      <c r="VIT186" s="16"/>
      <c r="VIU186" s="16"/>
      <c r="VIV186" s="10"/>
      <c r="VIW186" s="10"/>
      <c r="VJD186" s="3"/>
      <c r="VJF186" s="1"/>
      <c r="VJH186" s="16"/>
      <c r="VJI186" s="16"/>
      <c r="VJJ186" s="16"/>
      <c r="VJK186" s="16"/>
      <c r="VJL186" s="10"/>
      <c r="VJM186" s="10"/>
      <c r="VJT186" s="3"/>
      <c r="VJV186" s="1"/>
      <c r="VJX186" s="16"/>
      <c r="VJY186" s="16"/>
      <c r="VJZ186" s="16"/>
      <c r="VKA186" s="16"/>
      <c r="VKB186" s="10"/>
      <c r="VKC186" s="10"/>
      <c r="VKJ186" s="3"/>
      <c r="VKL186" s="1"/>
      <c r="VKN186" s="16"/>
      <c r="VKO186" s="16"/>
      <c r="VKP186" s="16"/>
      <c r="VKQ186" s="16"/>
      <c r="VKR186" s="10"/>
      <c r="VKS186" s="10"/>
      <c r="VKZ186" s="3"/>
      <c r="VLB186" s="1"/>
      <c r="VLD186" s="16"/>
      <c r="VLE186" s="16"/>
      <c r="VLF186" s="16"/>
      <c r="VLG186" s="16"/>
      <c r="VLH186" s="10"/>
      <c r="VLI186" s="10"/>
      <c r="VLP186" s="3"/>
      <c r="VLR186" s="1"/>
      <c r="VLT186" s="16"/>
      <c r="VLU186" s="16"/>
      <c r="VLV186" s="16"/>
      <c r="VLW186" s="16"/>
      <c r="VLX186" s="10"/>
      <c r="VLY186" s="10"/>
      <c r="VMF186" s="3"/>
      <c r="VMH186" s="1"/>
      <c r="VMJ186" s="16"/>
      <c r="VMK186" s="16"/>
      <c r="VML186" s="16"/>
      <c r="VMM186" s="16"/>
      <c r="VMN186" s="10"/>
      <c r="VMO186" s="10"/>
      <c r="VMV186" s="3"/>
      <c r="VMX186" s="1"/>
      <c r="VMZ186" s="16"/>
      <c r="VNA186" s="16"/>
      <c r="VNB186" s="16"/>
      <c r="VNC186" s="16"/>
      <c r="VND186" s="10"/>
      <c r="VNE186" s="10"/>
      <c r="VNL186" s="3"/>
      <c r="VNN186" s="1"/>
      <c r="VNP186" s="16"/>
      <c r="VNQ186" s="16"/>
      <c r="VNR186" s="16"/>
      <c r="VNS186" s="16"/>
      <c r="VNT186" s="10"/>
      <c r="VNU186" s="10"/>
      <c r="VOB186" s="3"/>
      <c r="VOD186" s="1"/>
      <c r="VOF186" s="16"/>
      <c r="VOG186" s="16"/>
      <c r="VOH186" s="16"/>
      <c r="VOI186" s="16"/>
      <c r="VOJ186" s="10"/>
      <c r="VOK186" s="10"/>
      <c r="VOR186" s="3"/>
      <c r="VOT186" s="1"/>
      <c r="VOV186" s="16"/>
      <c r="VOW186" s="16"/>
      <c r="VOX186" s="16"/>
      <c r="VOY186" s="16"/>
      <c r="VOZ186" s="10"/>
      <c r="VPA186" s="10"/>
      <c r="VPH186" s="3"/>
      <c r="VPJ186" s="1"/>
      <c r="VPL186" s="16"/>
      <c r="VPM186" s="16"/>
      <c r="VPN186" s="16"/>
      <c r="VPO186" s="16"/>
      <c r="VPP186" s="10"/>
      <c r="VPQ186" s="10"/>
      <c r="VPX186" s="3"/>
      <c r="VPZ186" s="1"/>
      <c r="VQB186" s="16"/>
      <c r="VQC186" s="16"/>
      <c r="VQD186" s="16"/>
      <c r="VQE186" s="16"/>
      <c r="VQF186" s="10"/>
      <c r="VQG186" s="10"/>
      <c r="VQN186" s="3"/>
      <c r="VQP186" s="1"/>
      <c r="VQR186" s="16"/>
      <c r="VQS186" s="16"/>
      <c r="VQT186" s="16"/>
      <c r="VQU186" s="16"/>
      <c r="VQV186" s="10"/>
      <c r="VQW186" s="10"/>
      <c r="VRD186" s="3"/>
      <c r="VRF186" s="1"/>
      <c r="VRH186" s="16"/>
      <c r="VRI186" s="16"/>
      <c r="VRJ186" s="16"/>
      <c r="VRK186" s="16"/>
      <c r="VRL186" s="10"/>
      <c r="VRM186" s="10"/>
      <c r="VRT186" s="3"/>
      <c r="VRV186" s="1"/>
      <c r="VRX186" s="16"/>
      <c r="VRY186" s="16"/>
      <c r="VRZ186" s="16"/>
      <c r="VSA186" s="16"/>
      <c r="VSB186" s="10"/>
      <c r="VSC186" s="10"/>
      <c r="VSJ186" s="3"/>
      <c r="VSL186" s="1"/>
      <c r="VSN186" s="16"/>
      <c r="VSO186" s="16"/>
      <c r="VSP186" s="16"/>
      <c r="VSQ186" s="16"/>
      <c r="VSR186" s="10"/>
      <c r="VSS186" s="10"/>
      <c r="VSZ186" s="3"/>
      <c r="VTB186" s="1"/>
      <c r="VTD186" s="16"/>
      <c r="VTE186" s="16"/>
      <c r="VTF186" s="16"/>
      <c r="VTG186" s="16"/>
      <c r="VTH186" s="10"/>
      <c r="VTI186" s="10"/>
      <c r="VTP186" s="3"/>
      <c r="VTR186" s="1"/>
      <c r="VTT186" s="16"/>
      <c r="VTU186" s="16"/>
      <c r="VTV186" s="16"/>
      <c r="VTW186" s="16"/>
      <c r="VTX186" s="10"/>
      <c r="VTY186" s="10"/>
      <c r="VUF186" s="3"/>
      <c r="VUH186" s="1"/>
      <c r="VUJ186" s="16"/>
      <c r="VUK186" s="16"/>
      <c r="VUL186" s="16"/>
      <c r="VUM186" s="16"/>
      <c r="VUN186" s="10"/>
      <c r="VUO186" s="10"/>
      <c r="VUV186" s="3"/>
      <c r="VUX186" s="1"/>
      <c r="VUZ186" s="16"/>
      <c r="VVA186" s="16"/>
      <c r="VVB186" s="16"/>
      <c r="VVC186" s="16"/>
      <c r="VVD186" s="10"/>
      <c r="VVE186" s="10"/>
      <c r="VVL186" s="3"/>
      <c r="VVN186" s="1"/>
      <c r="VVP186" s="16"/>
      <c r="VVQ186" s="16"/>
      <c r="VVR186" s="16"/>
      <c r="VVS186" s="16"/>
      <c r="VVT186" s="10"/>
      <c r="VVU186" s="10"/>
      <c r="VWB186" s="3"/>
      <c r="VWD186" s="1"/>
      <c r="VWF186" s="16"/>
      <c r="VWG186" s="16"/>
      <c r="VWH186" s="16"/>
      <c r="VWI186" s="16"/>
      <c r="VWJ186" s="10"/>
      <c r="VWK186" s="10"/>
      <c r="VWR186" s="3"/>
      <c r="VWT186" s="1"/>
      <c r="VWV186" s="16"/>
      <c r="VWW186" s="16"/>
      <c r="VWX186" s="16"/>
      <c r="VWY186" s="16"/>
      <c r="VWZ186" s="10"/>
      <c r="VXA186" s="10"/>
      <c r="VXH186" s="3"/>
      <c r="VXJ186" s="1"/>
      <c r="VXL186" s="16"/>
      <c r="VXM186" s="16"/>
      <c r="VXN186" s="16"/>
      <c r="VXO186" s="16"/>
      <c r="VXP186" s="10"/>
      <c r="VXQ186" s="10"/>
      <c r="VXX186" s="3"/>
      <c r="VXZ186" s="1"/>
      <c r="VYB186" s="16"/>
      <c r="VYC186" s="16"/>
      <c r="VYD186" s="16"/>
      <c r="VYE186" s="16"/>
      <c r="VYF186" s="10"/>
      <c r="VYG186" s="10"/>
      <c r="VYN186" s="3"/>
      <c r="VYP186" s="1"/>
      <c r="VYR186" s="16"/>
      <c r="VYS186" s="16"/>
      <c r="VYT186" s="16"/>
      <c r="VYU186" s="16"/>
      <c r="VYV186" s="10"/>
      <c r="VYW186" s="10"/>
      <c r="VZD186" s="3"/>
      <c r="VZF186" s="1"/>
      <c r="VZH186" s="16"/>
      <c r="VZI186" s="16"/>
      <c r="VZJ186" s="16"/>
      <c r="VZK186" s="16"/>
      <c r="VZL186" s="10"/>
      <c r="VZM186" s="10"/>
      <c r="VZT186" s="3"/>
      <c r="VZV186" s="1"/>
      <c r="VZX186" s="16"/>
      <c r="VZY186" s="16"/>
      <c r="VZZ186" s="16"/>
      <c r="WAA186" s="16"/>
      <c r="WAB186" s="10"/>
      <c r="WAC186" s="10"/>
      <c r="WAJ186" s="3"/>
      <c r="WAL186" s="1"/>
      <c r="WAN186" s="16"/>
      <c r="WAO186" s="16"/>
      <c r="WAP186" s="16"/>
      <c r="WAQ186" s="16"/>
      <c r="WAR186" s="10"/>
      <c r="WAS186" s="10"/>
      <c r="WAZ186" s="3"/>
      <c r="WBB186" s="1"/>
      <c r="WBD186" s="16"/>
      <c r="WBE186" s="16"/>
      <c r="WBF186" s="16"/>
      <c r="WBG186" s="16"/>
      <c r="WBH186" s="10"/>
      <c r="WBI186" s="10"/>
      <c r="WBP186" s="3"/>
      <c r="WBR186" s="1"/>
      <c r="WBT186" s="16"/>
      <c r="WBU186" s="16"/>
      <c r="WBV186" s="16"/>
      <c r="WBW186" s="16"/>
      <c r="WBX186" s="10"/>
      <c r="WBY186" s="10"/>
      <c r="WCF186" s="3"/>
      <c r="WCH186" s="1"/>
      <c r="WCJ186" s="16"/>
      <c r="WCK186" s="16"/>
      <c r="WCL186" s="16"/>
      <c r="WCM186" s="16"/>
      <c r="WCN186" s="10"/>
      <c r="WCO186" s="10"/>
      <c r="WCV186" s="3"/>
      <c r="WCX186" s="1"/>
      <c r="WCZ186" s="16"/>
      <c r="WDA186" s="16"/>
      <c r="WDB186" s="16"/>
      <c r="WDC186" s="16"/>
      <c r="WDD186" s="10"/>
      <c r="WDE186" s="10"/>
      <c r="WDL186" s="3"/>
      <c r="WDN186" s="1"/>
      <c r="WDP186" s="16"/>
      <c r="WDQ186" s="16"/>
      <c r="WDR186" s="16"/>
      <c r="WDS186" s="16"/>
      <c r="WDT186" s="10"/>
      <c r="WDU186" s="10"/>
      <c r="WEB186" s="3"/>
      <c r="WED186" s="1"/>
      <c r="WEF186" s="16"/>
      <c r="WEG186" s="16"/>
      <c r="WEH186" s="16"/>
      <c r="WEI186" s="16"/>
      <c r="WEJ186" s="10"/>
      <c r="WEK186" s="10"/>
      <c r="WER186" s="3"/>
      <c r="WET186" s="1"/>
      <c r="WEV186" s="16"/>
      <c r="WEW186" s="16"/>
      <c r="WEX186" s="16"/>
      <c r="WEY186" s="16"/>
      <c r="WEZ186" s="10"/>
      <c r="WFA186" s="10"/>
      <c r="WFH186" s="3"/>
      <c r="WFJ186" s="1"/>
      <c r="WFL186" s="16"/>
      <c r="WFM186" s="16"/>
      <c r="WFN186" s="16"/>
      <c r="WFO186" s="16"/>
      <c r="WFP186" s="10"/>
      <c r="WFQ186" s="10"/>
      <c r="WFX186" s="3"/>
      <c r="WFZ186" s="1"/>
      <c r="WGB186" s="16"/>
      <c r="WGC186" s="16"/>
      <c r="WGD186" s="16"/>
      <c r="WGE186" s="16"/>
      <c r="WGF186" s="10"/>
      <c r="WGG186" s="10"/>
      <c r="WGN186" s="3"/>
      <c r="WGP186" s="1"/>
      <c r="WGR186" s="16"/>
      <c r="WGS186" s="16"/>
      <c r="WGT186" s="16"/>
      <c r="WGU186" s="16"/>
      <c r="WGV186" s="10"/>
      <c r="WGW186" s="10"/>
      <c r="WHD186" s="3"/>
      <c r="WHF186" s="1"/>
      <c r="WHH186" s="16"/>
      <c r="WHI186" s="16"/>
      <c r="WHJ186" s="16"/>
      <c r="WHK186" s="16"/>
      <c r="WHL186" s="10"/>
      <c r="WHM186" s="10"/>
      <c r="WHT186" s="3"/>
      <c r="WHV186" s="1"/>
      <c r="WHX186" s="16"/>
      <c r="WHY186" s="16"/>
      <c r="WHZ186" s="16"/>
      <c r="WIA186" s="16"/>
      <c r="WIB186" s="10"/>
      <c r="WIC186" s="10"/>
      <c r="WIJ186" s="3"/>
      <c r="WIL186" s="1"/>
      <c r="WIN186" s="16"/>
      <c r="WIO186" s="16"/>
      <c r="WIP186" s="16"/>
      <c r="WIQ186" s="16"/>
      <c r="WIR186" s="10"/>
      <c r="WIS186" s="10"/>
      <c r="WIZ186" s="3"/>
      <c r="WJB186" s="1"/>
      <c r="WJD186" s="16"/>
      <c r="WJE186" s="16"/>
      <c r="WJF186" s="16"/>
      <c r="WJG186" s="16"/>
      <c r="WJH186" s="10"/>
      <c r="WJI186" s="10"/>
      <c r="WJP186" s="3"/>
      <c r="WJR186" s="1"/>
      <c r="WJT186" s="16"/>
      <c r="WJU186" s="16"/>
      <c r="WJV186" s="16"/>
      <c r="WJW186" s="16"/>
      <c r="WJX186" s="10"/>
      <c r="WJY186" s="10"/>
      <c r="WKF186" s="3"/>
      <c r="WKH186" s="1"/>
      <c r="WKJ186" s="16"/>
      <c r="WKK186" s="16"/>
      <c r="WKL186" s="16"/>
      <c r="WKM186" s="16"/>
      <c r="WKN186" s="10"/>
      <c r="WKO186" s="10"/>
      <c r="WKV186" s="3"/>
      <c r="WKX186" s="1"/>
      <c r="WKZ186" s="16"/>
      <c r="WLA186" s="16"/>
      <c r="WLB186" s="16"/>
      <c r="WLC186" s="16"/>
      <c r="WLD186" s="10"/>
      <c r="WLE186" s="10"/>
      <c r="WLL186" s="3"/>
      <c r="WLN186" s="1"/>
      <c r="WLP186" s="16"/>
      <c r="WLQ186" s="16"/>
      <c r="WLR186" s="16"/>
      <c r="WLS186" s="16"/>
      <c r="WLT186" s="10"/>
      <c r="WLU186" s="10"/>
      <c r="WMB186" s="3"/>
      <c r="WMD186" s="1"/>
      <c r="WMF186" s="16"/>
      <c r="WMG186" s="16"/>
      <c r="WMH186" s="16"/>
      <c r="WMI186" s="16"/>
      <c r="WMJ186" s="10"/>
      <c r="WMK186" s="10"/>
      <c r="WMR186" s="3"/>
      <c r="WMT186" s="1"/>
      <c r="WMV186" s="16"/>
      <c r="WMW186" s="16"/>
      <c r="WMX186" s="16"/>
      <c r="WMY186" s="16"/>
      <c r="WMZ186" s="10"/>
      <c r="WNA186" s="10"/>
      <c r="WNH186" s="3"/>
      <c r="WNJ186" s="1"/>
      <c r="WNL186" s="16"/>
      <c r="WNM186" s="16"/>
      <c r="WNN186" s="16"/>
      <c r="WNO186" s="16"/>
      <c r="WNP186" s="10"/>
      <c r="WNQ186" s="10"/>
      <c r="WNX186" s="3"/>
      <c r="WNZ186" s="1"/>
      <c r="WOB186" s="16"/>
      <c r="WOC186" s="16"/>
      <c r="WOD186" s="16"/>
      <c r="WOE186" s="16"/>
      <c r="WOF186" s="10"/>
      <c r="WOG186" s="10"/>
      <c r="WON186" s="3"/>
      <c r="WOP186" s="1"/>
      <c r="WOR186" s="16"/>
      <c r="WOS186" s="16"/>
      <c r="WOT186" s="16"/>
      <c r="WOU186" s="16"/>
      <c r="WOV186" s="10"/>
      <c r="WOW186" s="10"/>
      <c r="WPD186" s="3"/>
      <c r="WPF186" s="1"/>
      <c r="WPH186" s="16"/>
      <c r="WPI186" s="16"/>
      <c r="WPJ186" s="16"/>
      <c r="WPK186" s="16"/>
      <c r="WPL186" s="10"/>
      <c r="WPM186" s="10"/>
      <c r="WPT186" s="3"/>
      <c r="WPV186" s="1"/>
      <c r="WPX186" s="16"/>
      <c r="WPY186" s="16"/>
      <c r="WPZ186" s="16"/>
      <c r="WQA186" s="16"/>
      <c r="WQB186" s="10"/>
      <c r="WQC186" s="10"/>
      <c r="WQJ186" s="3"/>
      <c r="WQL186" s="1"/>
      <c r="WQN186" s="16"/>
      <c r="WQO186" s="16"/>
      <c r="WQP186" s="16"/>
      <c r="WQQ186" s="16"/>
      <c r="WQR186" s="10"/>
      <c r="WQS186" s="10"/>
      <c r="WQZ186" s="3"/>
      <c r="WRB186" s="1"/>
      <c r="WRD186" s="16"/>
      <c r="WRE186" s="16"/>
      <c r="WRF186" s="16"/>
      <c r="WRG186" s="16"/>
      <c r="WRH186" s="10"/>
      <c r="WRI186" s="10"/>
      <c r="WRP186" s="3"/>
      <c r="WRR186" s="1"/>
      <c r="WRT186" s="16"/>
      <c r="WRU186" s="16"/>
      <c r="WRV186" s="16"/>
      <c r="WRW186" s="16"/>
      <c r="WRX186" s="10"/>
      <c r="WRY186" s="10"/>
      <c r="WSF186" s="3"/>
      <c r="WSH186" s="1"/>
      <c r="WSJ186" s="16"/>
      <c r="WSK186" s="16"/>
      <c r="WSL186" s="16"/>
      <c r="WSM186" s="16"/>
      <c r="WSN186" s="10"/>
      <c r="WSO186" s="10"/>
      <c r="WSV186" s="3"/>
      <c r="WSX186" s="1"/>
      <c r="WSZ186" s="16"/>
      <c r="WTA186" s="16"/>
      <c r="WTB186" s="16"/>
      <c r="WTC186" s="16"/>
      <c r="WTD186" s="10"/>
      <c r="WTE186" s="10"/>
      <c r="WTL186" s="3"/>
      <c r="WTN186" s="1"/>
      <c r="WTP186" s="16"/>
      <c r="WTQ186" s="16"/>
      <c r="WTR186" s="16"/>
      <c r="WTS186" s="16"/>
      <c r="WTT186" s="10"/>
      <c r="WTU186" s="10"/>
      <c r="WUB186" s="3"/>
      <c r="WUD186" s="1"/>
      <c r="WUF186" s="16"/>
      <c r="WUG186" s="16"/>
      <c r="WUH186" s="16"/>
      <c r="WUI186" s="16"/>
      <c r="WUJ186" s="10"/>
      <c r="WUK186" s="10"/>
      <c r="WUR186" s="3"/>
      <c r="WUT186" s="1"/>
      <c r="WUV186" s="16"/>
      <c r="WUW186" s="16"/>
      <c r="WUX186" s="16"/>
      <c r="WUY186" s="16"/>
      <c r="WUZ186" s="10"/>
      <c r="WVA186" s="10"/>
      <c r="WVH186" s="3"/>
      <c r="WVJ186" s="1"/>
      <c r="WVL186" s="16"/>
      <c r="WVM186" s="16"/>
      <c r="WVN186" s="16"/>
      <c r="WVO186" s="16"/>
      <c r="WVP186" s="10"/>
      <c r="WVQ186" s="10"/>
      <c r="WVX186" s="3"/>
      <c r="WVZ186" s="1"/>
      <c r="WWB186" s="16"/>
      <c r="WWC186" s="16"/>
      <c r="WWD186" s="16"/>
      <c r="WWE186" s="16"/>
      <c r="WWF186" s="10"/>
      <c r="WWG186" s="10"/>
      <c r="WWN186" s="3"/>
      <c r="WWP186" s="1"/>
      <c r="WWR186" s="16"/>
      <c r="WWS186" s="16"/>
      <c r="WWT186" s="16"/>
      <c r="WWU186" s="16"/>
      <c r="WWV186" s="10"/>
      <c r="WWW186" s="10"/>
      <c r="WXD186" s="3"/>
      <c r="WXF186" s="1"/>
      <c r="WXH186" s="16"/>
      <c r="WXI186" s="16"/>
      <c r="WXJ186" s="16"/>
      <c r="WXK186" s="16"/>
      <c r="WXL186" s="10"/>
      <c r="WXM186" s="10"/>
      <c r="WXT186" s="3"/>
      <c r="WXV186" s="1"/>
      <c r="WXX186" s="16"/>
      <c r="WXY186" s="16"/>
      <c r="WXZ186" s="16"/>
      <c r="WYA186" s="16"/>
      <c r="WYB186" s="10"/>
      <c r="WYC186" s="10"/>
      <c r="WYJ186" s="3"/>
      <c r="WYL186" s="1"/>
      <c r="WYN186" s="16"/>
      <c r="WYO186" s="16"/>
      <c r="WYP186" s="16"/>
      <c r="WYQ186" s="16"/>
      <c r="WYR186" s="10"/>
      <c r="WYS186" s="10"/>
      <c r="WYZ186" s="3"/>
      <c r="WZB186" s="1"/>
      <c r="WZD186" s="16"/>
      <c r="WZE186" s="16"/>
      <c r="WZF186" s="16"/>
      <c r="WZG186" s="16"/>
      <c r="WZH186" s="10"/>
      <c r="WZI186" s="10"/>
      <c r="WZP186" s="3"/>
      <c r="WZR186" s="1"/>
      <c r="WZT186" s="16"/>
      <c r="WZU186" s="16"/>
      <c r="WZV186" s="16"/>
      <c r="WZW186" s="16"/>
      <c r="WZX186" s="10"/>
      <c r="WZY186" s="10"/>
      <c r="XAF186" s="3"/>
      <c r="XAH186" s="1"/>
      <c r="XAJ186" s="16"/>
      <c r="XAK186" s="16"/>
      <c r="XAL186" s="16"/>
      <c r="XAM186" s="16"/>
      <c r="XAN186" s="10"/>
      <c r="XAO186" s="10"/>
      <c r="XAV186" s="3"/>
      <c r="XAX186" s="1"/>
      <c r="XAZ186" s="16"/>
      <c r="XBA186" s="16"/>
      <c r="XBB186" s="16"/>
      <c r="XBC186" s="16"/>
      <c r="XBD186" s="10"/>
      <c r="XBE186" s="10"/>
      <c r="XBL186" s="3"/>
      <c r="XBN186" s="1"/>
      <c r="XBP186" s="16"/>
      <c r="XBQ186" s="16"/>
      <c r="XBR186" s="16"/>
      <c r="XBS186" s="16"/>
      <c r="XBT186" s="10"/>
      <c r="XBU186" s="10"/>
      <c r="XCB186" s="3"/>
      <c r="XCD186" s="1"/>
      <c r="XCF186" s="16"/>
      <c r="XCG186" s="16"/>
      <c r="XCH186" s="16"/>
      <c r="XCI186" s="16"/>
      <c r="XCJ186" s="10"/>
      <c r="XCK186" s="10"/>
      <c r="XCR186" s="3"/>
      <c r="XCT186" s="1"/>
      <c r="XCV186" s="16"/>
      <c r="XCW186" s="16"/>
      <c r="XCX186" s="16"/>
      <c r="XCY186" s="16"/>
      <c r="XCZ186" s="10"/>
      <c r="XDA186" s="10"/>
      <c r="XDH186" s="3"/>
      <c r="XDJ186" s="1"/>
      <c r="XDL186" s="16"/>
      <c r="XDM186" s="16"/>
      <c r="XDN186" s="16"/>
      <c r="XDO186" s="16"/>
      <c r="XDP186" s="10"/>
      <c r="XDQ186" s="10"/>
      <c r="XDX186" s="3"/>
      <c r="XDZ186" s="1"/>
      <c r="XEB186" s="16"/>
      <c r="XEC186" s="16"/>
      <c r="XED186" s="16"/>
      <c r="XEE186" s="16"/>
      <c r="XEF186" s="10"/>
      <c r="XEG186" s="10"/>
      <c r="XEN186" s="3"/>
      <c r="XEP186" s="1"/>
      <c r="XER186" s="16"/>
      <c r="XES186" s="16"/>
      <c r="XET186" s="16"/>
      <c r="XEU186" s="16"/>
      <c r="XEV186" s="10"/>
      <c r="XEW186" s="10"/>
      <c r="XFD186" s="3"/>
    </row>
    <row r="187" ht="14.4" spans="1:16384">
      <c r="A187" s="18" t="str">
        <f>'Ammo Input'!A187</f>
        <v>23x115mm</v>
      </c>
      <c r="B187" s="1" t="str">
        <f>'Ammo Input'!B187</f>
        <v>AP-HE</v>
      </c>
      <c r="C187">
        <f>(0.579*('Ammo Stats'!G187*IF(OR(B187="HEAT",B187="HEDP"),10,'Ammo Input'!F187)*VLOOKUP(B187,AmmoTypeFactors,7,FALSE))^(0.346))^IF(B187="HEDP",2.1,1)/IF(B187="HEDP",50,1)</f>
        <v>69.5170402236414</v>
      </c>
      <c r="D187" s="16">
        <f>IF(VLOOKUP(B187,AmmoTypeFactors,8,FALSE),J187,C187)*VLOOKUP('Ammo Input'!B187,AmmoTypeFactors,2,FALSE)</f>
        <v>69.5170402236414</v>
      </c>
      <c r="E187" s="16">
        <f>IF(OR(VLOOKUP(B187,AmmoTypeFactors,6,FALSE)="Bomb",VLOOKUP(B187,AmmoTypeFactors,6,FALSE)="Thermobaric"),J187*VLOOKUP(B187,AmmoTypeFactors,4,FALSE),IF(VLOOKUP(B187,AmmoTypeFactors,11,FALSE),P187,C187*VLOOKUP(B187,AmmoTypeFactors,4,FALSE)))</f>
        <v>43.7096046246055</v>
      </c>
      <c r="F187" s="16">
        <f>'Ammo Stats'!G187/0.005</f>
        <v>8895400</v>
      </c>
      <c r="G187" s="16">
        <f>(IF(B187="HEAT",10,'Ammo Input'!F187)*VLOOKUP(B187,AmmoTypeFactors,7,FALSE)*0.5)^2*PI()/100</f>
        <v>4.1547562843725</v>
      </c>
      <c r="H187" s="10">
        <f t="shared" si="9"/>
        <v>889.54</v>
      </c>
      <c r="I187" s="10">
        <f>IF(B187&lt;&gt;"Arrow (Flaming)",39493.49*'Ammo Input'!M187^0.6/1000,0)</f>
        <v>0</v>
      </c>
      <c r="J187">
        <f t="shared" si="10"/>
        <v>0</v>
      </c>
      <c r="K187">
        <f t="shared" si="11"/>
        <v>21</v>
      </c>
      <c r="L187">
        <f>200000/('Ammo Stats'!C187*(MAX('Ammo Input'!D187,'Ammo Input'!F187)*0.5)^2*PI())</f>
        <v>998.032173023839</v>
      </c>
      <c r="M187">
        <f>IF(B187="Frag",1,('Ammo Input'!M187/1.33)/('Ammo Input'!H187/1000))</f>
        <v>0</v>
      </c>
      <c r="N187" t="s">
        <v>353</v>
      </c>
      <c r="O187" t="s">
        <v>353</v>
      </c>
      <c r="P187" s="3">
        <f>(39493.49*(IF((VLOOKUP(B187,AmmoTypeFactors,6,FALSE)="Bomb_Secondary"),1.33,1)*('Ammo Input'!H187*0.35)/1000)^0.6/1000)*10/3*VLOOKUP(B187,AmmoTypeFactors,4,FALSE)</f>
        <v>43.7096046246055</v>
      </c>
      <c r="R187" s="1"/>
      <c r="T187" s="16"/>
      <c r="U187" s="16"/>
      <c r="V187" s="16"/>
      <c r="W187" s="16"/>
      <c r="X187" s="10"/>
      <c r="Y187" s="10"/>
      <c r="AF187" s="3"/>
      <c r="AH187" s="1"/>
      <c r="AJ187" s="16"/>
      <c r="AK187" s="16"/>
      <c r="AL187" s="16"/>
      <c r="AM187" s="16"/>
      <c r="AN187" s="10"/>
      <c r="AO187" s="10"/>
      <c r="AV187" s="3"/>
      <c r="AX187" s="1"/>
      <c r="AZ187" s="16"/>
      <c r="BA187" s="16"/>
      <c r="BB187" s="16"/>
      <c r="BC187" s="16"/>
      <c r="BD187" s="10"/>
      <c r="BE187" s="10"/>
      <c r="BL187" s="3"/>
      <c r="BN187" s="1"/>
      <c r="BP187" s="16"/>
      <c r="BQ187" s="16"/>
      <c r="BR187" s="16"/>
      <c r="BS187" s="16"/>
      <c r="BT187" s="10"/>
      <c r="BU187" s="10"/>
      <c r="CB187" s="3"/>
      <c r="CD187" s="1"/>
      <c r="CF187" s="16"/>
      <c r="CG187" s="16"/>
      <c r="CH187" s="16"/>
      <c r="CI187" s="16"/>
      <c r="CJ187" s="10"/>
      <c r="CK187" s="10"/>
      <c r="CR187" s="3"/>
      <c r="CT187" s="1"/>
      <c r="CV187" s="16"/>
      <c r="CW187" s="16"/>
      <c r="CX187" s="16"/>
      <c r="CY187" s="16"/>
      <c r="CZ187" s="10"/>
      <c r="DA187" s="10"/>
      <c r="DH187" s="3"/>
      <c r="DJ187" s="1"/>
      <c r="DL187" s="16"/>
      <c r="DM187" s="16"/>
      <c r="DN187" s="16"/>
      <c r="DO187" s="16"/>
      <c r="DP187" s="10"/>
      <c r="DQ187" s="10"/>
      <c r="DX187" s="3"/>
      <c r="DZ187" s="1"/>
      <c r="EB187" s="16"/>
      <c r="EC187" s="16"/>
      <c r="ED187" s="16"/>
      <c r="EE187" s="16"/>
      <c r="EF187" s="10"/>
      <c r="EG187" s="10"/>
      <c r="EN187" s="3"/>
      <c r="EP187" s="1"/>
      <c r="ER187" s="16"/>
      <c r="ES187" s="16"/>
      <c r="ET187" s="16"/>
      <c r="EU187" s="16"/>
      <c r="EV187" s="10"/>
      <c r="EW187" s="10"/>
      <c r="FD187" s="3"/>
      <c r="FF187" s="1"/>
      <c r="FH187" s="16"/>
      <c r="FI187" s="16"/>
      <c r="FJ187" s="16"/>
      <c r="FK187" s="16"/>
      <c r="FL187" s="10"/>
      <c r="FM187" s="10"/>
      <c r="FT187" s="3"/>
      <c r="FV187" s="1"/>
      <c r="FX187" s="16"/>
      <c r="FY187" s="16"/>
      <c r="FZ187" s="16"/>
      <c r="GA187" s="16"/>
      <c r="GB187" s="10"/>
      <c r="GC187" s="10"/>
      <c r="GJ187" s="3"/>
      <c r="GL187" s="1"/>
      <c r="GN187" s="16"/>
      <c r="GO187" s="16"/>
      <c r="GP187" s="16"/>
      <c r="GQ187" s="16"/>
      <c r="GR187" s="10"/>
      <c r="GS187" s="10"/>
      <c r="GZ187" s="3"/>
      <c r="HB187" s="1"/>
      <c r="HD187" s="16"/>
      <c r="HE187" s="16"/>
      <c r="HF187" s="16"/>
      <c r="HG187" s="16"/>
      <c r="HH187" s="10"/>
      <c r="HI187" s="10"/>
      <c r="HP187" s="3"/>
      <c r="HR187" s="1"/>
      <c r="HT187" s="16"/>
      <c r="HU187" s="16"/>
      <c r="HV187" s="16"/>
      <c r="HW187" s="16"/>
      <c r="HX187" s="10"/>
      <c r="HY187" s="10"/>
      <c r="IF187" s="3"/>
      <c r="IH187" s="1"/>
      <c r="IJ187" s="16"/>
      <c r="IK187" s="16"/>
      <c r="IL187" s="16"/>
      <c r="IM187" s="16"/>
      <c r="IN187" s="10"/>
      <c r="IO187" s="10"/>
      <c r="IV187" s="3"/>
      <c r="IX187" s="1"/>
      <c r="IZ187" s="16"/>
      <c r="JA187" s="16"/>
      <c r="JB187" s="16"/>
      <c r="JC187" s="16"/>
      <c r="JD187" s="10"/>
      <c r="JE187" s="10"/>
      <c r="JL187" s="3"/>
      <c r="JN187" s="1"/>
      <c r="JP187" s="16"/>
      <c r="JQ187" s="16"/>
      <c r="JR187" s="16"/>
      <c r="JS187" s="16"/>
      <c r="JT187" s="10"/>
      <c r="JU187" s="10"/>
      <c r="KB187" s="3"/>
      <c r="KD187" s="1"/>
      <c r="KF187" s="16"/>
      <c r="KG187" s="16"/>
      <c r="KH187" s="16"/>
      <c r="KI187" s="16"/>
      <c r="KJ187" s="10"/>
      <c r="KK187" s="10"/>
      <c r="KR187" s="3"/>
      <c r="KT187" s="1"/>
      <c r="KV187" s="16"/>
      <c r="KW187" s="16"/>
      <c r="KX187" s="16"/>
      <c r="KY187" s="16"/>
      <c r="KZ187" s="10"/>
      <c r="LA187" s="10"/>
      <c r="LH187" s="3"/>
      <c r="LJ187" s="1"/>
      <c r="LL187" s="16"/>
      <c r="LM187" s="16"/>
      <c r="LN187" s="16"/>
      <c r="LO187" s="16"/>
      <c r="LP187" s="10"/>
      <c r="LQ187" s="10"/>
      <c r="LX187" s="3"/>
      <c r="LZ187" s="1"/>
      <c r="MB187" s="16"/>
      <c r="MC187" s="16"/>
      <c r="MD187" s="16"/>
      <c r="ME187" s="16"/>
      <c r="MF187" s="10"/>
      <c r="MG187" s="10"/>
      <c r="MN187" s="3"/>
      <c r="MP187" s="1"/>
      <c r="MR187" s="16"/>
      <c r="MS187" s="16"/>
      <c r="MT187" s="16"/>
      <c r="MU187" s="16"/>
      <c r="MV187" s="10"/>
      <c r="MW187" s="10"/>
      <c r="ND187" s="3"/>
      <c r="NF187" s="1"/>
      <c r="NH187" s="16"/>
      <c r="NI187" s="16"/>
      <c r="NJ187" s="16"/>
      <c r="NK187" s="16"/>
      <c r="NL187" s="10"/>
      <c r="NM187" s="10"/>
      <c r="NT187" s="3"/>
      <c r="NV187" s="1"/>
      <c r="NX187" s="16"/>
      <c r="NY187" s="16"/>
      <c r="NZ187" s="16"/>
      <c r="OA187" s="16"/>
      <c r="OB187" s="10"/>
      <c r="OC187" s="10"/>
      <c r="OJ187" s="3"/>
      <c r="OL187" s="1"/>
      <c r="ON187" s="16"/>
      <c r="OO187" s="16"/>
      <c r="OP187" s="16"/>
      <c r="OQ187" s="16"/>
      <c r="OR187" s="10"/>
      <c r="OS187" s="10"/>
      <c r="OZ187" s="3"/>
      <c r="PB187" s="1"/>
      <c r="PD187" s="16"/>
      <c r="PE187" s="16"/>
      <c r="PF187" s="16"/>
      <c r="PG187" s="16"/>
      <c r="PH187" s="10"/>
      <c r="PI187" s="10"/>
      <c r="PP187" s="3"/>
      <c r="PR187" s="1"/>
      <c r="PT187" s="16"/>
      <c r="PU187" s="16"/>
      <c r="PV187" s="16"/>
      <c r="PW187" s="16"/>
      <c r="PX187" s="10"/>
      <c r="PY187" s="10"/>
      <c r="QF187" s="3"/>
      <c r="QH187" s="1"/>
      <c r="QJ187" s="16"/>
      <c r="QK187" s="16"/>
      <c r="QL187" s="16"/>
      <c r="QM187" s="16"/>
      <c r="QN187" s="10"/>
      <c r="QO187" s="10"/>
      <c r="QV187" s="3"/>
      <c r="QX187" s="1"/>
      <c r="QZ187" s="16"/>
      <c r="RA187" s="16"/>
      <c r="RB187" s="16"/>
      <c r="RC187" s="16"/>
      <c r="RD187" s="10"/>
      <c r="RE187" s="10"/>
      <c r="RL187" s="3"/>
      <c r="RN187" s="1"/>
      <c r="RP187" s="16"/>
      <c r="RQ187" s="16"/>
      <c r="RR187" s="16"/>
      <c r="RS187" s="16"/>
      <c r="RT187" s="10"/>
      <c r="RU187" s="10"/>
      <c r="SB187" s="3"/>
      <c r="SD187" s="1"/>
      <c r="SF187" s="16"/>
      <c r="SG187" s="16"/>
      <c r="SH187" s="16"/>
      <c r="SI187" s="16"/>
      <c r="SJ187" s="10"/>
      <c r="SK187" s="10"/>
      <c r="SR187" s="3"/>
      <c r="ST187" s="1"/>
      <c r="SV187" s="16"/>
      <c r="SW187" s="16"/>
      <c r="SX187" s="16"/>
      <c r="SY187" s="16"/>
      <c r="SZ187" s="10"/>
      <c r="TA187" s="10"/>
      <c r="TH187" s="3"/>
      <c r="TJ187" s="1"/>
      <c r="TL187" s="16"/>
      <c r="TM187" s="16"/>
      <c r="TN187" s="16"/>
      <c r="TO187" s="16"/>
      <c r="TP187" s="10"/>
      <c r="TQ187" s="10"/>
      <c r="TX187" s="3"/>
      <c r="TZ187" s="1"/>
      <c r="UB187" s="16"/>
      <c r="UC187" s="16"/>
      <c r="UD187" s="16"/>
      <c r="UE187" s="16"/>
      <c r="UF187" s="10"/>
      <c r="UG187" s="10"/>
      <c r="UN187" s="3"/>
      <c r="UP187" s="1"/>
      <c r="UR187" s="16"/>
      <c r="US187" s="16"/>
      <c r="UT187" s="16"/>
      <c r="UU187" s="16"/>
      <c r="UV187" s="10"/>
      <c r="UW187" s="10"/>
      <c r="VD187" s="3"/>
      <c r="VF187" s="1"/>
      <c r="VH187" s="16"/>
      <c r="VI187" s="16"/>
      <c r="VJ187" s="16"/>
      <c r="VK187" s="16"/>
      <c r="VL187" s="10"/>
      <c r="VM187" s="10"/>
      <c r="VT187" s="3"/>
      <c r="VV187" s="1"/>
      <c r="VX187" s="16"/>
      <c r="VY187" s="16"/>
      <c r="VZ187" s="16"/>
      <c r="WA187" s="16"/>
      <c r="WB187" s="10"/>
      <c r="WC187" s="10"/>
      <c r="WJ187" s="3"/>
      <c r="WL187" s="1"/>
      <c r="WN187" s="16"/>
      <c r="WO187" s="16"/>
      <c r="WP187" s="16"/>
      <c r="WQ187" s="16"/>
      <c r="WR187" s="10"/>
      <c r="WS187" s="10"/>
      <c r="WZ187" s="3"/>
      <c r="XB187" s="1"/>
      <c r="XD187" s="16"/>
      <c r="XE187" s="16"/>
      <c r="XF187" s="16"/>
      <c r="XG187" s="16"/>
      <c r="XH187" s="10"/>
      <c r="XI187" s="10"/>
      <c r="XP187" s="3"/>
      <c r="XR187" s="1"/>
      <c r="XT187" s="16"/>
      <c r="XU187" s="16"/>
      <c r="XV187" s="16"/>
      <c r="XW187" s="16"/>
      <c r="XX187" s="10"/>
      <c r="XY187" s="10"/>
      <c r="YF187" s="3"/>
      <c r="YH187" s="1"/>
      <c r="YJ187" s="16"/>
      <c r="YK187" s="16"/>
      <c r="YL187" s="16"/>
      <c r="YM187" s="16"/>
      <c r="YN187" s="10"/>
      <c r="YO187" s="10"/>
      <c r="YV187" s="3"/>
      <c r="YX187" s="1"/>
      <c r="YZ187" s="16"/>
      <c r="ZA187" s="16"/>
      <c r="ZB187" s="16"/>
      <c r="ZC187" s="16"/>
      <c r="ZD187" s="10"/>
      <c r="ZE187" s="10"/>
      <c r="ZL187" s="3"/>
      <c r="ZN187" s="1"/>
      <c r="ZP187" s="16"/>
      <c r="ZQ187" s="16"/>
      <c r="ZR187" s="16"/>
      <c r="ZS187" s="16"/>
      <c r="ZT187" s="10"/>
      <c r="ZU187" s="10"/>
      <c r="AAB187" s="3"/>
      <c r="AAD187" s="1"/>
      <c r="AAF187" s="16"/>
      <c r="AAG187" s="16"/>
      <c r="AAH187" s="16"/>
      <c r="AAI187" s="16"/>
      <c r="AAJ187" s="10"/>
      <c r="AAK187" s="10"/>
      <c r="AAR187" s="3"/>
      <c r="AAT187" s="1"/>
      <c r="AAV187" s="16"/>
      <c r="AAW187" s="16"/>
      <c r="AAX187" s="16"/>
      <c r="AAY187" s="16"/>
      <c r="AAZ187" s="10"/>
      <c r="ABA187" s="10"/>
      <c r="ABH187" s="3"/>
      <c r="ABJ187" s="1"/>
      <c r="ABL187" s="16"/>
      <c r="ABM187" s="16"/>
      <c r="ABN187" s="16"/>
      <c r="ABO187" s="16"/>
      <c r="ABP187" s="10"/>
      <c r="ABQ187" s="10"/>
      <c r="ABX187" s="3"/>
      <c r="ABZ187" s="1"/>
      <c r="ACB187" s="16"/>
      <c r="ACC187" s="16"/>
      <c r="ACD187" s="16"/>
      <c r="ACE187" s="16"/>
      <c r="ACF187" s="10"/>
      <c r="ACG187" s="10"/>
      <c r="ACN187" s="3"/>
      <c r="ACP187" s="1"/>
      <c r="ACR187" s="16"/>
      <c r="ACS187" s="16"/>
      <c r="ACT187" s="16"/>
      <c r="ACU187" s="16"/>
      <c r="ACV187" s="10"/>
      <c r="ACW187" s="10"/>
      <c r="ADD187" s="3"/>
      <c r="ADF187" s="1"/>
      <c r="ADH187" s="16"/>
      <c r="ADI187" s="16"/>
      <c r="ADJ187" s="16"/>
      <c r="ADK187" s="16"/>
      <c r="ADL187" s="10"/>
      <c r="ADM187" s="10"/>
      <c r="ADT187" s="3"/>
      <c r="ADV187" s="1"/>
      <c r="ADX187" s="16"/>
      <c r="ADY187" s="16"/>
      <c r="ADZ187" s="16"/>
      <c r="AEA187" s="16"/>
      <c r="AEB187" s="10"/>
      <c r="AEC187" s="10"/>
      <c r="AEJ187" s="3"/>
      <c r="AEL187" s="1"/>
      <c r="AEN187" s="16"/>
      <c r="AEO187" s="16"/>
      <c r="AEP187" s="16"/>
      <c r="AEQ187" s="16"/>
      <c r="AER187" s="10"/>
      <c r="AES187" s="10"/>
      <c r="AEZ187" s="3"/>
      <c r="AFB187" s="1"/>
      <c r="AFD187" s="16"/>
      <c r="AFE187" s="16"/>
      <c r="AFF187" s="16"/>
      <c r="AFG187" s="16"/>
      <c r="AFH187" s="10"/>
      <c r="AFI187" s="10"/>
      <c r="AFP187" s="3"/>
      <c r="AFR187" s="1"/>
      <c r="AFT187" s="16"/>
      <c r="AFU187" s="16"/>
      <c r="AFV187" s="16"/>
      <c r="AFW187" s="16"/>
      <c r="AFX187" s="10"/>
      <c r="AFY187" s="10"/>
      <c r="AGF187" s="3"/>
      <c r="AGH187" s="1"/>
      <c r="AGJ187" s="16"/>
      <c r="AGK187" s="16"/>
      <c r="AGL187" s="16"/>
      <c r="AGM187" s="16"/>
      <c r="AGN187" s="10"/>
      <c r="AGO187" s="10"/>
      <c r="AGV187" s="3"/>
      <c r="AGX187" s="1"/>
      <c r="AGZ187" s="16"/>
      <c r="AHA187" s="16"/>
      <c r="AHB187" s="16"/>
      <c r="AHC187" s="16"/>
      <c r="AHD187" s="10"/>
      <c r="AHE187" s="10"/>
      <c r="AHL187" s="3"/>
      <c r="AHN187" s="1"/>
      <c r="AHP187" s="16"/>
      <c r="AHQ187" s="16"/>
      <c r="AHR187" s="16"/>
      <c r="AHS187" s="16"/>
      <c r="AHT187" s="10"/>
      <c r="AHU187" s="10"/>
      <c r="AIB187" s="3"/>
      <c r="AID187" s="1"/>
      <c r="AIF187" s="16"/>
      <c r="AIG187" s="16"/>
      <c r="AIH187" s="16"/>
      <c r="AII187" s="16"/>
      <c r="AIJ187" s="10"/>
      <c r="AIK187" s="10"/>
      <c r="AIR187" s="3"/>
      <c r="AIT187" s="1"/>
      <c r="AIV187" s="16"/>
      <c r="AIW187" s="16"/>
      <c r="AIX187" s="16"/>
      <c r="AIY187" s="16"/>
      <c r="AIZ187" s="10"/>
      <c r="AJA187" s="10"/>
      <c r="AJH187" s="3"/>
      <c r="AJJ187" s="1"/>
      <c r="AJL187" s="16"/>
      <c r="AJM187" s="16"/>
      <c r="AJN187" s="16"/>
      <c r="AJO187" s="16"/>
      <c r="AJP187" s="10"/>
      <c r="AJQ187" s="10"/>
      <c r="AJX187" s="3"/>
      <c r="AJZ187" s="1"/>
      <c r="AKB187" s="16"/>
      <c r="AKC187" s="16"/>
      <c r="AKD187" s="16"/>
      <c r="AKE187" s="16"/>
      <c r="AKF187" s="10"/>
      <c r="AKG187" s="10"/>
      <c r="AKN187" s="3"/>
      <c r="AKP187" s="1"/>
      <c r="AKR187" s="16"/>
      <c r="AKS187" s="16"/>
      <c r="AKT187" s="16"/>
      <c r="AKU187" s="16"/>
      <c r="AKV187" s="10"/>
      <c r="AKW187" s="10"/>
      <c r="ALD187" s="3"/>
      <c r="ALF187" s="1"/>
      <c r="ALH187" s="16"/>
      <c r="ALI187" s="16"/>
      <c r="ALJ187" s="16"/>
      <c r="ALK187" s="16"/>
      <c r="ALL187" s="10"/>
      <c r="ALM187" s="10"/>
      <c r="ALT187" s="3"/>
      <c r="ALV187" s="1"/>
      <c r="ALX187" s="16"/>
      <c r="ALY187" s="16"/>
      <c r="ALZ187" s="16"/>
      <c r="AMA187" s="16"/>
      <c r="AMB187" s="10"/>
      <c r="AMC187" s="10"/>
      <c r="AMJ187" s="3"/>
      <c r="AML187" s="1"/>
      <c r="AMN187" s="16"/>
      <c r="AMO187" s="16"/>
      <c r="AMP187" s="16"/>
      <c r="AMQ187" s="16"/>
      <c r="AMR187" s="10"/>
      <c r="AMS187" s="10"/>
      <c r="AMZ187" s="3"/>
      <c r="ANB187" s="1"/>
      <c r="AND187" s="16"/>
      <c r="ANE187" s="16"/>
      <c r="ANF187" s="16"/>
      <c r="ANG187" s="16"/>
      <c r="ANH187" s="10"/>
      <c r="ANI187" s="10"/>
      <c r="ANP187" s="3"/>
      <c r="ANR187" s="1"/>
      <c r="ANT187" s="16"/>
      <c r="ANU187" s="16"/>
      <c r="ANV187" s="16"/>
      <c r="ANW187" s="16"/>
      <c r="ANX187" s="10"/>
      <c r="ANY187" s="10"/>
      <c r="AOF187" s="3"/>
      <c r="AOH187" s="1"/>
      <c r="AOJ187" s="16"/>
      <c r="AOK187" s="16"/>
      <c r="AOL187" s="16"/>
      <c r="AOM187" s="16"/>
      <c r="AON187" s="10"/>
      <c r="AOO187" s="10"/>
      <c r="AOV187" s="3"/>
      <c r="AOX187" s="1"/>
      <c r="AOZ187" s="16"/>
      <c r="APA187" s="16"/>
      <c r="APB187" s="16"/>
      <c r="APC187" s="16"/>
      <c r="APD187" s="10"/>
      <c r="APE187" s="10"/>
      <c r="APL187" s="3"/>
      <c r="APN187" s="1"/>
      <c r="APP187" s="16"/>
      <c r="APQ187" s="16"/>
      <c r="APR187" s="16"/>
      <c r="APS187" s="16"/>
      <c r="APT187" s="10"/>
      <c r="APU187" s="10"/>
      <c r="AQB187" s="3"/>
      <c r="AQD187" s="1"/>
      <c r="AQF187" s="16"/>
      <c r="AQG187" s="16"/>
      <c r="AQH187" s="16"/>
      <c r="AQI187" s="16"/>
      <c r="AQJ187" s="10"/>
      <c r="AQK187" s="10"/>
      <c r="AQR187" s="3"/>
      <c r="AQT187" s="1"/>
      <c r="AQV187" s="16"/>
      <c r="AQW187" s="16"/>
      <c r="AQX187" s="16"/>
      <c r="AQY187" s="16"/>
      <c r="AQZ187" s="10"/>
      <c r="ARA187" s="10"/>
      <c r="ARH187" s="3"/>
      <c r="ARJ187" s="1"/>
      <c r="ARL187" s="16"/>
      <c r="ARM187" s="16"/>
      <c r="ARN187" s="16"/>
      <c r="ARO187" s="16"/>
      <c r="ARP187" s="10"/>
      <c r="ARQ187" s="10"/>
      <c r="ARX187" s="3"/>
      <c r="ARZ187" s="1"/>
      <c r="ASB187" s="16"/>
      <c r="ASC187" s="16"/>
      <c r="ASD187" s="16"/>
      <c r="ASE187" s="16"/>
      <c r="ASF187" s="10"/>
      <c r="ASG187" s="10"/>
      <c r="ASN187" s="3"/>
      <c r="ASP187" s="1"/>
      <c r="ASR187" s="16"/>
      <c r="ASS187" s="16"/>
      <c r="AST187" s="16"/>
      <c r="ASU187" s="16"/>
      <c r="ASV187" s="10"/>
      <c r="ASW187" s="10"/>
      <c r="ATD187" s="3"/>
      <c r="ATF187" s="1"/>
      <c r="ATH187" s="16"/>
      <c r="ATI187" s="16"/>
      <c r="ATJ187" s="16"/>
      <c r="ATK187" s="16"/>
      <c r="ATL187" s="10"/>
      <c r="ATM187" s="10"/>
      <c r="ATT187" s="3"/>
      <c r="ATV187" s="1"/>
      <c r="ATX187" s="16"/>
      <c r="ATY187" s="16"/>
      <c r="ATZ187" s="16"/>
      <c r="AUA187" s="16"/>
      <c r="AUB187" s="10"/>
      <c r="AUC187" s="10"/>
      <c r="AUJ187" s="3"/>
      <c r="AUL187" s="1"/>
      <c r="AUN187" s="16"/>
      <c r="AUO187" s="16"/>
      <c r="AUP187" s="16"/>
      <c r="AUQ187" s="16"/>
      <c r="AUR187" s="10"/>
      <c r="AUS187" s="10"/>
      <c r="AUZ187" s="3"/>
      <c r="AVB187" s="1"/>
      <c r="AVD187" s="16"/>
      <c r="AVE187" s="16"/>
      <c r="AVF187" s="16"/>
      <c r="AVG187" s="16"/>
      <c r="AVH187" s="10"/>
      <c r="AVI187" s="10"/>
      <c r="AVP187" s="3"/>
      <c r="AVR187" s="1"/>
      <c r="AVT187" s="16"/>
      <c r="AVU187" s="16"/>
      <c r="AVV187" s="16"/>
      <c r="AVW187" s="16"/>
      <c r="AVX187" s="10"/>
      <c r="AVY187" s="10"/>
      <c r="AWF187" s="3"/>
      <c r="AWH187" s="1"/>
      <c r="AWJ187" s="16"/>
      <c r="AWK187" s="16"/>
      <c r="AWL187" s="16"/>
      <c r="AWM187" s="16"/>
      <c r="AWN187" s="10"/>
      <c r="AWO187" s="10"/>
      <c r="AWV187" s="3"/>
      <c r="AWX187" s="1"/>
      <c r="AWZ187" s="16"/>
      <c r="AXA187" s="16"/>
      <c r="AXB187" s="16"/>
      <c r="AXC187" s="16"/>
      <c r="AXD187" s="10"/>
      <c r="AXE187" s="10"/>
      <c r="AXL187" s="3"/>
      <c r="AXN187" s="1"/>
      <c r="AXP187" s="16"/>
      <c r="AXQ187" s="16"/>
      <c r="AXR187" s="16"/>
      <c r="AXS187" s="16"/>
      <c r="AXT187" s="10"/>
      <c r="AXU187" s="10"/>
      <c r="AYB187" s="3"/>
      <c r="AYD187" s="1"/>
      <c r="AYF187" s="16"/>
      <c r="AYG187" s="16"/>
      <c r="AYH187" s="16"/>
      <c r="AYI187" s="16"/>
      <c r="AYJ187" s="10"/>
      <c r="AYK187" s="10"/>
      <c r="AYR187" s="3"/>
      <c r="AYT187" s="1"/>
      <c r="AYV187" s="16"/>
      <c r="AYW187" s="16"/>
      <c r="AYX187" s="16"/>
      <c r="AYY187" s="16"/>
      <c r="AYZ187" s="10"/>
      <c r="AZA187" s="10"/>
      <c r="AZH187" s="3"/>
      <c r="AZJ187" s="1"/>
      <c r="AZL187" s="16"/>
      <c r="AZM187" s="16"/>
      <c r="AZN187" s="16"/>
      <c r="AZO187" s="16"/>
      <c r="AZP187" s="10"/>
      <c r="AZQ187" s="10"/>
      <c r="AZX187" s="3"/>
      <c r="AZZ187" s="1"/>
      <c r="BAB187" s="16"/>
      <c r="BAC187" s="16"/>
      <c r="BAD187" s="16"/>
      <c r="BAE187" s="16"/>
      <c r="BAF187" s="10"/>
      <c r="BAG187" s="10"/>
      <c r="BAN187" s="3"/>
      <c r="BAP187" s="1"/>
      <c r="BAR187" s="16"/>
      <c r="BAS187" s="16"/>
      <c r="BAT187" s="16"/>
      <c r="BAU187" s="16"/>
      <c r="BAV187" s="10"/>
      <c r="BAW187" s="10"/>
      <c r="BBD187" s="3"/>
      <c r="BBF187" s="1"/>
      <c r="BBH187" s="16"/>
      <c r="BBI187" s="16"/>
      <c r="BBJ187" s="16"/>
      <c r="BBK187" s="16"/>
      <c r="BBL187" s="10"/>
      <c r="BBM187" s="10"/>
      <c r="BBT187" s="3"/>
      <c r="BBV187" s="1"/>
      <c r="BBX187" s="16"/>
      <c r="BBY187" s="16"/>
      <c r="BBZ187" s="16"/>
      <c r="BCA187" s="16"/>
      <c r="BCB187" s="10"/>
      <c r="BCC187" s="10"/>
      <c r="BCJ187" s="3"/>
      <c r="BCL187" s="1"/>
      <c r="BCN187" s="16"/>
      <c r="BCO187" s="16"/>
      <c r="BCP187" s="16"/>
      <c r="BCQ187" s="16"/>
      <c r="BCR187" s="10"/>
      <c r="BCS187" s="10"/>
      <c r="BCZ187" s="3"/>
      <c r="BDB187" s="1"/>
      <c r="BDD187" s="16"/>
      <c r="BDE187" s="16"/>
      <c r="BDF187" s="16"/>
      <c r="BDG187" s="16"/>
      <c r="BDH187" s="10"/>
      <c r="BDI187" s="10"/>
      <c r="BDP187" s="3"/>
      <c r="BDR187" s="1"/>
      <c r="BDT187" s="16"/>
      <c r="BDU187" s="16"/>
      <c r="BDV187" s="16"/>
      <c r="BDW187" s="16"/>
      <c r="BDX187" s="10"/>
      <c r="BDY187" s="10"/>
      <c r="BEF187" s="3"/>
      <c r="BEH187" s="1"/>
      <c r="BEJ187" s="16"/>
      <c r="BEK187" s="16"/>
      <c r="BEL187" s="16"/>
      <c r="BEM187" s="16"/>
      <c r="BEN187" s="10"/>
      <c r="BEO187" s="10"/>
      <c r="BEV187" s="3"/>
      <c r="BEX187" s="1"/>
      <c r="BEZ187" s="16"/>
      <c r="BFA187" s="16"/>
      <c r="BFB187" s="16"/>
      <c r="BFC187" s="16"/>
      <c r="BFD187" s="10"/>
      <c r="BFE187" s="10"/>
      <c r="BFL187" s="3"/>
      <c r="BFN187" s="1"/>
      <c r="BFP187" s="16"/>
      <c r="BFQ187" s="16"/>
      <c r="BFR187" s="16"/>
      <c r="BFS187" s="16"/>
      <c r="BFT187" s="10"/>
      <c r="BFU187" s="10"/>
      <c r="BGB187" s="3"/>
      <c r="BGD187" s="1"/>
      <c r="BGF187" s="16"/>
      <c r="BGG187" s="16"/>
      <c r="BGH187" s="16"/>
      <c r="BGI187" s="16"/>
      <c r="BGJ187" s="10"/>
      <c r="BGK187" s="10"/>
      <c r="BGR187" s="3"/>
      <c r="BGT187" s="1"/>
      <c r="BGV187" s="16"/>
      <c r="BGW187" s="16"/>
      <c r="BGX187" s="16"/>
      <c r="BGY187" s="16"/>
      <c r="BGZ187" s="10"/>
      <c r="BHA187" s="10"/>
      <c r="BHH187" s="3"/>
      <c r="BHJ187" s="1"/>
      <c r="BHL187" s="16"/>
      <c r="BHM187" s="16"/>
      <c r="BHN187" s="16"/>
      <c r="BHO187" s="16"/>
      <c r="BHP187" s="10"/>
      <c r="BHQ187" s="10"/>
      <c r="BHX187" s="3"/>
      <c r="BHZ187" s="1"/>
      <c r="BIB187" s="16"/>
      <c r="BIC187" s="16"/>
      <c r="BID187" s="16"/>
      <c r="BIE187" s="16"/>
      <c r="BIF187" s="10"/>
      <c r="BIG187" s="10"/>
      <c r="BIN187" s="3"/>
      <c r="BIP187" s="1"/>
      <c r="BIR187" s="16"/>
      <c r="BIS187" s="16"/>
      <c r="BIT187" s="16"/>
      <c r="BIU187" s="16"/>
      <c r="BIV187" s="10"/>
      <c r="BIW187" s="10"/>
      <c r="BJD187" s="3"/>
      <c r="BJF187" s="1"/>
      <c r="BJH187" s="16"/>
      <c r="BJI187" s="16"/>
      <c r="BJJ187" s="16"/>
      <c r="BJK187" s="16"/>
      <c r="BJL187" s="10"/>
      <c r="BJM187" s="10"/>
      <c r="BJT187" s="3"/>
      <c r="BJV187" s="1"/>
      <c r="BJX187" s="16"/>
      <c r="BJY187" s="16"/>
      <c r="BJZ187" s="16"/>
      <c r="BKA187" s="16"/>
      <c r="BKB187" s="10"/>
      <c r="BKC187" s="10"/>
      <c r="BKJ187" s="3"/>
      <c r="BKL187" s="1"/>
      <c r="BKN187" s="16"/>
      <c r="BKO187" s="16"/>
      <c r="BKP187" s="16"/>
      <c r="BKQ187" s="16"/>
      <c r="BKR187" s="10"/>
      <c r="BKS187" s="10"/>
      <c r="BKZ187" s="3"/>
      <c r="BLB187" s="1"/>
      <c r="BLD187" s="16"/>
      <c r="BLE187" s="16"/>
      <c r="BLF187" s="16"/>
      <c r="BLG187" s="16"/>
      <c r="BLH187" s="10"/>
      <c r="BLI187" s="10"/>
      <c r="BLP187" s="3"/>
      <c r="BLR187" s="1"/>
      <c r="BLT187" s="16"/>
      <c r="BLU187" s="16"/>
      <c r="BLV187" s="16"/>
      <c r="BLW187" s="16"/>
      <c r="BLX187" s="10"/>
      <c r="BLY187" s="10"/>
      <c r="BMF187" s="3"/>
      <c r="BMH187" s="1"/>
      <c r="BMJ187" s="16"/>
      <c r="BMK187" s="16"/>
      <c r="BML187" s="16"/>
      <c r="BMM187" s="16"/>
      <c r="BMN187" s="10"/>
      <c r="BMO187" s="10"/>
      <c r="BMV187" s="3"/>
      <c r="BMX187" s="1"/>
      <c r="BMZ187" s="16"/>
      <c r="BNA187" s="16"/>
      <c r="BNB187" s="16"/>
      <c r="BNC187" s="16"/>
      <c r="BND187" s="10"/>
      <c r="BNE187" s="10"/>
      <c r="BNL187" s="3"/>
      <c r="BNN187" s="1"/>
      <c r="BNP187" s="16"/>
      <c r="BNQ187" s="16"/>
      <c r="BNR187" s="16"/>
      <c r="BNS187" s="16"/>
      <c r="BNT187" s="10"/>
      <c r="BNU187" s="10"/>
      <c r="BOB187" s="3"/>
      <c r="BOD187" s="1"/>
      <c r="BOF187" s="16"/>
      <c r="BOG187" s="16"/>
      <c r="BOH187" s="16"/>
      <c r="BOI187" s="16"/>
      <c r="BOJ187" s="10"/>
      <c r="BOK187" s="10"/>
      <c r="BOR187" s="3"/>
      <c r="BOT187" s="1"/>
      <c r="BOV187" s="16"/>
      <c r="BOW187" s="16"/>
      <c r="BOX187" s="16"/>
      <c r="BOY187" s="16"/>
      <c r="BOZ187" s="10"/>
      <c r="BPA187" s="10"/>
      <c r="BPH187" s="3"/>
      <c r="BPJ187" s="1"/>
      <c r="BPL187" s="16"/>
      <c r="BPM187" s="16"/>
      <c r="BPN187" s="16"/>
      <c r="BPO187" s="16"/>
      <c r="BPP187" s="10"/>
      <c r="BPQ187" s="10"/>
      <c r="BPX187" s="3"/>
      <c r="BPZ187" s="1"/>
      <c r="BQB187" s="16"/>
      <c r="BQC187" s="16"/>
      <c r="BQD187" s="16"/>
      <c r="BQE187" s="16"/>
      <c r="BQF187" s="10"/>
      <c r="BQG187" s="10"/>
      <c r="BQN187" s="3"/>
      <c r="BQP187" s="1"/>
      <c r="BQR187" s="16"/>
      <c r="BQS187" s="16"/>
      <c r="BQT187" s="16"/>
      <c r="BQU187" s="16"/>
      <c r="BQV187" s="10"/>
      <c r="BQW187" s="10"/>
      <c r="BRD187" s="3"/>
      <c r="BRF187" s="1"/>
      <c r="BRH187" s="16"/>
      <c r="BRI187" s="16"/>
      <c r="BRJ187" s="16"/>
      <c r="BRK187" s="16"/>
      <c r="BRL187" s="10"/>
      <c r="BRM187" s="10"/>
      <c r="BRT187" s="3"/>
      <c r="BRV187" s="1"/>
      <c r="BRX187" s="16"/>
      <c r="BRY187" s="16"/>
      <c r="BRZ187" s="16"/>
      <c r="BSA187" s="16"/>
      <c r="BSB187" s="10"/>
      <c r="BSC187" s="10"/>
      <c r="BSJ187" s="3"/>
      <c r="BSL187" s="1"/>
      <c r="BSN187" s="16"/>
      <c r="BSO187" s="16"/>
      <c r="BSP187" s="16"/>
      <c r="BSQ187" s="16"/>
      <c r="BSR187" s="10"/>
      <c r="BSS187" s="10"/>
      <c r="BSZ187" s="3"/>
      <c r="BTB187" s="1"/>
      <c r="BTD187" s="16"/>
      <c r="BTE187" s="16"/>
      <c r="BTF187" s="16"/>
      <c r="BTG187" s="16"/>
      <c r="BTH187" s="10"/>
      <c r="BTI187" s="10"/>
      <c r="BTP187" s="3"/>
      <c r="BTR187" s="1"/>
      <c r="BTT187" s="16"/>
      <c r="BTU187" s="16"/>
      <c r="BTV187" s="16"/>
      <c r="BTW187" s="16"/>
      <c r="BTX187" s="10"/>
      <c r="BTY187" s="10"/>
      <c r="BUF187" s="3"/>
      <c r="BUH187" s="1"/>
      <c r="BUJ187" s="16"/>
      <c r="BUK187" s="16"/>
      <c r="BUL187" s="16"/>
      <c r="BUM187" s="16"/>
      <c r="BUN187" s="10"/>
      <c r="BUO187" s="10"/>
      <c r="BUV187" s="3"/>
      <c r="BUX187" s="1"/>
      <c r="BUZ187" s="16"/>
      <c r="BVA187" s="16"/>
      <c r="BVB187" s="16"/>
      <c r="BVC187" s="16"/>
      <c r="BVD187" s="10"/>
      <c r="BVE187" s="10"/>
      <c r="BVL187" s="3"/>
      <c r="BVN187" s="1"/>
      <c r="BVP187" s="16"/>
      <c r="BVQ187" s="16"/>
      <c r="BVR187" s="16"/>
      <c r="BVS187" s="16"/>
      <c r="BVT187" s="10"/>
      <c r="BVU187" s="10"/>
      <c r="BWB187" s="3"/>
      <c r="BWD187" s="1"/>
      <c r="BWF187" s="16"/>
      <c r="BWG187" s="16"/>
      <c r="BWH187" s="16"/>
      <c r="BWI187" s="16"/>
      <c r="BWJ187" s="10"/>
      <c r="BWK187" s="10"/>
      <c r="BWR187" s="3"/>
      <c r="BWT187" s="1"/>
      <c r="BWV187" s="16"/>
      <c r="BWW187" s="16"/>
      <c r="BWX187" s="16"/>
      <c r="BWY187" s="16"/>
      <c r="BWZ187" s="10"/>
      <c r="BXA187" s="10"/>
      <c r="BXH187" s="3"/>
      <c r="BXJ187" s="1"/>
      <c r="BXL187" s="16"/>
      <c r="BXM187" s="16"/>
      <c r="BXN187" s="16"/>
      <c r="BXO187" s="16"/>
      <c r="BXP187" s="10"/>
      <c r="BXQ187" s="10"/>
      <c r="BXX187" s="3"/>
      <c r="BXZ187" s="1"/>
      <c r="BYB187" s="16"/>
      <c r="BYC187" s="16"/>
      <c r="BYD187" s="16"/>
      <c r="BYE187" s="16"/>
      <c r="BYF187" s="10"/>
      <c r="BYG187" s="10"/>
      <c r="BYN187" s="3"/>
      <c r="BYP187" s="1"/>
      <c r="BYR187" s="16"/>
      <c r="BYS187" s="16"/>
      <c r="BYT187" s="16"/>
      <c r="BYU187" s="16"/>
      <c r="BYV187" s="10"/>
      <c r="BYW187" s="10"/>
      <c r="BZD187" s="3"/>
      <c r="BZF187" s="1"/>
      <c r="BZH187" s="16"/>
      <c r="BZI187" s="16"/>
      <c r="BZJ187" s="16"/>
      <c r="BZK187" s="16"/>
      <c r="BZL187" s="10"/>
      <c r="BZM187" s="10"/>
      <c r="BZT187" s="3"/>
      <c r="BZV187" s="1"/>
      <c r="BZX187" s="16"/>
      <c r="BZY187" s="16"/>
      <c r="BZZ187" s="16"/>
      <c r="CAA187" s="16"/>
      <c r="CAB187" s="10"/>
      <c r="CAC187" s="10"/>
      <c r="CAJ187" s="3"/>
      <c r="CAL187" s="1"/>
      <c r="CAN187" s="16"/>
      <c r="CAO187" s="16"/>
      <c r="CAP187" s="16"/>
      <c r="CAQ187" s="16"/>
      <c r="CAR187" s="10"/>
      <c r="CAS187" s="10"/>
      <c r="CAZ187" s="3"/>
      <c r="CBB187" s="1"/>
      <c r="CBD187" s="16"/>
      <c r="CBE187" s="16"/>
      <c r="CBF187" s="16"/>
      <c r="CBG187" s="16"/>
      <c r="CBH187" s="10"/>
      <c r="CBI187" s="10"/>
      <c r="CBP187" s="3"/>
      <c r="CBR187" s="1"/>
      <c r="CBT187" s="16"/>
      <c r="CBU187" s="16"/>
      <c r="CBV187" s="16"/>
      <c r="CBW187" s="16"/>
      <c r="CBX187" s="10"/>
      <c r="CBY187" s="10"/>
      <c r="CCF187" s="3"/>
      <c r="CCH187" s="1"/>
      <c r="CCJ187" s="16"/>
      <c r="CCK187" s="16"/>
      <c r="CCL187" s="16"/>
      <c r="CCM187" s="16"/>
      <c r="CCN187" s="10"/>
      <c r="CCO187" s="10"/>
      <c r="CCV187" s="3"/>
      <c r="CCX187" s="1"/>
      <c r="CCZ187" s="16"/>
      <c r="CDA187" s="16"/>
      <c r="CDB187" s="16"/>
      <c r="CDC187" s="16"/>
      <c r="CDD187" s="10"/>
      <c r="CDE187" s="10"/>
      <c r="CDL187" s="3"/>
      <c r="CDN187" s="1"/>
      <c r="CDP187" s="16"/>
      <c r="CDQ187" s="16"/>
      <c r="CDR187" s="16"/>
      <c r="CDS187" s="16"/>
      <c r="CDT187" s="10"/>
      <c r="CDU187" s="10"/>
      <c r="CEB187" s="3"/>
      <c r="CED187" s="1"/>
      <c r="CEF187" s="16"/>
      <c r="CEG187" s="16"/>
      <c r="CEH187" s="16"/>
      <c r="CEI187" s="16"/>
      <c r="CEJ187" s="10"/>
      <c r="CEK187" s="10"/>
      <c r="CER187" s="3"/>
      <c r="CET187" s="1"/>
      <c r="CEV187" s="16"/>
      <c r="CEW187" s="16"/>
      <c r="CEX187" s="16"/>
      <c r="CEY187" s="16"/>
      <c r="CEZ187" s="10"/>
      <c r="CFA187" s="10"/>
      <c r="CFH187" s="3"/>
      <c r="CFJ187" s="1"/>
      <c r="CFL187" s="16"/>
      <c r="CFM187" s="16"/>
      <c r="CFN187" s="16"/>
      <c r="CFO187" s="16"/>
      <c r="CFP187" s="10"/>
      <c r="CFQ187" s="10"/>
      <c r="CFX187" s="3"/>
      <c r="CFZ187" s="1"/>
      <c r="CGB187" s="16"/>
      <c r="CGC187" s="16"/>
      <c r="CGD187" s="16"/>
      <c r="CGE187" s="16"/>
      <c r="CGF187" s="10"/>
      <c r="CGG187" s="10"/>
      <c r="CGN187" s="3"/>
      <c r="CGP187" s="1"/>
      <c r="CGR187" s="16"/>
      <c r="CGS187" s="16"/>
      <c r="CGT187" s="16"/>
      <c r="CGU187" s="16"/>
      <c r="CGV187" s="10"/>
      <c r="CGW187" s="10"/>
      <c r="CHD187" s="3"/>
      <c r="CHF187" s="1"/>
      <c r="CHH187" s="16"/>
      <c r="CHI187" s="16"/>
      <c r="CHJ187" s="16"/>
      <c r="CHK187" s="16"/>
      <c r="CHL187" s="10"/>
      <c r="CHM187" s="10"/>
      <c r="CHT187" s="3"/>
      <c r="CHV187" s="1"/>
      <c r="CHX187" s="16"/>
      <c r="CHY187" s="16"/>
      <c r="CHZ187" s="16"/>
      <c r="CIA187" s="16"/>
      <c r="CIB187" s="10"/>
      <c r="CIC187" s="10"/>
      <c r="CIJ187" s="3"/>
      <c r="CIL187" s="1"/>
      <c r="CIN187" s="16"/>
      <c r="CIO187" s="16"/>
      <c r="CIP187" s="16"/>
      <c r="CIQ187" s="16"/>
      <c r="CIR187" s="10"/>
      <c r="CIS187" s="10"/>
      <c r="CIZ187" s="3"/>
      <c r="CJB187" s="1"/>
      <c r="CJD187" s="16"/>
      <c r="CJE187" s="16"/>
      <c r="CJF187" s="16"/>
      <c r="CJG187" s="16"/>
      <c r="CJH187" s="10"/>
      <c r="CJI187" s="10"/>
      <c r="CJP187" s="3"/>
      <c r="CJR187" s="1"/>
      <c r="CJT187" s="16"/>
      <c r="CJU187" s="16"/>
      <c r="CJV187" s="16"/>
      <c r="CJW187" s="16"/>
      <c r="CJX187" s="10"/>
      <c r="CJY187" s="10"/>
      <c r="CKF187" s="3"/>
      <c r="CKH187" s="1"/>
      <c r="CKJ187" s="16"/>
      <c r="CKK187" s="16"/>
      <c r="CKL187" s="16"/>
      <c r="CKM187" s="16"/>
      <c r="CKN187" s="10"/>
      <c r="CKO187" s="10"/>
      <c r="CKV187" s="3"/>
      <c r="CKX187" s="1"/>
      <c r="CKZ187" s="16"/>
      <c r="CLA187" s="16"/>
      <c r="CLB187" s="16"/>
      <c r="CLC187" s="16"/>
      <c r="CLD187" s="10"/>
      <c r="CLE187" s="10"/>
      <c r="CLL187" s="3"/>
      <c r="CLN187" s="1"/>
      <c r="CLP187" s="16"/>
      <c r="CLQ187" s="16"/>
      <c r="CLR187" s="16"/>
      <c r="CLS187" s="16"/>
      <c r="CLT187" s="10"/>
      <c r="CLU187" s="10"/>
      <c r="CMB187" s="3"/>
      <c r="CMD187" s="1"/>
      <c r="CMF187" s="16"/>
      <c r="CMG187" s="16"/>
      <c r="CMH187" s="16"/>
      <c r="CMI187" s="16"/>
      <c r="CMJ187" s="10"/>
      <c r="CMK187" s="10"/>
      <c r="CMR187" s="3"/>
      <c r="CMT187" s="1"/>
      <c r="CMV187" s="16"/>
      <c r="CMW187" s="16"/>
      <c r="CMX187" s="16"/>
      <c r="CMY187" s="16"/>
      <c r="CMZ187" s="10"/>
      <c r="CNA187" s="10"/>
      <c r="CNH187" s="3"/>
      <c r="CNJ187" s="1"/>
      <c r="CNL187" s="16"/>
      <c r="CNM187" s="16"/>
      <c r="CNN187" s="16"/>
      <c r="CNO187" s="16"/>
      <c r="CNP187" s="10"/>
      <c r="CNQ187" s="10"/>
      <c r="CNX187" s="3"/>
      <c r="CNZ187" s="1"/>
      <c r="COB187" s="16"/>
      <c r="COC187" s="16"/>
      <c r="COD187" s="16"/>
      <c r="COE187" s="16"/>
      <c r="COF187" s="10"/>
      <c r="COG187" s="10"/>
      <c r="CON187" s="3"/>
      <c r="COP187" s="1"/>
      <c r="COR187" s="16"/>
      <c r="COS187" s="16"/>
      <c r="COT187" s="16"/>
      <c r="COU187" s="16"/>
      <c r="COV187" s="10"/>
      <c r="COW187" s="10"/>
      <c r="CPD187" s="3"/>
      <c r="CPF187" s="1"/>
      <c r="CPH187" s="16"/>
      <c r="CPI187" s="16"/>
      <c r="CPJ187" s="16"/>
      <c r="CPK187" s="16"/>
      <c r="CPL187" s="10"/>
      <c r="CPM187" s="10"/>
      <c r="CPT187" s="3"/>
      <c r="CPV187" s="1"/>
      <c r="CPX187" s="16"/>
      <c r="CPY187" s="16"/>
      <c r="CPZ187" s="16"/>
      <c r="CQA187" s="16"/>
      <c r="CQB187" s="10"/>
      <c r="CQC187" s="10"/>
      <c r="CQJ187" s="3"/>
      <c r="CQL187" s="1"/>
      <c r="CQN187" s="16"/>
      <c r="CQO187" s="16"/>
      <c r="CQP187" s="16"/>
      <c r="CQQ187" s="16"/>
      <c r="CQR187" s="10"/>
      <c r="CQS187" s="10"/>
      <c r="CQZ187" s="3"/>
      <c r="CRB187" s="1"/>
      <c r="CRD187" s="16"/>
      <c r="CRE187" s="16"/>
      <c r="CRF187" s="16"/>
      <c r="CRG187" s="16"/>
      <c r="CRH187" s="10"/>
      <c r="CRI187" s="10"/>
      <c r="CRP187" s="3"/>
      <c r="CRR187" s="1"/>
      <c r="CRT187" s="16"/>
      <c r="CRU187" s="16"/>
      <c r="CRV187" s="16"/>
      <c r="CRW187" s="16"/>
      <c r="CRX187" s="10"/>
      <c r="CRY187" s="10"/>
      <c r="CSF187" s="3"/>
      <c r="CSH187" s="1"/>
      <c r="CSJ187" s="16"/>
      <c r="CSK187" s="16"/>
      <c r="CSL187" s="16"/>
      <c r="CSM187" s="16"/>
      <c r="CSN187" s="10"/>
      <c r="CSO187" s="10"/>
      <c r="CSV187" s="3"/>
      <c r="CSX187" s="1"/>
      <c r="CSZ187" s="16"/>
      <c r="CTA187" s="16"/>
      <c r="CTB187" s="16"/>
      <c r="CTC187" s="16"/>
      <c r="CTD187" s="10"/>
      <c r="CTE187" s="10"/>
      <c r="CTL187" s="3"/>
      <c r="CTN187" s="1"/>
      <c r="CTP187" s="16"/>
      <c r="CTQ187" s="16"/>
      <c r="CTR187" s="16"/>
      <c r="CTS187" s="16"/>
      <c r="CTT187" s="10"/>
      <c r="CTU187" s="10"/>
      <c r="CUB187" s="3"/>
      <c r="CUD187" s="1"/>
      <c r="CUF187" s="16"/>
      <c r="CUG187" s="16"/>
      <c r="CUH187" s="16"/>
      <c r="CUI187" s="16"/>
      <c r="CUJ187" s="10"/>
      <c r="CUK187" s="10"/>
      <c r="CUR187" s="3"/>
      <c r="CUT187" s="1"/>
      <c r="CUV187" s="16"/>
      <c r="CUW187" s="16"/>
      <c r="CUX187" s="16"/>
      <c r="CUY187" s="16"/>
      <c r="CUZ187" s="10"/>
      <c r="CVA187" s="10"/>
      <c r="CVH187" s="3"/>
      <c r="CVJ187" s="1"/>
      <c r="CVL187" s="16"/>
      <c r="CVM187" s="16"/>
      <c r="CVN187" s="16"/>
      <c r="CVO187" s="16"/>
      <c r="CVP187" s="10"/>
      <c r="CVQ187" s="10"/>
      <c r="CVX187" s="3"/>
      <c r="CVZ187" s="1"/>
      <c r="CWB187" s="16"/>
      <c r="CWC187" s="16"/>
      <c r="CWD187" s="16"/>
      <c r="CWE187" s="16"/>
      <c r="CWF187" s="10"/>
      <c r="CWG187" s="10"/>
      <c r="CWN187" s="3"/>
      <c r="CWP187" s="1"/>
      <c r="CWR187" s="16"/>
      <c r="CWS187" s="16"/>
      <c r="CWT187" s="16"/>
      <c r="CWU187" s="16"/>
      <c r="CWV187" s="10"/>
      <c r="CWW187" s="10"/>
      <c r="CXD187" s="3"/>
      <c r="CXF187" s="1"/>
      <c r="CXH187" s="16"/>
      <c r="CXI187" s="16"/>
      <c r="CXJ187" s="16"/>
      <c r="CXK187" s="16"/>
      <c r="CXL187" s="10"/>
      <c r="CXM187" s="10"/>
      <c r="CXT187" s="3"/>
      <c r="CXV187" s="1"/>
      <c r="CXX187" s="16"/>
      <c r="CXY187" s="16"/>
      <c r="CXZ187" s="16"/>
      <c r="CYA187" s="16"/>
      <c r="CYB187" s="10"/>
      <c r="CYC187" s="10"/>
      <c r="CYJ187" s="3"/>
      <c r="CYL187" s="1"/>
      <c r="CYN187" s="16"/>
      <c r="CYO187" s="16"/>
      <c r="CYP187" s="16"/>
      <c r="CYQ187" s="16"/>
      <c r="CYR187" s="10"/>
      <c r="CYS187" s="10"/>
      <c r="CYZ187" s="3"/>
      <c r="CZB187" s="1"/>
      <c r="CZD187" s="16"/>
      <c r="CZE187" s="16"/>
      <c r="CZF187" s="16"/>
      <c r="CZG187" s="16"/>
      <c r="CZH187" s="10"/>
      <c r="CZI187" s="10"/>
      <c r="CZP187" s="3"/>
      <c r="CZR187" s="1"/>
      <c r="CZT187" s="16"/>
      <c r="CZU187" s="16"/>
      <c r="CZV187" s="16"/>
      <c r="CZW187" s="16"/>
      <c r="CZX187" s="10"/>
      <c r="CZY187" s="10"/>
      <c r="DAF187" s="3"/>
      <c r="DAH187" s="1"/>
      <c r="DAJ187" s="16"/>
      <c r="DAK187" s="16"/>
      <c r="DAL187" s="16"/>
      <c r="DAM187" s="16"/>
      <c r="DAN187" s="10"/>
      <c r="DAO187" s="10"/>
      <c r="DAV187" s="3"/>
      <c r="DAX187" s="1"/>
      <c r="DAZ187" s="16"/>
      <c r="DBA187" s="16"/>
      <c r="DBB187" s="16"/>
      <c r="DBC187" s="16"/>
      <c r="DBD187" s="10"/>
      <c r="DBE187" s="10"/>
      <c r="DBL187" s="3"/>
      <c r="DBN187" s="1"/>
      <c r="DBP187" s="16"/>
      <c r="DBQ187" s="16"/>
      <c r="DBR187" s="16"/>
      <c r="DBS187" s="16"/>
      <c r="DBT187" s="10"/>
      <c r="DBU187" s="10"/>
      <c r="DCB187" s="3"/>
      <c r="DCD187" s="1"/>
      <c r="DCF187" s="16"/>
      <c r="DCG187" s="16"/>
      <c r="DCH187" s="16"/>
      <c r="DCI187" s="16"/>
      <c r="DCJ187" s="10"/>
      <c r="DCK187" s="10"/>
      <c r="DCR187" s="3"/>
      <c r="DCT187" s="1"/>
      <c r="DCV187" s="16"/>
      <c r="DCW187" s="16"/>
      <c r="DCX187" s="16"/>
      <c r="DCY187" s="16"/>
      <c r="DCZ187" s="10"/>
      <c r="DDA187" s="10"/>
      <c r="DDH187" s="3"/>
      <c r="DDJ187" s="1"/>
      <c r="DDL187" s="16"/>
      <c r="DDM187" s="16"/>
      <c r="DDN187" s="16"/>
      <c r="DDO187" s="16"/>
      <c r="DDP187" s="10"/>
      <c r="DDQ187" s="10"/>
      <c r="DDX187" s="3"/>
      <c r="DDZ187" s="1"/>
      <c r="DEB187" s="16"/>
      <c r="DEC187" s="16"/>
      <c r="DED187" s="16"/>
      <c r="DEE187" s="16"/>
      <c r="DEF187" s="10"/>
      <c r="DEG187" s="10"/>
      <c r="DEN187" s="3"/>
      <c r="DEP187" s="1"/>
      <c r="DER187" s="16"/>
      <c r="DES187" s="16"/>
      <c r="DET187" s="16"/>
      <c r="DEU187" s="16"/>
      <c r="DEV187" s="10"/>
      <c r="DEW187" s="10"/>
      <c r="DFD187" s="3"/>
      <c r="DFF187" s="1"/>
      <c r="DFH187" s="16"/>
      <c r="DFI187" s="16"/>
      <c r="DFJ187" s="16"/>
      <c r="DFK187" s="16"/>
      <c r="DFL187" s="10"/>
      <c r="DFM187" s="10"/>
      <c r="DFT187" s="3"/>
      <c r="DFV187" s="1"/>
      <c r="DFX187" s="16"/>
      <c r="DFY187" s="16"/>
      <c r="DFZ187" s="16"/>
      <c r="DGA187" s="16"/>
      <c r="DGB187" s="10"/>
      <c r="DGC187" s="10"/>
      <c r="DGJ187" s="3"/>
      <c r="DGL187" s="1"/>
      <c r="DGN187" s="16"/>
      <c r="DGO187" s="16"/>
      <c r="DGP187" s="16"/>
      <c r="DGQ187" s="16"/>
      <c r="DGR187" s="10"/>
      <c r="DGS187" s="10"/>
      <c r="DGZ187" s="3"/>
      <c r="DHB187" s="1"/>
      <c r="DHD187" s="16"/>
      <c r="DHE187" s="16"/>
      <c r="DHF187" s="16"/>
      <c r="DHG187" s="16"/>
      <c r="DHH187" s="10"/>
      <c r="DHI187" s="10"/>
      <c r="DHP187" s="3"/>
      <c r="DHR187" s="1"/>
      <c r="DHT187" s="16"/>
      <c r="DHU187" s="16"/>
      <c r="DHV187" s="16"/>
      <c r="DHW187" s="16"/>
      <c r="DHX187" s="10"/>
      <c r="DHY187" s="10"/>
      <c r="DIF187" s="3"/>
      <c r="DIH187" s="1"/>
      <c r="DIJ187" s="16"/>
      <c r="DIK187" s="16"/>
      <c r="DIL187" s="16"/>
      <c r="DIM187" s="16"/>
      <c r="DIN187" s="10"/>
      <c r="DIO187" s="10"/>
      <c r="DIV187" s="3"/>
      <c r="DIX187" s="1"/>
      <c r="DIZ187" s="16"/>
      <c r="DJA187" s="16"/>
      <c r="DJB187" s="16"/>
      <c r="DJC187" s="16"/>
      <c r="DJD187" s="10"/>
      <c r="DJE187" s="10"/>
      <c r="DJL187" s="3"/>
      <c r="DJN187" s="1"/>
      <c r="DJP187" s="16"/>
      <c r="DJQ187" s="16"/>
      <c r="DJR187" s="16"/>
      <c r="DJS187" s="16"/>
      <c r="DJT187" s="10"/>
      <c r="DJU187" s="10"/>
      <c r="DKB187" s="3"/>
      <c r="DKD187" s="1"/>
      <c r="DKF187" s="16"/>
      <c r="DKG187" s="16"/>
      <c r="DKH187" s="16"/>
      <c r="DKI187" s="16"/>
      <c r="DKJ187" s="10"/>
      <c r="DKK187" s="10"/>
      <c r="DKR187" s="3"/>
      <c r="DKT187" s="1"/>
      <c r="DKV187" s="16"/>
      <c r="DKW187" s="16"/>
      <c r="DKX187" s="16"/>
      <c r="DKY187" s="16"/>
      <c r="DKZ187" s="10"/>
      <c r="DLA187" s="10"/>
      <c r="DLH187" s="3"/>
      <c r="DLJ187" s="1"/>
      <c r="DLL187" s="16"/>
      <c r="DLM187" s="16"/>
      <c r="DLN187" s="16"/>
      <c r="DLO187" s="16"/>
      <c r="DLP187" s="10"/>
      <c r="DLQ187" s="10"/>
      <c r="DLX187" s="3"/>
      <c r="DLZ187" s="1"/>
      <c r="DMB187" s="16"/>
      <c r="DMC187" s="16"/>
      <c r="DMD187" s="16"/>
      <c r="DME187" s="16"/>
      <c r="DMF187" s="10"/>
      <c r="DMG187" s="10"/>
      <c r="DMN187" s="3"/>
      <c r="DMP187" s="1"/>
      <c r="DMR187" s="16"/>
      <c r="DMS187" s="16"/>
      <c r="DMT187" s="16"/>
      <c r="DMU187" s="16"/>
      <c r="DMV187" s="10"/>
      <c r="DMW187" s="10"/>
      <c r="DND187" s="3"/>
      <c r="DNF187" s="1"/>
      <c r="DNH187" s="16"/>
      <c r="DNI187" s="16"/>
      <c r="DNJ187" s="16"/>
      <c r="DNK187" s="16"/>
      <c r="DNL187" s="10"/>
      <c r="DNM187" s="10"/>
      <c r="DNT187" s="3"/>
      <c r="DNV187" s="1"/>
      <c r="DNX187" s="16"/>
      <c r="DNY187" s="16"/>
      <c r="DNZ187" s="16"/>
      <c r="DOA187" s="16"/>
      <c r="DOB187" s="10"/>
      <c r="DOC187" s="10"/>
      <c r="DOJ187" s="3"/>
      <c r="DOL187" s="1"/>
      <c r="DON187" s="16"/>
      <c r="DOO187" s="16"/>
      <c r="DOP187" s="16"/>
      <c r="DOQ187" s="16"/>
      <c r="DOR187" s="10"/>
      <c r="DOS187" s="10"/>
      <c r="DOZ187" s="3"/>
      <c r="DPB187" s="1"/>
      <c r="DPD187" s="16"/>
      <c r="DPE187" s="16"/>
      <c r="DPF187" s="16"/>
      <c r="DPG187" s="16"/>
      <c r="DPH187" s="10"/>
      <c r="DPI187" s="10"/>
      <c r="DPP187" s="3"/>
      <c r="DPR187" s="1"/>
      <c r="DPT187" s="16"/>
      <c r="DPU187" s="16"/>
      <c r="DPV187" s="16"/>
      <c r="DPW187" s="16"/>
      <c r="DPX187" s="10"/>
      <c r="DPY187" s="10"/>
      <c r="DQF187" s="3"/>
      <c r="DQH187" s="1"/>
      <c r="DQJ187" s="16"/>
      <c r="DQK187" s="16"/>
      <c r="DQL187" s="16"/>
      <c r="DQM187" s="16"/>
      <c r="DQN187" s="10"/>
      <c r="DQO187" s="10"/>
      <c r="DQV187" s="3"/>
      <c r="DQX187" s="1"/>
      <c r="DQZ187" s="16"/>
      <c r="DRA187" s="16"/>
      <c r="DRB187" s="16"/>
      <c r="DRC187" s="16"/>
      <c r="DRD187" s="10"/>
      <c r="DRE187" s="10"/>
      <c r="DRL187" s="3"/>
      <c r="DRN187" s="1"/>
      <c r="DRP187" s="16"/>
      <c r="DRQ187" s="16"/>
      <c r="DRR187" s="16"/>
      <c r="DRS187" s="16"/>
      <c r="DRT187" s="10"/>
      <c r="DRU187" s="10"/>
      <c r="DSB187" s="3"/>
      <c r="DSD187" s="1"/>
      <c r="DSF187" s="16"/>
      <c r="DSG187" s="16"/>
      <c r="DSH187" s="16"/>
      <c r="DSI187" s="16"/>
      <c r="DSJ187" s="10"/>
      <c r="DSK187" s="10"/>
      <c r="DSR187" s="3"/>
      <c r="DST187" s="1"/>
      <c r="DSV187" s="16"/>
      <c r="DSW187" s="16"/>
      <c r="DSX187" s="16"/>
      <c r="DSY187" s="16"/>
      <c r="DSZ187" s="10"/>
      <c r="DTA187" s="10"/>
      <c r="DTH187" s="3"/>
      <c r="DTJ187" s="1"/>
      <c r="DTL187" s="16"/>
      <c r="DTM187" s="16"/>
      <c r="DTN187" s="16"/>
      <c r="DTO187" s="16"/>
      <c r="DTP187" s="10"/>
      <c r="DTQ187" s="10"/>
      <c r="DTX187" s="3"/>
      <c r="DTZ187" s="1"/>
      <c r="DUB187" s="16"/>
      <c r="DUC187" s="16"/>
      <c r="DUD187" s="16"/>
      <c r="DUE187" s="16"/>
      <c r="DUF187" s="10"/>
      <c r="DUG187" s="10"/>
      <c r="DUN187" s="3"/>
      <c r="DUP187" s="1"/>
      <c r="DUR187" s="16"/>
      <c r="DUS187" s="16"/>
      <c r="DUT187" s="16"/>
      <c r="DUU187" s="16"/>
      <c r="DUV187" s="10"/>
      <c r="DUW187" s="10"/>
      <c r="DVD187" s="3"/>
      <c r="DVF187" s="1"/>
      <c r="DVH187" s="16"/>
      <c r="DVI187" s="16"/>
      <c r="DVJ187" s="16"/>
      <c r="DVK187" s="16"/>
      <c r="DVL187" s="10"/>
      <c r="DVM187" s="10"/>
      <c r="DVT187" s="3"/>
      <c r="DVV187" s="1"/>
      <c r="DVX187" s="16"/>
      <c r="DVY187" s="16"/>
      <c r="DVZ187" s="16"/>
      <c r="DWA187" s="16"/>
      <c r="DWB187" s="10"/>
      <c r="DWC187" s="10"/>
      <c r="DWJ187" s="3"/>
      <c r="DWL187" s="1"/>
      <c r="DWN187" s="16"/>
      <c r="DWO187" s="16"/>
      <c r="DWP187" s="16"/>
      <c r="DWQ187" s="16"/>
      <c r="DWR187" s="10"/>
      <c r="DWS187" s="10"/>
      <c r="DWZ187" s="3"/>
      <c r="DXB187" s="1"/>
      <c r="DXD187" s="16"/>
      <c r="DXE187" s="16"/>
      <c r="DXF187" s="16"/>
      <c r="DXG187" s="16"/>
      <c r="DXH187" s="10"/>
      <c r="DXI187" s="10"/>
      <c r="DXP187" s="3"/>
      <c r="DXR187" s="1"/>
      <c r="DXT187" s="16"/>
      <c r="DXU187" s="16"/>
      <c r="DXV187" s="16"/>
      <c r="DXW187" s="16"/>
      <c r="DXX187" s="10"/>
      <c r="DXY187" s="10"/>
      <c r="DYF187" s="3"/>
      <c r="DYH187" s="1"/>
      <c r="DYJ187" s="16"/>
      <c r="DYK187" s="16"/>
      <c r="DYL187" s="16"/>
      <c r="DYM187" s="16"/>
      <c r="DYN187" s="10"/>
      <c r="DYO187" s="10"/>
      <c r="DYV187" s="3"/>
      <c r="DYX187" s="1"/>
      <c r="DYZ187" s="16"/>
      <c r="DZA187" s="16"/>
      <c r="DZB187" s="16"/>
      <c r="DZC187" s="16"/>
      <c r="DZD187" s="10"/>
      <c r="DZE187" s="10"/>
      <c r="DZL187" s="3"/>
      <c r="DZN187" s="1"/>
      <c r="DZP187" s="16"/>
      <c r="DZQ187" s="16"/>
      <c r="DZR187" s="16"/>
      <c r="DZS187" s="16"/>
      <c r="DZT187" s="10"/>
      <c r="DZU187" s="10"/>
      <c r="EAB187" s="3"/>
      <c r="EAD187" s="1"/>
      <c r="EAF187" s="16"/>
      <c r="EAG187" s="16"/>
      <c r="EAH187" s="16"/>
      <c r="EAI187" s="16"/>
      <c r="EAJ187" s="10"/>
      <c r="EAK187" s="10"/>
      <c r="EAR187" s="3"/>
      <c r="EAT187" s="1"/>
      <c r="EAV187" s="16"/>
      <c r="EAW187" s="16"/>
      <c r="EAX187" s="16"/>
      <c r="EAY187" s="16"/>
      <c r="EAZ187" s="10"/>
      <c r="EBA187" s="10"/>
      <c r="EBH187" s="3"/>
      <c r="EBJ187" s="1"/>
      <c r="EBL187" s="16"/>
      <c r="EBM187" s="16"/>
      <c r="EBN187" s="16"/>
      <c r="EBO187" s="16"/>
      <c r="EBP187" s="10"/>
      <c r="EBQ187" s="10"/>
      <c r="EBX187" s="3"/>
      <c r="EBZ187" s="1"/>
      <c r="ECB187" s="16"/>
      <c r="ECC187" s="16"/>
      <c r="ECD187" s="16"/>
      <c r="ECE187" s="16"/>
      <c r="ECF187" s="10"/>
      <c r="ECG187" s="10"/>
      <c r="ECN187" s="3"/>
      <c r="ECP187" s="1"/>
      <c r="ECR187" s="16"/>
      <c r="ECS187" s="16"/>
      <c r="ECT187" s="16"/>
      <c r="ECU187" s="16"/>
      <c r="ECV187" s="10"/>
      <c r="ECW187" s="10"/>
      <c r="EDD187" s="3"/>
      <c r="EDF187" s="1"/>
      <c r="EDH187" s="16"/>
      <c r="EDI187" s="16"/>
      <c r="EDJ187" s="16"/>
      <c r="EDK187" s="16"/>
      <c r="EDL187" s="10"/>
      <c r="EDM187" s="10"/>
      <c r="EDT187" s="3"/>
      <c r="EDV187" s="1"/>
      <c r="EDX187" s="16"/>
      <c r="EDY187" s="16"/>
      <c r="EDZ187" s="16"/>
      <c r="EEA187" s="16"/>
      <c r="EEB187" s="10"/>
      <c r="EEC187" s="10"/>
      <c r="EEJ187" s="3"/>
      <c r="EEL187" s="1"/>
      <c r="EEN187" s="16"/>
      <c r="EEO187" s="16"/>
      <c r="EEP187" s="16"/>
      <c r="EEQ187" s="16"/>
      <c r="EER187" s="10"/>
      <c r="EES187" s="10"/>
      <c r="EEZ187" s="3"/>
      <c r="EFB187" s="1"/>
      <c r="EFD187" s="16"/>
      <c r="EFE187" s="16"/>
      <c r="EFF187" s="16"/>
      <c r="EFG187" s="16"/>
      <c r="EFH187" s="10"/>
      <c r="EFI187" s="10"/>
      <c r="EFP187" s="3"/>
      <c r="EFR187" s="1"/>
      <c r="EFT187" s="16"/>
      <c r="EFU187" s="16"/>
      <c r="EFV187" s="16"/>
      <c r="EFW187" s="16"/>
      <c r="EFX187" s="10"/>
      <c r="EFY187" s="10"/>
      <c r="EGF187" s="3"/>
      <c r="EGH187" s="1"/>
      <c r="EGJ187" s="16"/>
      <c r="EGK187" s="16"/>
      <c r="EGL187" s="16"/>
      <c r="EGM187" s="16"/>
      <c r="EGN187" s="10"/>
      <c r="EGO187" s="10"/>
      <c r="EGV187" s="3"/>
      <c r="EGX187" s="1"/>
      <c r="EGZ187" s="16"/>
      <c r="EHA187" s="16"/>
      <c r="EHB187" s="16"/>
      <c r="EHC187" s="16"/>
      <c r="EHD187" s="10"/>
      <c r="EHE187" s="10"/>
      <c r="EHL187" s="3"/>
      <c r="EHN187" s="1"/>
      <c r="EHP187" s="16"/>
      <c r="EHQ187" s="16"/>
      <c r="EHR187" s="16"/>
      <c r="EHS187" s="16"/>
      <c r="EHT187" s="10"/>
      <c r="EHU187" s="10"/>
      <c r="EIB187" s="3"/>
      <c r="EID187" s="1"/>
      <c r="EIF187" s="16"/>
      <c r="EIG187" s="16"/>
      <c r="EIH187" s="16"/>
      <c r="EII187" s="16"/>
      <c r="EIJ187" s="10"/>
      <c r="EIK187" s="10"/>
      <c r="EIR187" s="3"/>
      <c r="EIT187" s="1"/>
      <c r="EIV187" s="16"/>
      <c r="EIW187" s="16"/>
      <c r="EIX187" s="16"/>
      <c r="EIY187" s="16"/>
      <c r="EIZ187" s="10"/>
      <c r="EJA187" s="10"/>
      <c r="EJH187" s="3"/>
      <c r="EJJ187" s="1"/>
      <c r="EJL187" s="16"/>
      <c r="EJM187" s="16"/>
      <c r="EJN187" s="16"/>
      <c r="EJO187" s="16"/>
      <c r="EJP187" s="10"/>
      <c r="EJQ187" s="10"/>
      <c r="EJX187" s="3"/>
      <c r="EJZ187" s="1"/>
      <c r="EKB187" s="16"/>
      <c r="EKC187" s="16"/>
      <c r="EKD187" s="16"/>
      <c r="EKE187" s="16"/>
      <c r="EKF187" s="10"/>
      <c r="EKG187" s="10"/>
      <c r="EKN187" s="3"/>
      <c r="EKP187" s="1"/>
      <c r="EKR187" s="16"/>
      <c r="EKS187" s="16"/>
      <c r="EKT187" s="16"/>
      <c r="EKU187" s="16"/>
      <c r="EKV187" s="10"/>
      <c r="EKW187" s="10"/>
      <c r="ELD187" s="3"/>
      <c r="ELF187" s="1"/>
      <c r="ELH187" s="16"/>
      <c r="ELI187" s="16"/>
      <c r="ELJ187" s="16"/>
      <c r="ELK187" s="16"/>
      <c r="ELL187" s="10"/>
      <c r="ELM187" s="10"/>
      <c r="ELT187" s="3"/>
      <c r="ELV187" s="1"/>
      <c r="ELX187" s="16"/>
      <c r="ELY187" s="16"/>
      <c r="ELZ187" s="16"/>
      <c r="EMA187" s="16"/>
      <c r="EMB187" s="10"/>
      <c r="EMC187" s="10"/>
      <c r="EMJ187" s="3"/>
      <c r="EML187" s="1"/>
      <c r="EMN187" s="16"/>
      <c r="EMO187" s="16"/>
      <c r="EMP187" s="16"/>
      <c r="EMQ187" s="16"/>
      <c r="EMR187" s="10"/>
      <c r="EMS187" s="10"/>
      <c r="EMZ187" s="3"/>
      <c r="ENB187" s="1"/>
      <c r="END187" s="16"/>
      <c r="ENE187" s="16"/>
      <c r="ENF187" s="16"/>
      <c r="ENG187" s="16"/>
      <c r="ENH187" s="10"/>
      <c r="ENI187" s="10"/>
      <c r="ENP187" s="3"/>
      <c r="ENR187" s="1"/>
      <c r="ENT187" s="16"/>
      <c r="ENU187" s="16"/>
      <c r="ENV187" s="16"/>
      <c r="ENW187" s="16"/>
      <c r="ENX187" s="10"/>
      <c r="ENY187" s="10"/>
      <c r="EOF187" s="3"/>
      <c r="EOH187" s="1"/>
      <c r="EOJ187" s="16"/>
      <c r="EOK187" s="16"/>
      <c r="EOL187" s="16"/>
      <c r="EOM187" s="16"/>
      <c r="EON187" s="10"/>
      <c r="EOO187" s="10"/>
      <c r="EOV187" s="3"/>
      <c r="EOX187" s="1"/>
      <c r="EOZ187" s="16"/>
      <c r="EPA187" s="16"/>
      <c r="EPB187" s="16"/>
      <c r="EPC187" s="16"/>
      <c r="EPD187" s="10"/>
      <c r="EPE187" s="10"/>
      <c r="EPL187" s="3"/>
      <c r="EPN187" s="1"/>
      <c r="EPP187" s="16"/>
      <c r="EPQ187" s="16"/>
      <c r="EPR187" s="16"/>
      <c r="EPS187" s="16"/>
      <c r="EPT187" s="10"/>
      <c r="EPU187" s="10"/>
      <c r="EQB187" s="3"/>
      <c r="EQD187" s="1"/>
      <c r="EQF187" s="16"/>
      <c r="EQG187" s="16"/>
      <c r="EQH187" s="16"/>
      <c r="EQI187" s="16"/>
      <c r="EQJ187" s="10"/>
      <c r="EQK187" s="10"/>
      <c r="EQR187" s="3"/>
      <c r="EQT187" s="1"/>
      <c r="EQV187" s="16"/>
      <c r="EQW187" s="16"/>
      <c r="EQX187" s="16"/>
      <c r="EQY187" s="16"/>
      <c r="EQZ187" s="10"/>
      <c r="ERA187" s="10"/>
      <c r="ERH187" s="3"/>
      <c r="ERJ187" s="1"/>
      <c r="ERL187" s="16"/>
      <c r="ERM187" s="16"/>
      <c r="ERN187" s="16"/>
      <c r="ERO187" s="16"/>
      <c r="ERP187" s="10"/>
      <c r="ERQ187" s="10"/>
      <c r="ERX187" s="3"/>
      <c r="ERZ187" s="1"/>
      <c r="ESB187" s="16"/>
      <c r="ESC187" s="16"/>
      <c r="ESD187" s="16"/>
      <c r="ESE187" s="16"/>
      <c r="ESF187" s="10"/>
      <c r="ESG187" s="10"/>
      <c r="ESN187" s="3"/>
      <c r="ESP187" s="1"/>
      <c r="ESR187" s="16"/>
      <c r="ESS187" s="16"/>
      <c r="EST187" s="16"/>
      <c r="ESU187" s="16"/>
      <c r="ESV187" s="10"/>
      <c r="ESW187" s="10"/>
      <c r="ETD187" s="3"/>
      <c r="ETF187" s="1"/>
      <c r="ETH187" s="16"/>
      <c r="ETI187" s="16"/>
      <c r="ETJ187" s="16"/>
      <c r="ETK187" s="16"/>
      <c r="ETL187" s="10"/>
      <c r="ETM187" s="10"/>
      <c r="ETT187" s="3"/>
      <c r="ETV187" s="1"/>
      <c r="ETX187" s="16"/>
      <c r="ETY187" s="16"/>
      <c r="ETZ187" s="16"/>
      <c r="EUA187" s="16"/>
      <c r="EUB187" s="10"/>
      <c r="EUC187" s="10"/>
      <c r="EUJ187" s="3"/>
      <c r="EUL187" s="1"/>
      <c r="EUN187" s="16"/>
      <c r="EUO187" s="16"/>
      <c r="EUP187" s="16"/>
      <c r="EUQ187" s="16"/>
      <c r="EUR187" s="10"/>
      <c r="EUS187" s="10"/>
      <c r="EUZ187" s="3"/>
      <c r="EVB187" s="1"/>
      <c r="EVD187" s="16"/>
      <c r="EVE187" s="16"/>
      <c r="EVF187" s="16"/>
      <c r="EVG187" s="16"/>
      <c r="EVH187" s="10"/>
      <c r="EVI187" s="10"/>
      <c r="EVP187" s="3"/>
      <c r="EVR187" s="1"/>
      <c r="EVT187" s="16"/>
      <c r="EVU187" s="16"/>
      <c r="EVV187" s="16"/>
      <c r="EVW187" s="16"/>
      <c r="EVX187" s="10"/>
      <c r="EVY187" s="10"/>
      <c r="EWF187" s="3"/>
      <c r="EWH187" s="1"/>
      <c r="EWJ187" s="16"/>
      <c r="EWK187" s="16"/>
      <c r="EWL187" s="16"/>
      <c r="EWM187" s="16"/>
      <c r="EWN187" s="10"/>
      <c r="EWO187" s="10"/>
      <c r="EWV187" s="3"/>
      <c r="EWX187" s="1"/>
      <c r="EWZ187" s="16"/>
      <c r="EXA187" s="16"/>
      <c r="EXB187" s="16"/>
      <c r="EXC187" s="16"/>
      <c r="EXD187" s="10"/>
      <c r="EXE187" s="10"/>
      <c r="EXL187" s="3"/>
      <c r="EXN187" s="1"/>
      <c r="EXP187" s="16"/>
      <c r="EXQ187" s="16"/>
      <c r="EXR187" s="16"/>
      <c r="EXS187" s="16"/>
      <c r="EXT187" s="10"/>
      <c r="EXU187" s="10"/>
      <c r="EYB187" s="3"/>
      <c r="EYD187" s="1"/>
      <c r="EYF187" s="16"/>
      <c r="EYG187" s="16"/>
      <c r="EYH187" s="16"/>
      <c r="EYI187" s="16"/>
      <c r="EYJ187" s="10"/>
      <c r="EYK187" s="10"/>
      <c r="EYR187" s="3"/>
      <c r="EYT187" s="1"/>
      <c r="EYV187" s="16"/>
      <c r="EYW187" s="16"/>
      <c r="EYX187" s="16"/>
      <c r="EYY187" s="16"/>
      <c r="EYZ187" s="10"/>
      <c r="EZA187" s="10"/>
      <c r="EZH187" s="3"/>
      <c r="EZJ187" s="1"/>
      <c r="EZL187" s="16"/>
      <c r="EZM187" s="16"/>
      <c r="EZN187" s="16"/>
      <c r="EZO187" s="16"/>
      <c r="EZP187" s="10"/>
      <c r="EZQ187" s="10"/>
      <c r="EZX187" s="3"/>
      <c r="EZZ187" s="1"/>
      <c r="FAB187" s="16"/>
      <c r="FAC187" s="16"/>
      <c r="FAD187" s="16"/>
      <c r="FAE187" s="16"/>
      <c r="FAF187" s="10"/>
      <c r="FAG187" s="10"/>
      <c r="FAN187" s="3"/>
      <c r="FAP187" s="1"/>
      <c r="FAR187" s="16"/>
      <c r="FAS187" s="16"/>
      <c r="FAT187" s="16"/>
      <c r="FAU187" s="16"/>
      <c r="FAV187" s="10"/>
      <c r="FAW187" s="10"/>
      <c r="FBD187" s="3"/>
      <c r="FBF187" s="1"/>
      <c r="FBH187" s="16"/>
      <c r="FBI187" s="16"/>
      <c r="FBJ187" s="16"/>
      <c r="FBK187" s="16"/>
      <c r="FBL187" s="10"/>
      <c r="FBM187" s="10"/>
      <c r="FBT187" s="3"/>
      <c r="FBV187" s="1"/>
      <c r="FBX187" s="16"/>
      <c r="FBY187" s="16"/>
      <c r="FBZ187" s="16"/>
      <c r="FCA187" s="16"/>
      <c r="FCB187" s="10"/>
      <c r="FCC187" s="10"/>
      <c r="FCJ187" s="3"/>
      <c r="FCL187" s="1"/>
      <c r="FCN187" s="16"/>
      <c r="FCO187" s="16"/>
      <c r="FCP187" s="16"/>
      <c r="FCQ187" s="16"/>
      <c r="FCR187" s="10"/>
      <c r="FCS187" s="10"/>
      <c r="FCZ187" s="3"/>
      <c r="FDB187" s="1"/>
      <c r="FDD187" s="16"/>
      <c r="FDE187" s="16"/>
      <c r="FDF187" s="16"/>
      <c r="FDG187" s="16"/>
      <c r="FDH187" s="10"/>
      <c r="FDI187" s="10"/>
      <c r="FDP187" s="3"/>
      <c r="FDR187" s="1"/>
      <c r="FDT187" s="16"/>
      <c r="FDU187" s="16"/>
      <c r="FDV187" s="16"/>
      <c r="FDW187" s="16"/>
      <c r="FDX187" s="10"/>
      <c r="FDY187" s="10"/>
      <c r="FEF187" s="3"/>
      <c r="FEH187" s="1"/>
      <c r="FEJ187" s="16"/>
      <c r="FEK187" s="16"/>
      <c r="FEL187" s="16"/>
      <c r="FEM187" s="16"/>
      <c r="FEN187" s="10"/>
      <c r="FEO187" s="10"/>
      <c r="FEV187" s="3"/>
      <c r="FEX187" s="1"/>
      <c r="FEZ187" s="16"/>
      <c r="FFA187" s="16"/>
      <c r="FFB187" s="16"/>
      <c r="FFC187" s="16"/>
      <c r="FFD187" s="10"/>
      <c r="FFE187" s="10"/>
      <c r="FFL187" s="3"/>
      <c r="FFN187" s="1"/>
      <c r="FFP187" s="16"/>
      <c r="FFQ187" s="16"/>
      <c r="FFR187" s="16"/>
      <c r="FFS187" s="16"/>
      <c r="FFT187" s="10"/>
      <c r="FFU187" s="10"/>
      <c r="FGB187" s="3"/>
      <c r="FGD187" s="1"/>
      <c r="FGF187" s="16"/>
      <c r="FGG187" s="16"/>
      <c r="FGH187" s="16"/>
      <c r="FGI187" s="16"/>
      <c r="FGJ187" s="10"/>
      <c r="FGK187" s="10"/>
      <c r="FGR187" s="3"/>
      <c r="FGT187" s="1"/>
      <c r="FGV187" s="16"/>
      <c r="FGW187" s="16"/>
      <c r="FGX187" s="16"/>
      <c r="FGY187" s="16"/>
      <c r="FGZ187" s="10"/>
      <c r="FHA187" s="10"/>
      <c r="FHH187" s="3"/>
      <c r="FHJ187" s="1"/>
      <c r="FHL187" s="16"/>
      <c r="FHM187" s="16"/>
      <c r="FHN187" s="16"/>
      <c r="FHO187" s="16"/>
      <c r="FHP187" s="10"/>
      <c r="FHQ187" s="10"/>
      <c r="FHX187" s="3"/>
      <c r="FHZ187" s="1"/>
      <c r="FIB187" s="16"/>
      <c r="FIC187" s="16"/>
      <c r="FID187" s="16"/>
      <c r="FIE187" s="16"/>
      <c r="FIF187" s="10"/>
      <c r="FIG187" s="10"/>
      <c r="FIN187" s="3"/>
      <c r="FIP187" s="1"/>
      <c r="FIR187" s="16"/>
      <c r="FIS187" s="16"/>
      <c r="FIT187" s="16"/>
      <c r="FIU187" s="16"/>
      <c r="FIV187" s="10"/>
      <c r="FIW187" s="10"/>
      <c r="FJD187" s="3"/>
      <c r="FJF187" s="1"/>
      <c r="FJH187" s="16"/>
      <c r="FJI187" s="16"/>
      <c r="FJJ187" s="16"/>
      <c r="FJK187" s="16"/>
      <c r="FJL187" s="10"/>
      <c r="FJM187" s="10"/>
      <c r="FJT187" s="3"/>
      <c r="FJV187" s="1"/>
      <c r="FJX187" s="16"/>
      <c r="FJY187" s="16"/>
      <c r="FJZ187" s="16"/>
      <c r="FKA187" s="16"/>
      <c r="FKB187" s="10"/>
      <c r="FKC187" s="10"/>
      <c r="FKJ187" s="3"/>
      <c r="FKL187" s="1"/>
      <c r="FKN187" s="16"/>
      <c r="FKO187" s="16"/>
      <c r="FKP187" s="16"/>
      <c r="FKQ187" s="16"/>
      <c r="FKR187" s="10"/>
      <c r="FKS187" s="10"/>
      <c r="FKZ187" s="3"/>
      <c r="FLB187" s="1"/>
      <c r="FLD187" s="16"/>
      <c r="FLE187" s="16"/>
      <c r="FLF187" s="16"/>
      <c r="FLG187" s="16"/>
      <c r="FLH187" s="10"/>
      <c r="FLI187" s="10"/>
      <c r="FLP187" s="3"/>
      <c r="FLR187" s="1"/>
      <c r="FLT187" s="16"/>
      <c r="FLU187" s="16"/>
      <c r="FLV187" s="16"/>
      <c r="FLW187" s="16"/>
      <c r="FLX187" s="10"/>
      <c r="FLY187" s="10"/>
      <c r="FMF187" s="3"/>
      <c r="FMH187" s="1"/>
      <c r="FMJ187" s="16"/>
      <c r="FMK187" s="16"/>
      <c r="FML187" s="16"/>
      <c r="FMM187" s="16"/>
      <c r="FMN187" s="10"/>
      <c r="FMO187" s="10"/>
      <c r="FMV187" s="3"/>
      <c r="FMX187" s="1"/>
      <c r="FMZ187" s="16"/>
      <c r="FNA187" s="16"/>
      <c r="FNB187" s="16"/>
      <c r="FNC187" s="16"/>
      <c r="FND187" s="10"/>
      <c r="FNE187" s="10"/>
      <c r="FNL187" s="3"/>
      <c r="FNN187" s="1"/>
      <c r="FNP187" s="16"/>
      <c r="FNQ187" s="16"/>
      <c r="FNR187" s="16"/>
      <c r="FNS187" s="16"/>
      <c r="FNT187" s="10"/>
      <c r="FNU187" s="10"/>
      <c r="FOB187" s="3"/>
      <c r="FOD187" s="1"/>
      <c r="FOF187" s="16"/>
      <c r="FOG187" s="16"/>
      <c r="FOH187" s="16"/>
      <c r="FOI187" s="16"/>
      <c r="FOJ187" s="10"/>
      <c r="FOK187" s="10"/>
      <c r="FOR187" s="3"/>
      <c r="FOT187" s="1"/>
      <c r="FOV187" s="16"/>
      <c r="FOW187" s="16"/>
      <c r="FOX187" s="16"/>
      <c r="FOY187" s="16"/>
      <c r="FOZ187" s="10"/>
      <c r="FPA187" s="10"/>
      <c r="FPH187" s="3"/>
      <c r="FPJ187" s="1"/>
      <c r="FPL187" s="16"/>
      <c r="FPM187" s="16"/>
      <c r="FPN187" s="16"/>
      <c r="FPO187" s="16"/>
      <c r="FPP187" s="10"/>
      <c r="FPQ187" s="10"/>
      <c r="FPX187" s="3"/>
      <c r="FPZ187" s="1"/>
      <c r="FQB187" s="16"/>
      <c r="FQC187" s="16"/>
      <c r="FQD187" s="16"/>
      <c r="FQE187" s="16"/>
      <c r="FQF187" s="10"/>
      <c r="FQG187" s="10"/>
      <c r="FQN187" s="3"/>
      <c r="FQP187" s="1"/>
      <c r="FQR187" s="16"/>
      <c r="FQS187" s="16"/>
      <c r="FQT187" s="16"/>
      <c r="FQU187" s="16"/>
      <c r="FQV187" s="10"/>
      <c r="FQW187" s="10"/>
      <c r="FRD187" s="3"/>
      <c r="FRF187" s="1"/>
      <c r="FRH187" s="16"/>
      <c r="FRI187" s="16"/>
      <c r="FRJ187" s="16"/>
      <c r="FRK187" s="16"/>
      <c r="FRL187" s="10"/>
      <c r="FRM187" s="10"/>
      <c r="FRT187" s="3"/>
      <c r="FRV187" s="1"/>
      <c r="FRX187" s="16"/>
      <c r="FRY187" s="16"/>
      <c r="FRZ187" s="16"/>
      <c r="FSA187" s="16"/>
      <c r="FSB187" s="10"/>
      <c r="FSC187" s="10"/>
      <c r="FSJ187" s="3"/>
      <c r="FSL187" s="1"/>
      <c r="FSN187" s="16"/>
      <c r="FSO187" s="16"/>
      <c r="FSP187" s="16"/>
      <c r="FSQ187" s="16"/>
      <c r="FSR187" s="10"/>
      <c r="FSS187" s="10"/>
      <c r="FSZ187" s="3"/>
      <c r="FTB187" s="1"/>
      <c r="FTD187" s="16"/>
      <c r="FTE187" s="16"/>
      <c r="FTF187" s="16"/>
      <c r="FTG187" s="16"/>
      <c r="FTH187" s="10"/>
      <c r="FTI187" s="10"/>
      <c r="FTP187" s="3"/>
      <c r="FTR187" s="1"/>
      <c r="FTT187" s="16"/>
      <c r="FTU187" s="16"/>
      <c r="FTV187" s="16"/>
      <c r="FTW187" s="16"/>
      <c r="FTX187" s="10"/>
      <c r="FTY187" s="10"/>
      <c r="FUF187" s="3"/>
      <c r="FUH187" s="1"/>
      <c r="FUJ187" s="16"/>
      <c r="FUK187" s="16"/>
      <c r="FUL187" s="16"/>
      <c r="FUM187" s="16"/>
      <c r="FUN187" s="10"/>
      <c r="FUO187" s="10"/>
      <c r="FUV187" s="3"/>
      <c r="FUX187" s="1"/>
      <c r="FUZ187" s="16"/>
      <c r="FVA187" s="16"/>
      <c r="FVB187" s="16"/>
      <c r="FVC187" s="16"/>
      <c r="FVD187" s="10"/>
      <c r="FVE187" s="10"/>
      <c r="FVL187" s="3"/>
      <c r="FVN187" s="1"/>
      <c r="FVP187" s="16"/>
      <c r="FVQ187" s="16"/>
      <c r="FVR187" s="16"/>
      <c r="FVS187" s="16"/>
      <c r="FVT187" s="10"/>
      <c r="FVU187" s="10"/>
      <c r="FWB187" s="3"/>
      <c r="FWD187" s="1"/>
      <c r="FWF187" s="16"/>
      <c r="FWG187" s="16"/>
      <c r="FWH187" s="16"/>
      <c r="FWI187" s="16"/>
      <c r="FWJ187" s="10"/>
      <c r="FWK187" s="10"/>
      <c r="FWR187" s="3"/>
      <c r="FWT187" s="1"/>
      <c r="FWV187" s="16"/>
      <c r="FWW187" s="16"/>
      <c r="FWX187" s="16"/>
      <c r="FWY187" s="16"/>
      <c r="FWZ187" s="10"/>
      <c r="FXA187" s="10"/>
      <c r="FXH187" s="3"/>
      <c r="FXJ187" s="1"/>
      <c r="FXL187" s="16"/>
      <c r="FXM187" s="16"/>
      <c r="FXN187" s="16"/>
      <c r="FXO187" s="16"/>
      <c r="FXP187" s="10"/>
      <c r="FXQ187" s="10"/>
      <c r="FXX187" s="3"/>
      <c r="FXZ187" s="1"/>
      <c r="FYB187" s="16"/>
      <c r="FYC187" s="16"/>
      <c r="FYD187" s="16"/>
      <c r="FYE187" s="16"/>
      <c r="FYF187" s="10"/>
      <c r="FYG187" s="10"/>
      <c r="FYN187" s="3"/>
      <c r="FYP187" s="1"/>
      <c r="FYR187" s="16"/>
      <c r="FYS187" s="16"/>
      <c r="FYT187" s="16"/>
      <c r="FYU187" s="16"/>
      <c r="FYV187" s="10"/>
      <c r="FYW187" s="10"/>
      <c r="FZD187" s="3"/>
      <c r="FZF187" s="1"/>
      <c r="FZH187" s="16"/>
      <c r="FZI187" s="16"/>
      <c r="FZJ187" s="16"/>
      <c r="FZK187" s="16"/>
      <c r="FZL187" s="10"/>
      <c r="FZM187" s="10"/>
      <c r="FZT187" s="3"/>
      <c r="FZV187" s="1"/>
      <c r="FZX187" s="16"/>
      <c r="FZY187" s="16"/>
      <c r="FZZ187" s="16"/>
      <c r="GAA187" s="16"/>
      <c r="GAB187" s="10"/>
      <c r="GAC187" s="10"/>
      <c r="GAJ187" s="3"/>
      <c r="GAL187" s="1"/>
      <c r="GAN187" s="16"/>
      <c r="GAO187" s="16"/>
      <c r="GAP187" s="16"/>
      <c r="GAQ187" s="16"/>
      <c r="GAR187" s="10"/>
      <c r="GAS187" s="10"/>
      <c r="GAZ187" s="3"/>
      <c r="GBB187" s="1"/>
      <c r="GBD187" s="16"/>
      <c r="GBE187" s="16"/>
      <c r="GBF187" s="16"/>
      <c r="GBG187" s="16"/>
      <c r="GBH187" s="10"/>
      <c r="GBI187" s="10"/>
      <c r="GBP187" s="3"/>
      <c r="GBR187" s="1"/>
      <c r="GBT187" s="16"/>
      <c r="GBU187" s="16"/>
      <c r="GBV187" s="16"/>
      <c r="GBW187" s="16"/>
      <c r="GBX187" s="10"/>
      <c r="GBY187" s="10"/>
      <c r="GCF187" s="3"/>
      <c r="GCH187" s="1"/>
      <c r="GCJ187" s="16"/>
      <c r="GCK187" s="16"/>
      <c r="GCL187" s="16"/>
      <c r="GCM187" s="16"/>
      <c r="GCN187" s="10"/>
      <c r="GCO187" s="10"/>
      <c r="GCV187" s="3"/>
      <c r="GCX187" s="1"/>
      <c r="GCZ187" s="16"/>
      <c r="GDA187" s="16"/>
      <c r="GDB187" s="16"/>
      <c r="GDC187" s="16"/>
      <c r="GDD187" s="10"/>
      <c r="GDE187" s="10"/>
      <c r="GDL187" s="3"/>
      <c r="GDN187" s="1"/>
      <c r="GDP187" s="16"/>
      <c r="GDQ187" s="16"/>
      <c r="GDR187" s="16"/>
      <c r="GDS187" s="16"/>
      <c r="GDT187" s="10"/>
      <c r="GDU187" s="10"/>
      <c r="GEB187" s="3"/>
      <c r="GED187" s="1"/>
      <c r="GEF187" s="16"/>
      <c r="GEG187" s="16"/>
      <c r="GEH187" s="16"/>
      <c r="GEI187" s="16"/>
      <c r="GEJ187" s="10"/>
      <c r="GEK187" s="10"/>
      <c r="GER187" s="3"/>
      <c r="GET187" s="1"/>
      <c r="GEV187" s="16"/>
      <c r="GEW187" s="16"/>
      <c r="GEX187" s="16"/>
      <c r="GEY187" s="16"/>
      <c r="GEZ187" s="10"/>
      <c r="GFA187" s="10"/>
      <c r="GFH187" s="3"/>
      <c r="GFJ187" s="1"/>
      <c r="GFL187" s="16"/>
      <c r="GFM187" s="16"/>
      <c r="GFN187" s="16"/>
      <c r="GFO187" s="16"/>
      <c r="GFP187" s="10"/>
      <c r="GFQ187" s="10"/>
      <c r="GFX187" s="3"/>
      <c r="GFZ187" s="1"/>
      <c r="GGB187" s="16"/>
      <c r="GGC187" s="16"/>
      <c r="GGD187" s="16"/>
      <c r="GGE187" s="16"/>
      <c r="GGF187" s="10"/>
      <c r="GGG187" s="10"/>
      <c r="GGN187" s="3"/>
      <c r="GGP187" s="1"/>
      <c r="GGR187" s="16"/>
      <c r="GGS187" s="16"/>
      <c r="GGT187" s="16"/>
      <c r="GGU187" s="16"/>
      <c r="GGV187" s="10"/>
      <c r="GGW187" s="10"/>
      <c r="GHD187" s="3"/>
      <c r="GHF187" s="1"/>
      <c r="GHH187" s="16"/>
      <c r="GHI187" s="16"/>
      <c r="GHJ187" s="16"/>
      <c r="GHK187" s="16"/>
      <c r="GHL187" s="10"/>
      <c r="GHM187" s="10"/>
      <c r="GHT187" s="3"/>
      <c r="GHV187" s="1"/>
      <c r="GHX187" s="16"/>
      <c r="GHY187" s="16"/>
      <c r="GHZ187" s="16"/>
      <c r="GIA187" s="16"/>
      <c r="GIB187" s="10"/>
      <c r="GIC187" s="10"/>
      <c r="GIJ187" s="3"/>
      <c r="GIL187" s="1"/>
      <c r="GIN187" s="16"/>
      <c r="GIO187" s="16"/>
      <c r="GIP187" s="16"/>
      <c r="GIQ187" s="16"/>
      <c r="GIR187" s="10"/>
      <c r="GIS187" s="10"/>
      <c r="GIZ187" s="3"/>
      <c r="GJB187" s="1"/>
      <c r="GJD187" s="16"/>
      <c r="GJE187" s="16"/>
      <c r="GJF187" s="16"/>
      <c r="GJG187" s="16"/>
      <c r="GJH187" s="10"/>
      <c r="GJI187" s="10"/>
      <c r="GJP187" s="3"/>
      <c r="GJR187" s="1"/>
      <c r="GJT187" s="16"/>
      <c r="GJU187" s="16"/>
      <c r="GJV187" s="16"/>
      <c r="GJW187" s="16"/>
      <c r="GJX187" s="10"/>
      <c r="GJY187" s="10"/>
      <c r="GKF187" s="3"/>
      <c r="GKH187" s="1"/>
      <c r="GKJ187" s="16"/>
      <c r="GKK187" s="16"/>
      <c r="GKL187" s="16"/>
      <c r="GKM187" s="16"/>
      <c r="GKN187" s="10"/>
      <c r="GKO187" s="10"/>
      <c r="GKV187" s="3"/>
      <c r="GKX187" s="1"/>
      <c r="GKZ187" s="16"/>
      <c r="GLA187" s="16"/>
      <c r="GLB187" s="16"/>
      <c r="GLC187" s="16"/>
      <c r="GLD187" s="10"/>
      <c r="GLE187" s="10"/>
      <c r="GLL187" s="3"/>
      <c r="GLN187" s="1"/>
      <c r="GLP187" s="16"/>
      <c r="GLQ187" s="16"/>
      <c r="GLR187" s="16"/>
      <c r="GLS187" s="16"/>
      <c r="GLT187" s="10"/>
      <c r="GLU187" s="10"/>
      <c r="GMB187" s="3"/>
      <c r="GMD187" s="1"/>
      <c r="GMF187" s="16"/>
      <c r="GMG187" s="16"/>
      <c r="GMH187" s="16"/>
      <c r="GMI187" s="16"/>
      <c r="GMJ187" s="10"/>
      <c r="GMK187" s="10"/>
      <c r="GMR187" s="3"/>
      <c r="GMT187" s="1"/>
      <c r="GMV187" s="16"/>
      <c r="GMW187" s="16"/>
      <c r="GMX187" s="16"/>
      <c r="GMY187" s="16"/>
      <c r="GMZ187" s="10"/>
      <c r="GNA187" s="10"/>
      <c r="GNH187" s="3"/>
      <c r="GNJ187" s="1"/>
      <c r="GNL187" s="16"/>
      <c r="GNM187" s="16"/>
      <c r="GNN187" s="16"/>
      <c r="GNO187" s="16"/>
      <c r="GNP187" s="10"/>
      <c r="GNQ187" s="10"/>
      <c r="GNX187" s="3"/>
      <c r="GNZ187" s="1"/>
      <c r="GOB187" s="16"/>
      <c r="GOC187" s="16"/>
      <c r="GOD187" s="16"/>
      <c r="GOE187" s="16"/>
      <c r="GOF187" s="10"/>
      <c r="GOG187" s="10"/>
      <c r="GON187" s="3"/>
      <c r="GOP187" s="1"/>
      <c r="GOR187" s="16"/>
      <c r="GOS187" s="16"/>
      <c r="GOT187" s="16"/>
      <c r="GOU187" s="16"/>
      <c r="GOV187" s="10"/>
      <c r="GOW187" s="10"/>
      <c r="GPD187" s="3"/>
      <c r="GPF187" s="1"/>
      <c r="GPH187" s="16"/>
      <c r="GPI187" s="16"/>
      <c r="GPJ187" s="16"/>
      <c r="GPK187" s="16"/>
      <c r="GPL187" s="10"/>
      <c r="GPM187" s="10"/>
      <c r="GPT187" s="3"/>
      <c r="GPV187" s="1"/>
      <c r="GPX187" s="16"/>
      <c r="GPY187" s="16"/>
      <c r="GPZ187" s="16"/>
      <c r="GQA187" s="16"/>
      <c r="GQB187" s="10"/>
      <c r="GQC187" s="10"/>
      <c r="GQJ187" s="3"/>
      <c r="GQL187" s="1"/>
      <c r="GQN187" s="16"/>
      <c r="GQO187" s="16"/>
      <c r="GQP187" s="16"/>
      <c r="GQQ187" s="16"/>
      <c r="GQR187" s="10"/>
      <c r="GQS187" s="10"/>
      <c r="GQZ187" s="3"/>
      <c r="GRB187" s="1"/>
      <c r="GRD187" s="16"/>
      <c r="GRE187" s="16"/>
      <c r="GRF187" s="16"/>
      <c r="GRG187" s="16"/>
      <c r="GRH187" s="10"/>
      <c r="GRI187" s="10"/>
      <c r="GRP187" s="3"/>
      <c r="GRR187" s="1"/>
      <c r="GRT187" s="16"/>
      <c r="GRU187" s="16"/>
      <c r="GRV187" s="16"/>
      <c r="GRW187" s="16"/>
      <c r="GRX187" s="10"/>
      <c r="GRY187" s="10"/>
      <c r="GSF187" s="3"/>
      <c r="GSH187" s="1"/>
      <c r="GSJ187" s="16"/>
      <c r="GSK187" s="16"/>
      <c r="GSL187" s="16"/>
      <c r="GSM187" s="16"/>
      <c r="GSN187" s="10"/>
      <c r="GSO187" s="10"/>
      <c r="GSV187" s="3"/>
      <c r="GSX187" s="1"/>
      <c r="GSZ187" s="16"/>
      <c r="GTA187" s="16"/>
      <c r="GTB187" s="16"/>
      <c r="GTC187" s="16"/>
      <c r="GTD187" s="10"/>
      <c r="GTE187" s="10"/>
      <c r="GTL187" s="3"/>
      <c r="GTN187" s="1"/>
      <c r="GTP187" s="16"/>
      <c r="GTQ187" s="16"/>
      <c r="GTR187" s="16"/>
      <c r="GTS187" s="16"/>
      <c r="GTT187" s="10"/>
      <c r="GTU187" s="10"/>
      <c r="GUB187" s="3"/>
      <c r="GUD187" s="1"/>
      <c r="GUF187" s="16"/>
      <c r="GUG187" s="16"/>
      <c r="GUH187" s="16"/>
      <c r="GUI187" s="16"/>
      <c r="GUJ187" s="10"/>
      <c r="GUK187" s="10"/>
      <c r="GUR187" s="3"/>
      <c r="GUT187" s="1"/>
      <c r="GUV187" s="16"/>
      <c r="GUW187" s="16"/>
      <c r="GUX187" s="16"/>
      <c r="GUY187" s="16"/>
      <c r="GUZ187" s="10"/>
      <c r="GVA187" s="10"/>
      <c r="GVH187" s="3"/>
      <c r="GVJ187" s="1"/>
      <c r="GVL187" s="16"/>
      <c r="GVM187" s="16"/>
      <c r="GVN187" s="16"/>
      <c r="GVO187" s="16"/>
      <c r="GVP187" s="10"/>
      <c r="GVQ187" s="10"/>
      <c r="GVX187" s="3"/>
      <c r="GVZ187" s="1"/>
      <c r="GWB187" s="16"/>
      <c r="GWC187" s="16"/>
      <c r="GWD187" s="16"/>
      <c r="GWE187" s="16"/>
      <c r="GWF187" s="10"/>
      <c r="GWG187" s="10"/>
      <c r="GWN187" s="3"/>
      <c r="GWP187" s="1"/>
      <c r="GWR187" s="16"/>
      <c r="GWS187" s="16"/>
      <c r="GWT187" s="16"/>
      <c r="GWU187" s="16"/>
      <c r="GWV187" s="10"/>
      <c r="GWW187" s="10"/>
      <c r="GXD187" s="3"/>
      <c r="GXF187" s="1"/>
      <c r="GXH187" s="16"/>
      <c r="GXI187" s="16"/>
      <c r="GXJ187" s="16"/>
      <c r="GXK187" s="16"/>
      <c r="GXL187" s="10"/>
      <c r="GXM187" s="10"/>
      <c r="GXT187" s="3"/>
      <c r="GXV187" s="1"/>
      <c r="GXX187" s="16"/>
      <c r="GXY187" s="16"/>
      <c r="GXZ187" s="16"/>
      <c r="GYA187" s="16"/>
      <c r="GYB187" s="10"/>
      <c r="GYC187" s="10"/>
      <c r="GYJ187" s="3"/>
      <c r="GYL187" s="1"/>
      <c r="GYN187" s="16"/>
      <c r="GYO187" s="16"/>
      <c r="GYP187" s="16"/>
      <c r="GYQ187" s="16"/>
      <c r="GYR187" s="10"/>
      <c r="GYS187" s="10"/>
      <c r="GYZ187" s="3"/>
      <c r="GZB187" s="1"/>
      <c r="GZD187" s="16"/>
      <c r="GZE187" s="16"/>
      <c r="GZF187" s="16"/>
      <c r="GZG187" s="16"/>
      <c r="GZH187" s="10"/>
      <c r="GZI187" s="10"/>
      <c r="GZP187" s="3"/>
      <c r="GZR187" s="1"/>
      <c r="GZT187" s="16"/>
      <c r="GZU187" s="16"/>
      <c r="GZV187" s="16"/>
      <c r="GZW187" s="16"/>
      <c r="GZX187" s="10"/>
      <c r="GZY187" s="10"/>
      <c r="HAF187" s="3"/>
      <c r="HAH187" s="1"/>
      <c r="HAJ187" s="16"/>
      <c r="HAK187" s="16"/>
      <c r="HAL187" s="16"/>
      <c r="HAM187" s="16"/>
      <c r="HAN187" s="10"/>
      <c r="HAO187" s="10"/>
      <c r="HAV187" s="3"/>
      <c r="HAX187" s="1"/>
      <c r="HAZ187" s="16"/>
      <c r="HBA187" s="16"/>
      <c r="HBB187" s="16"/>
      <c r="HBC187" s="16"/>
      <c r="HBD187" s="10"/>
      <c r="HBE187" s="10"/>
      <c r="HBL187" s="3"/>
      <c r="HBN187" s="1"/>
      <c r="HBP187" s="16"/>
      <c r="HBQ187" s="16"/>
      <c r="HBR187" s="16"/>
      <c r="HBS187" s="16"/>
      <c r="HBT187" s="10"/>
      <c r="HBU187" s="10"/>
      <c r="HCB187" s="3"/>
      <c r="HCD187" s="1"/>
      <c r="HCF187" s="16"/>
      <c r="HCG187" s="16"/>
      <c r="HCH187" s="16"/>
      <c r="HCI187" s="16"/>
      <c r="HCJ187" s="10"/>
      <c r="HCK187" s="10"/>
      <c r="HCR187" s="3"/>
      <c r="HCT187" s="1"/>
      <c r="HCV187" s="16"/>
      <c r="HCW187" s="16"/>
      <c r="HCX187" s="16"/>
      <c r="HCY187" s="16"/>
      <c r="HCZ187" s="10"/>
      <c r="HDA187" s="10"/>
      <c r="HDH187" s="3"/>
      <c r="HDJ187" s="1"/>
      <c r="HDL187" s="16"/>
      <c r="HDM187" s="16"/>
      <c r="HDN187" s="16"/>
      <c r="HDO187" s="16"/>
      <c r="HDP187" s="10"/>
      <c r="HDQ187" s="10"/>
      <c r="HDX187" s="3"/>
      <c r="HDZ187" s="1"/>
      <c r="HEB187" s="16"/>
      <c r="HEC187" s="16"/>
      <c r="HED187" s="16"/>
      <c r="HEE187" s="16"/>
      <c r="HEF187" s="10"/>
      <c r="HEG187" s="10"/>
      <c r="HEN187" s="3"/>
      <c r="HEP187" s="1"/>
      <c r="HER187" s="16"/>
      <c r="HES187" s="16"/>
      <c r="HET187" s="16"/>
      <c r="HEU187" s="16"/>
      <c r="HEV187" s="10"/>
      <c r="HEW187" s="10"/>
      <c r="HFD187" s="3"/>
      <c r="HFF187" s="1"/>
      <c r="HFH187" s="16"/>
      <c r="HFI187" s="16"/>
      <c r="HFJ187" s="16"/>
      <c r="HFK187" s="16"/>
      <c r="HFL187" s="10"/>
      <c r="HFM187" s="10"/>
      <c r="HFT187" s="3"/>
      <c r="HFV187" s="1"/>
      <c r="HFX187" s="16"/>
      <c r="HFY187" s="16"/>
      <c r="HFZ187" s="16"/>
      <c r="HGA187" s="16"/>
      <c r="HGB187" s="10"/>
      <c r="HGC187" s="10"/>
      <c r="HGJ187" s="3"/>
      <c r="HGL187" s="1"/>
      <c r="HGN187" s="16"/>
      <c r="HGO187" s="16"/>
      <c r="HGP187" s="16"/>
      <c r="HGQ187" s="16"/>
      <c r="HGR187" s="10"/>
      <c r="HGS187" s="10"/>
      <c r="HGZ187" s="3"/>
      <c r="HHB187" s="1"/>
      <c r="HHD187" s="16"/>
      <c r="HHE187" s="16"/>
      <c r="HHF187" s="16"/>
      <c r="HHG187" s="16"/>
      <c r="HHH187" s="10"/>
      <c r="HHI187" s="10"/>
      <c r="HHP187" s="3"/>
      <c r="HHR187" s="1"/>
      <c r="HHT187" s="16"/>
      <c r="HHU187" s="16"/>
      <c r="HHV187" s="16"/>
      <c r="HHW187" s="16"/>
      <c r="HHX187" s="10"/>
      <c r="HHY187" s="10"/>
      <c r="HIF187" s="3"/>
      <c r="HIH187" s="1"/>
      <c r="HIJ187" s="16"/>
      <c r="HIK187" s="16"/>
      <c r="HIL187" s="16"/>
      <c r="HIM187" s="16"/>
      <c r="HIN187" s="10"/>
      <c r="HIO187" s="10"/>
      <c r="HIV187" s="3"/>
      <c r="HIX187" s="1"/>
      <c r="HIZ187" s="16"/>
      <c r="HJA187" s="16"/>
      <c r="HJB187" s="16"/>
      <c r="HJC187" s="16"/>
      <c r="HJD187" s="10"/>
      <c r="HJE187" s="10"/>
      <c r="HJL187" s="3"/>
      <c r="HJN187" s="1"/>
      <c r="HJP187" s="16"/>
      <c r="HJQ187" s="16"/>
      <c r="HJR187" s="16"/>
      <c r="HJS187" s="16"/>
      <c r="HJT187" s="10"/>
      <c r="HJU187" s="10"/>
      <c r="HKB187" s="3"/>
      <c r="HKD187" s="1"/>
      <c r="HKF187" s="16"/>
      <c r="HKG187" s="16"/>
      <c r="HKH187" s="16"/>
      <c r="HKI187" s="16"/>
      <c r="HKJ187" s="10"/>
      <c r="HKK187" s="10"/>
      <c r="HKR187" s="3"/>
      <c r="HKT187" s="1"/>
      <c r="HKV187" s="16"/>
      <c r="HKW187" s="16"/>
      <c r="HKX187" s="16"/>
      <c r="HKY187" s="16"/>
      <c r="HKZ187" s="10"/>
      <c r="HLA187" s="10"/>
      <c r="HLH187" s="3"/>
      <c r="HLJ187" s="1"/>
      <c r="HLL187" s="16"/>
      <c r="HLM187" s="16"/>
      <c r="HLN187" s="16"/>
      <c r="HLO187" s="16"/>
      <c r="HLP187" s="10"/>
      <c r="HLQ187" s="10"/>
      <c r="HLX187" s="3"/>
      <c r="HLZ187" s="1"/>
      <c r="HMB187" s="16"/>
      <c r="HMC187" s="16"/>
      <c r="HMD187" s="16"/>
      <c r="HME187" s="16"/>
      <c r="HMF187" s="10"/>
      <c r="HMG187" s="10"/>
      <c r="HMN187" s="3"/>
      <c r="HMP187" s="1"/>
      <c r="HMR187" s="16"/>
      <c r="HMS187" s="16"/>
      <c r="HMT187" s="16"/>
      <c r="HMU187" s="16"/>
      <c r="HMV187" s="10"/>
      <c r="HMW187" s="10"/>
      <c r="HND187" s="3"/>
      <c r="HNF187" s="1"/>
      <c r="HNH187" s="16"/>
      <c r="HNI187" s="16"/>
      <c r="HNJ187" s="16"/>
      <c r="HNK187" s="16"/>
      <c r="HNL187" s="10"/>
      <c r="HNM187" s="10"/>
      <c r="HNT187" s="3"/>
      <c r="HNV187" s="1"/>
      <c r="HNX187" s="16"/>
      <c r="HNY187" s="16"/>
      <c r="HNZ187" s="16"/>
      <c r="HOA187" s="16"/>
      <c r="HOB187" s="10"/>
      <c r="HOC187" s="10"/>
      <c r="HOJ187" s="3"/>
      <c r="HOL187" s="1"/>
      <c r="HON187" s="16"/>
      <c r="HOO187" s="16"/>
      <c r="HOP187" s="16"/>
      <c r="HOQ187" s="16"/>
      <c r="HOR187" s="10"/>
      <c r="HOS187" s="10"/>
      <c r="HOZ187" s="3"/>
      <c r="HPB187" s="1"/>
      <c r="HPD187" s="16"/>
      <c r="HPE187" s="16"/>
      <c r="HPF187" s="16"/>
      <c r="HPG187" s="16"/>
      <c r="HPH187" s="10"/>
      <c r="HPI187" s="10"/>
      <c r="HPP187" s="3"/>
      <c r="HPR187" s="1"/>
      <c r="HPT187" s="16"/>
      <c r="HPU187" s="16"/>
      <c r="HPV187" s="16"/>
      <c r="HPW187" s="16"/>
      <c r="HPX187" s="10"/>
      <c r="HPY187" s="10"/>
      <c r="HQF187" s="3"/>
      <c r="HQH187" s="1"/>
      <c r="HQJ187" s="16"/>
      <c r="HQK187" s="16"/>
      <c r="HQL187" s="16"/>
      <c r="HQM187" s="16"/>
      <c r="HQN187" s="10"/>
      <c r="HQO187" s="10"/>
      <c r="HQV187" s="3"/>
      <c r="HQX187" s="1"/>
      <c r="HQZ187" s="16"/>
      <c r="HRA187" s="16"/>
      <c r="HRB187" s="16"/>
      <c r="HRC187" s="16"/>
      <c r="HRD187" s="10"/>
      <c r="HRE187" s="10"/>
      <c r="HRL187" s="3"/>
      <c r="HRN187" s="1"/>
      <c r="HRP187" s="16"/>
      <c r="HRQ187" s="16"/>
      <c r="HRR187" s="16"/>
      <c r="HRS187" s="16"/>
      <c r="HRT187" s="10"/>
      <c r="HRU187" s="10"/>
      <c r="HSB187" s="3"/>
      <c r="HSD187" s="1"/>
      <c r="HSF187" s="16"/>
      <c r="HSG187" s="16"/>
      <c r="HSH187" s="16"/>
      <c r="HSI187" s="16"/>
      <c r="HSJ187" s="10"/>
      <c r="HSK187" s="10"/>
      <c r="HSR187" s="3"/>
      <c r="HST187" s="1"/>
      <c r="HSV187" s="16"/>
      <c r="HSW187" s="16"/>
      <c r="HSX187" s="16"/>
      <c r="HSY187" s="16"/>
      <c r="HSZ187" s="10"/>
      <c r="HTA187" s="10"/>
      <c r="HTH187" s="3"/>
      <c r="HTJ187" s="1"/>
      <c r="HTL187" s="16"/>
      <c r="HTM187" s="16"/>
      <c r="HTN187" s="16"/>
      <c r="HTO187" s="16"/>
      <c r="HTP187" s="10"/>
      <c r="HTQ187" s="10"/>
      <c r="HTX187" s="3"/>
      <c r="HTZ187" s="1"/>
      <c r="HUB187" s="16"/>
      <c r="HUC187" s="16"/>
      <c r="HUD187" s="16"/>
      <c r="HUE187" s="16"/>
      <c r="HUF187" s="10"/>
      <c r="HUG187" s="10"/>
      <c r="HUN187" s="3"/>
      <c r="HUP187" s="1"/>
      <c r="HUR187" s="16"/>
      <c r="HUS187" s="16"/>
      <c r="HUT187" s="16"/>
      <c r="HUU187" s="16"/>
      <c r="HUV187" s="10"/>
      <c r="HUW187" s="10"/>
      <c r="HVD187" s="3"/>
      <c r="HVF187" s="1"/>
      <c r="HVH187" s="16"/>
      <c r="HVI187" s="16"/>
      <c r="HVJ187" s="16"/>
      <c r="HVK187" s="16"/>
      <c r="HVL187" s="10"/>
      <c r="HVM187" s="10"/>
      <c r="HVT187" s="3"/>
      <c r="HVV187" s="1"/>
      <c r="HVX187" s="16"/>
      <c r="HVY187" s="16"/>
      <c r="HVZ187" s="16"/>
      <c r="HWA187" s="16"/>
      <c r="HWB187" s="10"/>
      <c r="HWC187" s="10"/>
      <c r="HWJ187" s="3"/>
      <c r="HWL187" s="1"/>
      <c r="HWN187" s="16"/>
      <c r="HWO187" s="16"/>
      <c r="HWP187" s="16"/>
      <c r="HWQ187" s="16"/>
      <c r="HWR187" s="10"/>
      <c r="HWS187" s="10"/>
      <c r="HWZ187" s="3"/>
      <c r="HXB187" s="1"/>
      <c r="HXD187" s="16"/>
      <c r="HXE187" s="16"/>
      <c r="HXF187" s="16"/>
      <c r="HXG187" s="16"/>
      <c r="HXH187" s="10"/>
      <c r="HXI187" s="10"/>
      <c r="HXP187" s="3"/>
      <c r="HXR187" s="1"/>
      <c r="HXT187" s="16"/>
      <c r="HXU187" s="16"/>
      <c r="HXV187" s="16"/>
      <c r="HXW187" s="16"/>
      <c r="HXX187" s="10"/>
      <c r="HXY187" s="10"/>
      <c r="HYF187" s="3"/>
      <c r="HYH187" s="1"/>
      <c r="HYJ187" s="16"/>
      <c r="HYK187" s="16"/>
      <c r="HYL187" s="16"/>
      <c r="HYM187" s="16"/>
      <c r="HYN187" s="10"/>
      <c r="HYO187" s="10"/>
      <c r="HYV187" s="3"/>
      <c r="HYX187" s="1"/>
      <c r="HYZ187" s="16"/>
      <c r="HZA187" s="16"/>
      <c r="HZB187" s="16"/>
      <c r="HZC187" s="16"/>
      <c r="HZD187" s="10"/>
      <c r="HZE187" s="10"/>
      <c r="HZL187" s="3"/>
      <c r="HZN187" s="1"/>
      <c r="HZP187" s="16"/>
      <c r="HZQ187" s="16"/>
      <c r="HZR187" s="16"/>
      <c r="HZS187" s="16"/>
      <c r="HZT187" s="10"/>
      <c r="HZU187" s="10"/>
      <c r="IAB187" s="3"/>
      <c r="IAD187" s="1"/>
      <c r="IAF187" s="16"/>
      <c r="IAG187" s="16"/>
      <c r="IAH187" s="16"/>
      <c r="IAI187" s="16"/>
      <c r="IAJ187" s="10"/>
      <c r="IAK187" s="10"/>
      <c r="IAR187" s="3"/>
      <c r="IAT187" s="1"/>
      <c r="IAV187" s="16"/>
      <c r="IAW187" s="16"/>
      <c r="IAX187" s="16"/>
      <c r="IAY187" s="16"/>
      <c r="IAZ187" s="10"/>
      <c r="IBA187" s="10"/>
      <c r="IBH187" s="3"/>
      <c r="IBJ187" s="1"/>
      <c r="IBL187" s="16"/>
      <c r="IBM187" s="16"/>
      <c r="IBN187" s="16"/>
      <c r="IBO187" s="16"/>
      <c r="IBP187" s="10"/>
      <c r="IBQ187" s="10"/>
      <c r="IBX187" s="3"/>
      <c r="IBZ187" s="1"/>
      <c r="ICB187" s="16"/>
      <c r="ICC187" s="16"/>
      <c r="ICD187" s="16"/>
      <c r="ICE187" s="16"/>
      <c r="ICF187" s="10"/>
      <c r="ICG187" s="10"/>
      <c r="ICN187" s="3"/>
      <c r="ICP187" s="1"/>
      <c r="ICR187" s="16"/>
      <c r="ICS187" s="16"/>
      <c r="ICT187" s="16"/>
      <c r="ICU187" s="16"/>
      <c r="ICV187" s="10"/>
      <c r="ICW187" s="10"/>
      <c r="IDD187" s="3"/>
      <c r="IDF187" s="1"/>
      <c r="IDH187" s="16"/>
      <c r="IDI187" s="16"/>
      <c r="IDJ187" s="16"/>
      <c r="IDK187" s="16"/>
      <c r="IDL187" s="10"/>
      <c r="IDM187" s="10"/>
      <c r="IDT187" s="3"/>
      <c r="IDV187" s="1"/>
      <c r="IDX187" s="16"/>
      <c r="IDY187" s="16"/>
      <c r="IDZ187" s="16"/>
      <c r="IEA187" s="16"/>
      <c r="IEB187" s="10"/>
      <c r="IEC187" s="10"/>
      <c r="IEJ187" s="3"/>
      <c r="IEL187" s="1"/>
      <c r="IEN187" s="16"/>
      <c r="IEO187" s="16"/>
      <c r="IEP187" s="16"/>
      <c r="IEQ187" s="16"/>
      <c r="IER187" s="10"/>
      <c r="IES187" s="10"/>
      <c r="IEZ187" s="3"/>
      <c r="IFB187" s="1"/>
      <c r="IFD187" s="16"/>
      <c r="IFE187" s="16"/>
      <c r="IFF187" s="16"/>
      <c r="IFG187" s="16"/>
      <c r="IFH187" s="10"/>
      <c r="IFI187" s="10"/>
      <c r="IFP187" s="3"/>
      <c r="IFR187" s="1"/>
      <c r="IFT187" s="16"/>
      <c r="IFU187" s="16"/>
      <c r="IFV187" s="16"/>
      <c r="IFW187" s="16"/>
      <c r="IFX187" s="10"/>
      <c r="IFY187" s="10"/>
      <c r="IGF187" s="3"/>
      <c r="IGH187" s="1"/>
      <c r="IGJ187" s="16"/>
      <c r="IGK187" s="16"/>
      <c r="IGL187" s="16"/>
      <c r="IGM187" s="16"/>
      <c r="IGN187" s="10"/>
      <c r="IGO187" s="10"/>
      <c r="IGV187" s="3"/>
      <c r="IGX187" s="1"/>
      <c r="IGZ187" s="16"/>
      <c r="IHA187" s="16"/>
      <c r="IHB187" s="16"/>
      <c r="IHC187" s="16"/>
      <c r="IHD187" s="10"/>
      <c r="IHE187" s="10"/>
      <c r="IHL187" s="3"/>
      <c r="IHN187" s="1"/>
      <c r="IHP187" s="16"/>
      <c r="IHQ187" s="16"/>
      <c r="IHR187" s="16"/>
      <c r="IHS187" s="16"/>
      <c r="IHT187" s="10"/>
      <c r="IHU187" s="10"/>
      <c r="IIB187" s="3"/>
      <c r="IID187" s="1"/>
      <c r="IIF187" s="16"/>
      <c r="IIG187" s="16"/>
      <c r="IIH187" s="16"/>
      <c r="III187" s="16"/>
      <c r="IIJ187" s="10"/>
      <c r="IIK187" s="10"/>
      <c r="IIR187" s="3"/>
      <c r="IIT187" s="1"/>
      <c r="IIV187" s="16"/>
      <c r="IIW187" s="16"/>
      <c r="IIX187" s="16"/>
      <c r="IIY187" s="16"/>
      <c r="IIZ187" s="10"/>
      <c r="IJA187" s="10"/>
      <c r="IJH187" s="3"/>
      <c r="IJJ187" s="1"/>
      <c r="IJL187" s="16"/>
      <c r="IJM187" s="16"/>
      <c r="IJN187" s="16"/>
      <c r="IJO187" s="16"/>
      <c r="IJP187" s="10"/>
      <c r="IJQ187" s="10"/>
      <c r="IJX187" s="3"/>
      <c r="IJZ187" s="1"/>
      <c r="IKB187" s="16"/>
      <c r="IKC187" s="16"/>
      <c r="IKD187" s="16"/>
      <c r="IKE187" s="16"/>
      <c r="IKF187" s="10"/>
      <c r="IKG187" s="10"/>
      <c r="IKN187" s="3"/>
      <c r="IKP187" s="1"/>
      <c r="IKR187" s="16"/>
      <c r="IKS187" s="16"/>
      <c r="IKT187" s="16"/>
      <c r="IKU187" s="16"/>
      <c r="IKV187" s="10"/>
      <c r="IKW187" s="10"/>
      <c r="ILD187" s="3"/>
      <c r="ILF187" s="1"/>
      <c r="ILH187" s="16"/>
      <c r="ILI187" s="16"/>
      <c r="ILJ187" s="16"/>
      <c r="ILK187" s="16"/>
      <c r="ILL187" s="10"/>
      <c r="ILM187" s="10"/>
      <c r="ILT187" s="3"/>
      <c r="ILV187" s="1"/>
      <c r="ILX187" s="16"/>
      <c r="ILY187" s="16"/>
      <c r="ILZ187" s="16"/>
      <c r="IMA187" s="16"/>
      <c r="IMB187" s="10"/>
      <c r="IMC187" s="10"/>
      <c r="IMJ187" s="3"/>
      <c r="IML187" s="1"/>
      <c r="IMN187" s="16"/>
      <c r="IMO187" s="16"/>
      <c r="IMP187" s="16"/>
      <c r="IMQ187" s="16"/>
      <c r="IMR187" s="10"/>
      <c r="IMS187" s="10"/>
      <c r="IMZ187" s="3"/>
      <c r="INB187" s="1"/>
      <c r="IND187" s="16"/>
      <c r="INE187" s="16"/>
      <c r="INF187" s="16"/>
      <c r="ING187" s="16"/>
      <c r="INH187" s="10"/>
      <c r="INI187" s="10"/>
      <c r="INP187" s="3"/>
      <c r="INR187" s="1"/>
      <c r="INT187" s="16"/>
      <c r="INU187" s="16"/>
      <c r="INV187" s="16"/>
      <c r="INW187" s="16"/>
      <c r="INX187" s="10"/>
      <c r="INY187" s="10"/>
      <c r="IOF187" s="3"/>
      <c r="IOH187" s="1"/>
      <c r="IOJ187" s="16"/>
      <c r="IOK187" s="16"/>
      <c r="IOL187" s="16"/>
      <c r="IOM187" s="16"/>
      <c r="ION187" s="10"/>
      <c r="IOO187" s="10"/>
      <c r="IOV187" s="3"/>
      <c r="IOX187" s="1"/>
      <c r="IOZ187" s="16"/>
      <c r="IPA187" s="16"/>
      <c r="IPB187" s="16"/>
      <c r="IPC187" s="16"/>
      <c r="IPD187" s="10"/>
      <c r="IPE187" s="10"/>
      <c r="IPL187" s="3"/>
      <c r="IPN187" s="1"/>
      <c r="IPP187" s="16"/>
      <c r="IPQ187" s="16"/>
      <c r="IPR187" s="16"/>
      <c r="IPS187" s="16"/>
      <c r="IPT187" s="10"/>
      <c r="IPU187" s="10"/>
      <c r="IQB187" s="3"/>
      <c r="IQD187" s="1"/>
      <c r="IQF187" s="16"/>
      <c r="IQG187" s="16"/>
      <c r="IQH187" s="16"/>
      <c r="IQI187" s="16"/>
      <c r="IQJ187" s="10"/>
      <c r="IQK187" s="10"/>
      <c r="IQR187" s="3"/>
      <c r="IQT187" s="1"/>
      <c r="IQV187" s="16"/>
      <c r="IQW187" s="16"/>
      <c r="IQX187" s="16"/>
      <c r="IQY187" s="16"/>
      <c r="IQZ187" s="10"/>
      <c r="IRA187" s="10"/>
      <c r="IRH187" s="3"/>
      <c r="IRJ187" s="1"/>
      <c r="IRL187" s="16"/>
      <c r="IRM187" s="16"/>
      <c r="IRN187" s="16"/>
      <c r="IRO187" s="16"/>
      <c r="IRP187" s="10"/>
      <c r="IRQ187" s="10"/>
      <c r="IRX187" s="3"/>
      <c r="IRZ187" s="1"/>
      <c r="ISB187" s="16"/>
      <c r="ISC187" s="16"/>
      <c r="ISD187" s="16"/>
      <c r="ISE187" s="16"/>
      <c r="ISF187" s="10"/>
      <c r="ISG187" s="10"/>
      <c r="ISN187" s="3"/>
      <c r="ISP187" s="1"/>
      <c r="ISR187" s="16"/>
      <c r="ISS187" s="16"/>
      <c r="IST187" s="16"/>
      <c r="ISU187" s="16"/>
      <c r="ISV187" s="10"/>
      <c r="ISW187" s="10"/>
      <c r="ITD187" s="3"/>
      <c r="ITF187" s="1"/>
      <c r="ITH187" s="16"/>
      <c r="ITI187" s="16"/>
      <c r="ITJ187" s="16"/>
      <c r="ITK187" s="16"/>
      <c r="ITL187" s="10"/>
      <c r="ITM187" s="10"/>
      <c r="ITT187" s="3"/>
      <c r="ITV187" s="1"/>
      <c r="ITX187" s="16"/>
      <c r="ITY187" s="16"/>
      <c r="ITZ187" s="16"/>
      <c r="IUA187" s="16"/>
      <c r="IUB187" s="10"/>
      <c r="IUC187" s="10"/>
      <c r="IUJ187" s="3"/>
      <c r="IUL187" s="1"/>
      <c r="IUN187" s="16"/>
      <c r="IUO187" s="16"/>
      <c r="IUP187" s="16"/>
      <c r="IUQ187" s="16"/>
      <c r="IUR187" s="10"/>
      <c r="IUS187" s="10"/>
      <c r="IUZ187" s="3"/>
      <c r="IVB187" s="1"/>
      <c r="IVD187" s="16"/>
      <c r="IVE187" s="16"/>
      <c r="IVF187" s="16"/>
      <c r="IVG187" s="16"/>
      <c r="IVH187" s="10"/>
      <c r="IVI187" s="10"/>
      <c r="IVP187" s="3"/>
      <c r="IVR187" s="1"/>
      <c r="IVT187" s="16"/>
      <c r="IVU187" s="16"/>
      <c r="IVV187" s="16"/>
      <c r="IVW187" s="16"/>
      <c r="IVX187" s="10"/>
      <c r="IVY187" s="10"/>
      <c r="IWF187" s="3"/>
      <c r="IWH187" s="1"/>
      <c r="IWJ187" s="16"/>
      <c r="IWK187" s="16"/>
      <c r="IWL187" s="16"/>
      <c r="IWM187" s="16"/>
      <c r="IWN187" s="10"/>
      <c r="IWO187" s="10"/>
      <c r="IWV187" s="3"/>
      <c r="IWX187" s="1"/>
      <c r="IWZ187" s="16"/>
      <c r="IXA187" s="16"/>
      <c r="IXB187" s="16"/>
      <c r="IXC187" s="16"/>
      <c r="IXD187" s="10"/>
      <c r="IXE187" s="10"/>
      <c r="IXL187" s="3"/>
      <c r="IXN187" s="1"/>
      <c r="IXP187" s="16"/>
      <c r="IXQ187" s="16"/>
      <c r="IXR187" s="16"/>
      <c r="IXS187" s="16"/>
      <c r="IXT187" s="10"/>
      <c r="IXU187" s="10"/>
      <c r="IYB187" s="3"/>
      <c r="IYD187" s="1"/>
      <c r="IYF187" s="16"/>
      <c r="IYG187" s="16"/>
      <c r="IYH187" s="16"/>
      <c r="IYI187" s="16"/>
      <c r="IYJ187" s="10"/>
      <c r="IYK187" s="10"/>
      <c r="IYR187" s="3"/>
      <c r="IYT187" s="1"/>
      <c r="IYV187" s="16"/>
      <c r="IYW187" s="16"/>
      <c r="IYX187" s="16"/>
      <c r="IYY187" s="16"/>
      <c r="IYZ187" s="10"/>
      <c r="IZA187" s="10"/>
      <c r="IZH187" s="3"/>
      <c r="IZJ187" s="1"/>
      <c r="IZL187" s="16"/>
      <c r="IZM187" s="16"/>
      <c r="IZN187" s="16"/>
      <c r="IZO187" s="16"/>
      <c r="IZP187" s="10"/>
      <c r="IZQ187" s="10"/>
      <c r="IZX187" s="3"/>
      <c r="IZZ187" s="1"/>
      <c r="JAB187" s="16"/>
      <c r="JAC187" s="16"/>
      <c r="JAD187" s="16"/>
      <c r="JAE187" s="16"/>
      <c r="JAF187" s="10"/>
      <c r="JAG187" s="10"/>
      <c r="JAN187" s="3"/>
      <c r="JAP187" s="1"/>
      <c r="JAR187" s="16"/>
      <c r="JAS187" s="16"/>
      <c r="JAT187" s="16"/>
      <c r="JAU187" s="16"/>
      <c r="JAV187" s="10"/>
      <c r="JAW187" s="10"/>
      <c r="JBD187" s="3"/>
      <c r="JBF187" s="1"/>
      <c r="JBH187" s="16"/>
      <c r="JBI187" s="16"/>
      <c r="JBJ187" s="16"/>
      <c r="JBK187" s="16"/>
      <c r="JBL187" s="10"/>
      <c r="JBM187" s="10"/>
      <c r="JBT187" s="3"/>
      <c r="JBV187" s="1"/>
      <c r="JBX187" s="16"/>
      <c r="JBY187" s="16"/>
      <c r="JBZ187" s="16"/>
      <c r="JCA187" s="16"/>
      <c r="JCB187" s="10"/>
      <c r="JCC187" s="10"/>
      <c r="JCJ187" s="3"/>
      <c r="JCL187" s="1"/>
      <c r="JCN187" s="16"/>
      <c r="JCO187" s="16"/>
      <c r="JCP187" s="16"/>
      <c r="JCQ187" s="16"/>
      <c r="JCR187" s="10"/>
      <c r="JCS187" s="10"/>
      <c r="JCZ187" s="3"/>
      <c r="JDB187" s="1"/>
      <c r="JDD187" s="16"/>
      <c r="JDE187" s="16"/>
      <c r="JDF187" s="16"/>
      <c r="JDG187" s="16"/>
      <c r="JDH187" s="10"/>
      <c r="JDI187" s="10"/>
      <c r="JDP187" s="3"/>
      <c r="JDR187" s="1"/>
      <c r="JDT187" s="16"/>
      <c r="JDU187" s="16"/>
      <c r="JDV187" s="16"/>
      <c r="JDW187" s="16"/>
      <c r="JDX187" s="10"/>
      <c r="JDY187" s="10"/>
      <c r="JEF187" s="3"/>
      <c r="JEH187" s="1"/>
      <c r="JEJ187" s="16"/>
      <c r="JEK187" s="16"/>
      <c r="JEL187" s="16"/>
      <c r="JEM187" s="16"/>
      <c r="JEN187" s="10"/>
      <c r="JEO187" s="10"/>
      <c r="JEV187" s="3"/>
      <c r="JEX187" s="1"/>
      <c r="JEZ187" s="16"/>
      <c r="JFA187" s="16"/>
      <c r="JFB187" s="16"/>
      <c r="JFC187" s="16"/>
      <c r="JFD187" s="10"/>
      <c r="JFE187" s="10"/>
      <c r="JFL187" s="3"/>
      <c r="JFN187" s="1"/>
      <c r="JFP187" s="16"/>
      <c r="JFQ187" s="16"/>
      <c r="JFR187" s="16"/>
      <c r="JFS187" s="16"/>
      <c r="JFT187" s="10"/>
      <c r="JFU187" s="10"/>
      <c r="JGB187" s="3"/>
      <c r="JGD187" s="1"/>
      <c r="JGF187" s="16"/>
      <c r="JGG187" s="16"/>
      <c r="JGH187" s="16"/>
      <c r="JGI187" s="16"/>
      <c r="JGJ187" s="10"/>
      <c r="JGK187" s="10"/>
      <c r="JGR187" s="3"/>
      <c r="JGT187" s="1"/>
      <c r="JGV187" s="16"/>
      <c r="JGW187" s="16"/>
      <c r="JGX187" s="16"/>
      <c r="JGY187" s="16"/>
      <c r="JGZ187" s="10"/>
      <c r="JHA187" s="10"/>
      <c r="JHH187" s="3"/>
      <c r="JHJ187" s="1"/>
      <c r="JHL187" s="16"/>
      <c r="JHM187" s="16"/>
      <c r="JHN187" s="16"/>
      <c r="JHO187" s="16"/>
      <c r="JHP187" s="10"/>
      <c r="JHQ187" s="10"/>
      <c r="JHX187" s="3"/>
      <c r="JHZ187" s="1"/>
      <c r="JIB187" s="16"/>
      <c r="JIC187" s="16"/>
      <c r="JID187" s="16"/>
      <c r="JIE187" s="16"/>
      <c r="JIF187" s="10"/>
      <c r="JIG187" s="10"/>
      <c r="JIN187" s="3"/>
      <c r="JIP187" s="1"/>
      <c r="JIR187" s="16"/>
      <c r="JIS187" s="16"/>
      <c r="JIT187" s="16"/>
      <c r="JIU187" s="16"/>
      <c r="JIV187" s="10"/>
      <c r="JIW187" s="10"/>
      <c r="JJD187" s="3"/>
      <c r="JJF187" s="1"/>
      <c r="JJH187" s="16"/>
      <c r="JJI187" s="16"/>
      <c r="JJJ187" s="16"/>
      <c r="JJK187" s="16"/>
      <c r="JJL187" s="10"/>
      <c r="JJM187" s="10"/>
      <c r="JJT187" s="3"/>
      <c r="JJV187" s="1"/>
      <c r="JJX187" s="16"/>
      <c r="JJY187" s="16"/>
      <c r="JJZ187" s="16"/>
      <c r="JKA187" s="16"/>
      <c r="JKB187" s="10"/>
      <c r="JKC187" s="10"/>
      <c r="JKJ187" s="3"/>
      <c r="JKL187" s="1"/>
      <c r="JKN187" s="16"/>
      <c r="JKO187" s="16"/>
      <c r="JKP187" s="16"/>
      <c r="JKQ187" s="16"/>
      <c r="JKR187" s="10"/>
      <c r="JKS187" s="10"/>
      <c r="JKZ187" s="3"/>
      <c r="JLB187" s="1"/>
      <c r="JLD187" s="16"/>
      <c r="JLE187" s="16"/>
      <c r="JLF187" s="16"/>
      <c r="JLG187" s="16"/>
      <c r="JLH187" s="10"/>
      <c r="JLI187" s="10"/>
      <c r="JLP187" s="3"/>
      <c r="JLR187" s="1"/>
      <c r="JLT187" s="16"/>
      <c r="JLU187" s="16"/>
      <c r="JLV187" s="16"/>
      <c r="JLW187" s="16"/>
      <c r="JLX187" s="10"/>
      <c r="JLY187" s="10"/>
      <c r="JMF187" s="3"/>
      <c r="JMH187" s="1"/>
      <c r="JMJ187" s="16"/>
      <c r="JMK187" s="16"/>
      <c r="JML187" s="16"/>
      <c r="JMM187" s="16"/>
      <c r="JMN187" s="10"/>
      <c r="JMO187" s="10"/>
      <c r="JMV187" s="3"/>
      <c r="JMX187" s="1"/>
      <c r="JMZ187" s="16"/>
      <c r="JNA187" s="16"/>
      <c r="JNB187" s="16"/>
      <c r="JNC187" s="16"/>
      <c r="JND187" s="10"/>
      <c r="JNE187" s="10"/>
      <c r="JNL187" s="3"/>
      <c r="JNN187" s="1"/>
      <c r="JNP187" s="16"/>
      <c r="JNQ187" s="16"/>
      <c r="JNR187" s="16"/>
      <c r="JNS187" s="16"/>
      <c r="JNT187" s="10"/>
      <c r="JNU187" s="10"/>
      <c r="JOB187" s="3"/>
      <c r="JOD187" s="1"/>
      <c r="JOF187" s="16"/>
      <c r="JOG187" s="16"/>
      <c r="JOH187" s="16"/>
      <c r="JOI187" s="16"/>
      <c r="JOJ187" s="10"/>
      <c r="JOK187" s="10"/>
      <c r="JOR187" s="3"/>
      <c r="JOT187" s="1"/>
      <c r="JOV187" s="16"/>
      <c r="JOW187" s="16"/>
      <c r="JOX187" s="16"/>
      <c r="JOY187" s="16"/>
      <c r="JOZ187" s="10"/>
      <c r="JPA187" s="10"/>
      <c r="JPH187" s="3"/>
      <c r="JPJ187" s="1"/>
      <c r="JPL187" s="16"/>
      <c r="JPM187" s="16"/>
      <c r="JPN187" s="16"/>
      <c r="JPO187" s="16"/>
      <c r="JPP187" s="10"/>
      <c r="JPQ187" s="10"/>
      <c r="JPX187" s="3"/>
      <c r="JPZ187" s="1"/>
      <c r="JQB187" s="16"/>
      <c r="JQC187" s="16"/>
      <c r="JQD187" s="16"/>
      <c r="JQE187" s="16"/>
      <c r="JQF187" s="10"/>
      <c r="JQG187" s="10"/>
      <c r="JQN187" s="3"/>
      <c r="JQP187" s="1"/>
      <c r="JQR187" s="16"/>
      <c r="JQS187" s="16"/>
      <c r="JQT187" s="16"/>
      <c r="JQU187" s="16"/>
      <c r="JQV187" s="10"/>
      <c r="JQW187" s="10"/>
      <c r="JRD187" s="3"/>
      <c r="JRF187" s="1"/>
      <c r="JRH187" s="16"/>
      <c r="JRI187" s="16"/>
      <c r="JRJ187" s="16"/>
      <c r="JRK187" s="16"/>
      <c r="JRL187" s="10"/>
      <c r="JRM187" s="10"/>
      <c r="JRT187" s="3"/>
      <c r="JRV187" s="1"/>
      <c r="JRX187" s="16"/>
      <c r="JRY187" s="16"/>
      <c r="JRZ187" s="16"/>
      <c r="JSA187" s="16"/>
      <c r="JSB187" s="10"/>
      <c r="JSC187" s="10"/>
      <c r="JSJ187" s="3"/>
      <c r="JSL187" s="1"/>
      <c r="JSN187" s="16"/>
      <c r="JSO187" s="16"/>
      <c r="JSP187" s="16"/>
      <c r="JSQ187" s="16"/>
      <c r="JSR187" s="10"/>
      <c r="JSS187" s="10"/>
      <c r="JSZ187" s="3"/>
      <c r="JTB187" s="1"/>
      <c r="JTD187" s="16"/>
      <c r="JTE187" s="16"/>
      <c r="JTF187" s="16"/>
      <c r="JTG187" s="16"/>
      <c r="JTH187" s="10"/>
      <c r="JTI187" s="10"/>
      <c r="JTP187" s="3"/>
      <c r="JTR187" s="1"/>
      <c r="JTT187" s="16"/>
      <c r="JTU187" s="16"/>
      <c r="JTV187" s="16"/>
      <c r="JTW187" s="16"/>
      <c r="JTX187" s="10"/>
      <c r="JTY187" s="10"/>
      <c r="JUF187" s="3"/>
      <c r="JUH187" s="1"/>
      <c r="JUJ187" s="16"/>
      <c r="JUK187" s="16"/>
      <c r="JUL187" s="16"/>
      <c r="JUM187" s="16"/>
      <c r="JUN187" s="10"/>
      <c r="JUO187" s="10"/>
      <c r="JUV187" s="3"/>
      <c r="JUX187" s="1"/>
      <c r="JUZ187" s="16"/>
      <c r="JVA187" s="16"/>
      <c r="JVB187" s="16"/>
      <c r="JVC187" s="16"/>
      <c r="JVD187" s="10"/>
      <c r="JVE187" s="10"/>
      <c r="JVL187" s="3"/>
      <c r="JVN187" s="1"/>
      <c r="JVP187" s="16"/>
      <c r="JVQ187" s="16"/>
      <c r="JVR187" s="16"/>
      <c r="JVS187" s="16"/>
      <c r="JVT187" s="10"/>
      <c r="JVU187" s="10"/>
      <c r="JWB187" s="3"/>
      <c r="JWD187" s="1"/>
      <c r="JWF187" s="16"/>
      <c r="JWG187" s="16"/>
      <c r="JWH187" s="16"/>
      <c r="JWI187" s="16"/>
      <c r="JWJ187" s="10"/>
      <c r="JWK187" s="10"/>
      <c r="JWR187" s="3"/>
      <c r="JWT187" s="1"/>
      <c r="JWV187" s="16"/>
      <c r="JWW187" s="16"/>
      <c r="JWX187" s="16"/>
      <c r="JWY187" s="16"/>
      <c r="JWZ187" s="10"/>
      <c r="JXA187" s="10"/>
      <c r="JXH187" s="3"/>
      <c r="JXJ187" s="1"/>
      <c r="JXL187" s="16"/>
      <c r="JXM187" s="16"/>
      <c r="JXN187" s="16"/>
      <c r="JXO187" s="16"/>
      <c r="JXP187" s="10"/>
      <c r="JXQ187" s="10"/>
      <c r="JXX187" s="3"/>
      <c r="JXZ187" s="1"/>
      <c r="JYB187" s="16"/>
      <c r="JYC187" s="16"/>
      <c r="JYD187" s="16"/>
      <c r="JYE187" s="16"/>
      <c r="JYF187" s="10"/>
      <c r="JYG187" s="10"/>
      <c r="JYN187" s="3"/>
      <c r="JYP187" s="1"/>
      <c r="JYR187" s="16"/>
      <c r="JYS187" s="16"/>
      <c r="JYT187" s="16"/>
      <c r="JYU187" s="16"/>
      <c r="JYV187" s="10"/>
      <c r="JYW187" s="10"/>
      <c r="JZD187" s="3"/>
      <c r="JZF187" s="1"/>
      <c r="JZH187" s="16"/>
      <c r="JZI187" s="16"/>
      <c r="JZJ187" s="16"/>
      <c r="JZK187" s="16"/>
      <c r="JZL187" s="10"/>
      <c r="JZM187" s="10"/>
      <c r="JZT187" s="3"/>
      <c r="JZV187" s="1"/>
      <c r="JZX187" s="16"/>
      <c r="JZY187" s="16"/>
      <c r="JZZ187" s="16"/>
      <c r="KAA187" s="16"/>
      <c r="KAB187" s="10"/>
      <c r="KAC187" s="10"/>
      <c r="KAJ187" s="3"/>
      <c r="KAL187" s="1"/>
      <c r="KAN187" s="16"/>
      <c r="KAO187" s="16"/>
      <c r="KAP187" s="16"/>
      <c r="KAQ187" s="16"/>
      <c r="KAR187" s="10"/>
      <c r="KAS187" s="10"/>
      <c r="KAZ187" s="3"/>
      <c r="KBB187" s="1"/>
      <c r="KBD187" s="16"/>
      <c r="KBE187" s="16"/>
      <c r="KBF187" s="16"/>
      <c r="KBG187" s="16"/>
      <c r="KBH187" s="10"/>
      <c r="KBI187" s="10"/>
      <c r="KBP187" s="3"/>
      <c r="KBR187" s="1"/>
      <c r="KBT187" s="16"/>
      <c r="KBU187" s="16"/>
      <c r="KBV187" s="16"/>
      <c r="KBW187" s="16"/>
      <c r="KBX187" s="10"/>
      <c r="KBY187" s="10"/>
      <c r="KCF187" s="3"/>
      <c r="KCH187" s="1"/>
      <c r="KCJ187" s="16"/>
      <c r="KCK187" s="16"/>
      <c r="KCL187" s="16"/>
      <c r="KCM187" s="16"/>
      <c r="KCN187" s="10"/>
      <c r="KCO187" s="10"/>
      <c r="KCV187" s="3"/>
      <c r="KCX187" s="1"/>
      <c r="KCZ187" s="16"/>
      <c r="KDA187" s="16"/>
      <c r="KDB187" s="16"/>
      <c r="KDC187" s="16"/>
      <c r="KDD187" s="10"/>
      <c r="KDE187" s="10"/>
      <c r="KDL187" s="3"/>
      <c r="KDN187" s="1"/>
      <c r="KDP187" s="16"/>
      <c r="KDQ187" s="16"/>
      <c r="KDR187" s="16"/>
      <c r="KDS187" s="16"/>
      <c r="KDT187" s="10"/>
      <c r="KDU187" s="10"/>
      <c r="KEB187" s="3"/>
      <c r="KED187" s="1"/>
      <c r="KEF187" s="16"/>
      <c r="KEG187" s="16"/>
      <c r="KEH187" s="16"/>
      <c r="KEI187" s="16"/>
      <c r="KEJ187" s="10"/>
      <c r="KEK187" s="10"/>
      <c r="KER187" s="3"/>
      <c r="KET187" s="1"/>
      <c r="KEV187" s="16"/>
      <c r="KEW187" s="16"/>
      <c r="KEX187" s="16"/>
      <c r="KEY187" s="16"/>
      <c r="KEZ187" s="10"/>
      <c r="KFA187" s="10"/>
      <c r="KFH187" s="3"/>
      <c r="KFJ187" s="1"/>
      <c r="KFL187" s="16"/>
      <c r="KFM187" s="16"/>
      <c r="KFN187" s="16"/>
      <c r="KFO187" s="16"/>
      <c r="KFP187" s="10"/>
      <c r="KFQ187" s="10"/>
      <c r="KFX187" s="3"/>
      <c r="KFZ187" s="1"/>
      <c r="KGB187" s="16"/>
      <c r="KGC187" s="16"/>
      <c r="KGD187" s="16"/>
      <c r="KGE187" s="16"/>
      <c r="KGF187" s="10"/>
      <c r="KGG187" s="10"/>
      <c r="KGN187" s="3"/>
      <c r="KGP187" s="1"/>
      <c r="KGR187" s="16"/>
      <c r="KGS187" s="16"/>
      <c r="KGT187" s="16"/>
      <c r="KGU187" s="16"/>
      <c r="KGV187" s="10"/>
      <c r="KGW187" s="10"/>
      <c r="KHD187" s="3"/>
      <c r="KHF187" s="1"/>
      <c r="KHH187" s="16"/>
      <c r="KHI187" s="16"/>
      <c r="KHJ187" s="16"/>
      <c r="KHK187" s="16"/>
      <c r="KHL187" s="10"/>
      <c r="KHM187" s="10"/>
      <c r="KHT187" s="3"/>
      <c r="KHV187" s="1"/>
      <c r="KHX187" s="16"/>
      <c r="KHY187" s="16"/>
      <c r="KHZ187" s="16"/>
      <c r="KIA187" s="16"/>
      <c r="KIB187" s="10"/>
      <c r="KIC187" s="10"/>
      <c r="KIJ187" s="3"/>
      <c r="KIL187" s="1"/>
      <c r="KIN187" s="16"/>
      <c r="KIO187" s="16"/>
      <c r="KIP187" s="16"/>
      <c r="KIQ187" s="16"/>
      <c r="KIR187" s="10"/>
      <c r="KIS187" s="10"/>
      <c r="KIZ187" s="3"/>
      <c r="KJB187" s="1"/>
      <c r="KJD187" s="16"/>
      <c r="KJE187" s="16"/>
      <c r="KJF187" s="16"/>
      <c r="KJG187" s="16"/>
      <c r="KJH187" s="10"/>
      <c r="KJI187" s="10"/>
      <c r="KJP187" s="3"/>
      <c r="KJR187" s="1"/>
      <c r="KJT187" s="16"/>
      <c r="KJU187" s="16"/>
      <c r="KJV187" s="16"/>
      <c r="KJW187" s="16"/>
      <c r="KJX187" s="10"/>
      <c r="KJY187" s="10"/>
      <c r="KKF187" s="3"/>
      <c r="KKH187" s="1"/>
      <c r="KKJ187" s="16"/>
      <c r="KKK187" s="16"/>
      <c r="KKL187" s="16"/>
      <c r="KKM187" s="16"/>
      <c r="KKN187" s="10"/>
      <c r="KKO187" s="10"/>
      <c r="KKV187" s="3"/>
      <c r="KKX187" s="1"/>
      <c r="KKZ187" s="16"/>
      <c r="KLA187" s="16"/>
      <c r="KLB187" s="16"/>
      <c r="KLC187" s="16"/>
      <c r="KLD187" s="10"/>
      <c r="KLE187" s="10"/>
      <c r="KLL187" s="3"/>
      <c r="KLN187" s="1"/>
      <c r="KLP187" s="16"/>
      <c r="KLQ187" s="16"/>
      <c r="KLR187" s="16"/>
      <c r="KLS187" s="16"/>
      <c r="KLT187" s="10"/>
      <c r="KLU187" s="10"/>
      <c r="KMB187" s="3"/>
      <c r="KMD187" s="1"/>
      <c r="KMF187" s="16"/>
      <c r="KMG187" s="16"/>
      <c r="KMH187" s="16"/>
      <c r="KMI187" s="16"/>
      <c r="KMJ187" s="10"/>
      <c r="KMK187" s="10"/>
      <c r="KMR187" s="3"/>
      <c r="KMT187" s="1"/>
      <c r="KMV187" s="16"/>
      <c r="KMW187" s="16"/>
      <c r="KMX187" s="16"/>
      <c r="KMY187" s="16"/>
      <c r="KMZ187" s="10"/>
      <c r="KNA187" s="10"/>
      <c r="KNH187" s="3"/>
      <c r="KNJ187" s="1"/>
      <c r="KNL187" s="16"/>
      <c r="KNM187" s="16"/>
      <c r="KNN187" s="16"/>
      <c r="KNO187" s="16"/>
      <c r="KNP187" s="10"/>
      <c r="KNQ187" s="10"/>
      <c r="KNX187" s="3"/>
      <c r="KNZ187" s="1"/>
      <c r="KOB187" s="16"/>
      <c r="KOC187" s="16"/>
      <c r="KOD187" s="16"/>
      <c r="KOE187" s="16"/>
      <c r="KOF187" s="10"/>
      <c r="KOG187" s="10"/>
      <c r="KON187" s="3"/>
      <c r="KOP187" s="1"/>
      <c r="KOR187" s="16"/>
      <c r="KOS187" s="16"/>
      <c r="KOT187" s="16"/>
      <c r="KOU187" s="16"/>
      <c r="KOV187" s="10"/>
      <c r="KOW187" s="10"/>
      <c r="KPD187" s="3"/>
      <c r="KPF187" s="1"/>
      <c r="KPH187" s="16"/>
      <c r="KPI187" s="16"/>
      <c r="KPJ187" s="16"/>
      <c r="KPK187" s="16"/>
      <c r="KPL187" s="10"/>
      <c r="KPM187" s="10"/>
      <c r="KPT187" s="3"/>
      <c r="KPV187" s="1"/>
      <c r="KPX187" s="16"/>
      <c r="KPY187" s="16"/>
      <c r="KPZ187" s="16"/>
      <c r="KQA187" s="16"/>
      <c r="KQB187" s="10"/>
      <c r="KQC187" s="10"/>
      <c r="KQJ187" s="3"/>
      <c r="KQL187" s="1"/>
      <c r="KQN187" s="16"/>
      <c r="KQO187" s="16"/>
      <c r="KQP187" s="16"/>
      <c r="KQQ187" s="16"/>
      <c r="KQR187" s="10"/>
      <c r="KQS187" s="10"/>
      <c r="KQZ187" s="3"/>
      <c r="KRB187" s="1"/>
      <c r="KRD187" s="16"/>
      <c r="KRE187" s="16"/>
      <c r="KRF187" s="16"/>
      <c r="KRG187" s="16"/>
      <c r="KRH187" s="10"/>
      <c r="KRI187" s="10"/>
      <c r="KRP187" s="3"/>
      <c r="KRR187" s="1"/>
      <c r="KRT187" s="16"/>
      <c r="KRU187" s="16"/>
      <c r="KRV187" s="16"/>
      <c r="KRW187" s="16"/>
      <c r="KRX187" s="10"/>
      <c r="KRY187" s="10"/>
      <c r="KSF187" s="3"/>
      <c r="KSH187" s="1"/>
      <c r="KSJ187" s="16"/>
      <c r="KSK187" s="16"/>
      <c r="KSL187" s="16"/>
      <c r="KSM187" s="16"/>
      <c r="KSN187" s="10"/>
      <c r="KSO187" s="10"/>
      <c r="KSV187" s="3"/>
      <c r="KSX187" s="1"/>
      <c r="KSZ187" s="16"/>
      <c r="KTA187" s="16"/>
      <c r="KTB187" s="16"/>
      <c r="KTC187" s="16"/>
      <c r="KTD187" s="10"/>
      <c r="KTE187" s="10"/>
      <c r="KTL187" s="3"/>
      <c r="KTN187" s="1"/>
      <c r="KTP187" s="16"/>
      <c r="KTQ187" s="16"/>
      <c r="KTR187" s="16"/>
      <c r="KTS187" s="16"/>
      <c r="KTT187" s="10"/>
      <c r="KTU187" s="10"/>
      <c r="KUB187" s="3"/>
      <c r="KUD187" s="1"/>
      <c r="KUF187" s="16"/>
      <c r="KUG187" s="16"/>
      <c r="KUH187" s="16"/>
      <c r="KUI187" s="16"/>
      <c r="KUJ187" s="10"/>
      <c r="KUK187" s="10"/>
      <c r="KUR187" s="3"/>
      <c r="KUT187" s="1"/>
      <c r="KUV187" s="16"/>
      <c r="KUW187" s="16"/>
      <c r="KUX187" s="16"/>
      <c r="KUY187" s="16"/>
      <c r="KUZ187" s="10"/>
      <c r="KVA187" s="10"/>
      <c r="KVH187" s="3"/>
      <c r="KVJ187" s="1"/>
      <c r="KVL187" s="16"/>
      <c r="KVM187" s="16"/>
      <c r="KVN187" s="16"/>
      <c r="KVO187" s="16"/>
      <c r="KVP187" s="10"/>
      <c r="KVQ187" s="10"/>
      <c r="KVX187" s="3"/>
      <c r="KVZ187" s="1"/>
      <c r="KWB187" s="16"/>
      <c r="KWC187" s="16"/>
      <c r="KWD187" s="16"/>
      <c r="KWE187" s="16"/>
      <c r="KWF187" s="10"/>
      <c r="KWG187" s="10"/>
      <c r="KWN187" s="3"/>
      <c r="KWP187" s="1"/>
      <c r="KWR187" s="16"/>
      <c r="KWS187" s="16"/>
      <c r="KWT187" s="16"/>
      <c r="KWU187" s="16"/>
      <c r="KWV187" s="10"/>
      <c r="KWW187" s="10"/>
      <c r="KXD187" s="3"/>
      <c r="KXF187" s="1"/>
      <c r="KXH187" s="16"/>
      <c r="KXI187" s="16"/>
      <c r="KXJ187" s="16"/>
      <c r="KXK187" s="16"/>
      <c r="KXL187" s="10"/>
      <c r="KXM187" s="10"/>
      <c r="KXT187" s="3"/>
      <c r="KXV187" s="1"/>
      <c r="KXX187" s="16"/>
      <c r="KXY187" s="16"/>
      <c r="KXZ187" s="16"/>
      <c r="KYA187" s="16"/>
      <c r="KYB187" s="10"/>
      <c r="KYC187" s="10"/>
      <c r="KYJ187" s="3"/>
      <c r="KYL187" s="1"/>
      <c r="KYN187" s="16"/>
      <c r="KYO187" s="16"/>
      <c r="KYP187" s="16"/>
      <c r="KYQ187" s="16"/>
      <c r="KYR187" s="10"/>
      <c r="KYS187" s="10"/>
      <c r="KYZ187" s="3"/>
      <c r="KZB187" s="1"/>
      <c r="KZD187" s="16"/>
      <c r="KZE187" s="16"/>
      <c r="KZF187" s="16"/>
      <c r="KZG187" s="16"/>
      <c r="KZH187" s="10"/>
      <c r="KZI187" s="10"/>
      <c r="KZP187" s="3"/>
      <c r="KZR187" s="1"/>
      <c r="KZT187" s="16"/>
      <c r="KZU187" s="16"/>
      <c r="KZV187" s="16"/>
      <c r="KZW187" s="16"/>
      <c r="KZX187" s="10"/>
      <c r="KZY187" s="10"/>
      <c r="LAF187" s="3"/>
      <c r="LAH187" s="1"/>
      <c r="LAJ187" s="16"/>
      <c r="LAK187" s="16"/>
      <c r="LAL187" s="16"/>
      <c r="LAM187" s="16"/>
      <c r="LAN187" s="10"/>
      <c r="LAO187" s="10"/>
      <c r="LAV187" s="3"/>
      <c r="LAX187" s="1"/>
      <c r="LAZ187" s="16"/>
      <c r="LBA187" s="16"/>
      <c r="LBB187" s="16"/>
      <c r="LBC187" s="16"/>
      <c r="LBD187" s="10"/>
      <c r="LBE187" s="10"/>
      <c r="LBL187" s="3"/>
      <c r="LBN187" s="1"/>
      <c r="LBP187" s="16"/>
      <c r="LBQ187" s="16"/>
      <c r="LBR187" s="16"/>
      <c r="LBS187" s="16"/>
      <c r="LBT187" s="10"/>
      <c r="LBU187" s="10"/>
      <c r="LCB187" s="3"/>
      <c r="LCD187" s="1"/>
      <c r="LCF187" s="16"/>
      <c r="LCG187" s="16"/>
      <c r="LCH187" s="16"/>
      <c r="LCI187" s="16"/>
      <c r="LCJ187" s="10"/>
      <c r="LCK187" s="10"/>
      <c r="LCR187" s="3"/>
      <c r="LCT187" s="1"/>
      <c r="LCV187" s="16"/>
      <c r="LCW187" s="16"/>
      <c r="LCX187" s="16"/>
      <c r="LCY187" s="16"/>
      <c r="LCZ187" s="10"/>
      <c r="LDA187" s="10"/>
      <c r="LDH187" s="3"/>
      <c r="LDJ187" s="1"/>
      <c r="LDL187" s="16"/>
      <c r="LDM187" s="16"/>
      <c r="LDN187" s="16"/>
      <c r="LDO187" s="16"/>
      <c r="LDP187" s="10"/>
      <c r="LDQ187" s="10"/>
      <c r="LDX187" s="3"/>
      <c r="LDZ187" s="1"/>
      <c r="LEB187" s="16"/>
      <c r="LEC187" s="16"/>
      <c r="LED187" s="16"/>
      <c r="LEE187" s="16"/>
      <c r="LEF187" s="10"/>
      <c r="LEG187" s="10"/>
      <c r="LEN187" s="3"/>
      <c r="LEP187" s="1"/>
      <c r="LER187" s="16"/>
      <c r="LES187" s="16"/>
      <c r="LET187" s="16"/>
      <c r="LEU187" s="16"/>
      <c r="LEV187" s="10"/>
      <c r="LEW187" s="10"/>
      <c r="LFD187" s="3"/>
      <c r="LFF187" s="1"/>
      <c r="LFH187" s="16"/>
      <c r="LFI187" s="16"/>
      <c r="LFJ187" s="16"/>
      <c r="LFK187" s="16"/>
      <c r="LFL187" s="10"/>
      <c r="LFM187" s="10"/>
      <c r="LFT187" s="3"/>
      <c r="LFV187" s="1"/>
      <c r="LFX187" s="16"/>
      <c r="LFY187" s="16"/>
      <c r="LFZ187" s="16"/>
      <c r="LGA187" s="16"/>
      <c r="LGB187" s="10"/>
      <c r="LGC187" s="10"/>
      <c r="LGJ187" s="3"/>
      <c r="LGL187" s="1"/>
      <c r="LGN187" s="16"/>
      <c r="LGO187" s="16"/>
      <c r="LGP187" s="16"/>
      <c r="LGQ187" s="16"/>
      <c r="LGR187" s="10"/>
      <c r="LGS187" s="10"/>
      <c r="LGZ187" s="3"/>
      <c r="LHB187" s="1"/>
      <c r="LHD187" s="16"/>
      <c r="LHE187" s="16"/>
      <c r="LHF187" s="16"/>
      <c r="LHG187" s="16"/>
      <c r="LHH187" s="10"/>
      <c r="LHI187" s="10"/>
      <c r="LHP187" s="3"/>
      <c r="LHR187" s="1"/>
      <c r="LHT187" s="16"/>
      <c r="LHU187" s="16"/>
      <c r="LHV187" s="16"/>
      <c r="LHW187" s="16"/>
      <c r="LHX187" s="10"/>
      <c r="LHY187" s="10"/>
      <c r="LIF187" s="3"/>
      <c r="LIH187" s="1"/>
      <c r="LIJ187" s="16"/>
      <c r="LIK187" s="16"/>
      <c r="LIL187" s="16"/>
      <c r="LIM187" s="16"/>
      <c r="LIN187" s="10"/>
      <c r="LIO187" s="10"/>
      <c r="LIV187" s="3"/>
      <c r="LIX187" s="1"/>
      <c r="LIZ187" s="16"/>
      <c r="LJA187" s="16"/>
      <c r="LJB187" s="16"/>
      <c r="LJC187" s="16"/>
      <c r="LJD187" s="10"/>
      <c r="LJE187" s="10"/>
      <c r="LJL187" s="3"/>
      <c r="LJN187" s="1"/>
      <c r="LJP187" s="16"/>
      <c r="LJQ187" s="16"/>
      <c r="LJR187" s="16"/>
      <c r="LJS187" s="16"/>
      <c r="LJT187" s="10"/>
      <c r="LJU187" s="10"/>
      <c r="LKB187" s="3"/>
      <c r="LKD187" s="1"/>
      <c r="LKF187" s="16"/>
      <c r="LKG187" s="16"/>
      <c r="LKH187" s="16"/>
      <c r="LKI187" s="16"/>
      <c r="LKJ187" s="10"/>
      <c r="LKK187" s="10"/>
      <c r="LKR187" s="3"/>
      <c r="LKT187" s="1"/>
      <c r="LKV187" s="16"/>
      <c r="LKW187" s="16"/>
      <c r="LKX187" s="16"/>
      <c r="LKY187" s="16"/>
      <c r="LKZ187" s="10"/>
      <c r="LLA187" s="10"/>
      <c r="LLH187" s="3"/>
      <c r="LLJ187" s="1"/>
      <c r="LLL187" s="16"/>
      <c r="LLM187" s="16"/>
      <c r="LLN187" s="16"/>
      <c r="LLO187" s="16"/>
      <c r="LLP187" s="10"/>
      <c r="LLQ187" s="10"/>
      <c r="LLX187" s="3"/>
      <c r="LLZ187" s="1"/>
      <c r="LMB187" s="16"/>
      <c r="LMC187" s="16"/>
      <c r="LMD187" s="16"/>
      <c r="LME187" s="16"/>
      <c r="LMF187" s="10"/>
      <c r="LMG187" s="10"/>
      <c r="LMN187" s="3"/>
      <c r="LMP187" s="1"/>
      <c r="LMR187" s="16"/>
      <c r="LMS187" s="16"/>
      <c r="LMT187" s="16"/>
      <c r="LMU187" s="16"/>
      <c r="LMV187" s="10"/>
      <c r="LMW187" s="10"/>
      <c r="LND187" s="3"/>
      <c r="LNF187" s="1"/>
      <c r="LNH187" s="16"/>
      <c r="LNI187" s="16"/>
      <c r="LNJ187" s="16"/>
      <c r="LNK187" s="16"/>
      <c r="LNL187" s="10"/>
      <c r="LNM187" s="10"/>
      <c r="LNT187" s="3"/>
      <c r="LNV187" s="1"/>
      <c r="LNX187" s="16"/>
      <c r="LNY187" s="16"/>
      <c r="LNZ187" s="16"/>
      <c r="LOA187" s="16"/>
      <c r="LOB187" s="10"/>
      <c r="LOC187" s="10"/>
      <c r="LOJ187" s="3"/>
      <c r="LOL187" s="1"/>
      <c r="LON187" s="16"/>
      <c r="LOO187" s="16"/>
      <c r="LOP187" s="16"/>
      <c r="LOQ187" s="16"/>
      <c r="LOR187" s="10"/>
      <c r="LOS187" s="10"/>
      <c r="LOZ187" s="3"/>
      <c r="LPB187" s="1"/>
      <c r="LPD187" s="16"/>
      <c r="LPE187" s="16"/>
      <c r="LPF187" s="16"/>
      <c r="LPG187" s="16"/>
      <c r="LPH187" s="10"/>
      <c r="LPI187" s="10"/>
      <c r="LPP187" s="3"/>
      <c r="LPR187" s="1"/>
      <c r="LPT187" s="16"/>
      <c r="LPU187" s="16"/>
      <c r="LPV187" s="16"/>
      <c r="LPW187" s="16"/>
      <c r="LPX187" s="10"/>
      <c r="LPY187" s="10"/>
      <c r="LQF187" s="3"/>
      <c r="LQH187" s="1"/>
      <c r="LQJ187" s="16"/>
      <c r="LQK187" s="16"/>
      <c r="LQL187" s="16"/>
      <c r="LQM187" s="16"/>
      <c r="LQN187" s="10"/>
      <c r="LQO187" s="10"/>
      <c r="LQV187" s="3"/>
      <c r="LQX187" s="1"/>
      <c r="LQZ187" s="16"/>
      <c r="LRA187" s="16"/>
      <c r="LRB187" s="16"/>
      <c r="LRC187" s="16"/>
      <c r="LRD187" s="10"/>
      <c r="LRE187" s="10"/>
      <c r="LRL187" s="3"/>
      <c r="LRN187" s="1"/>
      <c r="LRP187" s="16"/>
      <c r="LRQ187" s="16"/>
      <c r="LRR187" s="16"/>
      <c r="LRS187" s="16"/>
      <c r="LRT187" s="10"/>
      <c r="LRU187" s="10"/>
      <c r="LSB187" s="3"/>
      <c r="LSD187" s="1"/>
      <c r="LSF187" s="16"/>
      <c r="LSG187" s="16"/>
      <c r="LSH187" s="16"/>
      <c r="LSI187" s="16"/>
      <c r="LSJ187" s="10"/>
      <c r="LSK187" s="10"/>
      <c r="LSR187" s="3"/>
      <c r="LST187" s="1"/>
      <c r="LSV187" s="16"/>
      <c r="LSW187" s="16"/>
      <c r="LSX187" s="16"/>
      <c r="LSY187" s="16"/>
      <c r="LSZ187" s="10"/>
      <c r="LTA187" s="10"/>
      <c r="LTH187" s="3"/>
      <c r="LTJ187" s="1"/>
      <c r="LTL187" s="16"/>
      <c r="LTM187" s="16"/>
      <c r="LTN187" s="16"/>
      <c r="LTO187" s="16"/>
      <c r="LTP187" s="10"/>
      <c r="LTQ187" s="10"/>
      <c r="LTX187" s="3"/>
      <c r="LTZ187" s="1"/>
      <c r="LUB187" s="16"/>
      <c r="LUC187" s="16"/>
      <c r="LUD187" s="16"/>
      <c r="LUE187" s="16"/>
      <c r="LUF187" s="10"/>
      <c r="LUG187" s="10"/>
      <c r="LUN187" s="3"/>
      <c r="LUP187" s="1"/>
      <c r="LUR187" s="16"/>
      <c r="LUS187" s="16"/>
      <c r="LUT187" s="16"/>
      <c r="LUU187" s="16"/>
      <c r="LUV187" s="10"/>
      <c r="LUW187" s="10"/>
      <c r="LVD187" s="3"/>
      <c r="LVF187" s="1"/>
      <c r="LVH187" s="16"/>
      <c r="LVI187" s="16"/>
      <c r="LVJ187" s="16"/>
      <c r="LVK187" s="16"/>
      <c r="LVL187" s="10"/>
      <c r="LVM187" s="10"/>
      <c r="LVT187" s="3"/>
      <c r="LVV187" s="1"/>
      <c r="LVX187" s="16"/>
      <c r="LVY187" s="16"/>
      <c r="LVZ187" s="16"/>
      <c r="LWA187" s="16"/>
      <c r="LWB187" s="10"/>
      <c r="LWC187" s="10"/>
      <c r="LWJ187" s="3"/>
      <c r="LWL187" s="1"/>
      <c r="LWN187" s="16"/>
      <c r="LWO187" s="16"/>
      <c r="LWP187" s="16"/>
      <c r="LWQ187" s="16"/>
      <c r="LWR187" s="10"/>
      <c r="LWS187" s="10"/>
      <c r="LWZ187" s="3"/>
      <c r="LXB187" s="1"/>
      <c r="LXD187" s="16"/>
      <c r="LXE187" s="16"/>
      <c r="LXF187" s="16"/>
      <c r="LXG187" s="16"/>
      <c r="LXH187" s="10"/>
      <c r="LXI187" s="10"/>
      <c r="LXP187" s="3"/>
      <c r="LXR187" s="1"/>
      <c r="LXT187" s="16"/>
      <c r="LXU187" s="16"/>
      <c r="LXV187" s="16"/>
      <c r="LXW187" s="16"/>
      <c r="LXX187" s="10"/>
      <c r="LXY187" s="10"/>
      <c r="LYF187" s="3"/>
      <c r="LYH187" s="1"/>
      <c r="LYJ187" s="16"/>
      <c r="LYK187" s="16"/>
      <c r="LYL187" s="16"/>
      <c r="LYM187" s="16"/>
      <c r="LYN187" s="10"/>
      <c r="LYO187" s="10"/>
      <c r="LYV187" s="3"/>
      <c r="LYX187" s="1"/>
      <c r="LYZ187" s="16"/>
      <c r="LZA187" s="16"/>
      <c r="LZB187" s="16"/>
      <c r="LZC187" s="16"/>
      <c r="LZD187" s="10"/>
      <c r="LZE187" s="10"/>
      <c r="LZL187" s="3"/>
      <c r="LZN187" s="1"/>
      <c r="LZP187" s="16"/>
      <c r="LZQ187" s="16"/>
      <c r="LZR187" s="16"/>
      <c r="LZS187" s="16"/>
      <c r="LZT187" s="10"/>
      <c r="LZU187" s="10"/>
      <c r="MAB187" s="3"/>
      <c r="MAD187" s="1"/>
      <c r="MAF187" s="16"/>
      <c r="MAG187" s="16"/>
      <c r="MAH187" s="16"/>
      <c r="MAI187" s="16"/>
      <c r="MAJ187" s="10"/>
      <c r="MAK187" s="10"/>
      <c r="MAR187" s="3"/>
      <c r="MAT187" s="1"/>
      <c r="MAV187" s="16"/>
      <c r="MAW187" s="16"/>
      <c r="MAX187" s="16"/>
      <c r="MAY187" s="16"/>
      <c r="MAZ187" s="10"/>
      <c r="MBA187" s="10"/>
      <c r="MBH187" s="3"/>
      <c r="MBJ187" s="1"/>
      <c r="MBL187" s="16"/>
      <c r="MBM187" s="16"/>
      <c r="MBN187" s="16"/>
      <c r="MBO187" s="16"/>
      <c r="MBP187" s="10"/>
      <c r="MBQ187" s="10"/>
      <c r="MBX187" s="3"/>
      <c r="MBZ187" s="1"/>
      <c r="MCB187" s="16"/>
      <c r="MCC187" s="16"/>
      <c r="MCD187" s="16"/>
      <c r="MCE187" s="16"/>
      <c r="MCF187" s="10"/>
      <c r="MCG187" s="10"/>
      <c r="MCN187" s="3"/>
      <c r="MCP187" s="1"/>
      <c r="MCR187" s="16"/>
      <c r="MCS187" s="16"/>
      <c r="MCT187" s="16"/>
      <c r="MCU187" s="16"/>
      <c r="MCV187" s="10"/>
      <c r="MCW187" s="10"/>
      <c r="MDD187" s="3"/>
      <c r="MDF187" s="1"/>
      <c r="MDH187" s="16"/>
      <c r="MDI187" s="16"/>
      <c r="MDJ187" s="16"/>
      <c r="MDK187" s="16"/>
      <c r="MDL187" s="10"/>
      <c r="MDM187" s="10"/>
      <c r="MDT187" s="3"/>
      <c r="MDV187" s="1"/>
      <c r="MDX187" s="16"/>
      <c r="MDY187" s="16"/>
      <c r="MDZ187" s="16"/>
      <c r="MEA187" s="16"/>
      <c r="MEB187" s="10"/>
      <c r="MEC187" s="10"/>
      <c r="MEJ187" s="3"/>
      <c r="MEL187" s="1"/>
      <c r="MEN187" s="16"/>
      <c r="MEO187" s="16"/>
      <c r="MEP187" s="16"/>
      <c r="MEQ187" s="16"/>
      <c r="MER187" s="10"/>
      <c r="MES187" s="10"/>
      <c r="MEZ187" s="3"/>
      <c r="MFB187" s="1"/>
      <c r="MFD187" s="16"/>
      <c r="MFE187" s="16"/>
      <c r="MFF187" s="16"/>
      <c r="MFG187" s="16"/>
      <c r="MFH187" s="10"/>
      <c r="MFI187" s="10"/>
      <c r="MFP187" s="3"/>
      <c r="MFR187" s="1"/>
      <c r="MFT187" s="16"/>
      <c r="MFU187" s="16"/>
      <c r="MFV187" s="16"/>
      <c r="MFW187" s="16"/>
      <c r="MFX187" s="10"/>
      <c r="MFY187" s="10"/>
      <c r="MGF187" s="3"/>
      <c r="MGH187" s="1"/>
      <c r="MGJ187" s="16"/>
      <c r="MGK187" s="16"/>
      <c r="MGL187" s="16"/>
      <c r="MGM187" s="16"/>
      <c r="MGN187" s="10"/>
      <c r="MGO187" s="10"/>
      <c r="MGV187" s="3"/>
      <c r="MGX187" s="1"/>
      <c r="MGZ187" s="16"/>
      <c r="MHA187" s="16"/>
      <c r="MHB187" s="16"/>
      <c r="MHC187" s="16"/>
      <c r="MHD187" s="10"/>
      <c r="MHE187" s="10"/>
      <c r="MHL187" s="3"/>
      <c r="MHN187" s="1"/>
      <c r="MHP187" s="16"/>
      <c r="MHQ187" s="16"/>
      <c r="MHR187" s="16"/>
      <c r="MHS187" s="16"/>
      <c r="MHT187" s="10"/>
      <c r="MHU187" s="10"/>
      <c r="MIB187" s="3"/>
      <c r="MID187" s="1"/>
      <c r="MIF187" s="16"/>
      <c r="MIG187" s="16"/>
      <c r="MIH187" s="16"/>
      <c r="MII187" s="16"/>
      <c r="MIJ187" s="10"/>
      <c r="MIK187" s="10"/>
      <c r="MIR187" s="3"/>
      <c r="MIT187" s="1"/>
      <c r="MIV187" s="16"/>
      <c r="MIW187" s="16"/>
      <c r="MIX187" s="16"/>
      <c r="MIY187" s="16"/>
      <c r="MIZ187" s="10"/>
      <c r="MJA187" s="10"/>
      <c r="MJH187" s="3"/>
      <c r="MJJ187" s="1"/>
      <c r="MJL187" s="16"/>
      <c r="MJM187" s="16"/>
      <c r="MJN187" s="16"/>
      <c r="MJO187" s="16"/>
      <c r="MJP187" s="10"/>
      <c r="MJQ187" s="10"/>
      <c r="MJX187" s="3"/>
      <c r="MJZ187" s="1"/>
      <c r="MKB187" s="16"/>
      <c r="MKC187" s="16"/>
      <c r="MKD187" s="16"/>
      <c r="MKE187" s="16"/>
      <c r="MKF187" s="10"/>
      <c r="MKG187" s="10"/>
      <c r="MKN187" s="3"/>
      <c r="MKP187" s="1"/>
      <c r="MKR187" s="16"/>
      <c r="MKS187" s="16"/>
      <c r="MKT187" s="16"/>
      <c r="MKU187" s="16"/>
      <c r="MKV187" s="10"/>
      <c r="MKW187" s="10"/>
      <c r="MLD187" s="3"/>
      <c r="MLF187" s="1"/>
      <c r="MLH187" s="16"/>
      <c r="MLI187" s="16"/>
      <c r="MLJ187" s="16"/>
      <c r="MLK187" s="16"/>
      <c r="MLL187" s="10"/>
      <c r="MLM187" s="10"/>
      <c r="MLT187" s="3"/>
      <c r="MLV187" s="1"/>
      <c r="MLX187" s="16"/>
      <c r="MLY187" s="16"/>
      <c r="MLZ187" s="16"/>
      <c r="MMA187" s="16"/>
      <c r="MMB187" s="10"/>
      <c r="MMC187" s="10"/>
      <c r="MMJ187" s="3"/>
      <c r="MML187" s="1"/>
      <c r="MMN187" s="16"/>
      <c r="MMO187" s="16"/>
      <c r="MMP187" s="16"/>
      <c r="MMQ187" s="16"/>
      <c r="MMR187" s="10"/>
      <c r="MMS187" s="10"/>
      <c r="MMZ187" s="3"/>
      <c r="MNB187" s="1"/>
      <c r="MND187" s="16"/>
      <c r="MNE187" s="16"/>
      <c r="MNF187" s="16"/>
      <c r="MNG187" s="16"/>
      <c r="MNH187" s="10"/>
      <c r="MNI187" s="10"/>
      <c r="MNP187" s="3"/>
      <c r="MNR187" s="1"/>
      <c r="MNT187" s="16"/>
      <c r="MNU187" s="16"/>
      <c r="MNV187" s="16"/>
      <c r="MNW187" s="16"/>
      <c r="MNX187" s="10"/>
      <c r="MNY187" s="10"/>
      <c r="MOF187" s="3"/>
      <c r="MOH187" s="1"/>
      <c r="MOJ187" s="16"/>
      <c r="MOK187" s="16"/>
      <c r="MOL187" s="16"/>
      <c r="MOM187" s="16"/>
      <c r="MON187" s="10"/>
      <c r="MOO187" s="10"/>
      <c r="MOV187" s="3"/>
      <c r="MOX187" s="1"/>
      <c r="MOZ187" s="16"/>
      <c r="MPA187" s="16"/>
      <c r="MPB187" s="16"/>
      <c r="MPC187" s="16"/>
      <c r="MPD187" s="10"/>
      <c r="MPE187" s="10"/>
      <c r="MPL187" s="3"/>
      <c r="MPN187" s="1"/>
      <c r="MPP187" s="16"/>
      <c r="MPQ187" s="16"/>
      <c r="MPR187" s="16"/>
      <c r="MPS187" s="16"/>
      <c r="MPT187" s="10"/>
      <c r="MPU187" s="10"/>
      <c r="MQB187" s="3"/>
      <c r="MQD187" s="1"/>
      <c r="MQF187" s="16"/>
      <c r="MQG187" s="16"/>
      <c r="MQH187" s="16"/>
      <c r="MQI187" s="16"/>
      <c r="MQJ187" s="10"/>
      <c r="MQK187" s="10"/>
      <c r="MQR187" s="3"/>
      <c r="MQT187" s="1"/>
      <c r="MQV187" s="16"/>
      <c r="MQW187" s="16"/>
      <c r="MQX187" s="16"/>
      <c r="MQY187" s="16"/>
      <c r="MQZ187" s="10"/>
      <c r="MRA187" s="10"/>
      <c r="MRH187" s="3"/>
      <c r="MRJ187" s="1"/>
      <c r="MRL187" s="16"/>
      <c r="MRM187" s="16"/>
      <c r="MRN187" s="16"/>
      <c r="MRO187" s="16"/>
      <c r="MRP187" s="10"/>
      <c r="MRQ187" s="10"/>
      <c r="MRX187" s="3"/>
      <c r="MRZ187" s="1"/>
      <c r="MSB187" s="16"/>
      <c r="MSC187" s="16"/>
      <c r="MSD187" s="16"/>
      <c r="MSE187" s="16"/>
      <c r="MSF187" s="10"/>
      <c r="MSG187" s="10"/>
      <c r="MSN187" s="3"/>
      <c r="MSP187" s="1"/>
      <c r="MSR187" s="16"/>
      <c r="MSS187" s="16"/>
      <c r="MST187" s="16"/>
      <c r="MSU187" s="16"/>
      <c r="MSV187" s="10"/>
      <c r="MSW187" s="10"/>
      <c r="MTD187" s="3"/>
      <c r="MTF187" s="1"/>
      <c r="MTH187" s="16"/>
      <c r="MTI187" s="16"/>
      <c r="MTJ187" s="16"/>
      <c r="MTK187" s="16"/>
      <c r="MTL187" s="10"/>
      <c r="MTM187" s="10"/>
      <c r="MTT187" s="3"/>
      <c r="MTV187" s="1"/>
      <c r="MTX187" s="16"/>
      <c r="MTY187" s="16"/>
      <c r="MTZ187" s="16"/>
      <c r="MUA187" s="16"/>
      <c r="MUB187" s="10"/>
      <c r="MUC187" s="10"/>
      <c r="MUJ187" s="3"/>
      <c r="MUL187" s="1"/>
      <c r="MUN187" s="16"/>
      <c r="MUO187" s="16"/>
      <c r="MUP187" s="16"/>
      <c r="MUQ187" s="16"/>
      <c r="MUR187" s="10"/>
      <c r="MUS187" s="10"/>
      <c r="MUZ187" s="3"/>
      <c r="MVB187" s="1"/>
      <c r="MVD187" s="16"/>
      <c r="MVE187" s="16"/>
      <c r="MVF187" s="16"/>
      <c r="MVG187" s="16"/>
      <c r="MVH187" s="10"/>
      <c r="MVI187" s="10"/>
      <c r="MVP187" s="3"/>
      <c r="MVR187" s="1"/>
      <c r="MVT187" s="16"/>
      <c r="MVU187" s="16"/>
      <c r="MVV187" s="16"/>
      <c r="MVW187" s="16"/>
      <c r="MVX187" s="10"/>
      <c r="MVY187" s="10"/>
      <c r="MWF187" s="3"/>
      <c r="MWH187" s="1"/>
      <c r="MWJ187" s="16"/>
      <c r="MWK187" s="16"/>
      <c r="MWL187" s="16"/>
      <c r="MWM187" s="16"/>
      <c r="MWN187" s="10"/>
      <c r="MWO187" s="10"/>
      <c r="MWV187" s="3"/>
      <c r="MWX187" s="1"/>
      <c r="MWZ187" s="16"/>
      <c r="MXA187" s="16"/>
      <c r="MXB187" s="16"/>
      <c r="MXC187" s="16"/>
      <c r="MXD187" s="10"/>
      <c r="MXE187" s="10"/>
      <c r="MXL187" s="3"/>
      <c r="MXN187" s="1"/>
      <c r="MXP187" s="16"/>
      <c r="MXQ187" s="16"/>
      <c r="MXR187" s="16"/>
      <c r="MXS187" s="16"/>
      <c r="MXT187" s="10"/>
      <c r="MXU187" s="10"/>
      <c r="MYB187" s="3"/>
      <c r="MYD187" s="1"/>
      <c r="MYF187" s="16"/>
      <c r="MYG187" s="16"/>
      <c r="MYH187" s="16"/>
      <c r="MYI187" s="16"/>
      <c r="MYJ187" s="10"/>
      <c r="MYK187" s="10"/>
      <c r="MYR187" s="3"/>
      <c r="MYT187" s="1"/>
      <c r="MYV187" s="16"/>
      <c r="MYW187" s="16"/>
      <c r="MYX187" s="16"/>
      <c r="MYY187" s="16"/>
      <c r="MYZ187" s="10"/>
      <c r="MZA187" s="10"/>
      <c r="MZH187" s="3"/>
      <c r="MZJ187" s="1"/>
      <c r="MZL187" s="16"/>
      <c r="MZM187" s="16"/>
      <c r="MZN187" s="16"/>
      <c r="MZO187" s="16"/>
      <c r="MZP187" s="10"/>
      <c r="MZQ187" s="10"/>
      <c r="MZX187" s="3"/>
      <c r="MZZ187" s="1"/>
      <c r="NAB187" s="16"/>
      <c r="NAC187" s="16"/>
      <c r="NAD187" s="16"/>
      <c r="NAE187" s="16"/>
      <c r="NAF187" s="10"/>
      <c r="NAG187" s="10"/>
      <c r="NAN187" s="3"/>
      <c r="NAP187" s="1"/>
      <c r="NAR187" s="16"/>
      <c r="NAS187" s="16"/>
      <c r="NAT187" s="16"/>
      <c r="NAU187" s="16"/>
      <c r="NAV187" s="10"/>
      <c r="NAW187" s="10"/>
      <c r="NBD187" s="3"/>
      <c r="NBF187" s="1"/>
      <c r="NBH187" s="16"/>
      <c r="NBI187" s="16"/>
      <c r="NBJ187" s="16"/>
      <c r="NBK187" s="16"/>
      <c r="NBL187" s="10"/>
      <c r="NBM187" s="10"/>
      <c r="NBT187" s="3"/>
      <c r="NBV187" s="1"/>
      <c r="NBX187" s="16"/>
      <c r="NBY187" s="16"/>
      <c r="NBZ187" s="16"/>
      <c r="NCA187" s="16"/>
      <c r="NCB187" s="10"/>
      <c r="NCC187" s="10"/>
      <c r="NCJ187" s="3"/>
      <c r="NCL187" s="1"/>
      <c r="NCN187" s="16"/>
      <c r="NCO187" s="16"/>
      <c r="NCP187" s="16"/>
      <c r="NCQ187" s="16"/>
      <c r="NCR187" s="10"/>
      <c r="NCS187" s="10"/>
      <c r="NCZ187" s="3"/>
      <c r="NDB187" s="1"/>
      <c r="NDD187" s="16"/>
      <c r="NDE187" s="16"/>
      <c r="NDF187" s="16"/>
      <c r="NDG187" s="16"/>
      <c r="NDH187" s="10"/>
      <c r="NDI187" s="10"/>
      <c r="NDP187" s="3"/>
      <c r="NDR187" s="1"/>
      <c r="NDT187" s="16"/>
      <c r="NDU187" s="16"/>
      <c r="NDV187" s="16"/>
      <c r="NDW187" s="16"/>
      <c r="NDX187" s="10"/>
      <c r="NDY187" s="10"/>
      <c r="NEF187" s="3"/>
      <c r="NEH187" s="1"/>
      <c r="NEJ187" s="16"/>
      <c r="NEK187" s="16"/>
      <c r="NEL187" s="16"/>
      <c r="NEM187" s="16"/>
      <c r="NEN187" s="10"/>
      <c r="NEO187" s="10"/>
      <c r="NEV187" s="3"/>
      <c r="NEX187" s="1"/>
      <c r="NEZ187" s="16"/>
      <c r="NFA187" s="16"/>
      <c r="NFB187" s="16"/>
      <c r="NFC187" s="16"/>
      <c r="NFD187" s="10"/>
      <c r="NFE187" s="10"/>
      <c r="NFL187" s="3"/>
      <c r="NFN187" s="1"/>
      <c r="NFP187" s="16"/>
      <c r="NFQ187" s="16"/>
      <c r="NFR187" s="16"/>
      <c r="NFS187" s="16"/>
      <c r="NFT187" s="10"/>
      <c r="NFU187" s="10"/>
      <c r="NGB187" s="3"/>
      <c r="NGD187" s="1"/>
      <c r="NGF187" s="16"/>
      <c r="NGG187" s="16"/>
      <c r="NGH187" s="16"/>
      <c r="NGI187" s="16"/>
      <c r="NGJ187" s="10"/>
      <c r="NGK187" s="10"/>
      <c r="NGR187" s="3"/>
      <c r="NGT187" s="1"/>
      <c r="NGV187" s="16"/>
      <c r="NGW187" s="16"/>
      <c r="NGX187" s="16"/>
      <c r="NGY187" s="16"/>
      <c r="NGZ187" s="10"/>
      <c r="NHA187" s="10"/>
      <c r="NHH187" s="3"/>
      <c r="NHJ187" s="1"/>
      <c r="NHL187" s="16"/>
      <c r="NHM187" s="16"/>
      <c r="NHN187" s="16"/>
      <c r="NHO187" s="16"/>
      <c r="NHP187" s="10"/>
      <c r="NHQ187" s="10"/>
      <c r="NHX187" s="3"/>
      <c r="NHZ187" s="1"/>
      <c r="NIB187" s="16"/>
      <c r="NIC187" s="16"/>
      <c r="NID187" s="16"/>
      <c r="NIE187" s="16"/>
      <c r="NIF187" s="10"/>
      <c r="NIG187" s="10"/>
      <c r="NIN187" s="3"/>
      <c r="NIP187" s="1"/>
      <c r="NIR187" s="16"/>
      <c r="NIS187" s="16"/>
      <c r="NIT187" s="16"/>
      <c r="NIU187" s="16"/>
      <c r="NIV187" s="10"/>
      <c r="NIW187" s="10"/>
      <c r="NJD187" s="3"/>
      <c r="NJF187" s="1"/>
      <c r="NJH187" s="16"/>
      <c r="NJI187" s="16"/>
      <c r="NJJ187" s="16"/>
      <c r="NJK187" s="16"/>
      <c r="NJL187" s="10"/>
      <c r="NJM187" s="10"/>
      <c r="NJT187" s="3"/>
      <c r="NJV187" s="1"/>
      <c r="NJX187" s="16"/>
      <c r="NJY187" s="16"/>
      <c r="NJZ187" s="16"/>
      <c r="NKA187" s="16"/>
      <c r="NKB187" s="10"/>
      <c r="NKC187" s="10"/>
      <c r="NKJ187" s="3"/>
      <c r="NKL187" s="1"/>
      <c r="NKN187" s="16"/>
      <c r="NKO187" s="16"/>
      <c r="NKP187" s="16"/>
      <c r="NKQ187" s="16"/>
      <c r="NKR187" s="10"/>
      <c r="NKS187" s="10"/>
      <c r="NKZ187" s="3"/>
      <c r="NLB187" s="1"/>
      <c r="NLD187" s="16"/>
      <c r="NLE187" s="16"/>
      <c r="NLF187" s="16"/>
      <c r="NLG187" s="16"/>
      <c r="NLH187" s="10"/>
      <c r="NLI187" s="10"/>
      <c r="NLP187" s="3"/>
      <c r="NLR187" s="1"/>
      <c r="NLT187" s="16"/>
      <c r="NLU187" s="16"/>
      <c r="NLV187" s="16"/>
      <c r="NLW187" s="16"/>
      <c r="NLX187" s="10"/>
      <c r="NLY187" s="10"/>
      <c r="NMF187" s="3"/>
      <c r="NMH187" s="1"/>
      <c r="NMJ187" s="16"/>
      <c r="NMK187" s="16"/>
      <c r="NML187" s="16"/>
      <c r="NMM187" s="16"/>
      <c r="NMN187" s="10"/>
      <c r="NMO187" s="10"/>
      <c r="NMV187" s="3"/>
      <c r="NMX187" s="1"/>
      <c r="NMZ187" s="16"/>
      <c r="NNA187" s="16"/>
      <c r="NNB187" s="16"/>
      <c r="NNC187" s="16"/>
      <c r="NND187" s="10"/>
      <c r="NNE187" s="10"/>
      <c r="NNL187" s="3"/>
      <c r="NNN187" s="1"/>
      <c r="NNP187" s="16"/>
      <c r="NNQ187" s="16"/>
      <c r="NNR187" s="16"/>
      <c r="NNS187" s="16"/>
      <c r="NNT187" s="10"/>
      <c r="NNU187" s="10"/>
      <c r="NOB187" s="3"/>
      <c r="NOD187" s="1"/>
      <c r="NOF187" s="16"/>
      <c r="NOG187" s="16"/>
      <c r="NOH187" s="16"/>
      <c r="NOI187" s="16"/>
      <c r="NOJ187" s="10"/>
      <c r="NOK187" s="10"/>
      <c r="NOR187" s="3"/>
      <c r="NOT187" s="1"/>
      <c r="NOV187" s="16"/>
      <c r="NOW187" s="16"/>
      <c r="NOX187" s="16"/>
      <c r="NOY187" s="16"/>
      <c r="NOZ187" s="10"/>
      <c r="NPA187" s="10"/>
      <c r="NPH187" s="3"/>
      <c r="NPJ187" s="1"/>
      <c r="NPL187" s="16"/>
      <c r="NPM187" s="16"/>
      <c r="NPN187" s="16"/>
      <c r="NPO187" s="16"/>
      <c r="NPP187" s="10"/>
      <c r="NPQ187" s="10"/>
      <c r="NPX187" s="3"/>
      <c r="NPZ187" s="1"/>
      <c r="NQB187" s="16"/>
      <c r="NQC187" s="16"/>
      <c r="NQD187" s="16"/>
      <c r="NQE187" s="16"/>
      <c r="NQF187" s="10"/>
      <c r="NQG187" s="10"/>
      <c r="NQN187" s="3"/>
      <c r="NQP187" s="1"/>
      <c r="NQR187" s="16"/>
      <c r="NQS187" s="16"/>
      <c r="NQT187" s="16"/>
      <c r="NQU187" s="16"/>
      <c r="NQV187" s="10"/>
      <c r="NQW187" s="10"/>
      <c r="NRD187" s="3"/>
      <c r="NRF187" s="1"/>
      <c r="NRH187" s="16"/>
      <c r="NRI187" s="16"/>
      <c r="NRJ187" s="16"/>
      <c r="NRK187" s="16"/>
      <c r="NRL187" s="10"/>
      <c r="NRM187" s="10"/>
      <c r="NRT187" s="3"/>
      <c r="NRV187" s="1"/>
      <c r="NRX187" s="16"/>
      <c r="NRY187" s="16"/>
      <c r="NRZ187" s="16"/>
      <c r="NSA187" s="16"/>
      <c r="NSB187" s="10"/>
      <c r="NSC187" s="10"/>
      <c r="NSJ187" s="3"/>
      <c r="NSL187" s="1"/>
      <c r="NSN187" s="16"/>
      <c r="NSO187" s="16"/>
      <c r="NSP187" s="16"/>
      <c r="NSQ187" s="16"/>
      <c r="NSR187" s="10"/>
      <c r="NSS187" s="10"/>
      <c r="NSZ187" s="3"/>
      <c r="NTB187" s="1"/>
      <c r="NTD187" s="16"/>
      <c r="NTE187" s="16"/>
      <c r="NTF187" s="16"/>
      <c r="NTG187" s="16"/>
      <c r="NTH187" s="10"/>
      <c r="NTI187" s="10"/>
      <c r="NTP187" s="3"/>
      <c r="NTR187" s="1"/>
      <c r="NTT187" s="16"/>
      <c r="NTU187" s="16"/>
      <c r="NTV187" s="16"/>
      <c r="NTW187" s="16"/>
      <c r="NTX187" s="10"/>
      <c r="NTY187" s="10"/>
      <c r="NUF187" s="3"/>
      <c r="NUH187" s="1"/>
      <c r="NUJ187" s="16"/>
      <c r="NUK187" s="16"/>
      <c r="NUL187" s="16"/>
      <c r="NUM187" s="16"/>
      <c r="NUN187" s="10"/>
      <c r="NUO187" s="10"/>
      <c r="NUV187" s="3"/>
      <c r="NUX187" s="1"/>
      <c r="NUZ187" s="16"/>
      <c r="NVA187" s="16"/>
      <c r="NVB187" s="16"/>
      <c r="NVC187" s="16"/>
      <c r="NVD187" s="10"/>
      <c r="NVE187" s="10"/>
      <c r="NVL187" s="3"/>
      <c r="NVN187" s="1"/>
      <c r="NVP187" s="16"/>
      <c r="NVQ187" s="16"/>
      <c r="NVR187" s="16"/>
      <c r="NVS187" s="16"/>
      <c r="NVT187" s="10"/>
      <c r="NVU187" s="10"/>
      <c r="NWB187" s="3"/>
      <c r="NWD187" s="1"/>
      <c r="NWF187" s="16"/>
      <c r="NWG187" s="16"/>
      <c r="NWH187" s="16"/>
      <c r="NWI187" s="16"/>
      <c r="NWJ187" s="10"/>
      <c r="NWK187" s="10"/>
      <c r="NWR187" s="3"/>
      <c r="NWT187" s="1"/>
      <c r="NWV187" s="16"/>
      <c r="NWW187" s="16"/>
      <c r="NWX187" s="16"/>
      <c r="NWY187" s="16"/>
      <c r="NWZ187" s="10"/>
      <c r="NXA187" s="10"/>
      <c r="NXH187" s="3"/>
      <c r="NXJ187" s="1"/>
      <c r="NXL187" s="16"/>
      <c r="NXM187" s="16"/>
      <c r="NXN187" s="16"/>
      <c r="NXO187" s="16"/>
      <c r="NXP187" s="10"/>
      <c r="NXQ187" s="10"/>
      <c r="NXX187" s="3"/>
      <c r="NXZ187" s="1"/>
      <c r="NYB187" s="16"/>
      <c r="NYC187" s="16"/>
      <c r="NYD187" s="16"/>
      <c r="NYE187" s="16"/>
      <c r="NYF187" s="10"/>
      <c r="NYG187" s="10"/>
      <c r="NYN187" s="3"/>
      <c r="NYP187" s="1"/>
      <c r="NYR187" s="16"/>
      <c r="NYS187" s="16"/>
      <c r="NYT187" s="16"/>
      <c r="NYU187" s="16"/>
      <c r="NYV187" s="10"/>
      <c r="NYW187" s="10"/>
      <c r="NZD187" s="3"/>
      <c r="NZF187" s="1"/>
      <c r="NZH187" s="16"/>
      <c r="NZI187" s="16"/>
      <c r="NZJ187" s="16"/>
      <c r="NZK187" s="16"/>
      <c r="NZL187" s="10"/>
      <c r="NZM187" s="10"/>
      <c r="NZT187" s="3"/>
      <c r="NZV187" s="1"/>
      <c r="NZX187" s="16"/>
      <c r="NZY187" s="16"/>
      <c r="NZZ187" s="16"/>
      <c r="OAA187" s="16"/>
      <c r="OAB187" s="10"/>
      <c r="OAC187" s="10"/>
      <c r="OAJ187" s="3"/>
      <c r="OAL187" s="1"/>
      <c r="OAN187" s="16"/>
      <c r="OAO187" s="16"/>
      <c r="OAP187" s="16"/>
      <c r="OAQ187" s="16"/>
      <c r="OAR187" s="10"/>
      <c r="OAS187" s="10"/>
      <c r="OAZ187" s="3"/>
      <c r="OBB187" s="1"/>
      <c r="OBD187" s="16"/>
      <c r="OBE187" s="16"/>
      <c r="OBF187" s="16"/>
      <c r="OBG187" s="16"/>
      <c r="OBH187" s="10"/>
      <c r="OBI187" s="10"/>
      <c r="OBP187" s="3"/>
      <c r="OBR187" s="1"/>
      <c r="OBT187" s="16"/>
      <c r="OBU187" s="16"/>
      <c r="OBV187" s="16"/>
      <c r="OBW187" s="16"/>
      <c r="OBX187" s="10"/>
      <c r="OBY187" s="10"/>
      <c r="OCF187" s="3"/>
      <c r="OCH187" s="1"/>
      <c r="OCJ187" s="16"/>
      <c r="OCK187" s="16"/>
      <c r="OCL187" s="16"/>
      <c r="OCM187" s="16"/>
      <c r="OCN187" s="10"/>
      <c r="OCO187" s="10"/>
      <c r="OCV187" s="3"/>
      <c r="OCX187" s="1"/>
      <c r="OCZ187" s="16"/>
      <c r="ODA187" s="16"/>
      <c r="ODB187" s="16"/>
      <c r="ODC187" s="16"/>
      <c r="ODD187" s="10"/>
      <c r="ODE187" s="10"/>
      <c r="ODL187" s="3"/>
      <c r="ODN187" s="1"/>
      <c r="ODP187" s="16"/>
      <c r="ODQ187" s="16"/>
      <c r="ODR187" s="16"/>
      <c r="ODS187" s="16"/>
      <c r="ODT187" s="10"/>
      <c r="ODU187" s="10"/>
      <c r="OEB187" s="3"/>
      <c r="OED187" s="1"/>
      <c r="OEF187" s="16"/>
      <c r="OEG187" s="16"/>
      <c r="OEH187" s="16"/>
      <c r="OEI187" s="16"/>
      <c r="OEJ187" s="10"/>
      <c r="OEK187" s="10"/>
      <c r="OER187" s="3"/>
      <c r="OET187" s="1"/>
      <c r="OEV187" s="16"/>
      <c r="OEW187" s="16"/>
      <c r="OEX187" s="16"/>
      <c r="OEY187" s="16"/>
      <c r="OEZ187" s="10"/>
      <c r="OFA187" s="10"/>
      <c r="OFH187" s="3"/>
      <c r="OFJ187" s="1"/>
      <c r="OFL187" s="16"/>
      <c r="OFM187" s="16"/>
      <c r="OFN187" s="16"/>
      <c r="OFO187" s="16"/>
      <c r="OFP187" s="10"/>
      <c r="OFQ187" s="10"/>
      <c r="OFX187" s="3"/>
      <c r="OFZ187" s="1"/>
      <c r="OGB187" s="16"/>
      <c r="OGC187" s="16"/>
      <c r="OGD187" s="16"/>
      <c r="OGE187" s="16"/>
      <c r="OGF187" s="10"/>
      <c r="OGG187" s="10"/>
      <c r="OGN187" s="3"/>
      <c r="OGP187" s="1"/>
      <c r="OGR187" s="16"/>
      <c r="OGS187" s="16"/>
      <c r="OGT187" s="16"/>
      <c r="OGU187" s="16"/>
      <c r="OGV187" s="10"/>
      <c r="OGW187" s="10"/>
      <c r="OHD187" s="3"/>
      <c r="OHF187" s="1"/>
      <c r="OHH187" s="16"/>
      <c r="OHI187" s="16"/>
      <c r="OHJ187" s="16"/>
      <c r="OHK187" s="16"/>
      <c r="OHL187" s="10"/>
      <c r="OHM187" s="10"/>
      <c r="OHT187" s="3"/>
      <c r="OHV187" s="1"/>
      <c r="OHX187" s="16"/>
      <c r="OHY187" s="16"/>
      <c r="OHZ187" s="16"/>
      <c r="OIA187" s="16"/>
      <c r="OIB187" s="10"/>
      <c r="OIC187" s="10"/>
      <c r="OIJ187" s="3"/>
      <c r="OIL187" s="1"/>
      <c r="OIN187" s="16"/>
      <c r="OIO187" s="16"/>
      <c r="OIP187" s="16"/>
      <c r="OIQ187" s="16"/>
      <c r="OIR187" s="10"/>
      <c r="OIS187" s="10"/>
      <c r="OIZ187" s="3"/>
      <c r="OJB187" s="1"/>
      <c r="OJD187" s="16"/>
      <c r="OJE187" s="16"/>
      <c r="OJF187" s="16"/>
      <c r="OJG187" s="16"/>
      <c r="OJH187" s="10"/>
      <c r="OJI187" s="10"/>
      <c r="OJP187" s="3"/>
      <c r="OJR187" s="1"/>
      <c r="OJT187" s="16"/>
      <c r="OJU187" s="16"/>
      <c r="OJV187" s="16"/>
      <c r="OJW187" s="16"/>
      <c r="OJX187" s="10"/>
      <c r="OJY187" s="10"/>
      <c r="OKF187" s="3"/>
      <c r="OKH187" s="1"/>
      <c r="OKJ187" s="16"/>
      <c r="OKK187" s="16"/>
      <c r="OKL187" s="16"/>
      <c r="OKM187" s="16"/>
      <c r="OKN187" s="10"/>
      <c r="OKO187" s="10"/>
      <c r="OKV187" s="3"/>
      <c r="OKX187" s="1"/>
      <c r="OKZ187" s="16"/>
      <c r="OLA187" s="16"/>
      <c r="OLB187" s="16"/>
      <c r="OLC187" s="16"/>
      <c r="OLD187" s="10"/>
      <c r="OLE187" s="10"/>
      <c r="OLL187" s="3"/>
      <c r="OLN187" s="1"/>
      <c r="OLP187" s="16"/>
      <c r="OLQ187" s="16"/>
      <c r="OLR187" s="16"/>
      <c r="OLS187" s="16"/>
      <c r="OLT187" s="10"/>
      <c r="OLU187" s="10"/>
      <c r="OMB187" s="3"/>
      <c r="OMD187" s="1"/>
      <c r="OMF187" s="16"/>
      <c r="OMG187" s="16"/>
      <c r="OMH187" s="16"/>
      <c r="OMI187" s="16"/>
      <c r="OMJ187" s="10"/>
      <c r="OMK187" s="10"/>
      <c r="OMR187" s="3"/>
      <c r="OMT187" s="1"/>
      <c r="OMV187" s="16"/>
      <c r="OMW187" s="16"/>
      <c r="OMX187" s="16"/>
      <c r="OMY187" s="16"/>
      <c r="OMZ187" s="10"/>
      <c r="ONA187" s="10"/>
      <c r="ONH187" s="3"/>
      <c r="ONJ187" s="1"/>
      <c r="ONL187" s="16"/>
      <c r="ONM187" s="16"/>
      <c r="ONN187" s="16"/>
      <c r="ONO187" s="16"/>
      <c r="ONP187" s="10"/>
      <c r="ONQ187" s="10"/>
      <c r="ONX187" s="3"/>
      <c r="ONZ187" s="1"/>
      <c r="OOB187" s="16"/>
      <c r="OOC187" s="16"/>
      <c r="OOD187" s="16"/>
      <c r="OOE187" s="16"/>
      <c r="OOF187" s="10"/>
      <c r="OOG187" s="10"/>
      <c r="OON187" s="3"/>
      <c r="OOP187" s="1"/>
      <c r="OOR187" s="16"/>
      <c r="OOS187" s="16"/>
      <c r="OOT187" s="16"/>
      <c r="OOU187" s="16"/>
      <c r="OOV187" s="10"/>
      <c r="OOW187" s="10"/>
      <c r="OPD187" s="3"/>
      <c r="OPF187" s="1"/>
      <c r="OPH187" s="16"/>
      <c r="OPI187" s="16"/>
      <c r="OPJ187" s="16"/>
      <c r="OPK187" s="16"/>
      <c r="OPL187" s="10"/>
      <c r="OPM187" s="10"/>
      <c r="OPT187" s="3"/>
      <c r="OPV187" s="1"/>
      <c r="OPX187" s="16"/>
      <c r="OPY187" s="16"/>
      <c r="OPZ187" s="16"/>
      <c r="OQA187" s="16"/>
      <c r="OQB187" s="10"/>
      <c r="OQC187" s="10"/>
      <c r="OQJ187" s="3"/>
      <c r="OQL187" s="1"/>
      <c r="OQN187" s="16"/>
      <c r="OQO187" s="16"/>
      <c r="OQP187" s="16"/>
      <c r="OQQ187" s="16"/>
      <c r="OQR187" s="10"/>
      <c r="OQS187" s="10"/>
      <c r="OQZ187" s="3"/>
      <c r="ORB187" s="1"/>
      <c r="ORD187" s="16"/>
      <c r="ORE187" s="16"/>
      <c r="ORF187" s="16"/>
      <c r="ORG187" s="16"/>
      <c r="ORH187" s="10"/>
      <c r="ORI187" s="10"/>
      <c r="ORP187" s="3"/>
      <c r="ORR187" s="1"/>
      <c r="ORT187" s="16"/>
      <c r="ORU187" s="16"/>
      <c r="ORV187" s="16"/>
      <c r="ORW187" s="16"/>
      <c r="ORX187" s="10"/>
      <c r="ORY187" s="10"/>
      <c r="OSF187" s="3"/>
      <c r="OSH187" s="1"/>
      <c r="OSJ187" s="16"/>
      <c r="OSK187" s="16"/>
      <c r="OSL187" s="16"/>
      <c r="OSM187" s="16"/>
      <c r="OSN187" s="10"/>
      <c r="OSO187" s="10"/>
      <c r="OSV187" s="3"/>
      <c r="OSX187" s="1"/>
      <c r="OSZ187" s="16"/>
      <c r="OTA187" s="16"/>
      <c r="OTB187" s="16"/>
      <c r="OTC187" s="16"/>
      <c r="OTD187" s="10"/>
      <c r="OTE187" s="10"/>
      <c r="OTL187" s="3"/>
      <c r="OTN187" s="1"/>
      <c r="OTP187" s="16"/>
      <c r="OTQ187" s="16"/>
      <c r="OTR187" s="16"/>
      <c r="OTS187" s="16"/>
      <c r="OTT187" s="10"/>
      <c r="OTU187" s="10"/>
      <c r="OUB187" s="3"/>
      <c r="OUD187" s="1"/>
      <c r="OUF187" s="16"/>
      <c r="OUG187" s="16"/>
      <c r="OUH187" s="16"/>
      <c r="OUI187" s="16"/>
      <c r="OUJ187" s="10"/>
      <c r="OUK187" s="10"/>
      <c r="OUR187" s="3"/>
      <c r="OUT187" s="1"/>
      <c r="OUV187" s="16"/>
      <c r="OUW187" s="16"/>
      <c r="OUX187" s="16"/>
      <c r="OUY187" s="16"/>
      <c r="OUZ187" s="10"/>
      <c r="OVA187" s="10"/>
      <c r="OVH187" s="3"/>
      <c r="OVJ187" s="1"/>
      <c r="OVL187" s="16"/>
      <c r="OVM187" s="16"/>
      <c r="OVN187" s="16"/>
      <c r="OVO187" s="16"/>
      <c r="OVP187" s="10"/>
      <c r="OVQ187" s="10"/>
      <c r="OVX187" s="3"/>
      <c r="OVZ187" s="1"/>
      <c r="OWB187" s="16"/>
      <c r="OWC187" s="16"/>
      <c r="OWD187" s="16"/>
      <c r="OWE187" s="16"/>
      <c r="OWF187" s="10"/>
      <c r="OWG187" s="10"/>
      <c r="OWN187" s="3"/>
      <c r="OWP187" s="1"/>
      <c r="OWR187" s="16"/>
      <c r="OWS187" s="16"/>
      <c r="OWT187" s="16"/>
      <c r="OWU187" s="16"/>
      <c r="OWV187" s="10"/>
      <c r="OWW187" s="10"/>
      <c r="OXD187" s="3"/>
      <c r="OXF187" s="1"/>
      <c r="OXH187" s="16"/>
      <c r="OXI187" s="16"/>
      <c r="OXJ187" s="16"/>
      <c r="OXK187" s="16"/>
      <c r="OXL187" s="10"/>
      <c r="OXM187" s="10"/>
      <c r="OXT187" s="3"/>
      <c r="OXV187" s="1"/>
      <c r="OXX187" s="16"/>
      <c r="OXY187" s="16"/>
      <c r="OXZ187" s="16"/>
      <c r="OYA187" s="16"/>
      <c r="OYB187" s="10"/>
      <c r="OYC187" s="10"/>
      <c r="OYJ187" s="3"/>
      <c r="OYL187" s="1"/>
      <c r="OYN187" s="16"/>
      <c r="OYO187" s="16"/>
      <c r="OYP187" s="16"/>
      <c r="OYQ187" s="16"/>
      <c r="OYR187" s="10"/>
      <c r="OYS187" s="10"/>
      <c r="OYZ187" s="3"/>
      <c r="OZB187" s="1"/>
      <c r="OZD187" s="16"/>
      <c r="OZE187" s="16"/>
      <c r="OZF187" s="16"/>
      <c r="OZG187" s="16"/>
      <c r="OZH187" s="10"/>
      <c r="OZI187" s="10"/>
      <c r="OZP187" s="3"/>
      <c r="OZR187" s="1"/>
      <c r="OZT187" s="16"/>
      <c r="OZU187" s="16"/>
      <c r="OZV187" s="16"/>
      <c r="OZW187" s="16"/>
      <c r="OZX187" s="10"/>
      <c r="OZY187" s="10"/>
      <c r="PAF187" s="3"/>
      <c r="PAH187" s="1"/>
      <c r="PAJ187" s="16"/>
      <c r="PAK187" s="16"/>
      <c r="PAL187" s="16"/>
      <c r="PAM187" s="16"/>
      <c r="PAN187" s="10"/>
      <c r="PAO187" s="10"/>
      <c r="PAV187" s="3"/>
      <c r="PAX187" s="1"/>
      <c r="PAZ187" s="16"/>
      <c r="PBA187" s="16"/>
      <c r="PBB187" s="16"/>
      <c r="PBC187" s="16"/>
      <c r="PBD187" s="10"/>
      <c r="PBE187" s="10"/>
      <c r="PBL187" s="3"/>
      <c r="PBN187" s="1"/>
      <c r="PBP187" s="16"/>
      <c r="PBQ187" s="16"/>
      <c r="PBR187" s="16"/>
      <c r="PBS187" s="16"/>
      <c r="PBT187" s="10"/>
      <c r="PBU187" s="10"/>
      <c r="PCB187" s="3"/>
      <c r="PCD187" s="1"/>
      <c r="PCF187" s="16"/>
      <c r="PCG187" s="16"/>
      <c r="PCH187" s="16"/>
      <c r="PCI187" s="16"/>
      <c r="PCJ187" s="10"/>
      <c r="PCK187" s="10"/>
      <c r="PCR187" s="3"/>
      <c r="PCT187" s="1"/>
      <c r="PCV187" s="16"/>
      <c r="PCW187" s="16"/>
      <c r="PCX187" s="16"/>
      <c r="PCY187" s="16"/>
      <c r="PCZ187" s="10"/>
      <c r="PDA187" s="10"/>
      <c r="PDH187" s="3"/>
      <c r="PDJ187" s="1"/>
      <c r="PDL187" s="16"/>
      <c r="PDM187" s="16"/>
      <c r="PDN187" s="16"/>
      <c r="PDO187" s="16"/>
      <c r="PDP187" s="10"/>
      <c r="PDQ187" s="10"/>
      <c r="PDX187" s="3"/>
      <c r="PDZ187" s="1"/>
      <c r="PEB187" s="16"/>
      <c r="PEC187" s="16"/>
      <c r="PED187" s="16"/>
      <c r="PEE187" s="16"/>
      <c r="PEF187" s="10"/>
      <c r="PEG187" s="10"/>
      <c r="PEN187" s="3"/>
      <c r="PEP187" s="1"/>
      <c r="PER187" s="16"/>
      <c r="PES187" s="16"/>
      <c r="PET187" s="16"/>
      <c r="PEU187" s="16"/>
      <c r="PEV187" s="10"/>
      <c r="PEW187" s="10"/>
      <c r="PFD187" s="3"/>
      <c r="PFF187" s="1"/>
      <c r="PFH187" s="16"/>
      <c r="PFI187" s="16"/>
      <c r="PFJ187" s="16"/>
      <c r="PFK187" s="16"/>
      <c r="PFL187" s="10"/>
      <c r="PFM187" s="10"/>
      <c r="PFT187" s="3"/>
      <c r="PFV187" s="1"/>
      <c r="PFX187" s="16"/>
      <c r="PFY187" s="16"/>
      <c r="PFZ187" s="16"/>
      <c r="PGA187" s="16"/>
      <c r="PGB187" s="10"/>
      <c r="PGC187" s="10"/>
      <c r="PGJ187" s="3"/>
      <c r="PGL187" s="1"/>
      <c r="PGN187" s="16"/>
      <c r="PGO187" s="16"/>
      <c r="PGP187" s="16"/>
      <c r="PGQ187" s="16"/>
      <c r="PGR187" s="10"/>
      <c r="PGS187" s="10"/>
      <c r="PGZ187" s="3"/>
      <c r="PHB187" s="1"/>
      <c r="PHD187" s="16"/>
      <c r="PHE187" s="16"/>
      <c r="PHF187" s="16"/>
      <c r="PHG187" s="16"/>
      <c r="PHH187" s="10"/>
      <c r="PHI187" s="10"/>
      <c r="PHP187" s="3"/>
      <c r="PHR187" s="1"/>
      <c r="PHT187" s="16"/>
      <c r="PHU187" s="16"/>
      <c r="PHV187" s="16"/>
      <c r="PHW187" s="16"/>
      <c r="PHX187" s="10"/>
      <c r="PHY187" s="10"/>
      <c r="PIF187" s="3"/>
      <c r="PIH187" s="1"/>
      <c r="PIJ187" s="16"/>
      <c r="PIK187" s="16"/>
      <c r="PIL187" s="16"/>
      <c r="PIM187" s="16"/>
      <c r="PIN187" s="10"/>
      <c r="PIO187" s="10"/>
      <c r="PIV187" s="3"/>
      <c r="PIX187" s="1"/>
      <c r="PIZ187" s="16"/>
      <c r="PJA187" s="16"/>
      <c r="PJB187" s="16"/>
      <c r="PJC187" s="16"/>
      <c r="PJD187" s="10"/>
      <c r="PJE187" s="10"/>
      <c r="PJL187" s="3"/>
      <c r="PJN187" s="1"/>
      <c r="PJP187" s="16"/>
      <c r="PJQ187" s="16"/>
      <c r="PJR187" s="16"/>
      <c r="PJS187" s="16"/>
      <c r="PJT187" s="10"/>
      <c r="PJU187" s="10"/>
      <c r="PKB187" s="3"/>
      <c r="PKD187" s="1"/>
      <c r="PKF187" s="16"/>
      <c r="PKG187" s="16"/>
      <c r="PKH187" s="16"/>
      <c r="PKI187" s="16"/>
      <c r="PKJ187" s="10"/>
      <c r="PKK187" s="10"/>
      <c r="PKR187" s="3"/>
      <c r="PKT187" s="1"/>
      <c r="PKV187" s="16"/>
      <c r="PKW187" s="16"/>
      <c r="PKX187" s="16"/>
      <c r="PKY187" s="16"/>
      <c r="PKZ187" s="10"/>
      <c r="PLA187" s="10"/>
      <c r="PLH187" s="3"/>
      <c r="PLJ187" s="1"/>
      <c r="PLL187" s="16"/>
      <c r="PLM187" s="16"/>
      <c r="PLN187" s="16"/>
      <c r="PLO187" s="16"/>
      <c r="PLP187" s="10"/>
      <c r="PLQ187" s="10"/>
      <c r="PLX187" s="3"/>
      <c r="PLZ187" s="1"/>
      <c r="PMB187" s="16"/>
      <c r="PMC187" s="16"/>
      <c r="PMD187" s="16"/>
      <c r="PME187" s="16"/>
      <c r="PMF187" s="10"/>
      <c r="PMG187" s="10"/>
      <c r="PMN187" s="3"/>
      <c r="PMP187" s="1"/>
      <c r="PMR187" s="16"/>
      <c r="PMS187" s="16"/>
      <c r="PMT187" s="16"/>
      <c r="PMU187" s="16"/>
      <c r="PMV187" s="10"/>
      <c r="PMW187" s="10"/>
      <c r="PND187" s="3"/>
      <c r="PNF187" s="1"/>
      <c r="PNH187" s="16"/>
      <c r="PNI187" s="16"/>
      <c r="PNJ187" s="16"/>
      <c r="PNK187" s="16"/>
      <c r="PNL187" s="10"/>
      <c r="PNM187" s="10"/>
      <c r="PNT187" s="3"/>
      <c r="PNV187" s="1"/>
      <c r="PNX187" s="16"/>
      <c r="PNY187" s="16"/>
      <c r="PNZ187" s="16"/>
      <c r="POA187" s="16"/>
      <c r="POB187" s="10"/>
      <c r="POC187" s="10"/>
      <c r="POJ187" s="3"/>
      <c r="POL187" s="1"/>
      <c r="PON187" s="16"/>
      <c r="POO187" s="16"/>
      <c r="POP187" s="16"/>
      <c r="POQ187" s="16"/>
      <c r="POR187" s="10"/>
      <c r="POS187" s="10"/>
      <c r="POZ187" s="3"/>
      <c r="PPB187" s="1"/>
      <c r="PPD187" s="16"/>
      <c r="PPE187" s="16"/>
      <c r="PPF187" s="16"/>
      <c r="PPG187" s="16"/>
      <c r="PPH187" s="10"/>
      <c r="PPI187" s="10"/>
      <c r="PPP187" s="3"/>
      <c r="PPR187" s="1"/>
      <c r="PPT187" s="16"/>
      <c r="PPU187" s="16"/>
      <c r="PPV187" s="16"/>
      <c r="PPW187" s="16"/>
      <c r="PPX187" s="10"/>
      <c r="PPY187" s="10"/>
      <c r="PQF187" s="3"/>
      <c r="PQH187" s="1"/>
      <c r="PQJ187" s="16"/>
      <c r="PQK187" s="16"/>
      <c r="PQL187" s="16"/>
      <c r="PQM187" s="16"/>
      <c r="PQN187" s="10"/>
      <c r="PQO187" s="10"/>
      <c r="PQV187" s="3"/>
      <c r="PQX187" s="1"/>
      <c r="PQZ187" s="16"/>
      <c r="PRA187" s="16"/>
      <c r="PRB187" s="16"/>
      <c r="PRC187" s="16"/>
      <c r="PRD187" s="10"/>
      <c r="PRE187" s="10"/>
      <c r="PRL187" s="3"/>
      <c r="PRN187" s="1"/>
      <c r="PRP187" s="16"/>
      <c r="PRQ187" s="16"/>
      <c r="PRR187" s="16"/>
      <c r="PRS187" s="16"/>
      <c r="PRT187" s="10"/>
      <c r="PRU187" s="10"/>
      <c r="PSB187" s="3"/>
      <c r="PSD187" s="1"/>
      <c r="PSF187" s="16"/>
      <c r="PSG187" s="16"/>
      <c r="PSH187" s="16"/>
      <c r="PSI187" s="16"/>
      <c r="PSJ187" s="10"/>
      <c r="PSK187" s="10"/>
      <c r="PSR187" s="3"/>
      <c r="PST187" s="1"/>
      <c r="PSV187" s="16"/>
      <c r="PSW187" s="16"/>
      <c r="PSX187" s="16"/>
      <c r="PSY187" s="16"/>
      <c r="PSZ187" s="10"/>
      <c r="PTA187" s="10"/>
      <c r="PTH187" s="3"/>
      <c r="PTJ187" s="1"/>
      <c r="PTL187" s="16"/>
      <c r="PTM187" s="16"/>
      <c r="PTN187" s="16"/>
      <c r="PTO187" s="16"/>
      <c r="PTP187" s="10"/>
      <c r="PTQ187" s="10"/>
      <c r="PTX187" s="3"/>
      <c r="PTZ187" s="1"/>
      <c r="PUB187" s="16"/>
      <c r="PUC187" s="16"/>
      <c r="PUD187" s="16"/>
      <c r="PUE187" s="16"/>
      <c r="PUF187" s="10"/>
      <c r="PUG187" s="10"/>
      <c r="PUN187" s="3"/>
      <c r="PUP187" s="1"/>
      <c r="PUR187" s="16"/>
      <c r="PUS187" s="16"/>
      <c r="PUT187" s="16"/>
      <c r="PUU187" s="16"/>
      <c r="PUV187" s="10"/>
      <c r="PUW187" s="10"/>
      <c r="PVD187" s="3"/>
      <c r="PVF187" s="1"/>
      <c r="PVH187" s="16"/>
      <c r="PVI187" s="16"/>
      <c r="PVJ187" s="16"/>
      <c r="PVK187" s="16"/>
      <c r="PVL187" s="10"/>
      <c r="PVM187" s="10"/>
      <c r="PVT187" s="3"/>
      <c r="PVV187" s="1"/>
      <c r="PVX187" s="16"/>
      <c r="PVY187" s="16"/>
      <c r="PVZ187" s="16"/>
      <c r="PWA187" s="16"/>
      <c r="PWB187" s="10"/>
      <c r="PWC187" s="10"/>
      <c r="PWJ187" s="3"/>
      <c r="PWL187" s="1"/>
      <c r="PWN187" s="16"/>
      <c r="PWO187" s="16"/>
      <c r="PWP187" s="16"/>
      <c r="PWQ187" s="16"/>
      <c r="PWR187" s="10"/>
      <c r="PWS187" s="10"/>
      <c r="PWZ187" s="3"/>
      <c r="PXB187" s="1"/>
      <c r="PXD187" s="16"/>
      <c r="PXE187" s="16"/>
      <c r="PXF187" s="16"/>
      <c r="PXG187" s="16"/>
      <c r="PXH187" s="10"/>
      <c r="PXI187" s="10"/>
      <c r="PXP187" s="3"/>
      <c r="PXR187" s="1"/>
      <c r="PXT187" s="16"/>
      <c r="PXU187" s="16"/>
      <c r="PXV187" s="16"/>
      <c r="PXW187" s="16"/>
      <c r="PXX187" s="10"/>
      <c r="PXY187" s="10"/>
      <c r="PYF187" s="3"/>
      <c r="PYH187" s="1"/>
      <c r="PYJ187" s="16"/>
      <c r="PYK187" s="16"/>
      <c r="PYL187" s="16"/>
      <c r="PYM187" s="16"/>
      <c r="PYN187" s="10"/>
      <c r="PYO187" s="10"/>
      <c r="PYV187" s="3"/>
      <c r="PYX187" s="1"/>
      <c r="PYZ187" s="16"/>
      <c r="PZA187" s="16"/>
      <c r="PZB187" s="16"/>
      <c r="PZC187" s="16"/>
      <c r="PZD187" s="10"/>
      <c r="PZE187" s="10"/>
      <c r="PZL187" s="3"/>
      <c r="PZN187" s="1"/>
      <c r="PZP187" s="16"/>
      <c r="PZQ187" s="16"/>
      <c r="PZR187" s="16"/>
      <c r="PZS187" s="16"/>
      <c r="PZT187" s="10"/>
      <c r="PZU187" s="10"/>
      <c r="QAB187" s="3"/>
      <c r="QAD187" s="1"/>
      <c r="QAF187" s="16"/>
      <c r="QAG187" s="16"/>
      <c r="QAH187" s="16"/>
      <c r="QAI187" s="16"/>
      <c r="QAJ187" s="10"/>
      <c r="QAK187" s="10"/>
      <c r="QAR187" s="3"/>
      <c r="QAT187" s="1"/>
      <c r="QAV187" s="16"/>
      <c r="QAW187" s="16"/>
      <c r="QAX187" s="16"/>
      <c r="QAY187" s="16"/>
      <c r="QAZ187" s="10"/>
      <c r="QBA187" s="10"/>
      <c r="QBH187" s="3"/>
      <c r="QBJ187" s="1"/>
      <c r="QBL187" s="16"/>
      <c r="QBM187" s="16"/>
      <c r="QBN187" s="16"/>
      <c r="QBO187" s="16"/>
      <c r="QBP187" s="10"/>
      <c r="QBQ187" s="10"/>
      <c r="QBX187" s="3"/>
      <c r="QBZ187" s="1"/>
      <c r="QCB187" s="16"/>
      <c r="QCC187" s="16"/>
      <c r="QCD187" s="16"/>
      <c r="QCE187" s="16"/>
      <c r="QCF187" s="10"/>
      <c r="QCG187" s="10"/>
      <c r="QCN187" s="3"/>
      <c r="QCP187" s="1"/>
      <c r="QCR187" s="16"/>
      <c r="QCS187" s="16"/>
      <c r="QCT187" s="16"/>
      <c r="QCU187" s="16"/>
      <c r="QCV187" s="10"/>
      <c r="QCW187" s="10"/>
      <c r="QDD187" s="3"/>
      <c r="QDF187" s="1"/>
      <c r="QDH187" s="16"/>
      <c r="QDI187" s="16"/>
      <c r="QDJ187" s="16"/>
      <c r="QDK187" s="16"/>
      <c r="QDL187" s="10"/>
      <c r="QDM187" s="10"/>
      <c r="QDT187" s="3"/>
      <c r="QDV187" s="1"/>
      <c r="QDX187" s="16"/>
      <c r="QDY187" s="16"/>
      <c r="QDZ187" s="16"/>
      <c r="QEA187" s="16"/>
      <c r="QEB187" s="10"/>
      <c r="QEC187" s="10"/>
      <c r="QEJ187" s="3"/>
      <c r="QEL187" s="1"/>
      <c r="QEN187" s="16"/>
      <c r="QEO187" s="16"/>
      <c r="QEP187" s="16"/>
      <c r="QEQ187" s="16"/>
      <c r="QER187" s="10"/>
      <c r="QES187" s="10"/>
      <c r="QEZ187" s="3"/>
      <c r="QFB187" s="1"/>
      <c r="QFD187" s="16"/>
      <c r="QFE187" s="16"/>
      <c r="QFF187" s="16"/>
      <c r="QFG187" s="16"/>
      <c r="QFH187" s="10"/>
      <c r="QFI187" s="10"/>
      <c r="QFP187" s="3"/>
      <c r="QFR187" s="1"/>
      <c r="QFT187" s="16"/>
      <c r="QFU187" s="16"/>
      <c r="QFV187" s="16"/>
      <c r="QFW187" s="16"/>
      <c r="QFX187" s="10"/>
      <c r="QFY187" s="10"/>
      <c r="QGF187" s="3"/>
      <c r="QGH187" s="1"/>
      <c r="QGJ187" s="16"/>
      <c r="QGK187" s="16"/>
      <c r="QGL187" s="16"/>
      <c r="QGM187" s="16"/>
      <c r="QGN187" s="10"/>
      <c r="QGO187" s="10"/>
      <c r="QGV187" s="3"/>
      <c r="QGX187" s="1"/>
      <c r="QGZ187" s="16"/>
      <c r="QHA187" s="16"/>
      <c r="QHB187" s="16"/>
      <c r="QHC187" s="16"/>
      <c r="QHD187" s="10"/>
      <c r="QHE187" s="10"/>
      <c r="QHL187" s="3"/>
      <c r="QHN187" s="1"/>
      <c r="QHP187" s="16"/>
      <c r="QHQ187" s="16"/>
      <c r="QHR187" s="16"/>
      <c r="QHS187" s="16"/>
      <c r="QHT187" s="10"/>
      <c r="QHU187" s="10"/>
      <c r="QIB187" s="3"/>
      <c r="QID187" s="1"/>
      <c r="QIF187" s="16"/>
      <c r="QIG187" s="16"/>
      <c r="QIH187" s="16"/>
      <c r="QII187" s="16"/>
      <c r="QIJ187" s="10"/>
      <c r="QIK187" s="10"/>
      <c r="QIR187" s="3"/>
      <c r="QIT187" s="1"/>
      <c r="QIV187" s="16"/>
      <c r="QIW187" s="16"/>
      <c r="QIX187" s="16"/>
      <c r="QIY187" s="16"/>
      <c r="QIZ187" s="10"/>
      <c r="QJA187" s="10"/>
      <c r="QJH187" s="3"/>
      <c r="QJJ187" s="1"/>
      <c r="QJL187" s="16"/>
      <c r="QJM187" s="16"/>
      <c r="QJN187" s="16"/>
      <c r="QJO187" s="16"/>
      <c r="QJP187" s="10"/>
      <c r="QJQ187" s="10"/>
      <c r="QJX187" s="3"/>
      <c r="QJZ187" s="1"/>
      <c r="QKB187" s="16"/>
      <c r="QKC187" s="16"/>
      <c r="QKD187" s="16"/>
      <c r="QKE187" s="16"/>
      <c r="QKF187" s="10"/>
      <c r="QKG187" s="10"/>
      <c r="QKN187" s="3"/>
      <c r="QKP187" s="1"/>
      <c r="QKR187" s="16"/>
      <c r="QKS187" s="16"/>
      <c r="QKT187" s="16"/>
      <c r="QKU187" s="16"/>
      <c r="QKV187" s="10"/>
      <c r="QKW187" s="10"/>
      <c r="QLD187" s="3"/>
      <c r="QLF187" s="1"/>
      <c r="QLH187" s="16"/>
      <c r="QLI187" s="16"/>
      <c r="QLJ187" s="16"/>
      <c r="QLK187" s="16"/>
      <c r="QLL187" s="10"/>
      <c r="QLM187" s="10"/>
      <c r="QLT187" s="3"/>
      <c r="QLV187" s="1"/>
      <c r="QLX187" s="16"/>
      <c r="QLY187" s="16"/>
      <c r="QLZ187" s="16"/>
      <c r="QMA187" s="16"/>
      <c r="QMB187" s="10"/>
      <c r="QMC187" s="10"/>
      <c r="QMJ187" s="3"/>
      <c r="QML187" s="1"/>
      <c r="QMN187" s="16"/>
      <c r="QMO187" s="16"/>
      <c r="QMP187" s="16"/>
      <c r="QMQ187" s="16"/>
      <c r="QMR187" s="10"/>
      <c r="QMS187" s="10"/>
      <c r="QMZ187" s="3"/>
      <c r="QNB187" s="1"/>
      <c r="QND187" s="16"/>
      <c r="QNE187" s="16"/>
      <c r="QNF187" s="16"/>
      <c r="QNG187" s="16"/>
      <c r="QNH187" s="10"/>
      <c r="QNI187" s="10"/>
      <c r="QNP187" s="3"/>
      <c r="QNR187" s="1"/>
      <c r="QNT187" s="16"/>
      <c r="QNU187" s="16"/>
      <c r="QNV187" s="16"/>
      <c r="QNW187" s="16"/>
      <c r="QNX187" s="10"/>
      <c r="QNY187" s="10"/>
      <c r="QOF187" s="3"/>
      <c r="QOH187" s="1"/>
      <c r="QOJ187" s="16"/>
      <c r="QOK187" s="16"/>
      <c r="QOL187" s="16"/>
      <c r="QOM187" s="16"/>
      <c r="QON187" s="10"/>
      <c r="QOO187" s="10"/>
      <c r="QOV187" s="3"/>
      <c r="QOX187" s="1"/>
      <c r="QOZ187" s="16"/>
      <c r="QPA187" s="16"/>
      <c r="QPB187" s="16"/>
      <c r="QPC187" s="16"/>
      <c r="QPD187" s="10"/>
      <c r="QPE187" s="10"/>
      <c r="QPL187" s="3"/>
      <c r="QPN187" s="1"/>
      <c r="QPP187" s="16"/>
      <c r="QPQ187" s="16"/>
      <c r="QPR187" s="16"/>
      <c r="QPS187" s="16"/>
      <c r="QPT187" s="10"/>
      <c r="QPU187" s="10"/>
      <c r="QQB187" s="3"/>
      <c r="QQD187" s="1"/>
      <c r="QQF187" s="16"/>
      <c r="QQG187" s="16"/>
      <c r="QQH187" s="16"/>
      <c r="QQI187" s="16"/>
      <c r="QQJ187" s="10"/>
      <c r="QQK187" s="10"/>
      <c r="QQR187" s="3"/>
      <c r="QQT187" s="1"/>
      <c r="QQV187" s="16"/>
      <c r="QQW187" s="16"/>
      <c r="QQX187" s="16"/>
      <c r="QQY187" s="16"/>
      <c r="QQZ187" s="10"/>
      <c r="QRA187" s="10"/>
      <c r="QRH187" s="3"/>
      <c r="QRJ187" s="1"/>
      <c r="QRL187" s="16"/>
      <c r="QRM187" s="16"/>
      <c r="QRN187" s="16"/>
      <c r="QRO187" s="16"/>
      <c r="QRP187" s="10"/>
      <c r="QRQ187" s="10"/>
      <c r="QRX187" s="3"/>
      <c r="QRZ187" s="1"/>
      <c r="QSB187" s="16"/>
      <c r="QSC187" s="16"/>
      <c r="QSD187" s="16"/>
      <c r="QSE187" s="16"/>
      <c r="QSF187" s="10"/>
      <c r="QSG187" s="10"/>
      <c r="QSN187" s="3"/>
      <c r="QSP187" s="1"/>
      <c r="QSR187" s="16"/>
      <c r="QSS187" s="16"/>
      <c r="QST187" s="16"/>
      <c r="QSU187" s="16"/>
      <c r="QSV187" s="10"/>
      <c r="QSW187" s="10"/>
      <c r="QTD187" s="3"/>
      <c r="QTF187" s="1"/>
      <c r="QTH187" s="16"/>
      <c r="QTI187" s="16"/>
      <c r="QTJ187" s="16"/>
      <c r="QTK187" s="16"/>
      <c r="QTL187" s="10"/>
      <c r="QTM187" s="10"/>
      <c r="QTT187" s="3"/>
      <c r="QTV187" s="1"/>
      <c r="QTX187" s="16"/>
      <c r="QTY187" s="16"/>
      <c r="QTZ187" s="16"/>
      <c r="QUA187" s="16"/>
      <c r="QUB187" s="10"/>
      <c r="QUC187" s="10"/>
      <c r="QUJ187" s="3"/>
      <c r="QUL187" s="1"/>
      <c r="QUN187" s="16"/>
      <c r="QUO187" s="16"/>
      <c r="QUP187" s="16"/>
      <c r="QUQ187" s="16"/>
      <c r="QUR187" s="10"/>
      <c r="QUS187" s="10"/>
      <c r="QUZ187" s="3"/>
      <c r="QVB187" s="1"/>
      <c r="QVD187" s="16"/>
      <c r="QVE187" s="16"/>
      <c r="QVF187" s="16"/>
      <c r="QVG187" s="16"/>
      <c r="QVH187" s="10"/>
      <c r="QVI187" s="10"/>
      <c r="QVP187" s="3"/>
      <c r="QVR187" s="1"/>
      <c r="QVT187" s="16"/>
      <c r="QVU187" s="16"/>
      <c r="QVV187" s="16"/>
      <c r="QVW187" s="16"/>
      <c r="QVX187" s="10"/>
      <c r="QVY187" s="10"/>
      <c r="QWF187" s="3"/>
      <c r="QWH187" s="1"/>
      <c r="QWJ187" s="16"/>
      <c r="QWK187" s="16"/>
      <c r="QWL187" s="16"/>
      <c r="QWM187" s="16"/>
      <c r="QWN187" s="10"/>
      <c r="QWO187" s="10"/>
      <c r="QWV187" s="3"/>
      <c r="QWX187" s="1"/>
      <c r="QWZ187" s="16"/>
      <c r="QXA187" s="16"/>
      <c r="QXB187" s="16"/>
      <c r="QXC187" s="16"/>
      <c r="QXD187" s="10"/>
      <c r="QXE187" s="10"/>
      <c r="QXL187" s="3"/>
      <c r="QXN187" s="1"/>
      <c r="QXP187" s="16"/>
      <c r="QXQ187" s="16"/>
      <c r="QXR187" s="16"/>
      <c r="QXS187" s="16"/>
      <c r="QXT187" s="10"/>
      <c r="QXU187" s="10"/>
      <c r="QYB187" s="3"/>
      <c r="QYD187" s="1"/>
      <c r="QYF187" s="16"/>
      <c r="QYG187" s="16"/>
      <c r="QYH187" s="16"/>
      <c r="QYI187" s="16"/>
      <c r="QYJ187" s="10"/>
      <c r="QYK187" s="10"/>
      <c r="QYR187" s="3"/>
      <c r="QYT187" s="1"/>
      <c r="QYV187" s="16"/>
      <c r="QYW187" s="16"/>
      <c r="QYX187" s="16"/>
      <c r="QYY187" s="16"/>
      <c r="QYZ187" s="10"/>
      <c r="QZA187" s="10"/>
      <c r="QZH187" s="3"/>
      <c r="QZJ187" s="1"/>
      <c r="QZL187" s="16"/>
      <c r="QZM187" s="16"/>
      <c r="QZN187" s="16"/>
      <c r="QZO187" s="16"/>
      <c r="QZP187" s="10"/>
      <c r="QZQ187" s="10"/>
      <c r="QZX187" s="3"/>
      <c r="QZZ187" s="1"/>
      <c r="RAB187" s="16"/>
      <c r="RAC187" s="16"/>
      <c r="RAD187" s="16"/>
      <c r="RAE187" s="16"/>
      <c r="RAF187" s="10"/>
      <c r="RAG187" s="10"/>
      <c r="RAN187" s="3"/>
      <c r="RAP187" s="1"/>
      <c r="RAR187" s="16"/>
      <c r="RAS187" s="16"/>
      <c r="RAT187" s="16"/>
      <c r="RAU187" s="16"/>
      <c r="RAV187" s="10"/>
      <c r="RAW187" s="10"/>
      <c r="RBD187" s="3"/>
      <c r="RBF187" s="1"/>
      <c r="RBH187" s="16"/>
      <c r="RBI187" s="16"/>
      <c r="RBJ187" s="16"/>
      <c r="RBK187" s="16"/>
      <c r="RBL187" s="10"/>
      <c r="RBM187" s="10"/>
      <c r="RBT187" s="3"/>
      <c r="RBV187" s="1"/>
      <c r="RBX187" s="16"/>
      <c r="RBY187" s="16"/>
      <c r="RBZ187" s="16"/>
      <c r="RCA187" s="16"/>
      <c r="RCB187" s="10"/>
      <c r="RCC187" s="10"/>
      <c r="RCJ187" s="3"/>
      <c r="RCL187" s="1"/>
      <c r="RCN187" s="16"/>
      <c r="RCO187" s="16"/>
      <c r="RCP187" s="16"/>
      <c r="RCQ187" s="16"/>
      <c r="RCR187" s="10"/>
      <c r="RCS187" s="10"/>
      <c r="RCZ187" s="3"/>
      <c r="RDB187" s="1"/>
      <c r="RDD187" s="16"/>
      <c r="RDE187" s="16"/>
      <c r="RDF187" s="16"/>
      <c r="RDG187" s="16"/>
      <c r="RDH187" s="10"/>
      <c r="RDI187" s="10"/>
      <c r="RDP187" s="3"/>
      <c r="RDR187" s="1"/>
      <c r="RDT187" s="16"/>
      <c r="RDU187" s="16"/>
      <c r="RDV187" s="16"/>
      <c r="RDW187" s="16"/>
      <c r="RDX187" s="10"/>
      <c r="RDY187" s="10"/>
      <c r="REF187" s="3"/>
      <c r="REH187" s="1"/>
      <c r="REJ187" s="16"/>
      <c r="REK187" s="16"/>
      <c r="REL187" s="16"/>
      <c r="REM187" s="16"/>
      <c r="REN187" s="10"/>
      <c r="REO187" s="10"/>
      <c r="REV187" s="3"/>
      <c r="REX187" s="1"/>
      <c r="REZ187" s="16"/>
      <c r="RFA187" s="16"/>
      <c r="RFB187" s="16"/>
      <c r="RFC187" s="16"/>
      <c r="RFD187" s="10"/>
      <c r="RFE187" s="10"/>
      <c r="RFL187" s="3"/>
      <c r="RFN187" s="1"/>
      <c r="RFP187" s="16"/>
      <c r="RFQ187" s="16"/>
      <c r="RFR187" s="16"/>
      <c r="RFS187" s="16"/>
      <c r="RFT187" s="10"/>
      <c r="RFU187" s="10"/>
      <c r="RGB187" s="3"/>
      <c r="RGD187" s="1"/>
      <c r="RGF187" s="16"/>
      <c r="RGG187" s="16"/>
      <c r="RGH187" s="16"/>
      <c r="RGI187" s="16"/>
      <c r="RGJ187" s="10"/>
      <c r="RGK187" s="10"/>
      <c r="RGR187" s="3"/>
      <c r="RGT187" s="1"/>
      <c r="RGV187" s="16"/>
      <c r="RGW187" s="16"/>
      <c r="RGX187" s="16"/>
      <c r="RGY187" s="16"/>
      <c r="RGZ187" s="10"/>
      <c r="RHA187" s="10"/>
      <c r="RHH187" s="3"/>
      <c r="RHJ187" s="1"/>
      <c r="RHL187" s="16"/>
      <c r="RHM187" s="16"/>
      <c r="RHN187" s="16"/>
      <c r="RHO187" s="16"/>
      <c r="RHP187" s="10"/>
      <c r="RHQ187" s="10"/>
      <c r="RHX187" s="3"/>
      <c r="RHZ187" s="1"/>
      <c r="RIB187" s="16"/>
      <c r="RIC187" s="16"/>
      <c r="RID187" s="16"/>
      <c r="RIE187" s="16"/>
      <c r="RIF187" s="10"/>
      <c r="RIG187" s="10"/>
      <c r="RIN187" s="3"/>
      <c r="RIP187" s="1"/>
      <c r="RIR187" s="16"/>
      <c r="RIS187" s="16"/>
      <c r="RIT187" s="16"/>
      <c r="RIU187" s="16"/>
      <c r="RIV187" s="10"/>
      <c r="RIW187" s="10"/>
      <c r="RJD187" s="3"/>
      <c r="RJF187" s="1"/>
      <c r="RJH187" s="16"/>
      <c r="RJI187" s="16"/>
      <c r="RJJ187" s="16"/>
      <c r="RJK187" s="16"/>
      <c r="RJL187" s="10"/>
      <c r="RJM187" s="10"/>
      <c r="RJT187" s="3"/>
      <c r="RJV187" s="1"/>
      <c r="RJX187" s="16"/>
      <c r="RJY187" s="16"/>
      <c r="RJZ187" s="16"/>
      <c r="RKA187" s="16"/>
      <c r="RKB187" s="10"/>
      <c r="RKC187" s="10"/>
      <c r="RKJ187" s="3"/>
      <c r="RKL187" s="1"/>
      <c r="RKN187" s="16"/>
      <c r="RKO187" s="16"/>
      <c r="RKP187" s="16"/>
      <c r="RKQ187" s="16"/>
      <c r="RKR187" s="10"/>
      <c r="RKS187" s="10"/>
      <c r="RKZ187" s="3"/>
      <c r="RLB187" s="1"/>
      <c r="RLD187" s="16"/>
      <c r="RLE187" s="16"/>
      <c r="RLF187" s="16"/>
      <c r="RLG187" s="16"/>
      <c r="RLH187" s="10"/>
      <c r="RLI187" s="10"/>
      <c r="RLP187" s="3"/>
      <c r="RLR187" s="1"/>
      <c r="RLT187" s="16"/>
      <c r="RLU187" s="16"/>
      <c r="RLV187" s="16"/>
      <c r="RLW187" s="16"/>
      <c r="RLX187" s="10"/>
      <c r="RLY187" s="10"/>
      <c r="RMF187" s="3"/>
      <c r="RMH187" s="1"/>
      <c r="RMJ187" s="16"/>
      <c r="RMK187" s="16"/>
      <c r="RML187" s="16"/>
      <c r="RMM187" s="16"/>
      <c r="RMN187" s="10"/>
      <c r="RMO187" s="10"/>
      <c r="RMV187" s="3"/>
      <c r="RMX187" s="1"/>
      <c r="RMZ187" s="16"/>
      <c r="RNA187" s="16"/>
      <c r="RNB187" s="16"/>
      <c r="RNC187" s="16"/>
      <c r="RND187" s="10"/>
      <c r="RNE187" s="10"/>
      <c r="RNL187" s="3"/>
      <c r="RNN187" s="1"/>
      <c r="RNP187" s="16"/>
      <c r="RNQ187" s="16"/>
      <c r="RNR187" s="16"/>
      <c r="RNS187" s="16"/>
      <c r="RNT187" s="10"/>
      <c r="RNU187" s="10"/>
      <c r="ROB187" s="3"/>
      <c r="ROD187" s="1"/>
      <c r="ROF187" s="16"/>
      <c r="ROG187" s="16"/>
      <c r="ROH187" s="16"/>
      <c r="ROI187" s="16"/>
      <c r="ROJ187" s="10"/>
      <c r="ROK187" s="10"/>
      <c r="ROR187" s="3"/>
      <c r="ROT187" s="1"/>
      <c r="ROV187" s="16"/>
      <c r="ROW187" s="16"/>
      <c r="ROX187" s="16"/>
      <c r="ROY187" s="16"/>
      <c r="ROZ187" s="10"/>
      <c r="RPA187" s="10"/>
      <c r="RPH187" s="3"/>
      <c r="RPJ187" s="1"/>
      <c r="RPL187" s="16"/>
      <c r="RPM187" s="16"/>
      <c r="RPN187" s="16"/>
      <c r="RPO187" s="16"/>
      <c r="RPP187" s="10"/>
      <c r="RPQ187" s="10"/>
      <c r="RPX187" s="3"/>
      <c r="RPZ187" s="1"/>
      <c r="RQB187" s="16"/>
      <c r="RQC187" s="16"/>
      <c r="RQD187" s="16"/>
      <c r="RQE187" s="16"/>
      <c r="RQF187" s="10"/>
      <c r="RQG187" s="10"/>
      <c r="RQN187" s="3"/>
      <c r="RQP187" s="1"/>
      <c r="RQR187" s="16"/>
      <c r="RQS187" s="16"/>
      <c r="RQT187" s="16"/>
      <c r="RQU187" s="16"/>
      <c r="RQV187" s="10"/>
      <c r="RQW187" s="10"/>
      <c r="RRD187" s="3"/>
      <c r="RRF187" s="1"/>
      <c r="RRH187" s="16"/>
      <c r="RRI187" s="16"/>
      <c r="RRJ187" s="16"/>
      <c r="RRK187" s="16"/>
      <c r="RRL187" s="10"/>
      <c r="RRM187" s="10"/>
      <c r="RRT187" s="3"/>
      <c r="RRV187" s="1"/>
      <c r="RRX187" s="16"/>
      <c r="RRY187" s="16"/>
      <c r="RRZ187" s="16"/>
      <c r="RSA187" s="16"/>
      <c r="RSB187" s="10"/>
      <c r="RSC187" s="10"/>
      <c r="RSJ187" s="3"/>
      <c r="RSL187" s="1"/>
      <c r="RSN187" s="16"/>
      <c r="RSO187" s="16"/>
      <c r="RSP187" s="16"/>
      <c r="RSQ187" s="16"/>
      <c r="RSR187" s="10"/>
      <c r="RSS187" s="10"/>
      <c r="RSZ187" s="3"/>
      <c r="RTB187" s="1"/>
      <c r="RTD187" s="16"/>
      <c r="RTE187" s="16"/>
      <c r="RTF187" s="16"/>
      <c r="RTG187" s="16"/>
      <c r="RTH187" s="10"/>
      <c r="RTI187" s="10"/>
      <c r="RTP187" s="3"/>
      <c r="RTR187" s="1"/>
      <c r="RTT187" s="16"/>
      <c r="RTU187" s="16"/>
      <c r="RTV187" s="16"/>
      <c r="RTW187" s="16"/>
      <c r="RTX187" s="10"/>
      <c r="RTY187" s="10"/>
      <c r="RUF187" s="3"/>
      <c r="RUH187" s="1"/>
      <c r="RUJ187" s="16"/>
      <c r="RUK187" s="16"/>
      <c r="RUL187" s="16"/>
      <c r="RUM187" s="16"/>
      <c r="RUN187" s="10"/>
      <c r="RUO187" s="10"/>
      <c r="RUV187" s="3"/>
      <c r="RUX187" s="1"/>
      <c r="RUZ187" s="16"/>
      <c r="RVA187" s="16"/>
      <c r="RVB187" s="16"/>
      <c r="RVC187" s="16"/>
      <c r="RVD187" s="10"/>
      <c r="RVE187" s="10"/>
      <c r="RVL187" s="3"/>
      <c r="RVN187" s="1"/>
      <c r="RVP187" s="16"/>
      <c r="RVQ187" s="16"/>
      <c r="RVR187" s="16"/>
      <c r="RVS187" s="16"/>
      <c r="RVT187" s="10"/>
      <c r="RVU187" s="10"/>
      <c r="RWB187" s="3"/>
      <c r="RWD187" s="1"/>
      <c r="RWF187" s="16"/>
      <c r="RWG187" s="16"/>
      <c r="RWH187" s="16"/>
      <c r="RWI187" s="16"/>
      <c r="RWJ187" s="10"/>
      <c r="RWK187" s="10"/>
      <c r="RWR187" s="3"/>
      <c r="RWT187" s="1"/>
      <c r="RWV187" s="16"/>
      <c r="RWW187" s="16"/>
      <c r="RWX187" s="16"/>
      <c r="RWY187" s="16"/>
      <c r="RWZ187" s="10"/>
      <c r="RXA187" s="10"/>
      <c r="RXH187" s="3"/>
      <c r="RXJ187" s="1"/>
      <c r="RXL187" s="16"/>
      <c r="RXM187" s="16"/>
      <c r="RXN187" s="16"/>
      <c r="RXO187" s="16"/>
      <c r="RXP187" s="10"/>
      <c r="RXQ187" s="10"/>
      <c r="RXX187" s="3"/>
      <c r="RXZ187" s="1"/>
      <c r="RYB187" s="16"/>
      <c r="RYC187" s="16"/>
      <c r="RYD187" s="16"/>
      <c r="RYE187" s="16"/>
      <c r="RYF187" s="10"/>
      <c r="RYG187" s="10"/>
      <c r="RYN187" s="3"/>
      <c r="RYP187" s="1"/>
      <c r="RYR187" s="16"/>
      <c r="RYS187" s="16"/>
      <c r="RYT187" s="16"/>
      <c r="RYU187" s="16"/>
      <c r="RYV187" s="10"/>
      <c r="RYW187" s="10"/>
      <c r="RZD187" s="3"/>
      <c r="RZF187" s="1"/>
      <c r="RZH187" s="16"/>
      <c r="RZI187" s="16"/>
      <c r="RZJ187" s="16"/>
      <c r="RZK187" s="16"/>
      <c r="RZL187" s="10"/>
      <c r="RZM187" s="10"/>
      <c r="RZT187" s="3"/>
      <c r="RZV187" s="1"/>
      <c r="RZX187" s="16"/>
      <c r="RZY187" s="16"/>
      <c r="RZZ187" s="16"/>
      <c r="SAA187" s="16"/>
      <c r="SAB187" s="10"/>
      <c r="SAC187" s="10"/>
      <c r="SAJ187" s="3"/>
      <c r="SAL187" s="1"/>
      <c r="SAN187" s="16"/>
      <c r="SAO187" s="16"/>
      <c r="SAP187" s="16"/>
      <c r="SAQ187" s="16"/>
      <c r="SAR187" s="10"/>
      <c r="SAS187" s="10"/>
      <c r="SAZ187" s="3"/>
      <c r="SBB187" s="1"/>
      <c r="SBD187" s="16"/>
      <c r="SBE187" s="16"/>
      <c r="SBF187" s="16"/>
      <c r="SBG187" s="16"/>
      <c r="SBH187" s="10"/>
      <c r="SBI187" s="10"/>
      <c r="SBP187" s="3"/>
      <c r="SBR187" s="1"/>
      <c r="SBT187" s="16"/>
      <c r="SBU187" s="16"/>
      <c r="SBV187" s="16"/>
      <c r="SBW187" s="16"/>
      <c r="SBX187" s="10"/>
      <c r="SBY187" s="10"/>
      <c r="SCF187" s="3"/>
      <c r="SCH187" s="1"/>
      <c r="SCJ187" s="16"/>
      <c r="SCK187" s="16"/>
      <c r="SCL187" s="16"/>
      <c r="SCM187" s="16"/>
      <c r="SCN187" s="10"/>
      <c r="SCO187" s="10"/>
      <c r="SCV187" s="3"/>
      <c r="SCX187" s="1"/>
      <c r="SCZ187" s="16"/>
      <c r="SDA187" s="16"/>
      <c r="SDB187" s="16"/>
      <c r="SDC187" s="16"/>
      <c r="SDD187" s="10"/>
      <c r="SDE187" s="10"/>
      <c r="SDL187" s="3"/>
      <c r="SDN187" s="1"/>
      <c r="SDP187" s="16"/>
      <c r="SDQ187" s="16"/>
      <c r="SDR187" s="16"/>
      <c r="SDS187" s="16"/>
      <c r="SDT187" s="10"/>
      <c r="SDU187" s="10"/>
      <c r="SEB187" s="3"/>
      <c r="SED187" s="1"/>
      <c r="SEF187" s="16"/>
      <c r="SEG187" s="16"/>
      <c r="SEH187" s="16"/>
      <c r="SEI187" s="16"/>
      <c r="SEJ187" s="10"/>
      <c r="SEK187" s="10"/>
      <c r="SER187" s="3"/>
      <c r="SET187" s="1"/>
      <c r="SEV187" s="16"/>
      <c r="SEW187" s="16"/>
      <c r="SEX187" s="16"/>
      <c r="SEY187" s="16"/>
      <c r="SEZ187" s="10"/>
      <c r="SFA187" s="10"/>
      <c r="SFH187" s="3"/>
      <c r="SFJ187" s="1"/>
      <c r="SFL187" s="16"/>
      <c r="SFM187" s="16"/>
      <c r="SFN187" s="16"/>
      <c r="SFO187" s="16"/>
      <c r="SFP187" s="10"/>
      <c r="SFQ187" s="10"/>
      <c r="SFX187" s="3"/>
      <c r="SFZ187" s="1"/>
      <c r="SGB187" s="16"/>
      <c r="SGC187" s="16"/>
      <c r="SGD187" s="16"/>
      <c r="SGE187" s="16"/>
      <c r="SGF187" s="10"/>
      <c r="SGG187" s="10"/>
      <c r="SGN187" s="3"/>
      <c r="SGP187" s="1"/>
      <c r="SGR187" s="16"/>
      <c r="SGS187" s="16"/>
      <c r="SGT187" s="16"/>
      <c r="SGU187" s="16"/>
      <c r="SGV187" s="10"/>
      <c r="SGW187" s="10"/>
      <c r="SHD187" s="3"/>
      <c r="SHF187" s="1"/>
      <c r="SHH187" s="16"/>
      <c r="SHI187" s="16"/>
      <c r="SHJ187" s="16"/>
      <c r="SHK187" s="16"/>
      <c r="SHL187" s="10"/>
      <c r="SHM187" s="10"/>
      <c r="SHT187" s="3"/>
      <c r="SHV187" s="1"/>
      <c r="SHX187" s="16"/>
      <c r="SHY187" s="16"/>
      <c r="SHZ187" s="16"/>
      <c r="SIA187" s="16"/>
      <c r="SIB187" s="10"/>
      <c r="SIC187" s="10"/>
      <c r="SIJ187" s="3"/>
      <c r="SIL187" s="1"/>
      <c r="SIN187" s="16"/>
      <c r="SIO187" s="16"/>
      <c r="SIP187" s="16"/>
      <c r="SIQ187" s="16"/>
      <c r="SIR187" s="10"/>
      <c r="SIS187" s="10"/>
      <c r="SIZ187" s="3"/>
      <c r="SJB187" s="1"/>
      <c r="SJD187" s="16"/>
      <c r="SJE187" s="16"/>
      <c r="SJF187" s="16"/>
      <c r="SJG187" s="16"/>
      <c r="SJH187" s="10"/>
      <c r="SJI187" s="10"/>
      <c r="SJP187" s="3"/>
      <c r="SJR187" s="1"/>
      <c r="SJT187" s="16"/>
      <c r="SJU187" s="16"/>
      <c r="SJV187" s="16"/>
      <c r="SJW187" s="16"/>
      <c r="SJX187" s="10"/>
      <c r="SJY187" s="10"/>
      <c r="SKF187" s="3"/>
      <c r="SKH187" s="1"/>
      <c r="SKJ187" s="16"/>
      <c r="SKK187" s="16"/>
      <c r="SKL187" s="16"/>
      <c r="SKM187" s="16"/>
      <c r="SKN187" s="10"/>
      <c r="SKO187" s="10"/>
      <c r="SKV187" s="3"/>
      <c r="SKX187" s="1"/>
      <c r="SKZ187" s="16"/>
      <c r="SLA187" s="16"/>
      <c r="SLB187" s="16"/>
      <c r="SLC187" s="16"/>
      <c r="SLD187" s="10"/>
      <c r="SLE187" s="10"/>
      <c r="SLL187" s="3"/>
      <c r="SLN187" s="1"/>
      <c r="SLP187" s="16"/>
      <c r="SLQ187" s="16"/>
      <c r="SLR187" s="16"/>
      <c r="SLS187" s="16"/>
      <c r="SLT187" s="10"/>
      <c r="SLU187" s="10"/>
      <c r="SMB187" s="3"/>
      <c r="SMD187" s="1"/>
      <c r="SMF187" s="16"/>
      <c r="SMG187" s="16"/>
      <c r="SMH187" s="16"/>
      <c r="SMI187" s="16"/>
      <c r="SMJ187" s="10"/>
      <c r="SMK187" s="10"/>
      <c r="SMR187" s="3"/>
      <c r="SMT187" s="1"/>
      <c r="SMV187" s="16"/>
      <c r="SMW187" s="16"/>
      <c r="SMX187" s="16"/>
      <c r="SMY187" s="16"/>
      <c r="SMZ187" s="10"/>
      <c r="SNA187" s="10"/>
      <c r="SNH187" s="3"/>
      <c r="SNJ187" s="1"/>
      <c r="SNL187" s="16"/>
      <c r="SNM187" s="16"/>
      <c r="SNN187" s="16"/>
      <c r="SNO187" s="16"/>
      <c r="SNP187" s="10"/>
      <c r="SNQ187" s="10"/>
      <c r="SNX187" s="3"/>
      <c r="SNZ187" s="1"/>
      <c r="SOB187" s="16"/>
      <c r="SOC187" s="16"/>
      <c r="SOD187" s="16"/>
      <c r="SOE187" s="16"/>
      <c r="SOF187" s="10"/>
      <c r="SOG187" s="10"/>
      <c r="SON187" s="3"/>
      <c r="SOP187" s="1"/>
      <c r="SOR187" s="16"/>
      <c r="SOS187" s="16"/>
      <c r="SOT187" s="16"/>
      <c r="SOU187" s="16"/>
      <c r="SOV187" s="10"/>
      <c r="SOW187" s="10"/>
      <c r="SPD187" s="3"/>
      <c r="SPF187" s="1"/>
      <c r="SPH187" s="16"/>
      <c r="SPI187" s="16"/>
      <c r="SPJ187" s="16"/>
      <c r="SPK187" s="16"/>
      <c r="SPL187" s="10"/>
      <c r="SPM187" s="10"/>
      <c r="SPT187" s="3"/>
      <c r="SPV187" s="1"/>
      <c r="SPX187" s="16"/>
      <c r="SPY187" s="16"/>
      <c r="SPZ187" s="16"/>
      <c r="SQA187" s="16"/>
      <c r="SQB187" s="10"/>
      <c r="SQC187" s="10"/>
      <c r="SQJ187" s="3"/>
      <c r="SQL187" s="1"/>
      <c r="SQN187" s="16"/>
      <c r="SQO187" s="16"/>
      <c r="SQP187" s="16"/>
      <c r="SQQ187" s="16"/>
      <c r="SQR187" s="10"/>
      <c r="SQS187" s="10"/>
      <c r="SQZ187" s="3"/>
      <c r="SRB187" s="1"/>
      <c r="SRD187" s="16"/>
      <c r="SRE187" s="16"/>
      <c r="SRF187" s="16"/>
      <c r="SRG187" s="16"/>
      <c r="SRH187" s="10"/>
      <c r="SRI187" s="10"/>
      <c r="SRP187" s="3"/>
      <c r="SRR187" s="1"/>
      <c r="SRT187" s="16"/>
      <c r="SRU187" s="16"/>
      <c r="SRV187" s="16"/>
      <c r="SRW187" s="16"/>
      <c r="SRX187" s="10"/>
      <c r="SRY187" s="10"/>
      <c r="SSF187" s="3"/>
      <c r="SSH187" s="1"/>
      <c r="SSJ187" s="16"/>
      <c r="SSK187" s="16"/>
      <c r="SSL187" s="16"/>
      <c r="SSM187" s="16"/>
      <c r="SSN187" s="10"/>
      <c r="SSO187" s="10"/>
      <c r="SSV187" s="3"/>
      <c r="SSX187" s="1"/>
      <c r="SSZ187" s="16"/>
      <c r="STA187" s="16"/>
      <c r="STB187" s="16"/>
      <c r="STC187" s="16"/>
      <c r="STD187" s="10"/>
      <c r="STE187" s="10"/>
      <c r="STL187" s="3"/>
      <c r="STN187" s="1"/>
      <c r="STP187" s="16"/>
      <c r="STQ187" s="16"/>
      <c r="STR187" s="16"/>
      <c r="STS187" s="16"/>
      <c r="STT187" s="10"/>
      <c r="STU187" s="10"/>
      <c r="SUB187" s="3"/>
      <c r="SUD187" s="1"/>
      <c r="SUF187" s="16"/>
      <c r="SUG187" s="16"/>
      <c r="SUH187" s="16"/>
      <c r="SUI187" s="16"/>
      <c r="SUJ187" s="10"/>
      <c r="SUK187" s="10"/>
      <c r="SUR187" s="3"/>
      <c r="SUT187" s="1"/>
      <c r="SUV187" s="16"/>
      <c r="SUW187" s="16"/>
      <c r="SUX187" s="16"/>
      <c r="SUY187" s="16"/>
      <c r="SUZ187" s="10"/>
      <c r="SVA187" s="10"/>
      <c r="SVH187" s="3"/>
      <c r="SVJ187" s="1"/>
      <c r="SVL187" s="16"/>
      <c r="SVM187" s="16"/>
      <c r="SVN187" s="16"/>
      <c r="SVO187" s="16"/>
      <c r="SVP187" s="10"/>
      <c r="SVQ187" s="10"/>
      <c r="SVX187" s="3"/>
      <c r="SVZ187" s="1"/>
      <c r="SWB187" s="16"/>
      <c r="SWC187" s="16"/>
      <c r="SWD187" s="16"/>
      <c r="SWE187" s="16"/>
      <c r="SWF187" s="10"/>
      <c r="SWG187" s="10"/>
      <c r="SWN187" s="3"/>
      <c r="SWP187" s="1"/>
      <c r="SWR187" s="16"/>
      <c r="SWS187" s="16"/>
      <c r="SWT187" s="16"/>
      <c r="SWU187" s="16"/>
      <c r="SWV187" s="10"/>
      <c r="SWW187" s="10"/>
      <c r="SXD187" s="3"/>
      <c r="SXF187" s="1"/>
      <c r="SXH187" s="16"/>
      <c r="SXI187" s="16"/>
      <c r="SXJ187" s="16"/>
      <c r="SXK187" s="16"/>
      <c r="SXL187" s="10"/>
      <c r="SXM187" s="10"/>
      <c r="SXT187" s="3"/>
      <c r="SXV187" s="1"/>
      <c r="SXX187" s="16"/>
      <c r="SXY187" s="16"/>
      <c r="SXZ187" s="16"/>
      <c r="SYA187" s="16"/>
      <c r="SYB187" s="10"/>
      <c r="SYC187" s="10"/>
      <c r="SYJ187" s="3"/>
      <c r="SYL187" s="1"/>
      <c r="SYN187" s="16"/>
      <c r="SYO187" s="16"/>
      <c r="SYP187" s="16"/>
      <c r="SYQ187" s="16"/>
      <c r="SYR187" s="10"/>
      <c r="SYS187" s="10"/>
      <c r="SYZ187" s="3"/>
      <c r="SZB187" s="1"/>
      <c r="SZD187" s="16"/>
      <c r="SZE187" s="16"/>
      <c r="SZF187" s="16"/>
      <c r="SZG187" s="16"/>
      <c r="SZH187" s="10"/>
      <c r="SZI187" s="10"/>
      <c r="SZP187" s="3"/>
      <c r="SZR187" s="1"/>
      <c r="SZT187" s="16"/>
      <c r="SZU187" s="16"/>
      <c r="SZV187" s="16"/>
      <c r="SZW187" s="16"/>
      <c r="SZX187" s="10"/>
      <c r="SZY187" s="10"/>
      <c r="TAF187" s="3"/>
      <c r="TAH187" s="1"/>
      <c r="TAJ187" s="16"/>
      <c r="TAK187" s="16"/>
      <c r="TAL187" s="16"/>
      <c r="TAM187" s="16"/>
      <c r="TAN187" s="10"/>
      <c r="TAO187" s="10"/>
      <c r="TAV187" s="3"/>
      <c r="TAX187" s="1"/>
      <c r="TAZ187" s="16"/>
      <c r="TBA187" s="16"/>
      <c r="TBB187" s="16"/>
      <c r="TBC187" s="16"/>
      <c r="TBD187" s="10"/>
      <c r="TBE187" s="10"/>
      <c r="TBL187" s="3"/>
      <c r="TBN187" s="1"/>
      <c r="TBP187" s="16"/>
      <c r="TBQ187" s="16"/>
      <c r="TBR187" s="16"/>
      <c r="TBS187" s="16"/>
      <c r="TBT187" s="10"/>
      <c r="TBU187" s="10"/>
      <c r="TCB187" s="3"/>
      <c r="TCD187" s="1"/>
      <c r="TCF187" s="16"/>
      <c r="TCG187" s="16"/>
      <c r="TCH187" s="16"/>
      <c r="TCI187" s="16"/>
      <c r="TCJ187" s="10"/>
      <c r="TCK187" s="10"/>
      <c r="TCR187" s="3"/>
      <c r="TCT187" s="1"/>
      <c r="TCV187" s="16"/>
      <c r="TCW187" s="16"/>
      <c r="TCX187" s="16"/>
      <c r="TCY187" s="16"/>
      <c r="TCZ187" s="10"/>
      <c r="TDA187" s="10"/>
      <c r="TDH187" s="3"/>
      <c r="TDJ187" s="1"/>
      <c r="TDL187" s="16"/>
      <c r="TDM187" s="16"/>
      <c r="TDN187" s="16"/>
      <c r="TDO187" s="16"/>
      <c r="TDP187" s="10"/>
      <c r="TDQ187" s="10"/>
      <c r="TDX187" s="3"/>
      <c r="TDZ187" s="1"/>
      <c r="TEB187" s="16"/>
      <c r="TEC187" s="16"/>
      <c r="TED187" s="16"/>
      <c r="TEE187" s="16"/>
      <c r="TEF187" s="10"/>
      <c r="TEG187" s="10"/>
      <c r="TEN187" s="3"/>
      <c r="TEP187" s="1"/>
      <c r="TER187" s="16"/>
      <c r="TES187" s="16"/>
      <c r="TET187" s="16"/>
      <c r="TEU187" s="16"/>
      <c r="TEV187" s="10"/>
      <c r="TEW187" s="10"/>
      <c r="TFD187" s="3"/>
      <c r="TFF187" s="1"/>
      <c r="TFH187" s="16"/>
      <c r="TFI187" s="16"/>
      <c r="TFJ187" s="16"/>
      <c r="TFK187" s="16"/>
      <c r="TFL187" s="10"/>
      <c r="TFM187" s="10"/>
      <c r="TFT187" s="3"/>
      <c r="TFV187" s="1"/>
      <c r="TFX187" s="16"/>
      <c r="TFY187" s="16"/>
      <c r="TFZ187" s="16"/>
      <c r="TGA187" s="16"/>
      <c r="TGB187" s="10"/>
      <c r="TGC187" s="10"/>
      <c r="TGJ187" s="3"/>
      <c r="TGL187" s="1"/>
      <c r="TGN187" s="16"/>
      <c r="TGO187" s="16"/>
      <c r="TGP187" s="16"/>
      <c r="TGQ187" s="16"/>
      <c r="TGR187" s="10"/>
      <c r="TGS187" s="10"/>
      <c r="TGZ187" s="3"/>
      <c r="THB187" s="1"/>
      <c r="THD187" s="16"/>
      <c r="THE187" s="16"/>
      <c r="THF187" s="16"/>
      <c r="THG187" s="16"/>
      <c r="THH187" s="10"/>
      <c r="THI187" s="10"/>
      <c r="THP187" s="3"/>
      <c r="THR187" s="1"/>
      <c r="THT187" s="16"/>
      <c r="THU187" s="16"/>
      <c r="THV187" s="16"/>
      <c r="THW187" s="16"/>
      <c r="THX187" s="10"/>
      <c r="THY187" s="10"/>
      <c r="TIF187" s="3"/>
      <c r="TIH187" s="1"/>
      <c r="TIJ187" s="16"/>
      <c r="TIK187" s="16"/>
      <c r="TIL187" s="16"/>
      <c r="TIM187" s="16"/>
      <c r="TIN187" s="10"/>
      <c r="TIO187" s="10"/>
      <c r="TIV187" s="3"/>
      <c r="TIX187" s="1"/>
      <c r="TIZ187" s="16"/>
      <c r="TJA187" s="16"/>
      <c r="TJB187" s="16"/>
      <c r="TJC187" s="16"/>
      <c r="TJD187" s="10"/>
      <c r="TJE187" s="10"/>
      <c r="TJL187" s="3"/>
      <c r="TJN187" s="1"/>
      <c r="TJP187" s="16"/>
      <c r="TJQ187" s="16"/>
      <c r="TJR187" s="16"/>
      <c r="TJS187" s="16"/>
      <c r="TJT187" s="10"/>
      <c r="TJU187" s="10"/>
      <c r="TKB187" s="3"/>
      <c r="TKD187" s="1"/>
      <c r="TKF187" s="16"/>
      <c r="TKG187" s="16"/>
      <c r="TKH187" s="16"/>
      <c r="TKI187" s="16"/>
      <c r="TKJ187" s="10"/>
      <c r="TKK187" s="10"/>
      <c r="TKR187" s="3"/>
      <c r="TKT187" s="1"/>
      <c r="TKV187" s="16"/>
      <c r="TKW187" s="16"/>
      <c r="TKX187" s="16"/>
      <c r="TKY187" s="16"/>
      <c r="TKZ187" s="10"/>
      <c r="TLA187" s="10"/>
      <c r="TLH187" s="3"/>
      <c r="TLJ187" s="1"/>
      <c r="TLL187" s="16"/>
      <c r="TLM187" s="16"/>
      <c r="TLN187" s="16"/>
      <c r="TLO187" s="16"/>
      <c r="TLP187" s="10"/>
      <c r="TLQ187" s="10"/>
      <c r="TLX187" s="3"/>
      <c r="TLZ187" s="1"/>
      <c r="TMB187" s="16"/>
      <c r="TMC187" s="16"/>
      <c r="TMD187" s="16"/>
      <c r="TME187" s="16"/>
      <c r="TMF187" s="10"/>
      <c r="TMG187" s="10"/>
      <c r="TMN187" s="3"/>
      <c r="TMP187" s="1"/>
      <c r="TMR187" s="16"/>
      <c r="TMS187" s="16"/>
      <c r="TMT187" s="16"/>
      <c r="TMU187" s="16"/>
      <c r="TMV187" s="10"/>
      <c r="TMW187" s="10"/>
      <c r="TND187" s="3"/>
      <c r="TNF187" s="1"/>
      <c r="TNH187" s="16"/>
      <c r="TNI187" s="16"/>
      <c r="TNJ187" s="16"/>
      <c r="TNK187" s="16"/>
      <c r="TNL187" s="10"/>
      <c r="TNM187" s="10"/>
      <c r="TNT187" s="3"/>
      <c r="TNV187" s="1"/>
      <c r="TNX187" s="16"/>
      <c r="TNY187" s="16"/>
      <c r="TNZ187" s="16"/>
      <c r="TOA187" s="16"/>
      <c r="TOB187" s="10"/>
      <c r="TOC187" s="10"/>
      <c r="TOJ187" s="3"/>
      <c r="TOL187" s="1"/>
      <c r="TON187" s="16"/>
      <c r="TOO187" s="16"/>
      <c r="TOP187" s="16"/>
      <c r="TOQ187" s="16"/>
      <c r="TOR187" s="10"/>
      <c r="TOS187" s="10"/>
      <c r="TOZ187" s="3"/>
      <c r="TPB187" s="1"/>
      <c r="TPD187" s="16"/>
      <c r="TPE187" s="16"/>
      <c r="TPF187" s="16"/>
      <c r="TPG187" s="16"/>
      <c r="TPH187" s="10"/>
      <c r="TPI187" s="10"/>
      <c r="TPP187" s="3"/>
      <c r="TPR187" s="1"/>
      <c r="TPT187" s="16"/>
      <c r="TPU187" s="16"/>
      <c r="TPV187" s="16"/>
      <c r="TPW187" s="16"/>
      <c r="TPX187" s="10"/>
      <c r="TPY187" s="10"/>
      <c r="TQF187" s="3"/>
      <c r="TQH187" s="1"/>
      <c r="TQJ187" s="16"/>
      <c r="TQK187" s="16"/>
      <c r="TQL187" s="16"/>
      <c r="TQM187" s="16"/>
      <c r="TQN187" s="10"/>
      <c r="TQO187" s="10"/>
      <c r="TQV187" s="3"/>
      <c r="TQX187" s="1"/>
      <c r="TQZ187" s="16"/>
      <c r="TRA187" s="16"/>
      <c r="TRB187" s="16"/>
      <c r="TRC187" s="16"/>
      <c r="TRD187" s="10"/>
      <c r="TRE187" s="10"/>
      <c r="TRL187" s="3"/>
      <c r="TRN187" s="1"/>
      <c r="TRP187" s="16"/>
      <c r="TRQ187" s="16"/>
      <c r="TRR187" s="16"/>
      <c r="TRS187" s="16"/>
      <c r="TRT187" s="10"/>
      <c r="TRU187" s="10"/>
      <c r="TSB187" s="3"/>
      <c r="TSD187" s="1"/>
      <c r="TSF187" s="16"/>
      <c r="TSG187" s="16"/>
      <c r="TSH187" s="16"/>
      <c r="TSI187" s="16"/>
      <c r="TSJ187" s="10"/>
      <c r="TSK187" s="10"/>
      <c r="TSR187" s="3"/>
      <c r="TST187" s="1"/>
      <c r="TSV187" s="16"/>
      <c r="TSW187" s="16"/>
      <c r="TSX187" s="16"/>
      <c r="TSY187" s="16"/>
      <c r="TSZ187" s="10"/>
      <c r="TTA187" s="10"/>
      <c r="TTH187" s="3"/>
      <c r="TTJ187" s="1"/>
      <c r="TTL187" s="16"/>
      <c r="TTM187" s="16"/>
      <c r="TTN187" s="16"/>
      <c r="TTO187" s="16"/>
      <c r="TTP187" s="10"/>
      <c r="TTQ187" s="10"/>
      <c r="TTX187" s="3"/>
      <c r="TTZ187" s="1"/>
      <c r="TUB187" s="16"/>
      <c r="TUC187" s="16"/>
      <c r="TUD187" s="16"/>
      <c r="TUE187" s="16"/>
      <c r="TUF187" s="10"/>
      <c r="TUG187" s="10"/>
      <c r="TUN187" s="3"/>
      <c r="TUP187" s="1"/>
      <c r="TUR187" s="16"/>
      <c r="TUS187" s="16"/>
      <c r="TUT187" s="16"/>
      <c r="TUU187" s="16"/>
      <c r="TUV187" s="10"/>
      <c r="TUW187" s="10"/>
      <c r="TVD187" s="3"/>
      <c r="TVF187" s="1"/>
      <c r="TVH187" s="16"/>
      <c r="TVI187" s="16"/>
      <c r="TVJ187" s="16"/>
      <c r="TVK187" s="16"/>
      <c r="TVL187" s="10"/>
      <c r="TVM187" s="10"/>
      <c r="TVT187" s="3"/>
      <c r="TVV187" s="1"/>
      <c r="TVX187" s="16"/>
      <c r="TVY187" s="16"/>
      <c r="TVZ187" s="16"/>
      <c r="TWA187" s="16"/>
      <c r="TWB187" s="10"/>
      <c r="TWC187" s="10"/>
      <c r="TWJ187" s="3"/>
      <c r="TWL187" s="1"/>
      <c r="TWN187" s="16"/>
      <c r="TWO187" s="16"/>
      <c r="TWP187" s="16"/>
      <c r="TWQ187" s="16"/>
      <c r="TWR187" s="10"/>
      <c r="TWS187" s="10"/>
      <c r="TWZ187" s="3"/>
      <c r="TXB187" s="1"/>
      <c r="TXD187" s="16"/>
      <c r="TXE187" s="16"/>
      <c r="TXF187" s="16"/>
      <c r="TXG187" s="16"/>
      <c r="TXH187" s="10"/>
      <c r="TXI187" s="10"/>
      <c r="TXP187" s="3"/>
      <c r="TXR187" s="1"/>
      <c r="TXT187" s="16"/>
      <c r="TXU187" s="16"/>
      <c r="TXV187" s="16"/>
      <c r="TXW187" s="16"/>
      <c r="TXX187" s="10"/>
      <c r="TXY187" s="10"/>
      <c r="TYF187" s="3"/>
      <c r="TYH187" s="1"/>
      <c r="TYJ187" s="16"/>
      <c r="TYK187" s="16"/>
      <c r="TYL187" s="16"/>
      <c r="TYM187" s="16"/>
      <c r="TYN187" s="10"/>
      <c r="TYO187" s="10"/>
      <c r="TYV187" s="3"/>
      <c r="TYX187" s="1"/>
      <c r="TYZ187" s="16"/>
      <c r="TZA187" s="16"/>
      <c r="TZB187" s="16"/>
      <c r="TZC187" s="16"/>
      <c r="TZD187" s="10"/>
      <c r="TZE187" s="10"/>
      <c r="TZL187" s="3"/>
      <c r="TZN187" s="1"/>
      <c r="TZP187" s="16"/>
      <c r="TZQ187" s="16"/>
      <c r="TZR187" s="16"/>
      <c r="TZS187" s="16"/>
      <c r="TZT187" s="10"/>
      <c r="TZU187" s="10"/>
      <c r="UAB187" s="3"/>
      <c r="UAD187" s="1"/>
      <c r="UAF187" s="16"/>
      <c r="UAG187" s="16"/>
      <c r="UAH187" s="16"/>
      <c r="UAI187" s="16"/>
      <c r="UAJ187" s="10"/>
      <c r="UAK187" s="10"/>
      <c r="UAR187" s="3"/>
      <c r="UAT187" s="1"/>
      <c r="UAV187" s="16"/>
      <c r="UAW187" s="16"/>
      <c r="UAX187" s="16"/>
      <c r="UAY187" s="16"/>
      <c r="UAZ187" s="10"/>
      <c r="UBA187" s="10"/>
      <c r="UBH187" s="3"/>
      <c r="UBJ187" s="1"/>
      <c r="UBL187" s="16"/>
      <c r="UBM187" s="16"/>
      <c r="UBN187" s="16"/>
      <c r="UBO187" s="16"/>
      <c r="UBP187" s="10"/>
      <c r="UBQ187" s="10"/>
      <c r="UBX187" s="3"/>
      <c r="UBZ187" s="1"/>
      <c r="UCB187" s="16"/>
      <c r="UCC187" s="16"/>
      <c r="UCD187" s="16"/>
      <c r="UCE187" s="16"/>
      <c r="UCF187" s="10"/>
      <c r="UCG187" s="10"/>
      <c r="UCN187" s="3"/>
      <c r="UCP187" s="1"/>
      <c r="UCR187" s="16"/>
      <c r="UCS187" s="16"/>
      <c r="UCT187" s="16"/>
      <c r="UCU187" s="16"/>
      <c r="UCV187" s="10"/>
      <c r="UCW187" s="10"/>
      <c r="UDD187" s="3"/>
      <c r="UDF187" s="1"/>
      <c r="UDH187" s="16"/>
      <c r="UDI187" s="16"/>
      <c r="UDJ187" s="16"/>
      <c r="UDK187" s="16"/>
      <c r="UDL187" s="10"/>
      <c r="UDM187" s="10"/>
      <c r="UDT187" s="3"/>
      <c r="UDV187" s="1"/>
      <c r="UDX187" s="16"/>
      <c r="UDY187" s="16"/>
      <c r="UDZ187" s="16"/>
      <c r="UEA187" s="16"/>
      <c r="UEB187" s="10"/>
      <c r="UEC187" s="10"/>
      <c r="UEJ187" s="3"/>
      <c r="UEL187" s="1"/>
      <c r="UEN187" s="16"/>
      <c r="UEO187" s="16"/>
      <c r="UEP187" s="16"/>
      <c r="UEQ187" s="16"/>
      <c r="UER187" s="10"/>
      <c r="UES187" s="10"/>
      <c r="UEZ187" s="3"/>
      <c r="UFB187" s="1"/>
      <c r="UFD187" s="16"/>
      <c r="UFE187" s="16"/>
      <c r="UFF187" s="16"/>
      <c r="UFG187" s="16"/>
      <c r="UFH187" s="10"/>
      <c r="UFI187" s="10"/>
      <c r="UFP187" s="3"/>
      <c r="UFR187" s="1"/>
      <c r="UFT187" s="16"/>
      <c r="UFU187" s="16"/>
      <c r="UFV187" s="16"/>
      <c r="UFW187" s="16"/>
      <c r="UFX187" s="10"/>
      <c r="UFY187" s="10"/>
      <c r="UGF187" s="3"/>
      <c r="UGH187" s="1"/>
      <c r="UGJ187" s="16"/>
      <c r="UGK187" s="16"/>
      <c r="UGL187" s="16"/>
      <c r="UGM187" s="16"/>
      <c r="UGN187" s="10"/>
      <c r="UGO187" s="10"/>
      <c r="UGV187" s="3"/>
      <c r="UGX187" s="1"/>
      <c r="UGZ187" s="16"/>
      <c r="UHA187" s="16"/>
      <c r="UHB187" s="16"/>
      <c r="UHC187" s="16"/>
      <c r="UHD187" s="10"/>
      <c r="UHE187" s="10"/>
      <c r="UHL187" s="3"/>
      <c r="UHN187" s="1"/>
      <c r="UHP187" s="16"/>
      <c r="UHQ187" s="16"/>
      <c r="UHR187" s="16"/>
      <c r="UHS187" s="16"/>
      <c r="UHT187" s="10"/>
      <c r="UHU187" s="10"/>
      <c r="UIB187" s="3"/>
      <c r="UID187" s="1"/>
      <c r="UIF187" s="16"/>
      <c r="UIG187" s="16"/>
      <c r="UIH187" s="16"/>
      <c r="UII187" s="16"/>
      <c r="UIJ187" s="10"/>
      <c r="UIK187" s="10"/>
      <c r="UIR187" s="3"/>
      <c r="UIT187" s="1"/>
      <c r="UIV187" s="16"/>
      <c r="UIW187" s="16"/>
      <c r="UIX187" s="16"/>
      <c r="UIY187" s="16"/>
      <c r="UIZ187" s="10"/>
      <c r="UJA187" s="10"/>
      <c r="UJH187" s="3"/>
      <c r="UJJ187" s="1"/>
      <c r="UJL187" s="16"/>
      <c r="UJM187" s="16"/>
      <c r="UJN187" s="16"/>
      <c r="UJO187" s="16"/>
      <c r="UJP187" s="10"/>
      <c r="UJQ187" s="10"/>
      <c r="UJX187" s="3"/>
      <c r="UJZ187" s="1"/>
      <c r="UKB187" s="16"/>
      <c r="UKC187" s="16"/>
      <c r="UKD187" s="16"/>
      <c r="UKE187" s="16"/>
      <c r="UKF187" s="10"/>
      <c r="UKG187" s="10"/>
      <c r="UKN187" s="3"/>
      <c r="UKP187" s="1"/>
      <c r="UKR187" s="16"/>
      <c r="UKS187" s="16"/>
      <c r="UKT187" s="16"/>
      <c r="UKU187" s="16"/>
      <c r="UKV187" s="10"/>
      <c r="UKW187" s="10"/>
      <c r="ULD187" s="3"/>
      <c r="ULF187" s="1"/>
      <c r="ULH187" s="16"/>
      <c r="ULI187" s="16"/>
      <c r="ULJ187" s="16"/>
      <c r="ULK187" s="16"/>
      <c r="ULL187" s="10"/>
      <c r="ULM187" s="10"/>
      <c r="ULT187" s="3"/>
      <c r="ULV187" s="1"/>
      <c r="ULX187" s="16"/>
      <c r="ULY187" s="16"/>
      <c r="ULZ187" s="16"/>
      <c r="UMA187" s="16"/>
      <c r="UMB187" s="10"/>
      <c r="UMC187" s="10"/>
      <c r="UMJ187" s="3"/>
      <c r="UML187" s="1"/>
      <c r="UMN187" s="16"/>
      <c r="UMO187" s="16"/>
      <c r="UMP187" s="16"/>
      <c r="UMQ187" s="16"/>
      <c r="UMR187" s="10"/>
      <c r="UMS187" s="10"/>
      <c r="UMZ187" s="3"/>
      <c r="UNB187" s="1"/>
      <c r="UND187" s="16"/>
      <c r="UNE187" s="16"/>
      <c r="UNF187" s="16"/>
      <c r="UNG187" s="16"/>
      <c r="UNH187" s="10"/>
      <c r="UNI187" s="10"/>
      <c r="UNP187" s="3"/>
      <c r="UNR187" s="1"/>
      <c r="UNT187" s="16"/>
      <c r="UNU187" s="16"/>
      <c r="UNV187" s="16"/>
      <c r="UNW187" s="16"/>
      <c r="UNX187" s="10"/>
      <c r="UNY187" s="10"/>
      <c r="UOF187" s="3"/>
      <c r="UOH187" s="1"/>
      <c r="UOJ187" s="16"/>
      <c r="UOK187" s="16"/>
      <c r="UOL187" s="16"/>
      <c r="UOM187" s="16"/>
      <c r="UON187" s="10"/>
      <c r="UOO187" s="10"/>
      <c r="UOV187" s="3"/>
      <c r="UOX187" s="1"/>
      <c r="UOZ187" s="16"/>
      <c r="UPA187" s="16"/>
      <c r="UPB187" s="16"/>
      <c r="UPC187" s="16"/>
      <c r="UPD187" s="10"/>
      <c r="UPE187" s="10"/>
      <c r="UPL187" s="3"/>
      <c r="UPN187" s="1"/>
      <c r="UPP187" s="16"/>
      <c r="UPQ187" s="16"/>
      <c r="UPR187" s="16"/>
      <c r="UPS187" s="16"/>
      <c r="UPT187" s="10"/>
      <c r="UPU187" s="10"/>
      <c r="UQB187" s="3"/>
      <c r="UQD187" s="1"/>
      <c r="UQF187" s="16"/>
      <c r="UQG187" s="16"/>
      <c r="UQH187" s="16"/>
      <c r="UQI187" s="16"/>
      <c r="UQJ187" s="10"/>
      <c r="UQK187" s="10"/>
      <c r="UQR187" s="3"/>
      <c r="UQT187" s="1"/>
      <c r="UQV187" s="16"/>
      <c r="UQW187" s="16"/>
      <c r="UQX187" s="16"/>
      <c r="UQY187" s="16"/>
      <c r="UQZ187" s="10"/>
      <c r="URA187" s="10"/>
      <c r="URH187" s="3"/>
      <c r="URJ187" s="1"/>
      <c r="URL187" s="16"/>
      <c r="URM187" s="16"/>
      <c r="URN187" s="16"/>
      <c r="URO187" s="16"/>
      <c r="URP187" s="10"/>
      <c r="URQ187" s="10"/>
      <c r="URX187" s="3"/>
      <c r="URZ187" s="1"/>
      <c r="USB187" s="16"/>
      <c r="USC187" s="16"/>
      <c r="USD187" s="16"/>
      <c r="USE187" s="16"/>
      <c r="USF187" s="10"/>
      <c r="USG187" s="10"/>
      <c r="USN187" s="3"/>
      <c r="USP187" s="1"/>
      <c r="USR187" s="16"/>
      <c r="USS187" s="16"/>
      <c r="UST187" s="16"/>
      <c r="USU187" s="16"/>
      <c r="USV187" s="10"/>
      <c r="USW187" s="10"/>
      <c r="UTD187" s="3"/>
      <c r="UTF187" s="1"/>
      <c r="UTH187" s="16"/>
      <c r="UTI187" s="16"/>
      <c r="UTJ187" s="16"/>
      <c r="UTK187" s="16"/>
      <c r="UTL187" s="10"/>
      <c r="UTM187" s="10"/>
      <c r="UTT187" s="3"/>
      <c r="UTV187" s="1"/>
      <c r="UTX187" s="16"/>
      <c r="UTY187" s="16"/>
      <c r="UTZ187" s="16"/>
      <c r="UUA187" s="16"/>
      <c r="UUB187" s="10"/>
      <c r="UUC187" s="10"/>
      <c r="UUJ187" s="3"/>
      <c r="UUL187" s="1"/>
      <c r="UUN187" s="16"/>
      <c r="UUO187" s="16"/>
      <c r="UUP187" s="16"/>
      <c r="UUQ187" s="16"/>
      <c r="UUR187" s="10"/>
      <c r="UUS187" s="10"/>
      <c r="UUZ187" s="3"/>
      <c r="UVB187" s="1"/>
      <c r="UVD187" s="16"/>
      <c r="UVE187" s="16"/>
      <c r="UVF187" s="16"/>
      <c r="UVG187" s="16"/>
      <c r="UVH187" s="10"/>
      <c r="UVI187" s="10"/>
      <c r="UVP187" s="3"/>
      <c r="UVR187" s="1"/>
      <c r="UVT187" s="16"/>
      <c r="UVU187" s="16"/>
      <c r="UVV187" s="16"/>
      <c r="UVW187" s="16"/>
      <c r="UVX187" s="10"/>
      <c r="UVY187" s="10"/>
      <c r="UWF187" s="3"/>
      <c r="UWH187" s="1"/>
      <c r="UWJ187" s="16"/>
      <c r="UWK187" s="16"/>
      <c r="UWL187" s="16"/>
      <c r="UWM187" s="16"/>
      <c r="UWN187" s="10"/>
      <c r="UWO187" s="10"/>
      <c r="UWV187" s="3"/>
      <c r="UWX187" s="1"/>
      <c r="UWZ187" s="16"/>
      <c r="UXA187" s="16"/>
      <c r="UXB187" s="16"/>
      <c r="UXC187" s="16"/>
      <c r="UXD187" s="10"/>
      <c r="UXE187" s="10"/>
      <c r="UXL187" s="3"/>
      <c r="UXN187" s="1"/>
      <c r="UXP187" s="16"/>
      <c r="UXQ187" s="16"/>
      <c r="UXR187" s="16"/>
      <c r="UXS187" s="16"/>
      <c r="UXT187" s="10"/>
      <c r="UXU187" s="10"/>
      <c r="UYB187" s="3"/>
      <c r="UYD187" s="1"/>
      <c r="UYF187" s="16"/>
      <c r="UYG187" s="16"/>
      <c r="UYH187" s="16"/>
      <c r="UYI187" s="16"/>
      <c r="UYJ187" s="10"/>
      <c r="UYK187" s="10"/>
      <c r="UYR187" s="3"/>
      <c r="UYT187" s="1"/>
      <c r="UYV187" s="16"/>
      <c r="UYW187" s="16"/>
      <c r="UYX187" s="16"/>
      <c r="UYY187" s="16"/>
      <c r="UYZ187" s="10"/>
      <c r="UZA187" s="10"/>
      <c r="UZH187" s="3"/>
      <c r="UZJ187" s="1"/>
      <c r="UZL187" s="16"/>
      <c r="UZM187" s="16"/>
      <c r="UZN187" s="16"/>
      <c r="UZO187" s="16"/>
      <c r="UZP187" s="10"/>
      <c r="UZQ187" s="10"/>
      <c r="UZX187" s="3"/>
      <c r="UZZ187" s="1"/>
      <c r="VAB187" s="16"/>
      <c r="VAC187" s="16"/>
      <c r="VAD187" s="16"/>
      <c r="VAE187" s="16"/>
      <c r="VAF187" s="10"/>
      <c r="VAG187" s="10"/>
      <c r="VAN187" s="3"/>
      <c r="VAP187" s="1"/>
      <c r="VAR187" s="16"/>
      <c r="VAS187" s="16"/>
      <c r="VAT187" s="16"/>
      <c r="VAU187" s="16"/>
      <c r="VAV187" s="10"/>
      <c r="VAW187" s="10"/>
      <c r="VBD187" s="3"/>
      <c r="VBF187" s="1"/>
      <c r="VBH187" s="16"/>
      <c r="VBI187" s="16"/>
      <c r="VBJ187" s="16"/>
      <c r="VBK187" s="16"/>
      <c r="VBL187" s="10"/>
      <c r="VBM187" s="10"/>
      <c r="VBT187" s="3"/>
      <c r="VBV187" s="1"/>
      <c r="VBX187" s="16"/>
      <c r="VBY187" s="16"/>
      <c r="VBZ187" s="16"/>
      <c r="VCA187" s="16"/>
      <c r="VCB187" s="10"/>
      <c r="VCC187" s="10"/>
      <c r="VCJ187" s="3"/>
      <c r="VCL187" s="1"/>
      <c r="VCN187" s="16"/>
      <c r="VCO187" s="16"/>
      <c r="VCP187" s="16"/>
      <c r="VCQ187" s="16"/>
      <c r="VCR187" s="10"/>
      <c r="VCS187" s="10"/>
      <c r="VCZ187" s="3"/>
      <c r="VDB187" s="1"/>
      <c r="VDD187" s="16"/>
      <c r="VDE187" s="16"/>
      <c r="VDF187" s="16"/>
      <c r="VDG187" s="16"/>
      <c r="VDH187" s="10"/>
      <c r="VDI187" s="10"/>
      <c r="VDP187" s="3"/>
      <c r="VDR187" s="1"/>
      <c r="VDT187" s="16"/>
      <c r="VDU187" s="16"/>
      <c r="VDV187" s="16"/>
      <c r="VDW187" s="16"/>
      <c r="VDX187" s="10"/>
      <c r="VDY187" s="10"/>
      <c r="VEF187" s="3"/>
      <c r="VEH187" s="1"/>
      <c r="VEJ187" s="16"/>
      <c r="VEK187" s="16"/>
      <c r="VEL187" s="16"/>
      <c r="VEM187" s="16"/>
      <c r="VEN187" s="10"/>
      <c r="VEO187" s="10"/>
      <c r="VEV187" s="3"/>
      <c r="VEX187" s="1"/>
      <c r="VEZ187" s="16"/>
      <c r="VFA187" s="16"/>
      <c r="VFB187" s="16"/>
      <c r="VFC187" s="16"/>
      <c r="VFD187" s="10"/>
      <c r="VFE187" s="10"/>
      <c r="VFL187" s="3"/>
      <c r="VFN187" s="1"/>
      <c r="VFP187" s="16"/>
      <c r="VFQ187" s="16"/>
      <c r="VFR187" s="16"/>
      <c r="VFS187" s="16"/>
      <c r="VFT187" s="10"/>
      <c r="VFU187" s="10"/>
      <c r="VGB187" s="3"/>
      <c r="VGD187" s="1"/>
      <c r="VGF187" s="16"/>
      <c r="VGG187" s="16"/>
      <c r="VGH187" s="16"/>
      <c r="VGI187" s="16"/>
      <c r="VGJ187" s="10"/>
      <c r="VGK187" s="10"/>
      <c r="VGR187" s="3"/>
      <c r="VGT187" s="1"/>
      <c r="VGV187" s="16"/>
      <c r="VGW187" s="16"/>
      <c r="VGX187" s="16"/>
      <c r="VGY187" s="16"/>
      <c r="VGZ187" s="10"/>
      <c r="VHA187" s="10"/>
      <c r="VHH187" s="3"/>
      <c r="VHJ187" s="1"/>
      <c r="VHL187" s="16"/>
      <c r="VHM187" s="16"/>
      <c r="VHN187" s="16"/>
      <c r="VHO187" s="16"/>
      <c r="VHP187" s="10"/>
      <c r="VHQ187" s="10"/>
      <c r="VHX187" s="3"/>
      <c r="VHZ187" s="1"/>
      <c r="VIB187" s="16"/>
      <c r="VIC187" s="16"/>
      <c r="VID187" s="16"/>
      <c r="VIE187" s="16"/>
      <c r="VIF187" s="10"/>
      <c r="VIG187" s="10"/>
      <c r="VIN187" s="3"/>
      <c r="VIP187" s="1"/>
      <c r="VIR187" s="16"/>
      <c r="VIS187" s="16"/>
      <c r="VIT187" s="16"/>
      <c r="VIU187" s="16"/>
      <c r="VIV187" s="10"/>
      <c r="VIW187" s="10"/>
      <c r="VJD187" s="3"/>
      <c r="VJF187" s="1"/>
      <c r="VJH187" s="16"/>
      <c r="VJI187" s="16"/>
      <c r="VJJ187" s="16"/>
      <c r="VJK187" s="16"/>
      <c r="VJL187" s="10"/>
      <c r="VJM187" s="10"/>
      <c r="VJT187" s="3"/>
      <c r="VJV187" s="1"/>
      <c r="VJX187" s="16"/>
      <c r="VJY187" s="16"/>
      <c r="VJZ187" s="16"/>
      <c r="VKA187" s="16"/>
      <c r="VKB187" s="10"/>
      <c r="VKC187" s="10"/>
      <c r="VKJ187" s="3"/>
      <c r="VKL187" s="1"/>
      <c r="VKN187" s="16"/>
      <c r="VKO187" s="16"/>
      <c r="VKP187" s="16"/>
      <c r="VKQ187" s="16"/>
      <c r="VKR187" s="10"/>
      <c r="VKS187" s="10"/>
      <c r="VKZ187" s="3"/>
      <c r="VLB187" s="1"/>
      <c r="VLD187" s="16"/>
      <c r="VLE187" s="16"/>
      <c r="VLF187" s="16"/>
      <c r="VLG187" s="16"/>
      <c r="VLH187" s="10"/>
      <c r="VLI187" s="10"/>
      <c r="VLP187" s="3"/>
      <c r="VLR187" s="1"/>
      <c r="VLT187" s="16"/>
      <c r="VLU187" s="16"/>
      <c r="VLV187" s="16"/>
      <c r="VLW187" s="16"/>
      <c r="VLX187" s="10"/>
      <c r="VLY187" s="10"/>
      <c r="VMF187" s="3"/>
      <c r="VMH187" s="1"/>
      <c r="VMJ187" s="16"/>
      <c r="VMK187" s="16"/>
      <c r="VML187" s="16"/>
      <c r="VMM187" s="16"/>
      <c r="VMN187" s="10"/>
      <c r="VMO187" s="10"/>
      <c r="VMV187" s="3"/>
      <c r="VMX187" s="1"/>
      <c r="VMZ187" s="16"/>
      <c r="VNA187" s="16"/>
      <c r="VNB187" s="16"/>
      <c r="VNC187" s="16"/>
      <c r="VND187" s="10"/>
      <c r="VNE187" s="10"/>
      <c r="VNL187" s="3"/>
      <c r="VNN187" s="1"/>
      <c r="VNP187" s="16"/>
      <c r="VNQ187" s="16"/>
      <c r="VNR187" s="16"/>
      <c r="VNS187" s="16"/>
      <c r="VNT187" s="10"/>
      <c r="VNU187" s="10"/>
      <c r="VOB187" s="3"/>
      <c r="VOD187" s="1"/>
      <c r="VOF187" s="16"/>
      <c r="VOG187" s="16"/>
      <c r="VOH187" s="16"/>
      <c r="VOI187" s="16"/>
      <c r="VOJ187" s="10"/>
      <c r="VOK187" s="10"/>
      <c r="VOR187" s="3"/>
      <c r="VOT187" s="1"/>
      <c r="VOV187" s="16"/>
      <c r="VOW187" s="16"/>
      <c r="VOX187" s="16"/>
      <c r="VOY187" s="16"/>
      <c r="VOZ187" s="10"/>
      <c r="VPA187" s="10"/>
      <c r="VPH187" s="3"/>
      <c r="VPJ187" s="1"/>
      <c r="VPL187" s="16"/>
      <c r="VPM187" s="16"/>
      <c r="VPN187" s="16"/>
      <c r="VPO187" s="16"/>
      <c r="VPP187" s="10"/>
      <c r="VPQ187" s="10"/>
      <c r="VPX187" s="3"/>
      <c r="VPZ187" s="1"/>
      <c r="VQB187" s="16"/>
      <c r="VQC187" s="16"/>
      <c r="VQD187" s="16"/>
      <c r="VQE187" s="16"/>
      <c r="VQF187" s="10"/>
      <c r="VQG187" s="10"/>
      <c r="VQN187" s="3"/>
      <c r="VQP187" s="1"/>
      <c r="VQR187" s="16"/>
      <c r="VQS187" s="16"/>
      <c r="VQT187" s="16"/>
      <c r="VQU187" s="16"/>
      <c r="VQV187" s="10"/>
      <c r="VQW187" s="10"/>
      <c r="VRD187" s="3"/>
      <c r="VRF187" s="1"/>
      <c r="VRH187" s="16"/>
      <c r="VRI187" s="16"/>
      <c r="VRJ187" s="16"/>
      <c r="VRK187" s="16"/>
      <c r="VRL187" s="10"/>
      <c r="VRM187" s="10"/>
      <c r="VRT187" s="3"/>
      <c r="VRV187" s="1"/>
      <c r="VRX187" s="16"/>
      <c r="VRY187" s="16"/>
      <c r="VRZ187" s="16"/>
      <c r="VSA187" s="16"/>
      <c r="VSB187" s="10"/>
      <c r="VSC187" s="10"/>
      <c r="VSJ187" s="3"/>
      <c r="VSL187" s="1"/>
      <c r="VSN187" s="16"/>
      <c r="VSO187" s="16"/>
      <c r="VSP187" s="16"/>
      <c r="VSQ187" s="16"/>
      <c r="VSR187" s="10"/>
      <c r="VSS187" s="10"/>
      <c r="VSZ187" s="3"/>
      <c r="VTB187" s="1"/>
      <c r="VTD187" s="16"/>
      <c r="VTE187" s="16"/>
      <c r="VTF187" s="16"/>
      <c r="VTG187" s="16"/>
      <c r="VTH187" s="10"/>
      <c r="VTI187" s="10"/>
      <c r="VTP187" s="3"/>
      <c r="VTR187" s="1"/>
      <c r="VTT187" s="16"/>
      <c r="VTU187" s="16"/>
      <c r="VTV187" s="16"/>
      <c r="VTW187" s="16"/>
      <c r="VTX187" s="10"/>
      <c r="VTY187" s="10"/>
      <c r="VUF187" s="3"/>
      <c r="VUH187" s="1"/>
      <c r="VUJ187" s="16"/>
      <c r="VUK187" s="16"/>
      <c r="VUL187" s="16"/>
      <c r="VUM187" s="16"/>
      <c r="VUN187" s="10"/>
      <c r="VUO187" s="10"/>
      <c r="VUV187" s="3"/>
      <c r="VUX187" s="1"/>
      <c r="VUZ187" s="16"/>
      <c r="VVA187" s="16"/>
      <c r="VVB187" s="16"/>
      <c r="VVC187" s="16"/>
      <c r="VVD187" s="10"/>
      <c r="VVE187" s="10"/>
      <c r="VVL187" s="3"/>
      <c r="VVN187" s="1"/>
      <c r="VVP187" s="16"/>
      <c r="VVQ187" s="16"/>
      <c r="VVR187" s="16"/>
      <c r="VVS187" s="16"/>
      <c r="VVT187" s="10"/>
      <c r="VVU187" s="10"/>
      <c r="VWB187" s="3"/>
      <c r="VWD187" s="1"/>
      <c r="VWF187" s="16"/>
      <c r="VWG187" s="16"/>
      <c r="VWH187" s="16"/>
      <c r="VWI187" s="16"/>
      <c r="VWJ187" s="10"/>
      <c r="VWK187" s="10"/>
      <c r="VWR187" s="3"/>
      <c r="VWT187" s="1"/>
      <c r="VWV187" s="16"/>
      <c r="VWW187" s="16"/>
      <c r="VWX187" s="16"/>
      <c r="VWY187" s="16"/>
      <c r="VWZ187" s="10"/>
      <c r="VXA187" s="10"/>
      <c r="VXH187" s="3"/>
      <c r="VXJ187" s="1"/>
      <c r="VXL187" s="16"/>
      <c r="VXM187" s="16"/>
      <c r="VXN187" s="16"/>
      <c r="VXO187" s="16"/>
      <c r="VXP187" s="10"/>
      <c r="VXQ187" s="10"/>
      <c r="VXX187" s="3"/>
      <c r="VXZ187" s="1"/>
      <c r="VYB187" s="16"/>
      <c r="VYC187" s="16"/>
      <c r="VYD187" s="16"/>
      <c r="VYE187" s="16"/>
      <c r="VYF187" s="10"/>
      <c r="VYG187" s="10"/>
      <c r="VYN187" s="3"/>
      <c r="VYP187" s="1"/>
      <c r="VYR187" s="16"/>
      <c r="VYS187" s="16"/>
      <c r="VYT187" s="16"/>
      <c r="VYU187" s="16"/>
      <c r="VYV187" s="10"/>
      <c r="VYW187" s="10"/>
      <c r="VZD187" s="3"/>
      <c r="VZF187" s="1"/>
      <c r="VZH187" s="16"/>
      <c r="VZI187" s="16"/>
      <c r="VZJ187" s="16"/>
      <c r="VZK187" s="16"/>
      <c r="VZL187" s="10"/>
      <c r="VZM187" s="10"/>
      <c r="VZT187" s="3"/>
      <c r="VZV187" s="1"/>
      <c r="VZX187" s="16"/>
      <c r="VZY187" s="16"/>
      <c r="VZZ187" s="16"/>
      <c r="WAA187" s="16"/>
      <c r="WAB187" s="10"/>
      <c r="WAC187" s="10"/>
      <c r="WAJ187" s="3"/>
      <c r="WAL187" s="1"/>
      <c r="WAN187" s="16"/>
      <c r="WAO187" s="16"/>
      <c r="WAP187" s="16"/>
      <c r="WAQ187" s="16"/>
      <c r="WAR187" s="10"/>
      <c r="WAS187" s="10"/>
      <c r="WAZ187" s="3"/>
      <c r="WBB187" s="1"/>
      <c r="WBD187" s="16"/>
      <c r="WBE187" s="16"/>
      <c r="WBF187" s="16"/>
      <c r="WBG187" s="16"/>
      <c r="WBH187" s="10"/>
      <c r="WBI187" s="10"/>
      <c r="WBP187" s="3"/>
      <c r="WBR187" s="1"/>
      <c r="WBT187" s="16"/>
      <c r="WBU187" s="16"/>
      <c r="WBV187" s="16"/>
      <c r="WBW187" s="16"/>
      <c r="WBX187" s="10"/>
      <c r="WBY187" s="10"/>
      <c r="WCF187" s="3"/>
      <c r="WCH187" s="1"/>
      <c r="WCJ187" s="16"/>
      <c r="WCK187" s="16"/>
      <c r="WCL187" s="16"/>
      <c r="WCM187" s="16"/>
      <c r="WCN187" s="10"/>
      <c r="WCO187" s="10"/>
      <c r="WCV187" s="3"/>
      <c r="WCX187" s="1"/>
      <c r="WCZ187" s="16"/>
      <c r="WDA187" s="16"/>
      <c r="WDB187" s="16"/>
      <c r="WDC187" s="16"/>
      <c r="WDD187" s="10"/>
      <c r="WDE187" s="10"/>
      <c r="WDL187" s="3"/>
      <c r="WDN187" s="1"/>
      <c r="WDP187" s="16"/>
      <c r="WDQ187" s="16"/>
      <c r="WDR187" s="16"/>
      <c r="WDS187" s="16"/>
      <c r="WDT187" s="10"/>
      <c r="WDU187" s="10"/>
      <c r="WEB187" s="3"/>
      <c r="WED187" s="1"/>
      <c r="WEF187" s="16"/>
      <c r="WEG187" s="16"/>
      <c r="WEH187" s="16"/>
      <c r="WEI187" s="16"/>
      <c r="WEJ187" s="10"/>
      <c r="WEK187" s="10"/>
      <c r="WER187" s="3"/>
      <c r="WET187" s="1"/>
      <c r="WEV187" s="16"/>
      <c r="WEW187" s="16"/>
      <c r="WEX187" s="16"/>
      <c r="WEY187" s="16"/>
      <c r="WEZ187" s="10"/>
      <c r="WFA187" s="10"/>
      <c r="WFH187" s="3"/>
      <c r="WFJ187" s="1"/>
      <c r="WFL187" s="16"/>
      <c r="WFM187" s="16"/>
      <c r="WFN187" s="16"/>
      <c r="WFO187" s="16"/>
      <c r="WFP187" s="10"/>
      <c r="WFQ187" s="10"/>
      <c r="WFX187" s="3"/>
      <c r="WFZ187" s="1"/>
      <c r="WGB187" s="16"/>
      <c r="WGC187" s="16"/>
      <c r="WGD187" s="16"/>
      <c r="WGE187" s="16"/>
      <c r="WGF187" s="10"/>
      <c r="WGG187" s="10"/>
      <c r="WGN187" s="3"/>
      <c r="WGP187" s="1"/>
      <c r="WGR187" s="16"/>
      <c r="WGS187" s="16"/>
      <c r="WGT187" s="16"/>
      <c r="WGU187" s="16"/>
      <c r="WGV187" s="10"/>
      <c r="WGW187" s="10"/>
      <c r="WHD187" s="3"/>
      <c r="WHF187" s="1"/>
      <c r="WHH187" s="16"/>
      <c r="WHI187" s="16"/>
      <c r="WHJ187" s="16"/>
      <c r="WHK187" s="16"/>
      <c r="WHL187" s="10"/>
      <c r="WHM187" s="10"/>
      <c r="WHT187" s="3"/>
      <c r="WHV187" s="1"/>
      <c r="WHX187" s="16"/>
      <c r="WHY187" s="16"/>
      <c r="WHZ187" s="16"/>
      <c r="WIA187" s="16"/>
      <c r="WIB187" s="10"/>
      <c r="WIC187" s="10"/>
      <c r="WIJ187" s="3"/>
      <c r="WIL187" s="1"/>
      <c r="WIN187" s="16"/>
      <c r="WIO187" s="16"/>
      <c r="WIP187" s="16"/>
      <c r="WIQ187" s="16"/>
      <c r="WIR187" s="10"/>
      <c r="WIS187" s="10"/>
      <c r="WIZ187" s="3"/>
      <c r="WJB187" s="1"/>
      <c r="WJD187" s="16"/>
      <c r="WJE187" s="16"/>
      <c r="WJF187" s="16"/>
      <c r="WJG187" s="16"/>
      <c r="WJH187" s="10"/>
      <c r="WJI187" s="10"/>
      <c r="WJP187" s="3"/>
      <c r="WJR187" s="1"/>
      <c r="WJT187" s="16"/>
      <c r="WJU187" s="16"/>
      <c r="WJV187" s="16"/>
      <c r="WJW187" s="16"/>
      <c r="WJX187" s="10"/>
      <c r="WJY187" s="10"/>
      <c r="WKF187" s="3"/>
      <c r="WKH187" s="1"/>
      <c r="WKJ187" s="16"/>
      <c r="WKK187" s="16"/>
      <c r="WKL187" s="16"/>
      <c r="WKM187" s="16"/>
      <c r="WKN187" s="10"/>
      <c r="WKO187" s="10"/>
      <c r="WKV187" s="3"/>
      <c r="WKX187" s="1"/>
      <c r="WKZ187" s="16"/>
      <c r="WLA187" s="16"/>
      <c r="WLB187" s="16"/>
      <c r="WLC187" s="16"/>
      <c r="WLD187" s="10"/>
      <c r="WLE187" s="10"/>
      <c r="WLL187" s="3"/>
      <c r="WLN187" s="1"/>
      <c r="WLP187" s="16"/>
      <c r="WLQ187" s="16"/>
      <c r="WLR187" s="16"/>
      <c r="WLS187" s="16"/>
      <c r="WLT187" s="10"/>
      <c r="WLU187" s="10"/>
      <c r="WMB187" s="3"/>
      <c r="WMD187" s="1"/>
      <c r="WMF187" s="16"/>
      <c r="WMG187" s="16"/>
      <c r="WMH187" s="16"/>
      <c r="WMI187" s="16"/>
      <c r="WMJ187" s="10"/>
      <c r="WMK187" s="10"/>
      <c r="WMR187" s="3"/>
      <c r="WMT187" s="1"/>
      <c r="WMV187" s="16"/>
      <c r="WMW187" s="16"/>
      <c r="WMX187" s="16"/>
      <c r="WMY187" s="16"/>
      <c r="WMZ187" s="10"/>
      <c r="WNA187" s="10"/>
      <c r="WNH187" s="3"/>
      <c r="WNJ187" s="1"/>
      <c r="WNL187" s="16"/>
      <c r="WNM187" s="16"/>
      <c r="WNN187" s="16"/>
      <c r="WNO187" s="16"/>
      <c r="WNP187" s="10"/>
      <c r="WNQ187" s="10"/>
      <c r="WNX187" s="3"/>
      <c r="WNZ187" s="1"/>
      <c r="WOB187" s="16"/>
      <c r="WOC187" s="16"/>
      <c r="WOD187" s="16"/>
      <c r="WOE187" s="16"/>
      <c r="WOF187" s="10"/>
      <c r="WOG187" s="10"/>
      <c r="WON187" s="3"/>
      <c r="WOP187" s="1"/>
      <c r="WOR187" s="16"/>
      <c r="WOS187" s="16"/>
      <c r="WOT187" s="16"/>
      <c r="WOU187" s="16"/>
      <c r="WOV187" s="10"/>
      <c r="WOW187" s="10"/>
      <c r="WPD187" s="3"/>
      <c r="WPF187" s="1"/>
      <c r="WPH187" s="16"/>
      <c r="WPI187" s="16"/>
      <c r="WPJ187" s="16"/>
      <c r="WPK187" s="16"/>
      <c r="WPL187" s="10"/>
      <c r="WPM187" s="10"/>
      <c r="WPT187" s="3"/>
      <c r="WPV187" s="1"/>
      <c r="WPX187" s="16"/>
      <c r="WPY187" s="16"/>
      <c r="WPZ187" s="16"/>
      <c r="WQA187" s="16"/>
      <c r="WQB187" s="10"/>
      <c r="WQC187" s="10"/>
      <c r="WQJ187" s="3"/>
      <c r="WQL187" s="1"/>
      <c r="WQN187" s="16"/>
      <c r="WQO187" s="16"/>
      <c r="WQP187" s="16"/>
      <c r="WQQ187" s="16"/>
      <c r="WQR187" s="10"/>
      <c r="WQS187" s="10"/>
      <c r="WQZ187" s="3"/>
      <c r="WRB187" s="1"/>
      <c r="WRD187" s="16"/>
      <c r="WRE187" s="16"/>
      <c r="WRF187" s="16"/>
      <c r="WRG187" s="16"/>
      <c r="WRH187" s="10"/>
      <c r="WRI187" s="10"/>
      <c r="WRP187" s="3"/>
      <c r="WRR187" s="1"/>
      <c r="WRT187" s="16"/>
      <c r="WRU187" s="16"/>
      <c r="WRV187" s="16"/>
      <c r="WRW187" s="16"/>
      <c r="WRX187" s="10"/>
      <c r="WRY187" s="10"/>
      <c r="WSF187" s="3"/>
      <c r="WSH187" s="1"/>
      <c r="WSJ187" s="16"/>
      <c r="WSK187" s="16"/>
      <c r="WSL187" s="16"/>
      <c r="WSM187" s="16"/>
      <c r="WSN187" s="10"/>
      <c r="WSO187" s="10"/>
      <c r="WSV187" s="3"/>
      <c r="WSX187" s="1"/>
      <c r="WSZ187" s="16"/>
      <c r="WTA187" s="16"/>
      <c r="WTB187" s="16"/>
      <c r="WTC187" s="16"/>
      <c r="WTD187" s="10"/>
      <c r="WTE187" s="10"/>
      <c r="WTL187" s="3"/>
      <c r="WTN187" s="1"/>
      <c r="WTP187" s="16"/>
      <c r="WTQ187" s="16"/>
      <c r="WTR187" s="16"/>
      <c r="WTS187" s="16"/>
      <c r="WTT187" s="10"/>
      <c r="WTU187" s="10"/>
      <c r="WUB187" s="3"/>
      <c r="WUD187" s="1"/>
      <c r="WUF187" s="16"/>
      <c r="WUG187" s="16"/>
      <c r="WUH187" s="16"/>
      <c r="WUI187" s="16"/>
      <c r="WUJ187" s="10"/>
      <c r="WUK187" s="10"/>
      <c r="WUR187" s="3"/>
      <c r="WUT187" s="1"/>
      <c r="WUV187" s="16"/>
      <c r="WUW187" s="16"/>
      <c r="WUX187" s="16"/>
      <c r="WUY187" s="16"/>
      <c r="WUZ187" s="10"/>
      <c r="WVA187" s="10"/>
      <c r="WVH187" s="3"/>
      <c r="WVJ187" s="1"/>
      <c r="WVL187" s="16"/>
      <c r="WVM187" s="16"/>
      <c r="WVN187" s="16"/>
      <c r="WVO187" s="16"/>
      <c r="WVP187" s="10"/>
      <c r="WVQ187" s="10"/>
      <c r="WVX187" s="3"/>
      <c r="WVZ187" s="1"/>
      <c r="WWB187" s="16"/>
      <c r="WWC187" s="16"/>
      <c r="WWD187" s="16"/>
      <c r="WWE187" s="16"/>
      <c r="WWF187" s="10"/>
      <c r="WWG187" s="10"/>
      <c r="WWN187" s="3"/>
      <c r="WWP187" s="1"/>
      <c r="WWR187" s="16"/>
      <c r="WWS187" s="16"/>
      <c r="WWT187" s="16"/>
      <c r="WWU187" s="16"/>
      <c r="WWV187" s="10"/>
      <c r="WWW187" s="10"/>
      <c r="WXD187" s="3"/>
      <c r="WXF187" s="1"/>
      <c r="WXH187" s="16"/>
      <c r="WXI187" s="16"/>
      <c r="WXJ187" s="16"/>
      <c r="WXK187" s="16"/>
      <c r="WXL187" s="10"/>
      <c r="WXM187" s="10"/>
      <c r="WXT187" s="3"/>
      <c r="WXV187" s="1"/>
      <c r="WXX187" s="16"/>
      <c r="WXY187" s="16"/>
      <c r="WXZ187" s="16"/>
      <c r="WYA187" s="16"/>
      <c r="WYB187" s="10"/>
      <c r="WYC187" s="10"/>
      <c r="WYJ187" s="3"/>
      <c r="WYL187" s="1"/>
      <c r="WYN187" s="16"/>
      <c r="WYO187" s="16"/>
      <c r="WYP187" s="16"/>
      <c r="WYQ187" s="16"/>
      <c r="WYR187" s="10"/>
      <c r="WYS187" s="10"/>
      <c r="WYZ187" s="3"/>
      <c r="WZB187" s="1"/>
      <c r="WZD187" s="16"/>
      <c r="WZE187" s="16"/>
      <c r="WZF187" s="16"/>
      <c r="WZG187" s="16"/>
      <c r="WZH187" s="10"/>
      <c r="WZI187" s="10"/>
      <c r="WZP187" s="3"/>
      <c r="WZR187" s="1"/>
      <c r="WZT187" s="16"/>
      <c r="WZU187" s="16"/>
      <c r="WZV187" s="16"/>
      <c r="WZW187" s="16"/>
      <c r="WZX187" s="10"/>
      <c r="WZY187" s="10"/>
      <c r="XAF187" s="3"/>
      <c r="XAH187" s="1"/>
      <c r="XAJ187" s="16"/>
      <c r="XAK187" s="16"/>
      <c r="XAL187" s="16"/>
      <c r="XAM187" s="16"/>
      <c r="XAN187" s="10"/>
      <c r="XAO187" s="10"/>
      <c r="XAV187" s="3"/>
      <c r="XAX187" s="1"/>
      <c r="XAZ187" s="16"/>
      <c r="XBA187" s="16"/>
      <c r="XBB187" s="16"/>
      <c r="XBC187" s="16"/>
      <c r="XBD187" s="10"/>
      <c r="XBE187" s="10"/>
      <c r="XBL187" s="3"/>
      <c r="XBN187" s="1"/>
      <c r="XBP187" s="16"/>
      <c r="XBQ187" s="16"/>
      <c r="XBR187" s="16"/>
      <c r="XBS187" s="16"/>
      <c r="XBT187" s="10"/>
      <c r="XBU187" s="10"/>
      <c r="XCB187" s="3"/>
      <c r="XCD187" s="1"/>
      <c r="XCF187" s="16"/>
      <c r="XCG187" s="16"/>
      <c r="XCH187" s="16"/>
      <c r="XCI187" s="16"/>
      <c r="XCJ187" s="10"/>
      <c r="XCK187" s="10"/>
      <c r="XCR187" s="3"/>
      <c r="XCT187" s="1"/>
      <c r="XCV187" s="16"/>
      <c r="XCW187" s="16"/>
      <c r="XCX187" s="16"/>
      <c r="XCY187" s="16"/>
      <c r="XCZ187" s="10"/>
      <c r="XDA187" s="10"/>
      <c r="XDH187" s="3"/>
      <c r="XDJ187" s="1"/>
      <c r="XDL187" s="16"/>
      <c r="XDM187" s="16"/>
      <c r="XDN187" s="16"/>
      <c r="XDO187" s="16"/>
      <c r="XDP187" s="10"/>
      <c r="XDQ187" s="10"/>
      <c r="XDX187" s="3"/>
      <c r="XDZ187" s="1"/>
      <c r="XEB187" s="16"/>
      <c r="XEC187" s="16"/>
      <c r="XED187" s="16"/>
      <c r="XEE187" s="16"/>
      <c r="XEF187" s="10"/>
      <c r="XEG187" s="10"/>
      <c r="XEN187" s="3"/>
      <c r="XEP187" s="1"/>
      <c r="XER187" s="16"/>
      <c r="XES187" s="16"/>
      <c r="XET187" s="16"/>
      <c r="XEU187" s="16"/>
      <c r="XEV187" s="10"/>
      <c r="XEW187" s="10"/>
      <c r="XFD187" s="3"/>
    </row>
    <row r="188" ht="15.15" spans="1:16384">
      <c r="A188" s="19" t="str">
        <f>'Ammo Input'!A188</f>
        <v>23x115mm</v>
      </c>
      <c r="B188" s="1" t="str">
        <f>'Ammo Input'!B188</f>
        <v>Sabot</v>
      </c>
      <c r="C188">
        <f>(0.579*('Ammo Stats'!G188*IF(OR(B188="HEAT",B188="HEDP"),10,'Ammo Input'!F188)*VLOOKUP(B188,AmmoTypeFactors,7,FALSE))^(0.346))^IF(B188="HEDP",2.1,1)/IF(B188="HEDP",50,1)</f>
        <v>59.6431123910318</v>
      </c>
      <c r="D188" s="16">
        <f>IF(VLOOKUP(B188,AmmoTypeFactors,8,FALSE),J188,C188)*VLOOKUP('Ammo Input'!B188,AmmoTypeFactors,2,FALSE)</f>
        <v>41.7501786737223</v>
      </c>
      <c r="E188" s="16">
        <f>IF(OR(VLOOKUP(B188,AmmoTypeFactors,6,FALSE)="Bomb",VLOOKUP(B188,AmmoTypeFactors,6,FALSE)="Thermobaric"),J188*VLOOKUP(B188,AmmoTypeFactors,4,FALSE),IF(VLOOKUP(B188,AmmoTypeFactors,11,FALSE),P188,C188*VLOOKUP(B188,AmmoTypeFactors,4,FALSE)))</f>
        <v>0</v>
      </c>
      <c r="F188" s="16">
        <f>'Ammo Stats'!G188/0.005</f>
        <v>11426400</v>
      </c>
      <c r="G188" s="16">
        <f>(IF(B188="HEAT",10,'Ammo Input'!F188)*VLOOKUP(B188,AmmoTypeFactors,7,FALSE)*0.5)^2*PI()/100</f>
        <v>1.03868907109313</v>
      </c>
      <c r="H188" s="10">
        <f t="shared" si="9"/>
        <v>1142.64</v>
      </c>
      <c r="I188" s="10">
        <f>IF(B188&lt;&gt;"Arrow (Flaming)",39493.49*'Ammo Input'!M188^0.6/1000,0)</f>
        <v>0</v>
      </c>
      <c r="J188">
        <f t="shared" si="10"/>
        <v>0</v>
      </c>
      <c r="K188">
        <f t="shared" si="11"/>
        <v>23</v>
      </c>
      <c r="L188">
        <f>200000/('Ammo Stats'!C188*(MAX('Ammo Input'!D188,'Ammo Input'!F188)*0.5)^2*PI())</f>
        <v>998.032173023839</v>
      </c>
      <c r="M188">
        <f>IF(B188="Frag",1,('Ammo Input'!M188/1.33)/('Ammo Input'!H188/1000))</f>
        <v>0</v>
      </c>
      <c r="N188" t="s">
        <v>353</v>
      </c>
      <c r="O188" t="s">
        <v>353</v>
      </c>
      <c r="P188" s="3">
        <f>(39493.49*(IF((VLOOKUP(B188,AmmoTypeFactors,6,FALSE)="Bomb_Secondary"),1.33,1)*('Ammo Input'!H188*0.35)/1000)^0.6/1000)*10/3*VLOOKUP(B188,AmmoTypeFactors,4,FALSE)</f>
        <v>0</v>
      </c>
      <c r="R188" s="1"/>
      <c r="T188" s="16"/>
      <c r="U188" s="16"/>
      <c r="V188" s="16"/>
      <c r="W188" s="16"/>
      <c r="X188" s="10"/>
      <c r="Y188" s="10"/>
      <c r="AF188" s="3"/>
      <c r="AH188" s="1"/>
      <c r="AJ188" s="16"/>
      <c r="AK188" s="16"/>
      <c r="AL188" s="16"/>
      <c r="AM188" s="16"/>
      <c r="AN188" s="10"/>
      <c r="AO188" s="10"/>
      <c r="AV188" s="3"/>
      <c r="AX188" s="1"/>
      <c r="AZ188" s="16"/>
      <c r="BA188" s="16"/>
      <c r="BB188" s="16"/>
      <c r="BC188" s="16"/>
      <c r="BD188" s="10"/>
      <c r="BE188" s="10"/>
      <c r="BL188" s="3"/>
      <c r="BN188" s="1"/>
      <c r="BP188" s="16"/>
      <c r="BQ188" s="16"/>
      <c r="BR188" s="16"/>
      <c r="BS188" s="16"/>
      <c r="BT188" s="10"/>
      <c r="BU188" s="10"/>
      <c r="CB188" s="3"/>
      <c r="CD188" s="1"/>
      <c r="CF188" s="16"/>
      <c r="CG188" s="16"/>
      <c r="CH188" s="16"/>
      <c r="CI188" s="16"/>
      <c r="CJ188" s="10"/>
      <c r="CK188" s="10"/>
      <c r="CR188" s="3"/>
      <c r="CT188" s="1"/>
      <c r="CV188" s="16"/>
      <c r="CW188" s="16"/>
      <c r="CX188" s="16"/>
      <c r="CY188" s="16"/>
      <c r="CZ188" s="10"/>
      <c r="DA188" s="10"/>
      <c r="DH188" s="3"/>
      <c r="DJ188" s="1"/>
      <c r="DL188" s="16"/>
      <c r="DM188" s="16"/>
      <c r="DN188" s="16"/>
      <c r="DO188" s="16"/>
      <c r="DP188" s="10"/>
      <c r="DQ188" s="10"/>
      <c r="DX188" s="3"/>
      <c r="DZ188" s="1"/>
      <c r="EB188" s="16"/>
      <c r="EC188" s="16"/>
      <c r="ED188" s="16"/>
      <c r="EE188" s="16"/>
      <c r="EF188" s="10"/>
      <c r="EG188" s="10"/>
      <c r="EN188" s="3"/>
      <c r="EP188" s="1"/>
      <c r="ER188" s="16"/>
      <c r="ES188" s="16"/>
      <c r="ET188" s="16"/>
      <c r="EU188" s="16"/>
      <c r="EV188" s="10"/>
      <c r="EW188" s="10"/>
      <c r="FD188" s="3"/>
      <c r="FF188" s="1"/>
      <c r="FH188" s="16"/>
      <c r="FI188" s="16"/>
      <c r="FJ188" s="16"/>
      <c r="FK188" s="16"/>
      <c r="FL188" s="10"/>
      <c r="FM188" s="10"/>
      <c r="FT188" s="3"/>
      <c r="FV188" s="1"/>
      <c r="FX188" s="16"/>
      <c r="FY188" s="16"/>
      <c r="FZ188" s="16"/>
      <c r="GA188" s="16"/>
      <c r="GB188" s="10"/>
      <c r="GC188" s="10"/>
      <c r="GJ188" s="3"/>
      <c r="GL188" s="1"/>
      <c r="GN188" s="16"/>
      <c r="GO188" s="16"/>
      <c r="GP188" s="16"/>
      <c r="GQ188" s="16"/>
      <c r="GR188" s="10"/>
      <c r="GS188" s="10"/>
      <c r="GZ188" s="3"/>
      <c r="HB188" s="1"/>
      <c r="HD188" s="16"/>
      <c r="HE188" s="16"/>
      <c r="HF188" s="16"/>
      <c r="HG188" s="16"/>
      <c r="HH188" s="10"/>
      <c r="HI188" s="10"/>
      <c r="HP188" s="3"/>
      <c r="HR188" s="1"/>
      <c r="HT188" s="16"/>
      <c r="HU188" s="16"/>
      <c r="HV188" s="16"/>
      <c r="HW188" s="16"/>
      <c r="HX188" s="10"/>
      <c r="HY188" s="10"/>
      <c r="IF188" s="3"/>
      <c r="IH188" s="1"/>
      <c r="IJ188" s="16"/>
      <c r="IK188" s="16"/>
      <c r="IL188" s="16"/>
      <c r="IM188" s="16"/>
      <c r="IN188" s="10"/>
      <c r="IO188" s="10"/>
      <c r="IV188" s="3"/>
      <c r="IX188" s="1"/>
      <c r="IZ188" s="16"/>
      <c r="JA188" s="16"/>
      <c r="JB188" s="16"/>
      <c r="JC188" s="16"/>
      <c r="JD188" s="10"/>
      <c r="JE188" s="10"/>
      <c r="JL188" s="3"/>
      <c r="JN188" s="1"/>
      <c r="JP188" s="16"/>
      <c r="JQ188" s="16"/>
      <c r="JR188" s="16"/>
      <c r="JS188" s="16"/>
      <c r="JT188" s="10"/>
      <c r="JU188" s="10"/>
      <c r="KB188" s="3"/>
      <c r="KD188" s="1"/>
      <c r="KF188" s="16"/>
      <c r="KG188" s="16"/>
      <c r="KH188" s="16"/>
      <c r="KI188" s="16"/>
      <c r="KJ188" s="10"/>
      <c r="KK188" s="10"/>
      <c r="KR188" s="3"/>
      <c r="KT188" s="1"/>
      <c r="KV188" s="16"/>
      <c r="KW188" s="16"/>
      <c r="KX188" s="16"/>
      <c r="KY188" s="16"/>
      <c r="KZ188" s="10"/>
      <c r="LA188" s="10"/>
      <c r="LH188" s="3"/>
      <c r="LJ188" s="1"/>
      <c r="LL188" s="16"/>
      <c r="LM188" s="16"/>
      <c r="LN188" s="16"/>
      <c r="LO188" s="16"/>
      <c r="LP188" s="10"/>
      <c r="LQ188" s="10"/>
      <c r="LX188" s="3"/>
      <c r="LZ188" s="1"/>
      <c r="MB188" s="16"/>
      <c r="MC188" s="16"/>
      <c r="MD188" s="16"/>
      <c r="ME188" s="16"/>
      <c r="MF188" s="10"/>
      <c r="MG188" s="10"/>
      <c r="MN188" s="3"/>
      <c r="MP188" s="1"/>
      <c r="MR188" s="16"/>
      <c r="MS188" s="16"/>
      <c r="MT188" s="16"/>
      <c r="MU188" s="16"/>
      <c r="MV188" s="10"/>
      <c r="MW188" s="10"/>
      <c r="ND188" s="3"/>
      <c r="NF188" s="1"/>
      <c r="NH188" s="16"/>
      <c r="NI188" s="16"/>
      <c r="NJ188" s="16"/>
      <c r="NK188" s="16"/>
      <c r="NL188" s="10"/>
      <c r="NM188" s="10"/>
      <c r="NT188" s="3"/>
      <c r="NV188" s="1"/>
      <c r="NX188" s="16"/>
      <c r="NY188" s="16"/>
      <c r="NZ188" s="16"/>
      <c r="OA188" s="16"/>
      <c r="OB188" s="10"/>
      <c r="OC188" s="10"/>
      <c r="OJ188" s="3"/>
      <c r="OL188" s="1"/>
      <c r="ON188" s="16"/>
      <c r="OO188" s="16"/>
      <c r="OP188" s="16"/>
      <c r="OQ188" s="16"/>
      <c r="OR188" s="10"/>
      <c r="OS188" s="10"/>
      <c r="OZ188" s="3"/>
      <c r="PB188" s="1"/>
      <c r="PD188" s="16"/>
      <c r="PE188" s="16"/>
      <c r="PF188" s="16"/>
      <c r="PG188" s="16"/>
      <c r="PH188" s="10"/>
      <c r="PI188" s="10"/>
      <c r="PP188" s="3"/>
      <c r="PR188" s="1"/>
      <c r="PT188" s="16"/>
      <c r="PU188" s="16"/>
      <c r="PV188" s="16"/>
      <c r="PW188" s="16"/>
      <c r="PX188" s="10"/>
      <c r="PY188" s="10"/>
      <c r="QF188" s="3"/>
      <c r="QH188" s="1"/>
      <c r="QJ188" s="16"/>
      <c r="QK188" s="16"/>
      <c r="QL188" s="16"/>
      <c r="QM188" s="16"/>
      <c r="QN188" s="10"/>
      <c r="QO188" s="10"/>
      <c r="QV188" s="3"/>
      <c r="QX188" s="1"/>
      <c r="QZ188" s="16"/>
      <c r="RA188" s="16"/>
      <c r="RB188" s="16"/>
      <c r="RC188" s="16"/>
      <c r="RD188" s="10"/>
      <c r="RE188" s="10"/>
      <c r="RL188" s="3"/>
      <c r="RN188" s="1"/>
      <c r="RP188" s="16"/>
      <c r="RQ188" s="16"/>
      <c r="RR188" s="16"/>
      <c r="RS188" s="16"/>
      <c r="RT188" s="10"/>
      <c r="RU188" s="10"/>
      <c r="SB188" s="3"/>
      <c r="SD188" s="1"/>
      <c r="SF188" s="16"/>
      <c r="SG188" s="16"/>
      <c r="SH188" s="16"/>
      <c r="SI188" s="16"/>
      <c r="SJ188" s="10"/>
      <c r="SK188" s="10"/>
      <c r="SR188" s="3"/>
      <c r="ST188" s="1"/>
      <c r="SV188" s="16"/>
      <c r="SW188" s="16"/>
      <c r="SX188" s="16"/>
      <c r="SY188" s="16"/>
      <c r="SZ188" s="10"/>
      <c r="TA188" s="10"/>
      <c r="TH188" s="3"/>
      <c r="TJ188" s="1"/>
      <c r="TL188" s="16"/>
      <c r="TM188" s="16"/>
      <c r="TN188" s="16"/>
      <c r="TO188" s="16"/>
      <c r="TP188" s="10"/>
      <c r="TQ188" s="10"/>
      <c r="TX188" s="3"/>
      <c r="TZ188" s="1"/>
      <c r="UB188" s="16"/>
      <c r="UC188" s="16"/>
      <c r="UD188" s="16"/>
      <c r="UE188" s="16"/>
      <c r="UF188" s="10"/>
      <c r="UG188" s="10"/>
      <c r="UN188" s="3"/>
      <c r="UP188" s="1"/>
      <c r="UR188" s="16"/>
      <c r="US188" s="16"/>
      <c r="UT188" s="16"/>
      <c r="UU188" s="16"/>
      <c r="UV188" s="10"/>
      <c r="UW188" s="10"/>
      <c r="VD188" s="3"/>
      <c r="VF188" s="1"/>
      <c r="VH188" s="16"/>
      <c r="VI188" s="16"/>
      <c r="VJ188" s="16"/>
      <c r="VK188" s="16"/>
      <c r="VL188" s="10"/>
      <c r="VM188" s="10"/>
      <c r="VT188" s="3"/>
      <c r="VV188" s="1"/>
      <c r="VX188" s="16"/>
      <c r="VY188" s="16"/>
      <c r="VZ188" s="16"/>
      <c r="WA188" s="16"/>
      <c r="WB188" s="10"/>
      <c r="WC188" s="10"/>
      <c r="WJ188" s="3"/>
      <c r="WL188" s="1"/>
      <c r="WN188" s="16"/>
      <c r="WO188" s="16"/>
      <c r="WP188" s="16"/>
      <c r="WQ188" s="16"/>
      <c r="WR188" s="10"/>
      <c r="WS188" s="10"/>
      <c r="WZ188" s="3"/>
      <c r="XB188" s="1"/>
      <c r="XD188" s="16"/>
      <c r="XE188" s="16"/>
      <c r="XF188" s="16"/>
      <c r="XG188" s="16"/>
      <c r="XH188" s="10"/>
      <c r="XI188" s="10"/>
      <c r="XP188" s="3"/>
      <c r="XR188" s="1"/>
      <c r="XT188" s="16"/>
      <c r="XU188" s="16"/>
      <c r="XV188" s="16"/>
      <c r="XW188" s="16"/>
      <c r="XX188" s="10"/>
      <c r="XY188" s="10"/>
      <c r="YF188" s="3"/>
      <c r="YH188" s="1"/>
      <c r="YJ188" s="16"/>
      <c r="YK188" s="16"/>
      <c r="YL188" s="16"/>
      <c r="YM188" s="16"/>
      <c r="YN188" s="10"/>
      <c r="YO188" s="10"/>
      <c r="YV188" s="3"/>
      <c r="YX188" s="1"/>
      <c r="YZ188" s="16"/>
      <c r="ZA188" s="16"/>
      <c r="ZB188" s="16"/>
      <c r="ZC188" s="16"/>
      <c r="ZD188" s="10"/>
      <c r="ZE188" s="10"/>
      <c r="ZL188" s="3"/>
      <c r="ZN188" s="1"/>
      <c r="ZP188" s="16"/>
      <c r="ZQ188" s="16"/>
      <c r="ZR188" s="16"/>
      <c r="ZS188" s="16"/>
      <c r="ZT188" s="10"/>
      <c r="ZU188" s="10"/>
      <c r="AAB188" s="3"/>
      <c r="AAD188" s="1"/>
      <c r="AAF188" s="16"/>
      <c r="AAG188" s="16"/>
      <c r="AAH188" s="16"/>
      <c r="AAI188" s="16"/>
      <c r="AAJ188" s="10"/>
      <c r="AAK188" s="10"/>
      <c r="AAR188" s="3"/>
      <c r="AAT188" s="1"/>
      <c r="AAV188" s="16"/>
      <c r="AAW188" s="16"/>
      <c r="AAX188" s="16"/>
      <c r="AAY188" s="16"/>
      <c r="AAZ188" s="10"/>
      <c r="ABA188" s="10"/>
      <c r="ABH188" s="3"/>
      <c r="ABJ188" s="1"/>
      <c r="ABL188" s="16"/>
      <c r="ABM188" s="16"/>
      <c r="ABN188" s="16"/>
      <c r="ABO188" s="16"/>
      <c r="ABP188" s="10"/>
      <c r="ABQ188" s="10"/>
      <c r="ABX188" s="3"/>
      <c r="ABZ188" s="1"/>
      <c r="ACB188" s="16"/>
      <c r="ACC188" s="16"/>
      <c r="ACD188" s="16"/>
      <c r="ACE188" s="16"/>
      <c r="ACF188" s="10"/>
      <c r="ACG188" s="10"/>
      <c r="ACN188" s="3"/>
      <c r="ACP188" s="1"/>
      <c r="ACR188" s="16"/>
      <c r="ACS188" s="16"/>
      <c r="ACT188" s="16"/>
      <c r="ACU188" s="16"/>
      <c r="ACV188" s="10"/>
      <c r="ACW188" s="10"/>
      <c r="ADD188" s="3"/>
      <c r="ADF188" s="1"/>
      <c r="ADH188" s="16"/>
      <c r="ADI188" s="16"/>
      <c r="ADJ188" s="16"/>
      <c r="ADK188" s="16"/>
      <c r="ADL188" s="10"/>
      <c r="ADM188" s="10"/>
      <c r="ADT188" s="3"/>
      <c r="ADV188" s="1"/>
      <c r="ADX188" s="16"/>
      <c r="ADY188" s="16"/>
      <c r="ADZ188" s="16"/>
      <c r="AEA188" s="16"/>
      <c r="AEB188" s="10"/>
      <c r="AEC188" s="10"/>
      <c r="AEJ188" s="3"/>
      <c r="AEL188" s="1"/>
      <c r="AEN188" s="16"/>
      <c r="AEO188" s="16"/>
      <c r="AEP188" s="16"/>
      <c r="AEQ188" s="16"/>
      <c r="AER188" s="10"/>
      <c r="AES188" s="10"/>
      <c r="AEZ188" s="3"/>
      <c r="AFB188" s="1"/>
      <c r="AFD188" s="16"/>
      <c r="AFE188" s="16"/>
      <c r="AFF188" s="16"/>
      <c r="AFG188" s="16"/>
      <c r="AFH188" s="10"/>
      <c r="AFI188" s="10"/>
      <c r="AFP188" s="3"/>
      <c r="AFR188" s="1"/>
      <c r="AFT188" s="16"/>
      <c r="AFU188" s="16"/>
      <c r="AFV188" s="16"/>
      <c r="AFW188" s="16"/>
      <c r="AFX188" s="10"/>
      <c r="AFY188" s="10"/>
      <c r="AGF188" s="3"/>
      <c r="AGH188" s="1"/>
      <c r="AGJ188" s="16"/>
      <c r="AGK188" s="16"/>
      <c r="AGL188" s="16"/>
      <c r="AGM188" s="16"/>
      <c r="AGN188" s="10"/>
      <c r="AGO188" s="10"/>
      <c r="AGV188" s="3"/>
      <c r="AGX188" s="1"/>
      <c r="AGZ188" s="16"/>
      <c r="AHA188" s="16"/>
      <c r="AHB188" s="16"/>
      <c r="AHC188" s="16"/>
      <c r="AHD188" s="10"/>
      <c r="AHE188" s="10"/>
      <c r="AHL188" s="3"/>
      <c r="AHN188" s="1"/>
      <c r="AHP188" s="16"/>
      <c r="AHQ188" s="16"/>
      <c r="AHR188" s="16"/>
      <c r="AHS188" s="16"/>
      <c r="AHT188" s="10"/>
      <c r="AHU188" s="10"/>
      <c r="AIB188" s="3"/>
      <c r="AID188" s="1"/>
      <c r="AIF188" s="16"/>
      <c r="AIG188" s="16"/>
      <c r="AIH188" s="16"/>
      <c r="AII188" s="16"/>
      <c r="AIJ188" s="10"/>
      <c r="AIK188" s="10"/>
      <c r="AIR188" s="3"/>
      <c r="AIT188" s="1"/>
      <c r="AIV188" s="16"/>
      <c r="AIW188" s="16"/>
      <c r="AIX188" s="16"/>
      <c r="AIY188" s="16"/>
      <c r="AIZ188" s="10"/>
      <c r="AJA188" s="10"/>
      <c r="AJH188" s="3"/>
      <c r="AJJ188" s="1"/>
      <c r="AJL188" s="16"/>
      <c r="AJM188" s="16"/>
      <c r="AJN188" s="16"/>
      <c r="AJO188" s="16"/>
      <c r="AJP188" s="10"/>
      <c r="AJQ188" s="10"/>
      <c r="AJX188" s="3"/>
      <c r="AJZ188" s="1"/>
      <c r="AKB188" s="16"/>
      <c r="AKC188" s="16"/>
      <c r="AKD188" s="16"/>
      <c r="AKE188" s="16"/>
      <c r="AKF188" s="10"/>
      <c r="AKG188" s="10"/>
      <c r="AKN188" s="3"/>
      <c r="AKP188" s="1"/>
      <c r="AKR188" s="16"/>
      <c r="AKS188" s="16"/>
      <c r="AKT188" s="16"/>
      <c r="AKU188" s="16"/>
      <c r="AKV188" s="10"/>
      <c r="AKW188" s="10"/>
      <c r="ALD188" s="3"/>
      <c r="ALF188" s="1"/>
      <c r="ALH188" s="16"/>
      <c r="ALI188" s="16"/>
      <c r="ALJ188" s="16"/>
      <c r="ALK188" s="16"/>
      <c r="ALL188" s="10"/>
      <c r="ALM188" s="10"/>
      <c r="ALT188" s="3"/>
      <c r="ALV188" s="1"/>
      <c r="ALX188" s="16"/>
      <c r="ALY188" s="16"/>
      <c r="ALZ188" s="16"/>
      <c r="AMA188" s="16"/>
      <c r="AMB188" s="10"/>
      <c r="AMC188" s="10"/>
      <c r="AMJ188" s="3"/>
      <c r="AML188" s="1"/>
      <c r="AMN188" s="16"/>
      <c r="AMO188" s="16"/>
      <c r="AMP188" s="16"/>
      <c r="AMQ188" s="16"/>
      <c r="AMR188" s="10"/>
      <c r="AMS188" s="10"/>
      <c r="AMZ188" s="3"/>
      <c r="ANB188" s="1"/>
      <c r="AND188" s="16"/>
      <c r="ANE188" s="16"/>
      <c r="ANF188" s="16"/>
      <c r="ANG188" s="16"/>
      <c r="ANH188" s="10"/>
      <c r="ANI188" s="10"/>
      <c r="ANP188" s="3"/>
      <c r="ANR188" s="1"/>
      <c r="ANT188" s="16"/>
      <c r="ANU188" s="16"/>
      <c r="ANV188" s="16"/>
      <c r="ANW188" s="16"/>
      <c r="ANX188" s="10"/>
      <c r="ANY188" s="10"/>
      <c r="AOF188" s="3"/>
      <c r="AOH188" s="1"/>
      <c r="AOJ188" s="16"/>
      <c r="AOK188" s="16"/>
      <c r="AOL188" s="16"/>
      <c r="AOM188" s="16"/>
      <c r="AON188" s="10"/>
      <c r="AOO188" s="10"/>
      <c r="AOV188" s="3"/>
      <c r="AOX188" s="1"/>
      <c r="AOZ188" s="16"/>
      <c r="APA188" s="16"/>
      <c r="APB188" s="16"/>
      <c r="APC188" s="16"/>
      <c r="APD188" s="10"/>
      <c r="APE188" s="10"/>
      <c r="APL188" s="3"/>
      <c r="APN188" s="1"/>
      <c r="APP188" s="16"/>
      <c r="APQ188" s="16"/>
      <c r="APR188" s="16"/>
      <c r="APS188" s="16"/>
      <c r="APT188" s="10"/>
      <c r="APU188" s="10"/>
      <c r="AQB188" s="3"/>
      <c r="AQD188" s="1"/>
      <c r="AQF188" s="16"/>
      <c r="AQG188" s="16"/>
      <c r="AQH188" s="16"/>
      <c r="AQI188" s="16"/>
      <c r="AQJ188" s="10"/>
      <c r="AQK188" s="10"/>
      <c r="AQR188" s="3"/>
      <c r="AQT188" s="1"/>
      <c r="AQV188" s="16"/>
      <c r="AQW188" s="16"/>
      <c r="AQX188" s="16"/>
      <c r="AQY188" s="16"/>
      <c r="AQZ188" s="10"/>
      <c r="ARA188" s="10"/>
      <c r="ARH188" s="3"/>
      <c r="ARJ188" s="1"/>
      <c r="ARL188" s="16"/>
      <c r="ARM188" s="16"/>
      <c r="ARN188" s="16"/>
      <c r="ARO188" s="16"/>
      <c r="ARP188" s="10"/>
      <c r="ARQ188" s="10"/>
      <c r="ARX188" s="3"/>
      <c r="ARZ188" s="1"/>
      <c r="ASB188" s="16"/>
      <c r="ASC188" s="16"/>
      <c r="ASD188" s="16"/>
      <c r="ASE188" s="16"/>
      <c r="ASF188" s="10"/>
      <c r="ASG188" s="10"/>
      <c r="ASN188" s="3"/>
      <c r="ASP188" s="1"/>
      <c r="ASR188" s="16"/>
      <c r="ASS188" s="16"/>
      <c r="AST188" s="16"/>
      <c r="ASU188" s="16"/>
      <c r="ASV188" s="10"/>
      <c r="ASW188" s="10"/>
      <c r="ATD188" s="3"/>
      <c r="ATF188" s="1"/>
      <c r="ATH188" s="16"/>
      <c r="ATI188" s="16"/>
      <c r="ATJ188" s="16"/>
      <c r="ATK188" s="16"/>
      <c r="ATL188" s="10"/>
      <c r="ATM188" s="10"/>
      <c r="ATT188" s="3"/>
      <c r="ATV188" s="1"/>
      <c r="ATX188" s="16"/>
      <c r="ATY188" s="16"/>
      <c r="ATZ188" s="16"/>
      <c r="AUA188" s="16"/>
      <c r="AUB188" s="10"/>
      <c r="AUC188" s="10"/>
      <c r="AUJ188" s="3"/>
      <c r="AUL188" s="1"/>
      <c r="AUN188" s="16"/>
      <c r="AUO188" s="16"/>
      <c r="AUP188" s="16"/>
      <c r="AUQ188" s="16"/>
      <c r="AUR188" s="10"/>
      <c r="AUS188" s="10"/>
      <c r="AUZ188" s="3"/>
      <c r="AVB188" s="1"/>
      <c r="AVD188" s="16"/>
      <c r="AVE188" s="16"/>
      <c r="AVF188" s="16"/>
      <c r="AVG188" s="16"/>
      <c r="AVH188" s="10"/>
      <c r="AVI188" s="10"/>
      <c r="AVP188" s="3"/>
      <c r="AVR188" s="1"/>
      <c r="AVT188" s="16"/>
      <c r="AVU188" s="16"/>
      <c r="AVV188" s="16"/>
      <c r="AVW188" s="16"/>
      <c r="AVX188" s="10"/>
      <c r="AVY188" s="10"/>
      <c r="AWF188" s="3"/>
      <c r="AWH188" s="1"/>
      <c r="AWJ188" s="16"/>
      <c r="AWK188" s="16"/>
      <c r="AWL188" s="16"/>
      <c r="AWM188" s="16"/>
      <c r="AWN188" s="10"/>
      <c r="AWO188" s="10"/>
      <c r="AWV188" s="3"/>
      <c r="AWX188" s="1"/>
      <c r="AWZ188" s="16"/>
      <c r="AXA188" s="16"/>
      <c r="AXB188" s="16"/>
      <c r="AXC188" s="16"/>
      <c r="AXD188" s="10"/>
      <c r="AXE188" s="10"/>
      <c r="AXL188" s="3"/>
      <c r="AXN188" s="1"/>
      <c r="AXP188" s="16"/>
      <c r="AXQ188" s="16"/>
      <c r="AXR188" s="16"/>
      <c r="AXS188" s="16"/>
      <c r="AXT188" s="10"/>
      <c r="AXU188" s="10"/>
      <c r="AYB188" s="3"/>
      <c r="AYD188" s="1"/>
      <c r="AYF188" s="16"/>
      <c r="AYG188" s="16"/>
      <c r="AYH188" s="16"/>
      <c r="AYI188" s="16"/>
      <c r="AYJ188" s="10"/>
      <c r="AYK188" s="10"/>
      <c r="AYR188" s="3"/>
      <c r="AYT188" s="1"/>
      <c r="AYV188" s="16"/>
      <c r="AYW188" s="16"/>
      <c r="AYX188" s="16"/>
      <c r="AYY188" s="16"/>
      <c r="AYZ188" s="10"/>
      <c r="AZA188" s="10"/>
      <c r="AZH188" s="3"/>
      <c r="AZJ188" s="1"/>
      <c r="AZL188" s="16"/>
      <c r="AZM188" s="16"/>
      <c r="AZN188" s="16"/>
      <c r="AZO188" s="16"/>
      <c r="AZP188" s="10"/>
      <c r="AZQ188" s="10"/>
      <c r="AZX188" s="3"/>
      <c r="AZZ188" s="1"/>
      <c r="BAB188" s="16"/>
      <c r="BAC188" s="16"/>
      <c r="BAD188" s="16"/>
      <c r="BAE188" s="16"/>
      <c r="BAF188" s="10"/>
      <c r="BAG188" s="10"/>
      <c r="BAN188" s="3"/>
      <c r="BAP188" s="1"/>
      <c r="BAR188" s="16"/>
      <c r="BAS188" s="16"/>
      <c r="BAT188" s="16"/>
      <c r="BAU188" s="16"/>
      <c r="BAV188" s="10"/>
      <c r="BAW188" s="10"/>
      <c r="BBD188" s="3"/>
      <c r="BBF188" s="1"/>
      <c r="BBH188" s="16"/>
      <c r="BBI188" s="16"/>
      <c r="BBJ188" s="16"/>
      <c r="BBK188" s="16"/>
      <c r="BBL188" s="10"/>
      <c r="BBM188" s="10"/>
      <c r="BBT188" s="3"/>
      <c r="BBV188" s="1"/>
      <c r="BBX188" s="16"/>
      <c r="BBY188" s="16"/>
      <c r="BBZ188" s="16"/>
      <c r="BCA188" s="16"/>
      <c r="BCB188" s="10"/>
      <c r="BCC188" s="10"/>
      <c r="BCJ188" s="3"/>
      <c r="BCL188" s="1"/>
      <c r="BCN188" s="16"/>
      <c r="BCO188" s="16"/>
      <c r="BCP188" s="16"/>
      <c r="BCQ188" s="16"/>
      <c r="BCR188" s="10"/>
      <c r="BCS188" s="10"/>
      <c r="BCZ188" s="3"/>
      <c r="BDB188" s="1"/>
      <c r="BDD188" s="16"/>
      <c r="BDE188" s="16"/>
      <c r="BDF188" s="16"/>
      <c r="BDG188" s="16"/>
      <c r="BDH188" s="10"/>
      <c r="BDI188" s="10"/>
      <c r="BDP188" s="3"/>
      <c r="BDR188" s="1"/>
      <c r="BDT188" s="16"/>
      <c r="BDU188" s="16"/>
      <c r="BDV188" s="16"/>
      <c r="BDW188" s="16"/>
      <c r="BDX188" s="10"/>
      <c r="BDY188" s="10"/>
      <c r="BEF188" s="3"/>
      <c r="BEH188" s="1"/>
      <c r="BEJ188" s="16"/>
      <c r="BEK188" s="16"/>
      <c r="BEL188" s="16"/>
      <c r="BEM188" s="16"/>
      <c r="BEN188" s="10"/>
      <c r="BEO188" s="10"/>
      <c r="BEV188" s="3"/>
      <c r="BEX188" s="1"/>
      <c r="BEZ188" s="16"/>
      <c r="BFA188" s="16"/>
      <c r="BFB188" s="16"/>
      <c r="BFC188" s="16"/>
      <c r="BFD188" s="10"/>
      <c r="BFE188" s="10"/>
      <c r="BFL188" s="3"/>
      <c r="BFN188" s="1"/>
      <c r="BFP188" s="16"/>
      <c r="BFQ188" s="16"/>
      <c r="BFR188" s="16"/>
      <c r="BFS188" s="16"/>
      <c r="BFT188" s="10"/>
      <c r="BFU188" s="10"/>
      <c r="BGB188" s="3"/>
      <c r="BGD188" s="1"/>
      <c r="BGF188" s="16"/>
      <c r="BGG188" s="16"/>
      <c r="BGH188" s="16"/>
      <c r="BGI188" s="16"/>
      <c r="BGJ188" s="10"/>
      <c r="BGK188" s="10"/>
      <c r="BGR188" s="3"/>
      <c r="BGT188" s="1"/>
      <c r="BGV188" s="16"/>
      <c r="BGW188" s="16"/>
      <c r="BGX188" s="16"/>
      <c r="BGY188" s="16"/>
      <c r="BGZ188" s="10"/>
      <c r="BHA188" s="10"/>
      <c r="BHH188" s="3"/>
      <c r="BHJ188" s="1"/>
      <c r="BHL188" s="16"/>
      <c r="BHM188" s="16"/>
      <c r="BHN188" s="16"/>
      <c r="BHO188" s="16"/>
      <c r="BHP188" s="10"/>
      <c r="BHQ188" s="10"/>
      <c r="BHX188" s="3"/>
      <c r="BHZ188" s="1"/>
      <c r="BIB188" s="16"/>
      <c r="BIC188" s="16"/>
      <c r="BID188" s="16"/>
      <c r="BIE188" s="16"/>
      <c r="BIF188" s="10"/>
      <c r="BIG188" s="10"/>
      <c r="BIN188" s="3"/>
      <c r="BIP188" s="1"/>
      <c r="BIR188" s="16"/>
      <c r="BIS188" s="16"/>
      <c r="BIT188" s="16"/>
      <c r="BIU188" s="16"/>
      <c r="BIV188" s="10"/>
      <c r="BIW188" s="10"/>
      <c r="BJD188" s="3"/>
      <c r="BJF188" s="1"/>
      <c r="BJH188" s="16"/>
      <c r="BJI188" s="16"/>
      <c r="BJJ188" s="16"/>
      <c r="BJK188" s="16"/>
      <c r="BJL188" s="10"/>
      <c r="BJM188" s="10"/>
      <c r="BJT188" s="3"/>
      <c r="BJV188" s="1"/>
      <c r="BJX188" s="16"/>
      <c r="BJY188" s="16"/>
      <c r="BJZ188" s="16"/>
      <c r="BKA188" s="16"/>
      <c r="BKB188" s="10"/>
      <c r="BKC188" s="10"/>
      <c r="BKJ188" s="3"/>
      <c r="BKL188" s="1"/>
      <c r="BKN188" s="16"/>
      <c r="BKO188" s="16"/>
      <c r="BKP188" s="16"/>
      <c r="BKQ188" s="16"/>
      <c r="BKR188" s="10"/>
      <c r="BKS188" s="10"/>
      <c r="BKZ188" s="3"/>
      <c r="BLB188" s="1"/>
      <c r="BLD188" s="16"/>
      <c r="BLE188" s="16"/>
      <c r="BLF188" s="16"/>
      <c r="BLG188" s="16"/>
      <c r="BLH188" s="10"/>
      <c r="BLI188" s="10"/>
      <c r="BLP188" s="3"/>
      <c r="BLR188" s="1"/>
      <c r="BLT188" s="16"/>
      <c r="BLU188" s="16"/>
      <c r="BLV188" s="16"/>
      <c r="BLW188" s="16"/>
      <c r="BLX188" s="10"/>
      <c r="BLY188" s="10"/>
      <c r="BMF188" s="3"/>
      <c r="BMH188" s="1"/>
      <c r="BMJ188" s="16"/>
      <c r="BMK188" s="16"/>
      <c r="BML188" s="16"/>
      <c r="BMM188" s="16"/>
      <c r="BMN188" s="10"/>
      <c r="BMO188" s="10"/>
      <c r="BMV188" s="3"/>
      <c r="BMX188" s="1"/>
      <c r="BMZ188" s="16"/>
      <c r="BNA188" s="16"/>
      <c r="BNB188" s="16"/>
      <c r="BNC188" s="16"/>
      <c r="BND188" s="10"/>
      <c r="BNE188" s="10"/>
      <c r="BNL188" s="3"/>
      <c r="BNN188" s="1"/>
      <c r="BNP188" s="16"/>
      <c r="BNQ188" s="16"/>
      <c r="BNR188" s="16"/>
      <c r="BNS188" s="16"/>
      <c r="BNT188" s="10"/>
      <c r="BNU188" s="10"/>
      <c r="BOB188" s="3"/>
      <c r="BOD188" s="1"/>
      <c r="BOF188" s="16"/>
      <c r="BOG188" s="16"/>
      <c r="BOH188" s="16"/>
      <c r="BOI188" s="16"/>
      <c r="BOJ188" s="10"/>
      <c r="BOK188" s="10"/>
      <c r="BOR188" s="3"/>
      <c r="BOT188" s="1"/>
      <c r="BOV188" s="16"/>
      <c r="BOW188" s="16"/>
      <c r="BOX188" s="16"/>
      <c r="BOY188" s="16"/>
      <c r="BOZ188" s="10"/>
      <c r="BPA188" s="10"/>
      <c r="BPH188" s="3"/>
      <c r="BPJ188" s="1"/>
      <c r="BPL188" s="16"/>
      <c r="BPM188" s="16"/>
      <c r="BPN188" s="16"/>
      <c r="BPO188" s="16"/>
      <c r="BPP188" s="10"/>
      <c r="BPQ188" s="10"/>
      <c r="BPX188" s="3"/>
      <c r="BPZ188" s="1"/>
      <c r="BQB188" s="16"/>
      <c r="BQC188" s="16"/>
      <c r="BQD188" s="16"/>
      <c r="BQE188" s="16"/>
      <c r="BQF188" s="10"/>
      <c r="BQG188" s="10"/>
      <c r="BQN188" s="3"/>
      <c r="BQP188" s="1"/>
      <c r="BQR188" s="16"/>
      <c r="BQS188" s="16"/>
      <c r="BQT188" s="16"/>
      <c r="BQU188" s="16"/>
      <c r="BQV188" s="10"/>
      <c r="BQW188" s="10"/>
      <c r="BRD188" s="3"/>
      <c r="BRF188" s="1"/>
      <c r="BRH188" s="16"/>
      <c r="BRI188" s="16"/>
      <c r="BRJ188" s="16"/>
      <c r="BRK188" s="16"/>
      <c r="BRL188" s="10"/>
      <c r="BRM188" s="10"/>
      <c r="BRT188" s="3"/>
      <c r="BRV188" s="1"/>
      <c r="BRX188" s="16"/>
      <c r="BRY188" s="16"/>
      <c r="BRZ188" s="16"/>
      <c r="BSA188" s="16"/>
      <c r="BSB188" s="10"/>
      <c r="BSC188" s="10"/>
      <c r="BSJ188" s="3"/>
      <c r="BSL188" s="1"/>
      <c r="BSN188" s="16"/>
      <c r="BSO188" s="16"/>
      <c r="BSP188" s="16"/>
      <c r="BSQ188" s="16"/>
      <c r="BSR188" s="10"/>
      <c r="BSS188" s="10"/>
      <c r="BSZ188" s="3"/>
      <c r="BTB188" s="1"/>
      <c r="BTD188" s="16"/>
      <c r="BTE188" s="16"/>
      <c r="BTF188" s="16"/>
      <c r="BTG188" s="16"/>
      <c r="BTH188" s="10"/>
      <c r="BTI188" s="10"/>
      <c r="BTP188" s="3"/>
      <c r="BTR188" s="1"/>
      <c r="BTT188" s="16"/>
      <c r="BTU188" s="16"/>
      <c r="BTV188" s="16"/>
      <c r="BTW188" s="16"/>
      <c r="BTX188" s="10"/>
      <c r="BTY188" s="10"/>
      <c r="BUF188" s="3"/>
      <c r="BUH188" s="1"/>
      <c r="BUJ188" s="16"/>
      <c r="BUK188" s="16"/>
      <c r="BUL188" s="16"/>
      <c r="BUM188" s="16"/>
      <c r="BUN188" s="10"/>
      <c r="BUO188" s="10"/>
      <c r="BUV188" s="3"/>
      <c r="BUX188" s="1"/>
      <c r="BUZ188" s="16"/>
      <c r="BVA188" s="16"/>
      <c r="BVB188" s="16"/>
      <c r="BVC188" s="16"/>
      <c r="BVD188" s="10"/>
      <c r="BVE188" s="10"/>
      <c r="BVL188" s="3"/>
      <c r="BVN188" s="1"/>
      <c r="BVP188" s="16"/>
      <c r="BVQ188" s="16"/>
      <c r="BVR188" s="16"/>
      <c r="BVS188" s="16"/>
      <c r="BVT188" s="10"/>
      <c r="BVU188" s="10"/>
      <c r="BWB188" s="3"/>
      <c r="BWD188" s="1"/>
      <c r="BWF188" s="16"/>
      <c r="BWG188" s="16"/>
      <c r="BWH188" s="16"/>
      <c r="BWI188" s="16"/>
      <c r="BWJ188" s="10"/>
      <c r="BWK188" s="10"/>
      <c r="BWR188" s="3"/>
      <c r="BWT188" s="1"/>
      <c r="BWV188" s="16"/>
      <c r="BWW188" s="16"/>
      <c r="BWX188" s="16"/>
      <c r="BWY188" s="16"/>
      <c r="BWZ188" s="10"/>
      <c r="BXA188" s="10"/>
      <c r="BXH188" s="3"/>
      <c r="BXJ188" s="1"/>
      <c r="BXL188" s="16"/>
      <c r="BXM188" s="16"/>
      <c r="BXN188" s="16"/>
      <c r="BXO188" s="16"/>
      <c r="BXP188" s="10"/>
      <c r="BXQ188" s="10"/>
      <c r="BXX188" s="3"/>
      <c r="BXZ188" s="1"/>
      <c r="BYB188" s="16"/>
      <c r="BYC188" s="16"/>
      <c r="BYD188" s="16"/>
      <c r="BYE188" s="16"/>
      <c r="BYF188" s="10"/>
      <c r="BYG188" s="10"/>
      <c r="BYN188" s="3"/>
      <c r="BYP188" s="1"/>
      <c r="BYR188" s="16"/>
      <c r="BYS188" s="16"/>
      <c r="BYT188" s="16"/>
      <c r="BYU188" s="16"/>
      <c r="BYV188" s="10"/>
      <c r="BYW188" s="10"/>
      <c r="BZD188" s="3"/>
      <c r="BZF188" s="1"/>
      <c r="BZH188" s="16"/>
      <c r="BZI188" s="16"/>
      <c r="BZJ188" s="16"/>
      <c r="BZK188" s="16"/>
      <c r="BZL188" s="10"/>
      <c r="BZM188" s="10"/>
      <c r="BZT188" s="3"/>
      <c r="BZV188" s="1"/>
      <c r="BZX188" s="16"/>
      <c r="BZY188" s="16"/>
      <c r="BZZ188" s="16"/>
      <c r="CAA188" s="16"/>
      <c r="CAB188" s="10"/>
      <c r="CAC188" s="10"/>
      <c r="CAJ188" s="3"/>
      <c r="CAL188" s="1"/>
      <c r="CAN188" s="16"/>
      <c r="CAO188" s="16"/>
      <c r="CAP188" s="16"/>
      <c r="CAQ188" s="16"/>
      <c r="CAR188" s="10"/>
      <c r="CAS188" s="10"/>
      <c r="CAZ188" s="3"/>
      <c r="CBB188" s="1"/>
      <c r="CBD188" s="16"/>
      <c r="CBE188" s="16"/>
      <c r="CBF188" s="16"/>
      <c r="CBG188" s="16"/>
      <c r="CBH188" s="10"/>
      <c r="CBI188" s="10"/>
      <c r="CBP188" s="3"/>
      <c r="CBR188" s="1"/>
      <c r="CBT188" s="16"/>
      <c r="CBU188" s="16"/>
      <c r="CBV188" s="16"/>
      <c r="CBW188" s="16"/>
      <c r="CBX188" s="10"/>
      <c r="CBY188" s="10"/>
      <c r="CCF188" s="3"/>
      <c r="CCH188" s="1"/>
      <c r="CCJ188" s="16"/>
      <c r="CCK188" s="16"/>
      <c r="CCL188" s="16"/>
      <c r="CCM188" s="16"/>
      <c r="CCN188" s="10"/>
      <c r="CCO188" s="10"/>
      <c r="CCV188" s="3"/>
      <c r="CCX188" s="1"/>
      <c r="CCZ188" s="16"/>
      <c r="CDA188" s="16"/>
      <c r="CDB188" s="16"/>
      <c r="CDC188" s="16"/>
      <c r="CDD188" s="10"/>
      <c r="CDE188" s="10"/>
      <c r="CDL188" s="3"/>
      <c r="CDN188" s="1"/>
      <c r="CDP188" s="16"/>
      <c r="CDQ188" s="16"/>
      <c r="CDR188" s="16"/>
      <c r="CDS188" s="16"/>
      <c r="CDT188" s="10"/>
      <c r="CDU188" s="10"/>
      <c r="CEB188" s="3"/>
      <c r="CED188" s="1"/>
      <c r="CEF188" s="16"/>
      <c r="CEG188" s="16"/>
      <c r="CEH188" s="16"/>
      <c r="CEI188" s="16"/>
      <c r="CEJ188" s="10"/>
      <c r="CEK188" s="10"/>
      <c r="CER188" s="3"/>
      <c r="CET188" s="1"/>
      <c r="CEV188" s="16"/>
      <c r="CEW188" s="16"/>
      <c r="CEX188" s="16"/>
      <c r="CEY188" s="16"/>
      <c r="CEZ188" s="10"/>
      <c r="CFA188" s="10"/>
      <c r="CFH188" s="3"/>
      <c r="CFJ188" s="1"/>
      <c r="CFL188" s="16"/>
      <c r="CFM188" s="16"/>
      <c r="CFN188" s="16"/>
      <c r="CFO188" s="16"/>
      <c r="CFP188" s="10"/>
      <c r="CFQ188" s="10"/>
      <c r="CFX188" s="3"/>
      <c r="CFZ188" s="1"/>
      <c r="CGB188" s="16"/>
      <c r="CGC188" s="16"/>
      <c r="CGD188" s="16"/>
      <c r="CGE188" s="16"/>
      <c r="CGF188" s="10"/>
      <c r="CGG188" s="10"/>
      <c r="CGN188" s="3"/>
      <c r="CGP188" s="1"/>
      <c r="CGR188" s="16"/>
      <c r="CGS188" s="16"/>
      <c r="CGT188" s="16"/>
      <c r="CGU188" s="16"/>
      <c r="CGV188" s="10"/>
      <c r="CGW188" s="10"/>
      <c r="CHD188" s="3"/>
      <c r="CHF188" s="1"/>
      <c r="CHH188" s="16"/>
      <c r="CHI188" s="16"/>
      <c r="CHJ188" s="16"/>
      <c r="CHK188" s="16"/>
      <c r="CHL188" s="10"/>
      <c r="CHM188" s="10"/>
      <c r="CHT188" s="3"/>
      <c r="CHV188" s="1"/>
      <c r="CHX188" s="16"/>
      <c r="CHY188" s="16"/>
      <c r="CHZ188" s="16"/>
      <c r="CIA188" s="16"/>
      <c r="CIB188" s="10"/>
      <c r="CIC188" s="10"/>
      <c r="CIJ188" s="3"/>
      <c r="CIL188" s="1"/>
      <c r="CIN188" s="16"/>
      <c r="CIO188" s="16"/>
      <c r="CIP188" s="16"/>
      <c r="CIQ188" s="16"/>
      <c r="CIR188" s="10"/>
      <c r="CIS188" s="10"/>
      <c r="CIZ188" s="3"/>
      <c r="CJB188" s="1"/>
      <c r="CJD188" s="16"/>
      <c r="CJE188" s="16"/>
      <c r="CJF188" s="16"/>
      <c r="CJG188" s="16"/>
      <c r="CJH188" s="10"/>
      <c r="CJI188" s="10"/>
      <c r="CJP188" s="3"/>
      <c r="CJR188" s="1"/>
      <c r="CJT188" s="16"/>
      <c r="CJU188" s="16"/>
      <c r="CJV188" s="16"/>
      <c r="CJW188" s="16"/>
      <c r="CJX188" s="10"/>
      <c r="CJY188" s="10"/>
      <c r="CKF188" s="3"/>
      <c r="CKH188" s="1"/>
      <c r="CKJ188" s="16"/>
      <c r="CKK188" s="16"/>
      <c r="CKL188" s="16"/>
      <c r="CKM188" s="16"/>
      <c r="CKN188" s="10"/>
      <c r="CKO188" s="10"/>
      <c r="CKV188" s="3"/>
      <c r="CKX188" s="1"/>
      <c r="CKZ188" s="16"/>
      <c r="CLA188" s="16"/>
      <c r="CLB188" s="16"/>
      <c r="CLC188" s="16"/>
      <c r="CLD188" s="10"/>
      <c r="CLE188" s="10"/>
      <c r="CLL188" s="3"/>
      <c r="CLN188" s="1"/>
      <c r="CLP188" s="16"/>
      <c r="CLQ188" s="16"/>
      <c r="CLR188" s="16"/>
      <c r="CLS188" s="16"/>
      <c r="CLT188" s="10"/>
      <c r="CLU188" s="10"/>
      <c r="CMB188" s="3"/>
      <c r="CMD188" s="1"/>
      <c r="CMF188" s="16"/>
      <c r="CMG188" s="16"/>
      <c r="CMH188" s="16"/>
      <c r="CMI188" s="16"/>
      <c r="CMJ188" s="10"/>
      <c r="CMK188" s="10"/>
      <c r="CMR188" s="3"/>
      <c r="CMT188" s="1"/>
      <c r="CMV188" s="16"/>
      <c r="CMW188" s="16"/>
      <c r="CMX188" s="16"/>
      <c r="CMY188" s="16"/>
      <c r="CMZ188" s="10"/>
      <c r="CNA188" s="10"/>
      <c r="CNH188" s="3"/>
      <c r="CNJ188" s="1"/>
      <c r="CNL188" s="16"/>
      <c r="CNM188" s="16"/>
      <c r="CNN188" s="16"/>
      <c r="CNO188" s="16"/>
      <c r="CNP188" s="10"/>
      <c r="CNQ188" s="10"/>
      <c r="CNX188" s="3"/>
      <c r="CNZ188" s="1"/>
      <c r="COB188" s="16"/>
      <c r="COC188" s="16"/>
      <c r="COD188" s="16"/>
      <c r="COE188" s="16"/>
      <c r="COF188" s="10"/>
      <c r="COG188" s="10"/>
      <c r="CON188" s="3"/>
      <c r="COP188" s="1"/>
      <c r="COR188" s="16"/>
      <c r="COS188" s="16"/>
      <c r="COT188" s="16"/>
      <c r="COU188" s="16"/>
      <c r="COV188" s="10"/>
      <c r="COW188" s="10"/>
      <c r="CPD188" s="3"/>
      <c r="CPF188" s="1"/>
      <c r="CPH188" s="16"/>
      <c r="CPI188" s="16"/>
      <c r="CPJ188" s="16"/>
      <c r="CPK188" s="16"/>
      <c r="CPL188" s="10"/>
      <c r="CPM188" s="10"/>
      <c r="CPT188" s="3"/>
      <c r="CPV188" s="1"/>
      <c r="CPX188" s="16"/>
      <c r="CPY188" s="16"/>
      <c r="CPZ188" s="16"/>
      <c r="CQA188" s="16"/>
      <c r="CQB188" s="10"/>
      <c r="CQC188" s="10"/>
      <c r="CQJ188" s="3"/>
      <c r="CQL188" s="1"/>
      <c r="CQN188" s="16"/>
      <c r="CQO188" s="16"/>
      <c r="CQP188" s="16"/>
      <c r="CQQ188" s="16"/>
      <c r="CQR188" s="10"/>
      <c r="CQS188" s="10"/>
      <c r="CQZ188" s="3"/>
      <c r="CRB188" s="1"/>
      <c r="CRD188" s="16"/>
      <c r="CRE188" s="16"/>
      <c r="CRF188" s="16"/>
      <c r="CRG188" s="16"/>
      <c r="CRH188" s="10"/>
      <c r="CRI188" s="10"/>
      <c r="CRP188" s="3"/>
      <c r="CRR188" s="1"/>
      <c r="CRT188" s="16"/>
      <c r="CRU188" s="16"/>
      <c r="CRV188" s="16"/>
      <c r="CRW188" s="16"/>
      <c r="CRX188" s="10"/>
      <c r="CRY188" s="10"/>
      <c r="CSF188" s="3"/>
      <c r="CSH188" s="1"/>
      <c r="CSJ188" s="16"/>
      <c r="CSK188" s="16"/>
      <c r="CSL188" s="16"/>
      <c r="CSM188" s="16"/>
      <c r="CSN188" s="10"/>
      <c r="CSO188" s="10"/>
      <c r="CSV188" s="3"/>
      <c r="CSX188" s="1"/>
      <c r="CSZ188" s="16"/>
      <c r="CTA188" s="16"/>
      <c r="CTB188" s="16"/>
      <c r="CTC188" s="16"/>
      <c r="CTD188" s="10"/>
      <c r="CTE188" s="10"/>
      <c r="CTL188" s="3"/>
      <c r="CTN188" s="1"/>
      <c r="CTP188" s="16"/>
      <c r="CTQ188" s="16"/>
      <c r="CTR188" s="16"/>
      <c r="CTS188" s="16"/>
      <c r="CTT188" s="10"/>
      <c r="CTU188" s="10"/>
      <c r="CUB188" s="3"/>
      <c r="CUD188" s="1"/>
      <c r="CUF188" s="16"/>
      <c r="CUG188" s="16"/>
      <c r="CUH188" s="16"/>
      <c r="CUI188" s="16"/>
      <c r="CUJ188" s="10"/>
      <c r="CUK188" s="10"/>
      <c r="CUR188" s="3"/>
      <c r="CUT188" s="1"/>
      <c r="CUV188" s="16"/>
      <c r="CUW188" s="16"/>
      <c r="CUX188" s="16"/>
      <c r="CUY188" s="16"/>
      <c r="CUZ188" s="10"/>
      <c r="CVA188" s="10"/>
      <c r="CVH188" s="3"/>
      <c r="CVJ188" s="1"/>
      <c r="CVL188" s="16"/>
      <c r="CVM188" s="16"/>
      <c r="CVN188" s="16"/>
      <c r="CVO188" s="16"/>
      <c r="CVP188" s="10"/>
      <c r="CVQ188" s="10"/>
      <c r="CVX188" s="3"/>
      <c r="CVZ188" s="1"/>
      <c r="CWB188" s="16"/>
      <c r="CWC188" s="16"/>
      <c r="CWD188" s="16"/>
      <c r="CWE188" s="16"/>
      <c r="CWF188" s="10"/>
      <c r="CWG188" s="10"/>
      <c r="CWN188" s="3"/>
      <c r="CWP188" s="1"/>
      <c r="CWR188" s="16"/>
      <c r="CWS188" s="16"/>
      <c r="CWT188" s="16"/>
      <c r="CWU188" s="16"/>
      <c r="CWV188" s="10"/>
      <c r="CWW188" s="10"/>
      <c r="CXD188" s="3"/>
      <c r="CXF188" s="1"/>
      <c r="CXH188" s="16"/>
      <c r="CXI188" s="16"/>
      <c r="CXJ188" s="16"/>
      <c r="CXK188" s="16"/>
      <c r="CXL188" s="10"/>
      <c r="CXM188" s="10"/>
      <c r="CXT188" s="3"/>
      <c r="CXV188" s="1"/>
      <c r="CXX188" s="16"/>
      <c r="CXY188" s="16"/>
      <c r="CXZ188" s="16"/>
      <c r="CYA188" s="16"/>
      <c r="CYB188" s="10"/>
      <c r="CYC188" s="10"/>
      <c r="CYJ188" s="3"/>
      <c r="CYL188" s="1"/>
      <c r="CYN188" s="16"/>
      <c r="CYO188" s="16"/>
      <c r="CYP188" s="16"/>
      <c r="CYQ188" s="16"/>
      <c r="CYR188" s="10"/>
      <c r="CYS188" s="10"/>
      <c r="CYZ188" s="3"/>
      <c r="CZB188" s="1"/>
      <c r="CZD188" s="16"/>
      <c r="CZE188" s="16"/>
      <c r="CZF188" s="16"/>
      <c r="CZG188" s="16"/>
      <c r="CZH188" s="10"/>
      <c r="CZI188" s="10"/>
      <c r="CZP188" s="3"/>
      <c r="CZR188" s="1"/>
      <c r="CZT188" s="16"/>
      <c r="CZU188" s="16"/>
      <c r="CZV188" s="16"/>
      <c r="CZW188" s="16"/>
      <c r="CZX188" s="10"/>
      <c r="CZY188" s="10"/>
      <c r="DAF188" s="3"/>
      <c r="DAH188" s="1"/>
      <c r="DAJ188" s="16"/>
      <c r="DAK188" s="16"/>
      <c r="DAL188" s="16"/>
      <c r="DAM188" s="16"/>
      <c r="DAN188" s="10"/>
      <c r="DAO188" s="10"/>
      <c r="DAV188" s="3"/>
      <c r="DAX188" s="1"/>
      <c r="DAZ188" s="16"/>
      <c r="DBA188" s="16"/>
      <c r="DBB188" s="16"/>
      <c r="DBC188" s="16"/>
      <c r="DBD188" s="10"/>
      <c r="DBE188" s="10"/>
      <c r="DBL188" s="3"/>
      <c r="DBN188" s="1"/>
      <c r="DBP188" s="16"/>
      <c r="DBQ188" s="16"/>
      <c r="DBR188" s="16"/>
      <c r="DBS188" s="16"/>
      <c r="DBT188" s="10"/>
      <c r="DBU188" s="10"/>
      <c r="DCB188" s="3"/>
      <c r="DCD188" s="1"/>
      <c r="DCF188" s="16"/>
      <c r="DCG188" s="16"/>
      <c r="DCH188" s="16"/>
      <c r="DCI188" s="16"/>
      <c r="DCJ188" s="10"/>
      <c r="DCK188" s="10"/>
      <c r="DCR188" s="3"/>
      <c r="DCT188" s="1"/>
      <c r="DCV188" s="16"/>
      <c r="DCW188" s="16"/>
      <c r="DCX188" s="16"/>
      <c r="DCY188" s="16"/>
      <c r="DCZ188" s="10"/>
      <c r="DDA188" s="10"/>
      <c r="DDH188" s="3"/>
      <c r="DDJ188" s="1"/>
      <c r="DDL188" s="16"/>
      <c r="DDM188" s="16"/>
      <c r="DDN188" s="16"/>
      <c r="DDO188" s="16"/>
      <c r="DDP188" s="10"/>
      <c r="DDQ188" s="10"/>
      <c r="DDX188" s="3"/>
      <c r="DDZ188" s="1"/>
      <c r="DEB188" s="16"/>
      <c r="DEC188" s="16"/>
      <c r="DED188" s="16"/>
      <c r="DEE188" s="16"/>
      <c r="DEF188" s="10"/>
      <c r="DEG188" s="10"/>
      <c r="DEN188" s="3"/>
      <c r="DEP188" s="1"/>
      <c r="DER188" s="16"/>
      <c r="DES188" s="16"/>
      <c r="DET188" s="16"/>
      <c r="DEU188" s="16"/>
      <c r="DEV188" s="10"/>
      <c r="DEW188" s="10"/>
      <c r="DFD188" s="3"/>
      <c r="DFF188" s="1"/>
      <c r="DFH188" s="16"/>
      <c r="DFI188" s="16"/>
      <c r="DFJ188" s="16"/>
      <c r="DFK188" s="16"/>
      <c r="DFL188" s="10"/>
      <c r="DFM188" s="10"/>
      <c r="DFT188" s="3"/>
      <c r="DFV188" s="1"/>
      <c r="DFX188" s="16"/>
      <c r="DFY188" s="16"/>
      <c r="DFZ188" s="16"/>
      <c r="DGA188" s="16"/>
      <c r="DGB188" s="10"/>
      <c r="DGC188" s="10"/>
      <c r="DGJ188" s="3"/>
      <c r="DGL188" s="1"/>
      <c r="DGN188" s="16"/>
      <c r="DGO188" s="16"/>
      <c r="DGP188" s="16"/>
      <c r="DGQ188" s="16"/>
      <c r="DGR188" s="10"/>
      <c r="DGS188" s="10"/>
      <c r="DGZ188" s="3"/>
      <c r="DHB188" s="1"/>
      <c r="DHD188" s="16"/>
      <c r="DHE188" s="16"/>
      <c r="DHF188" s="16"/>
      <c r="DHG188" s="16"/>
      <c r="DHH188" s="10"/>
      <c r="DHI188" s="10"/>
      <c r="DHP188" s="3"/>
      <c r="DHR188" s="1"/>
      <c r="DHT188" s="16"/>
      <c r="DHU188" s="16"/>
      <c r="DHV188" s="16"/>
      <c r="DHW188" s="16"/>
      <c r="DHX188" s="10"/>
      <c r="DHY188" s="10"/>
      <c r="DIF188" s="3"/>
      <c r="DIH188" s="1"/>
      <c r="DIJ188" s="16"/>
      <c r="DIK188" s="16"/>
      <c r="DIL188" s="16"/>
      <c r="DIM188" s="16"/>
      <c r="DIN188" s="10"/>
      <c r="DIO188" s="10"/>
      <c r="DIV188" s="3"/>
      <c r="DIX188" s="1"/>
      <c r="DIZ188" s="16"/>
      <c r="DJA188" s="16"/>
      <c r="DJB188" s="16"/>
      <c r="DJC188" s="16"/>
      <c r="DJD188" s="10"/>
      <c r="DJE188" s="10"/>
      <c r="DJL188" s="3"/>
      <c r="DJN188" s="1"/>
      <c r="DJP188" s="16"/>
      <c r="DJQ188" s="16"/>
      <c r="DJR188" s="16"/>
      <c r="DJS188" s="16"/>
      <c r="DJT188" s="10"/>
      <c r="DJU188" s="10"/>
      <c r="DKB188" s="3"/>
      <c r="DKD188" s="1"/>
      <c r="DKF188" s="16"/>
      <c r="DKG188" s="16"/>
      <c r="DKH188" s="16"/>
      <c r="DKI188" s="16"/>
      <c r="DKJ188" s="10"/>
      <c r="DKK188" s="10"/>
      <c r="DKR188" s="3"/>
      <c r="DKT188" s="1"/>
      <c r="DKV188" s="16"/>
      <c r="DKW188" s="16"/>
      <c r="DKX188" s="16"/>
      <c r="DKY188" s="16"/>
      <c r="DKZ188" s="10"/>
      <c r="DLA188" s="10"/>
      <c r="DLH188" s="3"/>
      <c r="DLJ188" s="1"/>
      <c r="DLL188" s="16"/>
      <c r="DLM188" s="16"/>
      <c r="DLN188" s="16"/>
      <c r="DLO188" s="16"/>
      <c r="DLP188" s="10"/>
      <c r="DLQ188" s="10"/>
      <c r="DLX188" s="3"/>
      <c r="DLZ188" s="1"/>
      <c r="DMB188" s="16"/>
      <c r="DMC188" s="16"/>
      <c r="DMD188" s="16"/>
      <c r="DME188" s="16"/>
      <c r="DMF188" s="10"/>
      <c r="DMG188" s="10"/>
      <c r="DMN188" s="3"/>
      <c r="DMP188" s="1"/>
      <c r="DMR188" s="16"/>
      <c r="DMS188" s="16"/>
      <c r="DMT188" s="16"/>
      <c r="DMU188" s="16"/>
      <c r="DMV188" s="10"/>
      <c r="DMW188" s="10"/>
      <c r="DND188" s="3"/>
      <c r="DNF188" s="1"/>
      <c r="DNH188" s="16"/>
      <c r="DNI188" s="16"/>
      <c r="DNJ188" s="16"/>
      <c r="DNK188" s="16"/>
      <c r="DNL188" s="10"/>
      <c r="DNM188" s="10"/>
      <c r="DNT188" s="3"/>
      <c r="DNV188" s="1"/>
      <c r="DNX188" s="16"/>
      <c r="DNY188" s="16"/>
      <c r="DNZ188" s="16"/>
      <c r="DOA188" s="16"/>
      <c r="DOB188" s="10"/>
      <c r="DOC188" s="10"/>
      <c r="DOJ188" s="3"/>
      <c r="DOL188" s="1"/>
      <c r="DON188" s="16"/>
      <c r="DOO188" s="16"/>
      <c r="DOP188" s="16"/>
      <c r="DOQ188" s="16"/>
      <c r="DOR188" s="10"/>
      <c r="DOS188" s="10"/>
      <c r="DOZ188" s="3"/>
      <c r="DPB188" s="1"/>
      <c r="DPD188" s="16"/>
      <c r="DPE188" s="16"/>
      <c r="DPF188" s="16"/>
      <c r="DPG188" s="16"/>
      <c r="DPH188" s="10"/>
      <c r="DPI188" s="10"/>
      <c r="DPP188" s="3"/>
      <c r="DPR188" s="1"/>
      <c r="DPT188" s="16"/>
      <c r="DPU188" s="16"/>
      <c r="DPV188" s="16"/>
      <c r="DPW188" s="16"/>
      <c r="DPX188" s="10"/>
      <c r="DPY188" s="10"/>
      <c r="DQF188" s="3"/>
      <c r="DQH188" s="1"/>
      <c r="DQJ188" s="16"/>
      <c r="DQK188" s="16"/>
      <c r="DQL188" s="16"/>
      <c r="DQM188" s="16"/>
      <c r="DQN188" s="10"/>
      <c r="DQO188" s="10"/>
      <c r="DQV188" s="3"/>
      <c r="DQX188" s="1"/>
      <c r="DQZ188" s="16"/>
      <c r="DRA188" s="16"/>
      <c r="DRB188" s="16"/>
      <c r="DRC188" s="16"/>
      <c r="DRD188" s="10"/>
      <c r="DRE188" s="10"/>
      <c r="DRL188" s="3"/>
      <c r="DRN188" s="1"/>
      <c r="DRP188" s="16"/>
      <c r="DRQ188" s="16"/>
      <c r="DRR188" s="16"/>
      <c r="DRS188" s="16"/>
      <c r="DRT188" s="10"/>
      <c r="DRU188" s="10"/>
      <c r="DSB188" s="3"/>
      <c r="DSD188" s="1"/>
      <c r="DSF188" s="16"/>
      <c r="DSG188" s="16"/>
      <c r="DSH188" s="16"/>
      <c r="DSI188" s="16"/>
      <c r="DSJ188" s="10"/>
      <c r="DSK188" s="10"/>
      <c r="DSR188" s="3"/>
      <c r="DST188" s="1"/>
      <c r="DSV188" s="16"/>
      <c r="DSW188" s="16"/>
      <c r="DSX188" s="16"/>
      <c r="DSY188" s="16"/>
      <c r="DSZ188" s="10"/>
      <c r="DTA188" s="10"/>
      <c r="DTH188" s="3"/>
      <c r="DTJ188" s="1"/>
      <c r="DTL188" s="16"/>
      <c r="DTM188" s="16"/>
      <c r="DTN188" s="16"/>
      <c r="DTO188" s="16"/>
      <c r="DTP188" s="10"/>
      <c r="DTQ188" s="10"/>
      <c r="DTX188" s="3"/>
      <c r="DTZ188" s="1"/>
      <c r="DUB188" s="16"/>
      <c r="DUC188" s="16"/>
      <c r="DUD188" s="16"/>
      <c r="DUE188" s="16"/>
      <c r="DUF188" s="10"/>
      <c r="DUG188" s="10"/>
      <c r="DUN188" s="3"/>
      <c r="DUP188" s="1"/>
      <c r="DUR188" s="16"/>
      <c r="DUS188" s="16"/>
      <c r="DUT188" s="16"/>
      <c r="DUU188" s="16"/>
      <c r="DUV188" s="10"/>
      <c r="DUW188" s="10"/>
      <c r="DVD188" s="3"/>
      <c r="DVF188" s="1"/>
      <c r="DVH188" s="16"/>
      <c r="DVI188" s="16"/>
      <c r="DVJ188" s="16"/>
      <c r="DVK188" s="16"/>
      <c r="DVL188" s="10"/>
      <c r="DVM188" s="10"/>
      <c r="DVT188" s="3"/>
      <c r="DVV188" s="1"/>
      <c r="DVX188" s="16"/>
      <c r="DVY188" s="16"/>
      <c r="DVZ188" s="16"/>
      <c r="DWA188" s="16"/>
      <c r="DWB188" s="10"/>
      <c r="DWC188" s="10"/>
      <c r="DWJ188" s="3"/>
      <c r="DWL188" s="1"/>
      <c r="DWN188" s="16"/>
      <c r="DWO188" s="16"/>
      <c r="DWP188" s="16"/>
      <c r="DWQ188" s="16"/>
      <c r="DWR188" s="10"/>
      <c r="DWS188" s="10"/>
      <c r="DWZ188" s="3"/>
      <c r="DXB188" s="1"/>
      <c r="DXD188" s="16"/>
      <c r="DXE188" s="16"/>
      <c r="DXF188" s="16"/>
      <c r="DXG188" s="16"/>
      <c r="DXH188" s="10"/>
      <c r="DXI188" s="10"/>
      <c r="DXP188" s="3"/>
      <c r="DXR188" s="1"/>
      <c r="DXT188" s="16"/>
      <c r="DXU188" s="16"/>
      <c r="DXV188" s="16"/>
      <c r="DXW188" s="16"/>
      <c r="DXX188" s="10"/>
      <c r="DXY188" s="10"/>
      <c r="DYF188" s="3"/>
      <c r="DYH188" s="1"/>
      <c r="DYJ188" s="16"/>
      <c r="DYK188" s="16"/>
      <c r="DYL188" s="16"/>
      <c r="DYM188" s="16"/>
      <c r="DYN188" s="10"/>
      <c r="DYO188" s="10"/>
      <c r="DYV188" s="3"/>
      <c r="DYX188" s="1"/>
      <c r="DYZ188" s="16"/>
      <c r="DZA188" s="16"/>
      <c r="DZB188" s="16"/>
      <c r="DZC188" s="16"/>
      <c r="DZD188" s="10"/>
      <c r="DZE188" s="10"/>
      <c r="DZL188" s="3"/>
      <c r="DZN188" s="1"/>
      <c r="DZP188" s="16"/>
      <c r="DZQ188" s="16"/>
      <c r="DZR188" s="16"/>
      <c r="DZS188" s="16"/>
      <c r="DZT188" s="10"/>
      <c r="DZU188" s="10"/>
      <c r="EAB188" s="3"/>
      <c r="EAD188" s="1"/>
      <c r="EAF188" s="16"/>
      <c r="EAG188" s="16"/>
      <c r="EAH188" s="16"/>
      <c r="EAI188" s="16"/>
      <c r="EAJ188" s="10"/>
      <c r="EAK188" s="10"/>
      <c r="EAR188" s="3"/>
      <c r="EAT188" s="1"/>
      <c r="EAV188" s="16"/>
      <c r="EAW188" s="16"/>
      <c r="EAX188" s="16"/>
      <c r="EAY188" s="16"/>
      <c r="EAZ188" s="10"/>
      <c r="EBA188" s="10"/>
      <c r="EBH188" s="3"/>
      <c r="EBJ188" s="1"/>
      <c r="EBL188" s="16"/>
      <c r="EBM188" s="16"/>
      <c r="EBN188" s="16"/>
      <c r="EBO188" s="16"/>
      <c r="EBP188" s="10"/>
      <c r="EBQ188" s="10"/>
      <c r="EBX188" s="3"/>
      <c r="EBZ188" s="1"/>
      <c r="ECB188" s="16"/>
      <c r="ECC188" s="16"/>
      <c r="ECD188" s="16"/>
      <c r="ECE188" s="16"/>
      <c r="ECF188" s="10"/>
      <c r="ECG188" s="10"/>
      <c r="ECN188" s="3"/>
      <c r="ECP188" s="1"/>
      <c r="ECR188" s="16"/>
      <c r="ECS188" s="16"/>
      <c r="ECT188" s="16"/>
      <c r="ECU188" s="16"/>
      <c r="ECV188" s="10"/>
      <c r="ECW188" s="10"/>
      <c r="EDD188" s="3"/>
      <c r="EDF188" s="1"/>
      <c r="EDH188" s="16"/>
      <c r="EDI188" s="16"/>
      <c r="EDJ188" s="16"/>
      <c r="EDK188" s="16"/>
      <c r="EDL188" s="10"/>
      <c r="EDM188" s="10"/>
      <c r="EDT188" s="3"/>
      <c r="EDV188" s="1"/>
      <c r="EDX188" s="16"/>
      <c r="EDY188" s="16"/>
      <c r="EDZ188" s="16"/>
      <c r="EEA188" s="16"/>
      <c r="EEB188" s="10"/>
      <c r="EEC188" s="10"/>
      <c r="EEJ188" s="3"/>
      <c r="EEL188" s="1"/>
      <c r="EEN188" s="16"/>
      <c r="EEO188" s="16"/>
      <c r="EEP188" s="16"/>
      <c r="EEQ188" s="16"/>
      <c r="EER188" s="10"/>
      <c r="EES188" s="10"/>
      <c r="EEZ188" s="3"/>
      <c r="EFB188" s="1"/>
      <c r="EFD188" s="16"/>
      <c r="EFE188" s="16"/>
      <c r="EFF188" s="16"/>
      <c r="EFG188" s="16"/>
      <c r="EFH188" s="10"/>
      <c r="EFI188" s="10"/>
      <c r="EFP188" s="3"/>
      <c r="EFR188" s="1"/>
      <c r="EFT188" s="16"/>
      <c r="EFU188" s="16"/>
      <c r="EFV188" s="16"/>
      <c r="EFW188" s="16"/>
      <c r="EFX188" s="10"/>
      <c r="EFY188" s="10"/>
      <c r="EGF188" s="3"/>
      <c r="EGH188" s="1"/>
      <c r="EGJ188" s="16"/>
      <c r="EGK188" s="16"/>
      <c r="EGL188" s="16"/>
      <c r="EGM188" s="16"/>
      <c r="EGN188" s="10"/>
      <c r="EGO188" s="10"/>
      <c r="EGV188" s="3"/>
      <c r="EGX188" s="1"/>
      <c r="EGZ188" s="16"/>
      <c r="EHA188" s="16"/>
      <c r="EHB188" s="16"/>
      <c r="EHC188" s="16"/>
      <c r="EHD188" s="10"/>
      <c r="EHE188" s="10"/>
      <c r="EHL188" s="3"/>
      <c r="EHN188" s="1"/>
      <c r="EHP188" s="16"/>
      <c r="EHQ188" s="16"/>
      <c r="EHR188" s="16"/>
      <c r="EHS188" s="16"/>
      <c r="EHT188" s="10"/>
      <c r="EHU188" s="10"/>
      <c r="EIB188" s="3"/>
      <c r="EID188" s="1"/>
      <c r="EIF188" s="16"/>
      <c r="EIG188" s="16"/>
      <c r="EIH188" s="16"/>
      <c r="EII188" s="16"/>
      <c r="EIJ188" s="10"/>
      <c r="EIK188" s="10"/>
      <c r="EIR188" s="3"/>
      <c r="EIT188" s="1"/>
      <c r="EIV188" s="16"/>
      <c r="EIW188" s="16"/>
      <c r="EIX188" s="16"/>
      <c r="EIY188" s="16"/>
      <c r="EIZ188" s="10"/>
      <c r="EJA188" s="10"/>
      <c r="EJH188" s="3"/>
      <c r="EJJ188" s="1"/>
      <c r="EJL188" s="16"/>
      <c r="EJM188" s="16"/>
      <c r="EJN188" s="16"/>
      <c r="EJO188" s="16"/>
      <c r="EJP188" s="10"/>
      <c r="EJQ188" s="10"/>
      <c r="EJX188" s="3"/>
      <c r="EJZ188" s="1"/>
      <c r="EKB188" s="16"/>
      <c r="EKC188" s="16"/>
      <c r="EKD188" s="16"/>
      <c r="EKE188" s="16"/>
      <c r="EKF188" s="10"/>
      <c r="EKG188" s="10"/>
      <c r="EKN188" s="3"/>
      <c r="EKP188" s="1"/>
      <c r="EKR188" s="16"/>
      <c r="EKS188" s="16"/>
      <c r="EKT188" s="16"/>
      <c r="EKU188" s="16"/>
      <c r="EKV188" s="10"/>
      <c r="EKW188" s="10"/>
      <c r="ELD188" s="3"/>
      <c r="ELF188" s="1"/>
      <c r="ELH188" s="16"/>
      <c r="ELI188" s="16"/>
      <c r="ELJ188" s="16"/>
      <c r="ELK188" s="16"/>
      <c r="ELL188" s="10"/>
      <c r="ELM188" s="10"/>
      <c r="ELT188" s="3"/>
      <c r="ELV188" s="1"/>
      <c r="ELX188" s="16"/>
      <c r="ELY188" s="16"/>
      <c r="ELZ188" s="16"/>
      <c r="EMA188" s="16"/>
      <c r="EMB188" s="10"/>
      <c r="EMC188" s="10"/>
      <c r="EMJ188" s="3"/>
      <c r="EML188" s="1"/>
      <c r="EMN188" s="16"/>
      <c r="EMO188" s="16"/>
      <c r="EMP188" s="16"/>
      <c r="EMQ188" s="16"/>
      <c r="EMR188" s="10"/>
      <c r="EMS188" s="10"/>
      <c r="EMZ188" s="3"/>
      <c r="ENB188" s="1"/>
      <c r="END188" s="16"/>
      <c r="ENE188" s="16"/>
      <c r="ENF188" s="16"/>
      <c r="ENG188" s="16"/>
      <c r="ENH188" s="10"/>
      <c r="ENI188" s="10"/>
      <c r="ENP188" s="3"/>
      <c r="ENR188" s="1"/>
      <c r="ENT188" s="16"/>
      <c r="ENU188" s="16"/>
      <c r="ENV188" s="16"/>
      <c r="ENW188" s="16"/>
      <c r="ENX188" s="10"/>
      <c r="ENY188" s="10"/>
      <c r="EOF188" s="3"/>
      <c r="EOH188" s="1"/>
      <c r="EOJ188" s="16"/>
      <c r="EOK188" s="16"/>
      <c r="EOL188" s="16"/>
      <c r="EOM188" s="16"/>
      <c r="EON188" s="10"/>
      <c r="EOO188" s="10"/>
      <c r="EOV188" s="3"/>
      <c r="EOX188" s="1"/>
      <c r="EOZ188" s="16"/>
      <c r="EPA188" s="16"/>
      <c r="EPB188" s="16"/>
      <c r="EPC188" s="16"/>
      <c r="EPD188" s="10"/>
      <c r="EPE188" s="10"/>
      <c r="EPL188" s="3"/>
      <c r="EPN188" s="1"/>
      <c r="EPP188" s="16"/>
      <c r="EPQ188" s="16"/>
      <c r="EPR188" s="16"/>
      <c r="EPS188" s="16"/>
      <c r="EPT188" s="10"/>
      <c r="EPU188" s="10"/>
      <c r="EQB188" s="3"/>
      <c r="EQD188" s="1"/>
      <c r="EQF188" s="16"/>
      <c r="EQG188" s="16"/>
      <c r="EQH188" s="16"/>
      <c r="EQI188" s="16"/>
      <c r="EQJ188" s="10"/>
      <c r="EQK188" s="10"/>
      <c r="EQR188" s="3"/>
      <c r="EQT188" s="1"/>
      <c r="EQV188" s="16"/>
      <c r="EQW188" s="16"/>
      <c r="EQX188" s="16"/>
      <c r="EQY188" s="16"/>
      <c r="EQZ188" s="10"/>
      <c r="ERA188" s="10"/>
      <c r="ERH188" s="3"/>
      <c r="ERJ188" s="1"/>
      <c r="ERL188" s="16"/>
      <c r="ERM188" s="16"/>
      <c r="ERN188" s="16"/>
      <c r="ERO188" s="16"/>
      <c r="ERP188" s="10"/>
      <c r="ERQ188" s="10"/>
      <c r="ERX188" s="3"/>
      <c r="ERZ188" s="1"/>
      <c r="ESB188" s="16"/>
      <c r="ESC188" s="16"/>
      <c r="ESD188" s="16"/>
      <c r="ESE188" s="16"/>
      <c r="ESF188" s="10"/>
      <c r="ESG188" s="10"/>
      <c r="ESN188" s="3"/>
      <c r="ESP188" s="1"/>
      <c r="ESR188" s="16"/>
      <c r="ESS188" s="16"/>
      <c r="EST188" s="16"/>
      <c r="ESU188" s="16"/>
      <c r="ESV188" s="10"/>
      <c r="ESW188" s="10"/>
      <c r="ETD188" s="3"/>
      <c r="ETF188" s="1"/>
      <c r="ETH188" s="16"/>
      <c r="ETI188" s="16"/>
      <c r="ETJ188" s="16"/>
      <c r="ETK188" s="16"/>
      <c r="ETL188" s="10"/>
      <c r="ETM188" s="10"/>
      <c r="ETT188" s="3"/>
      <c r="ETV188" s="1"/>
      <c r="ETX188" s="16"/>
      <c r="ETY188" s="16"/>
      <c r="ETZ188" s="16"/>
      <c r="EUA188" s="16"/>
      <c r="EUB188" s="10"/>
      <c r="EUC188" s="10"/>
      <c r="EUJ188" s="3"/>
      <c r="EUL188" s="1"/>
      <c r="EUN188" s="16"/>
      <c r="EUO188" s="16"/>
      <c r="EUP188" s="16"/>
      <c r="EUQ188" s="16"/>
      <c r="EUR188" s="10"/>
      <c r="EUS188" s="10"/>
      <c r="EUZ188" s="3"/>
      <c r="EVB188" s="1"/>
      <c r="EVD188" s="16"/>
      <c r="EVE188" s="16"/>
      <c r="EVF188" s="16"/>
      <c r="EVG188" s="16"/>
      <c r="EVH188" s="10"/>
      <c r="EVI188" s="10"/>
      <c r="EVP188" s="3"/>
      <c r="EVR188" s="1"/>
      <c r="EVT188" s="16"/>
      <c r="EVU188" s="16"/>
      <c r="EVV188" s="16"/>
      <c r="EVW188" s="16"/>
      <c r="EVX188" s="10"/>
      <c r="EVY188" s="10"/>
      <c r="EWF188" s="3"/>
      <c r="EWH188" s="1"/>
      <c r="EWJ188" s="16"/>
      <c r="EWK188" s="16"/>
      <c r="EWL188" s="16"/>
      <c r="EWM188" s="16"/>
      <c r="EWN188" s="10"/>
      <c r="EWO188" s="10"/>
      <c r="EWV188" s="3"/>
      <c r="EWX188" s="1"/>
      <c r="EWZ188" s="16"/>
      <c r="EXA188" s="16"/>
      <c r="EXB188" s="16"/>
      <c r="EXC188" s="16"/>
      <c r="EXD188" s="10"/>
      <c r="EXE188" s="10"/>
      <c r="EXL188" s="3"/>
      <c r="EXN188" s="1"/>
      <c r="EXP188" s="16"/>
      <c r="EXQ188" s="16"/>
      <c r="EXR188" s="16"/>
      <c r="EXS188" s="16"/>
      <c r="EXT188" s="10"/>
      <c r="EXU188" s="10"/>
      <c r="EYB188" s="3"/>
      <c r="EYD188" s="1"/>
      <c r="EYF188" s="16"/>
      <c r="EYG188" s="16"/>
      <c r="EYH188" s="16"/>
      <c r="EYI188" s="16"/>
      <c r="EYJ188" s="10"/>
      <c r="EYK188" s="10"/>
      <c r="EYR188" s="3"/>
      <c r="EYT188" s="1"/>
      <c r="EYV188" s="16"/>
      <c r="EYW188" s="16"/>
      <c r="EYX188" s="16"/>
      <c r="EYY188" s="16"/>
      <c r="EYZ188" s="10"/>
      <c r="EZA188" s="10"/>
      <c r="EZH188" s="3"/>
      <c r="EZJ188" s="1"/>
      <c r="EZL188" s="16"/>
      <c r="EZM188" s="16"/>
      <c r="EZN188" s="16"/>
      <c r="EZO188" s="16"/>
      <c r="EZP188" s="10"/>
      <c r="EZQ188" s="10"/>
      <c r="EZX188" s="3"/>
      <c r="EZZ188" s="1"/>
      <c r="FAB188" s="16"/>
      <c r="FAC188" s="16"/>
      <c r="FAD188" s="16"/>
      <c r="FAE188" s="16"/>
      <c r="FAF188" s="10"/>
      <c r="FAG188" s="10"/>
      <c r="FAN188" s="3"/>
      <c r="FAP188" s="1"/>
      <c r="FAR188" s="16"/>
      <c r="FAS188" s="16"/>
      <c r="FAT188" s="16"/>
      <c r="FAU188" s="16"/>
      <c r="FAV188" s="10"/>
      <c r="FAW188" s="10"/>
      <c r="FBD188" s="3"/>
      <c r="FBF188" s="1"/>
      <c r="FBH188" s="16"/>
      <c r="FBI188" s="16"/>
      <c r="FBJ188" s="16"/>
      <c r="FBK188" s="16"/>
      <c r="FBL188" s="10"/>
      <c r="FBM188" s="10"/>
      <c r="FBT188" s="3"/>
      <c r="FBV188" s="1"/>
      <c r="FBX188" s="16"/>
      <c r="FBY188" s="16"/>
      <c r="FBZ188" s="16"/>
      <c r="FCA188" s="16"/>
      <c r="FCB188" s="10"/>
      <c r="FCC188" s="10"/>
      <c r="FCJ188" s="3"/>
      <c r="FCL188" s="1"/>
      <c r="FCN188" s="16"/>
      <c r="FCO188" s="16"/>
      <c r="FCP188" s="16"/>
      <c r="FCQ188" s="16"/>
      <c r="FCR188" s="10"/>
      <c r="FCS188" s="10"/>
      <c r="FCZ188" s="3"/>
      <c r="FDB188" s="1"/>
      <c r="FDD188" s="16"/>
      <c r="FDE188" s="16"/>
      <c r="FDF188" s="16"/>
      <c r="FDG188" s="16"/>
      <c r="FDH188" s="10"/>
      <c r="FDI188" s="10"/>
      <c r="FDP188" s="3"/>
      <c r="FDR188" s="1"/>
      <c r="FDT188" s="16"/>
      <c r="FDU188" s="16"/>
      <c r="FDV188" s="16"/>
      <c r="FDW188" s="16"/>
      <c r="FDX188" s="10"/>
      <c r="FDY188" s="10"/>
      <c r="FEF188" s="3"/>
      <c r="FEH188" s="1"/>
      <c r="FEJ188" s="16"/>
      <c r="FEK188" s="16"/>
      <c r="FEL188" s="16"/>
      <c r="FEM188" s="16"/>
      <c r="FEN188" s="10"/>
      <c r="FEO188" s="10"/>
      <c r="FEV188" s="3"/>
      <c r="FEX188" s="1"/>
      <c r="FEZ188" s="16"/>
      <c r="FFA188" s="16"/>
      <c r="FFB188" s="16"/>
      <c r="FFC188" s="16"/>
      <c r="FFD188" s="10"/>
      <c r="FFE188" s="10"/>
      <c r="FFL188" s="3"/>
      <c r="FFN188" s="1"/>
      <c r="FFP188" s="16"/>
      <c r="FFQ188" s="16"/>
      <c r="FFR188" s="16"/>
      <c r="FFS188" s="16"/>
      <c r="FFT188" s="10"/>
      <c r="FFU188" s="10"/>
      <c r="FGB188" s="3"/>
      <c r="FGD188" s="1"/>
      <c r="FGF188" s="16"/>
      <c r="FGG188" s="16"/>
      <c r="FGH188" s="16"/>
      <c r="FGI188" s="16"/>
      <c r="FGJ188" s="10"/>
      <c r="FGK188" s="10"/>
      <c r="FGR188" s="3"/>
      <c r="FGT188" s="1"/>
      <c r="FGV188" s="16"/>
      <c r="FGW188" s="16"/>
      <c r="FGX188" s="16"/>
      <c r="FGY188" s="16"/>
      <c r="FGZ188" s="10"/>
      <c r="FHA188" s="10"/>
      <c r="FHH188" s="3"/>
      <c r="FHJ188" s="1"/>
      <c r="FHL188" s="16"/>
      <c r="FHM188" s="16"/>
      <c r="FHN188" s="16"/>
      <c r="FHO188" s="16"/>
      <c r="FHP188" s="10"/>
      <c r="FHQ188" s="10"/>
      <c r="FHX188" s="3"/>
      <c r="FHZ188" s="1"/>
      <c r="FIB188" s="16"/>
      <c r="FIC188" s="16"/>
      <c r="FID188" s="16"/>
      <c r="FIE188" s="16"/>
      <c r="FIF188" s="10"/>
      <c r="FIG188" s="10"/>
      <c r="FIN188" s="3"/>
      <c r="FIP188" s="1"/>
      <c r="FIR188" s="16"/>
      <c r="FIS188" s="16"/>
      <c r="FIT188" s="16"/>
      <c r="FIU188" s="16"/>
      <c r="FIV188" s="10"/>
      <c r="FIW188" s="10"/>
      <c r="FJD188" s="3"/>
      <c r="FJF188" s="1"/>
      <c r="FJH188" s="16"/>
      <c r="FJI188" s="16"/>
      <c r="FJJ188" s="16"/>
      <c r="FJK188" s="16"/>
      <c r="FJL188" s="10"/>
      <c r="FJM188" s="10"/>
      <c r="FJT188" s="3"/>
      <c r="FJV188" s="1"/>
      <c r="FJX188" s="16"/>
      <c r="FJY188" s="16"/>
      <c r="FJZ188" s="16"/>
      <c r="FKA188" s="16"/>
      <c r="FKB188" s="10"/>
      <c r="FKC188" s="10"/>
      <c r="FKJ188" s="3"/>
      <c r="FKL188" s="1"/>
      <c r="FKN188" s="16"/>
      <c r="FKO188" s="16"/>
      <c r="FKP188" s="16"/>
      <c r="FKQ188" s="16"/>
      <c r="FKR188" s="10"/>
      <c r="FKS188" s="10"/>
      <c r="FKZ188" s="3"/>
      <c r="FLB188" s="1"/>
      <c r="FLD188" s="16"/>
      <c r="FLE188" s="16"/>
      <c r="FLF188" s="16"/>
      <c r="FLG188" s="16"/>
      <c r="FLH188" s="10"/>
      <c r="FLI188" s="10"/>
      <c r="FLP188" s="3"/>
      <c r="FLR188" s="1"/>
      <c r="FLT188" s="16"/>
      <c r="FLU188" s="16"/>
      <c r="FLV188" s="16"/>
      <c r="FLW188" s="16"/>
      <c r="FLX188" s="10"/>
      <c r="FLY188" s="10"/>
      <c r="FMF188" s="3"/>
      <c r="FMH188" s="1"/>
      <c r="FMJ188" s="16"/>
      <c r="FMK188" s="16"/>
      <c r="FML188" s="16"/>
      <c r="FMM188" s="16"/>
      <c r="FMN188" s="10"/>
      <c r="FMO188" s="10"/>
      <c r="FMV188" s="3"/>
      <c r="FMX188" s="1"/>
      <c r="FMZ188" s="16"/>
      <c r="FNA188" s="16"/>
      <c r="FNB188" s="16"/>
      <c r="FNC188" s="16"/>
      <c r="FND188" s="10"/>
      <c r="FNE188" s="10"/>
      <c r="FNL188" s="3"/>
      <c r="FNN188" s="1"/>
      <c r="FNP188" s="16"/>
      <c r="FNQ188" s="16"/>
      <c r="FNR188" s="16"/>
      <c r="FNS188" s="16"/>
      <c r="FNT188" s="10"/>
      <c r="FNU188" s="10"/>
      <c r="FOB188" s="3"/>
      <c r="FOD188" s="1"/>
      <c r="FOF188" s="16"/>
      <c r="FOG188" s="16"/>
      <c r="FOH188" s="16"/>
      <c r="FOI188" s="16"/>
      <c r="FOJ188" s="10"/>
      <c r="FOK188" s="10"/>
      <c r="FOR188" s="3"/>
      <c r="FOT188" s="1"/>
      <c r="FOV188" s="16"/>
      <c r="FOW188" s="16"/>
      <c r="FOX188" s="16"/>
      <c r="FOY188" s="16"/>
      <c r="FOZ188" s="10"/>
      <c r="FPA188" s="10"/>
      <c r="FPH188" s="3"/>
      <c r="FPJ188" s="1"/>
      <c r="FPL188" s="16"/>
      <c r="FPM188" s="16"/>
      <c r="FPN188" s="16"/>
      <c r="FPO188" s="16"/>
      <c r="FPP188" s="10"/>
      <c r="FPQ188" s="10"/>
      <c r="FPX188" s="3"/>
      <c r="FPZ188" s="1"/>
      <c r="FQB188" s="16"/>
      <c r="FQC188" s="16"/>
      <c r="FQD188" s="16"/>
      <c r="FQE188" s="16"/>
      <c r="FQF188" s="10"/>
      <c r="FQG188" s="10"/>
      <c r="FQN188" s="3"/>
      <c r="FQP188" s="1"/>
      <c r="FQR188" s="16"/>
      <c r="FQS188" s="16"/>
      <c r="FQT188" s="16"/>
      <c r="FQU188" s="16"/>
      <c r="FQV188" s="10"/>
      <c r="FQW188" s="10"/>
      <c r="FRD188" s="3"/>
      <c r="FRF188" s="1"/>
      <c r="FRH188" s="16"/>
      <c r="FRI188" s="16"/>
      <c r="FRJ188" s="16"/>
      <c r="FRK188" s="16"/>
      <c r="FRL188" s="10"/>
      <c r="FRM188" s="10"/>
      <c r="FRT188" s="3"/>
      <c r="FRV188" s="1"/>
      <c r="FRX188" s="16"/>
      <c r="FRY188" s="16"/>
      <c r="FRZ188" s="16"/>
      <c r="FSA188" s="16"/>
      <c r="FSB188" s="10"/>
      <c r="FSC188" s="10"/>
      <c r="FSJ188" s="3"/>
      <c r="FSL188" s="1"/>
      <c r="FSN188" s="16"/>
      <c r="FSO188" s="16"/>
      <c r="FSP188" s="16"/>
      <c r="FSQ188" s="16"/>
      <c r="FSR188" s="10"/>
      <c r="FSS188" s="10"/>
      <c r="FSZ188" s="3"/>
      <c r="FTB188" s="1"/>
      <c r="FTD188" s="16"/>
      <c r="FTE188" s="16"/>
      <c r="FTF188" s="16"/>
      <c r="FTG188" s="16"/>
      <c r="FTH188" s="10"/>
      <c r="FTI188" s="10"/>
      <c r="FTP188" s="3"/>
      <c r="FTR188" s="1"/>
      <c r="FTT188" s="16"/>
      <c r="FTU188" s="16"/>
      <c r="FTV188" s="16"/>
      <c r="FTW188" s="16"/>
      <c r="FTX188" s="10"/>
      <c r="FTY188" s="10"/>
      <c r="FUF188" s="3"/>
      <c r="FUH188" s="1"/>
      <c r="FUJ188" s="16"/>
      <c r="FUK188" s="16"/>
      <c r="FUL188" s="16"/>
      <c r="FUM188" s="16"/>
      <c r="FUN188" s="10"/>
      <c r="FUO188" s="10"/>
      <c r="FUV188" s="3"/>
      <c r="FUX188" s="1"/>
      <c r="FUZ188" s="16"/>
      <c r="FVA188" s="16"/>
      <c r="FVB188" s="16"/>
      <c r="FVC188" s="16"/>
      <c r="FVD188" s="10"/>
      <c r="FVE188" s="10"/>
      <c r="FVL188" s="3"/>
      <c r="FVN188" s="1"/>
      <c r="FVP188" s="16"/>
      <c r="FVQ188" s="16"/>
      <c r="FVR188" s="16"/>
      <c r="FVS188" s="16"/>
      <c r="FVT188" s="10"/>
      <c r="FVU188" s="10"/>
      <c r="FWB188" s="3"/>
      <c r="FWD188" s="1"/>
      <c r="FWF188" s="16"/>
      <c r="FWG188" s="16"/>
      <c r="FWH188" s="16"/>
      <c r="FWI188" s="16"/>
      <c r="FWJ188" s="10"/>
      <c r="FWK188" s="10"/>
      <c r="FWR188" s="3"/>
      <c r="FWT188" s="1"/>
      <c r="FWV188" s="16"/>
      <c r="FWW188" s="16"/>
      <c r="FWX188" s="16"/>
      <c r="FWY188" s="16"/>
      <c r="FWZ188" s="10"/>
      <c r="FXA188" s="10"/>
      <c r="FXH188" s="3"/>
      <c r="FXJ188" s="1"/>
      <c r="FXL188" s="16"/>
      <c r="FXM188" s="16"/>
      <c r="FXN188" s="16"/>
      <c r="FXO188" s="16"/>
      <c r="FXP188" s="10"/>
      <c r="FXQ188" s="10"/>
      <c r="FXX188" s="3"/>
      <c r="FXZ188" s="1"/>
      <c r="FYB188" s="16"/>
      <c r="FYC188" s="16"/>
      <c r="FYD188" s="16"/>
      <c r="FYE188" s="16"/>
      <c r="FYF188" s="10"/>
      <c r="FYG188" s="10"/>
      <c r="FYN188" s="3"/>
      <c r="FYP188" s="1"/>
      <c r="FYR188" s="16"/>
      <c r="FYS188" s="16"/>
      <c r="FYT188" s="16"/>
      <c r="FYU188" s="16"/>
      <c r="FYV188" s="10"/>
      <c r="FYW188" s="10"/>
      <c r="FZD188" s="3"/>
      <c r="FZF188" s="1"/>
      <c r="FZH188" s="16"/>
      <c r="FZI188" s="16"/>
      <c r="FZJ188" s="16"/>
      <c r="FZK188" s="16"/>
      <c r="FZL188" s="10"/>
      <c r="FZM188" s="10"/>
      <c r="FZT188" s="3"/>
      <c r="FZV188" s="1"/>
      <c r="FZX188" s="16"/>
      <c r="FZY188" s="16"/>
      <c r="FZZ188" s="16"/>
      <c r="GAA188" s="16"/>
      <c r="GAB188" s="10"/>
      <c r="GAC188" s="10"/>
      <c r="GAJ188" s="3"/>
      <c r="GAL188" s="1"/>
      <c r="GAN188" s="16"/>
      <c r="GAO188" s="16"/>
      <c r="GAP188" s="16"/>
      <c r="GAQ188" s="16"/>
      <c r="GAR188" s="10"/>
      <c r="GAS188" s="10"/>
      <c r="GAZ188" s="3"/>
      <c r="GBB188" s="1"/>
      <c r="GBD188" s="16"/>
      <c r="GBE188" s="16"/>
      <c r="GBF188" s="16"/>
      <c r="GBG188" s="16"/>
      <c r="GBH188" s="10"/>
      <c r="GBI188" s="10"/>
      <c r="GBP188" s="3"/>
      <c r="GBR188" s="1"/>
      <c r="GBT188" s="16"/>
      <c r="GBU188" s="16"/>
      <c r="GBV188" s="16"/>
      <c r="GBW188" s="16"/>
      <c r="GBX188" s="10"/>
      <c r="GBY188" s="10"/>
      <c r="GCF188" s="3"/>
      <c r="GCH188" s="1"/>
      <c r="GCJ188" s="16"/>
      <c r="GCK188" s="16"/>
      <c r="GCL188" s="16"/>
      <c r="GCM188" s="16"/>
      <c r="GCN188" s="10"/>
      <c r="GCO188" s="10"/>
      <c r="GCV188" s="3"/>
      <c r="GCX188" s="1"/>
      <c r="GCZ188" s="16"/>
      <c r="GDA188" s="16"/>
      <c r="GDB188" s="16"/>
      <c r="GDC188" s="16"/>
      <c r="GDD188" s="10"/>
      <c r="GDE188" s="10"/>
      <c r="GDL188" s="3"/>
      <c r="GDN188" s="1"/>
      <c r="GDP188" s="16"/>
      <c r="GDQ188" s="16"/>
      <c r="GDR188" s="16"/>
      <c r="GDS188" s="16"/>
      <c r="GDT188" s="10"/>
      <c r="GDU188" s="10"/>
      <c r="GEB188" s="3"/>
      <c r="GED188" s="1"/>
      <c r="GEF188" s="16"/>
      <c r="GEG188" s="16"/>
      <c r="GEH188" s="16"/>
      <c r="GEI188" s="16"/>
      <c r="GEJ188" s="10"/>
      <c r="GEK188" s="10"/>
      <c r="GER188" s="3"/>
      <c r="GET188" s="1"/>
      <c r="GEV188" s="16"/>
      <c r="GEW188" s="16"/>
      <c r="GEX188" s="16"/>
      <c r="GEY188" s="16"/>
      <c r="GEZ188" s="10"/>
      <c r="GFA188" s="10"/>
      <c r="GFH188" s="3"/>
      <c r="GFJ188" s="1"/>
      <c r="GFL188" s="16"/>
      <c r="GFM188" s="16"/>
      <c r="GFN188" s="16"/>
      <c r="GFO188" s="16"/>
      <c r="GFP188" s="10"/>
      <c r="GFQ188" s="10"/>
      <c r="GFX188" s="3"/>
      <c r="GFZ188" s="1"/>
      <c r="GGB188" s="16"/>
      <c r="GGC188" s="16"/>
      <c r="GGD188" s="16"/>
      <c r="GGE188" s="16"/>
      <c r="GGF188" s="10"/>
      <c r="GGG188" s="10"/>
      <c r="GGN188" s="3"/>
      <c r="GGP188" s="1"/>
      <c r="GGR188" s="16"/>
      <c r="GGS188" s="16"/>
      <c r="GGT188" s="16"/>
      <c r="GGU188" s="16"/>
      <c r="GGV188" s="10"/>
      <c r="GGW188" s="10"/>
      <c r="GHD188" s="3"/>
      <c r="GHF188" s="1"/>
      <c r="GHH188" s="16"/>
      <c r="GHI188" s="16"/>
      <c r="GHJ188" s="16"/>
      <c r="GHK188" s="16"/>
      <c r="GHL188" s="10"/>
      <c r="GHM188" s="10"/>
      <c r="GHT188" s="3"/>
      <c r="GHV188" s="1"/>
      <c r="GHX188" s="16"/>
      <c r="GHY188" s="16"/>
      <c r="GHZ188" s="16"/>
      <c r="GIA188" s="16"/>
      <c r="GIB188" s="10"/>
      <c r="GIC188" s="10"/>
      <c r="GIJ188" s="3"/>
      <c r="GIL188" s="1"/>
      <c r="GIN188" s="16"/>
      <c r="GIO188" s="16"/>
      <c r="GIP188" s="16"/>
      <c r="GIQ188" s="16"/>
      <c r="GIR188" s="10"/>
      <c r="GIS188" s="10"/>
      <c r="GIZ188" s="3"/>
      <c r="GJB188" s="1"/>
      <c r="GJD188" s="16"/>
      <c r="GJE188" s="16"/>
      <c r="GJF188" s="16"/>
      <c r="GJG188" s="16"/>
      <c r="GJH188" s="10"/>
      <c r="GJI188" s="10"/>
      <c r="GJP188" s="3"/>
      <c r="GJR188" s="1"/>
      <c r="GJT188" s="16"/>
      <c r="GJU188" s="16"/>
      <c r="GJV188" s="16"/>
      <c r="GJW188" s="16"/>
      <c r="GJX188" s="10"/>
      <c r="GJY188" s="10"/>
      <c r="GKF188" s="3"/>
      <c r="GKH188" s="1"/>
      <c r="GKJ188" s="16"/>
      <c r="GKK188" s="16"/>
      <c r="GKL188" s="16"/>
      <c r="GKM188" s="16"/>
      <c r="GKN188" s="10"/>
      <c r="GKO188" s="10"/>
      <c r="GKV188" s="3"/>
      <c r="GKX188" s="1"/>
      <c r="GKZ188" s="16"/>
      <c r="GLA188" s="16"/>
      <c r="GLB188" s="16"/>
      <c r="GLC188" s="16"/>
      <c r="GLD188" s="10"/>
      <c r="GLE188" s="10"/>
      <c r="GLL188" s="3"/>
      <c r="GLN188" s="1"/>
      <c r="GLP188" s="16"/>
      <c r="GLQ188" s="16"/>
      <c r="GLR188" s="16"/>
      <c r="GLS188" s="16"/>
      <c r="GLT188" s="10"/>
      <c r="GLU188" s="10"/>
      <c r="GMB188" s="3"/>
      <c r="GMD188" s="1"/>
      <c r="GMF188" s="16"/>
      <c r="GMG188" s="16"/>
      <c r="GMH188" s="16"/>
      <c r="GMI188" s="16"/>
      <c r="GMJ188" s="10"/>
      <c r="GMK188" s="10"/>
      <c r="GMR188" s="3"/>
      <c r="GMT188" s="1"/>
      <c r="GMV188" s="16"/>
      <c r="GMW188" s="16"/>
      <c r="GMX188" s="16"/>
      <c r="GMY188" s="16"/>
      <c r="GMZ188" s="10"/>
      <c r="GNA188" s="10"/>
      <c r="GNH188" s="3"/>
      <c r="GNJ188" s="1"/>
      <c r="GNL188" s="16"/>
      <c r="GNM188" s="16"/>
      <c r="GNN188" s="16"/>
      <c r="GNO188" s="16"/>
      <c r="GNP188" s="10"/>
      <c r="GNQ188" s="10"/>
      <c r="GNX188" s="3"/>
      <c r="GNZ188" s="1"/>
      <c r="GOB188" s="16"/>
      <c r="GOC188" s="16"/>
      <c r="GOD188" s="16"/>
      <c r="GOE188" s="16"/>
      <c r="GOF188" s="10"/>
      <c r="GOG188" s="10"/>
      <c r="GON188" s="3"/>
      <c r="GOP188" s="1"/>
      <c r="GOR188" s="16"/>
      <c r="GOS188" s="16"/>
      <c r="GOT188" s="16"/>
      <c r="GOU188" s="16"/>
      <c r="GOV188" s="10"/>
      <c r="GOW188" s="10"/>
      <c r="GPD188" s="3"/>
      <c r="GPF188" s="1"/>
      <c r="GPH188" s="16"/>
      <c r="GPI188" s="16"/>
      <c r="GPJ188" s="16"/>
      <c r="GPK188" s="16"/>
      <c r="GPL188" s="10"/>
      <c r="GPM188" s="10"/>
      <c r="GPT188" s="3"/>
      <c r="GPV188" s="1"/>
      <c r="GPX188" s="16"/>
      <c r="GPY188" s="16"/>
      <c r="GPZ188" s="16"/>
      <c r="GQA188" s="16"/>
      <c r="GQB188" s="10"/>
      <c r="GQC188" s="10"/>
      <c r="GQJ188" s="3"/>
      <c r="GQL188" s="1"/>
      <c r="GQN188" s="16"/>
      <c r="GQO188" s="16"/>
      <c r="GQP188" s="16"/>
      <c r="GQQ188" s="16"/>
      <c r="GQR188" s="10"/>
      <c r="GQS188" s="10"/>
      <c r="GQZ188" s="3"/>
      <c r="GRB188" s="1"/>
      <c r="GRD188" s="16"/>
      <c r="GRE188" s="16"/>
      <c r="GRF188" s="16"/>
      <c r="GRG188" s="16"/>
      <c r="GRH188" s="10"/>
      <c r="GRI188" s="10"/>
      <c r="GRP188" s="3"/>
      <c r="GRR188" s="1"/>
      <c r="GRT188" s="16"/>
      <c r="GRU188" s="16"/>
      <c r="GRV188" s="16"/>
      <c r="GRW188" s="16"/>
      <c r="GRX188" s="10"/>
      <c r="GRY188" s="10"/>
      <c r="GSF188" s="3"/>
      <c r="GSH188" s="1"/>
      <c r="GSJ188" s="16"/>
      <c r="GSK188" s="16"/>
      <c r="GSL188" s="16"/>
      <c r="GSM188" s="16"/>
      <c r="GSN188" s="10"/>
      <c r="GSO188" s="10"/>
      <c r="GSV188" s="3"/>
      <c r="GSX188" s="1"/>
      <c r="GSZ188" s="16"/>
      <c r="GTA188" s="16"/>
      <c r="GTB188" s="16"/>
      <c r="GTC188" s="16"/>
      <c r="GTD188" s="10"/>
      <c r="GTE188" s="10"/>
      <c r="GTL188" s="3"/>
      <c r="GTN188" s="1"/>
      <c r="GTP188" s="16"/>
      <c r="GTQ188" s="16"/>
      <c r="GTR188" s="16"/>
      <c r="GTS188" s="16"/>
      <c r="GTT188" s="10"/>
      <c r="GTU188" s="10"/>
      <c r="GUB188" s="3"/>
      <c r="GUD188" s="1"/>
      <c r="GUF188" s="16"/>
      <c r="GUG188" s="16"/>
      <c r="GUH188" s="16"/>
      <c r="GUI188" s="16"/>
      <c r="GUJ188" s="10"/>
      <c r="GUK188" s="10"/>
      <c r="GUR188" s="3"/>
      <c r="GUT188" s="1"/>
      <c r="GUV188" s="16"/>
      <c r="GUW188" s="16"/>
      <c r="GUX188" s="16"/>
      <c r="GUY188" s="16"/>
      <c r="GUZ188" s="10"/>
      <c r="GVA188" s="10"/>
      <c r="GVH188" s="3"/>
      <c r="GVJ188" s="1"/>
      <c r="GVL188" s="16"/>
      <c r="GVM188" s="16"/>
      <c r="GVN188" s="16"/>
      <c r="GVO188" s="16"/>
      <c r="GVP188" s="10"/>
      <c r="GVQ188" s="10"/>
      <c r="GVX188" s="3"/>
      <c r="GVZ188" s="1"/>
      <c r="GWB188" s="16"/>
      <c r="GWC188" s="16"/>
      <c r="GWD188" s="16"/>
      <c r="GWE188" s="16"/>
      <c r="GWF188" s="10"/>
      <c r="GWG188" s="10"/>
      <c r="GWN188" s="3"/>
      <c r="GWP188" s="1"/>
      <c r="GWR188" s="16"/>
      <c r="GWS188" s="16"/>
      <c r="GWT188" s="16"/>
      <c r="GWU188" s="16"/>
      <c r="GWV188" s="10"/>
      <c r="GWW188" s="10"/>
      <c r="GXD188" s="3"/>
      <c r="GXF188" s="1"/>
      <c r="GXH188" s="16"/>
      <c r="GXI188" s="16"/>
      <c r="GXJ188" s="16"/>
      <c r="GXK188" s="16"/>
      <c r="GXL188" s="10"/>
      <c r="GXM188" s="10"/>
      <c r="GXT188" s="3"/>
      <c r="GXV188" s="1"/>
      <c r="GXX188" s="16"/>
      <c r="GXY188" s="16"/>
      <c r="GXZ188" s="16"/>
      <c r="GYA188" s="16"/>
      <c r="GYB188" s="10"/>
      <c r="GYC188" s="10"/>
      <c r="GYJ188" s="3"/>
      <c r="GYL188" s="1"/>
      <c r="GYN188" s="16"/>
      <c r="GYO188" s="16"/>
      <c r="GYP188" s="16"/>
      <c r="GYQ188" s="16"/>
      <c r="GYR188" s="10"/>
      <c r="GYS188" s="10"/>
      <c r="GYZ188" s="3"/>
      <c r="GZB188" s="1"/>
      <c r="GZD188" s="16"/>
      <c r="GZE188" s="16"/>
      <c r="GZF188" s="16"/>
      <c r="GZG188" s="16"/>
      <c r="GZH188" s="10"/>
      <c r="GZI188" s="10"/>
      <c r="GZP188" s="3"/>
      <c r="GZR188" s="1"/>
      <c r="GZT188" s="16"/>
      <c r="GZU188" s="16"/>
      <c r="GZV188" s="16"/>
      <c r="GZW188" s="16"/>
      <c r="GZX188" s="10"/>
      <c r="GZY188" s="10"/>
      <c r="HAF188" s="3"/>
      <c r="HAH188" s="1"/>
      <c r="HAJ188" s="16"/>
      <c r="HAK188" s="16"/>
      <c r="HAL188" s="16"/>
      <c r="HAM188" s="16"/>
      <c r="HAN188" s="10"/>
      <c r="HAO188" s="10"/>
      <c r="HAV188" s="3"/>
      <c r="HAX188" s="1"/>
      <c r="HAZ188" s="16"/>
      <c r="HBA188" s="16"/>
      <c r="HBB188" s="16"/>
      <c r="HBC188" s="16"/>
      <c r="HBD188" s="10"/>
      <c r="HBE188" s="10"/>
      <c r="HBL188" s="3"/>
      <c r="HBN188" s="1"/>
      <c r="HBP188" s="16"/>
      <c r="HBQ188" s="16"/>
      <c r="HBR188" s="16"/>
      <c r="HBS188" s="16"/>
      <c r="HBT188" s="10"/>
      <c r="HBU188" s="10"/>
      <c r="HCB188" s="3"/>
      <c r="HCD188" s="1"/>
      <c r="HCF188" s="16"/>
      <c r="HCG188" s="16"/>
      <c r="HCH188" s="16"/>
      <c r="HCI188" s="16"/>
      <c r="HCJ188" s="10"/>
      <c r="HCK188" s="10"/>
      <c r="HCR188" s="3"/>
      <c r="HCT188" s="1"/>
      <c r="HCV188" s="16"/>
      <c r="HCW188" s="16"/>
      <c r="HCX188" s="16"/>
      <c r="HCY188" s="16"/>
      <c r="HCZ188" s="10"/>
      <c r="HDA188" s="10"/>
      <c r="HDH188" s="3"/>
      <c r="HDJ188" s="1"/>
      <c r="HDL188" s="16"/>
      <c r="HDM188" s="16"/>
      <c r="HDN188" s="16"/>
      <c r="HDO188" s="16"/>
      <c r="HDP188" s="10"/>
      <c r="HDQ188" s="10"/>
      <c r="HDX188" s="3"/>
      <c r="HDZ188" s="1"/>
      <c r="HEB188" s="16"/>
      <c r="HEC188" s="16"/>
      <c r="HED188" s="16"/>
      <c r="HEE188" s="16"/>
      <c r="HEF188" s="10"/>
      <c r="HEG188" s="10"/>
      <c r="HEN188" s="3"/>
      <c r="HEP188" s="1"/>
      <c r="HER188" s="16"/>
      <c r="HES188" s="16"/>
      <c r="HET188" s="16"/>
      <c r="HEU188" s="16"/>
      <c r="HEV188" s="10"/>
      <c r="HEW188" s="10"/>
      <c r="HFD188" s="3"/>
      <c r="HFF188" s="1"/>
      <c r="HFH188" s="16"/>
      <c r="HFI188" s="16"/>
      <c r="HFJ188" s="16"/>
      <c r="HFK188" s="16"/>
      <c r="HFL188" s="10"/>
      <c r="HFM188" s="10"/>
      <c r="HFT188" s="3"/>
      <c r="HFV188" s="1"/>
      <c r="HFX188" s="16"/>
      <c r="HFY188" s="16"/>
      <c r="HFZ188" s="16"/>
      <c r="HGA188" s="16"/>
      <c r="HGB188" s="10"/>
      <c r="HGC188" s="10"/>
      <c r="HGJ188" s="3"/>
      <c r="HGL188" s="1"/>
      <c r="HGN188" s="16"/>
      <c r="HGO188" s="16"/>
      <c r="HGP188" s="16"/>
      <c r="HGQ188" s="16"/>
      <c r="HGR188" s="10"/>
      <c r="HGS188" s="10"/>
      <c r="HGZ188" s="3"/>
      <c r="HHB188" s="1"/>
      <c r="HHD188" s="16"/>
      <c r="HHE188" s="16"/>
      <c r="HHF188" s="16"/>
      <c r="HHG188" s="16"/>
      <c r="HHH188" s="10"/>
      <c r="HHI188" s="10"/>
      <c r="HHP188" s="3"/>
      <c r="HHR188" s="1"/>
      <c r="HHT188" s="16"/>
      <c r="HHU188" s="16"/>
      <c r="HHV188" s="16"/>
      <c r="HHW188" s="16"/>
      <c r="HHX188" s="10"/>
      <c r="HHY188" s="10"/>
      <c r="HIF188" s="3"/>
      <c r="HIH188" s="1"/>
      <c r="HIJ188" s="16"/>
      <c r="HIK188" s="16"/>
      <c r="HIL188" s="16"/>
      <c r="HIM188" s="16"/>
      <c r="HIN188" s="10"/>
      <c r="HIO188" s="10"/>
      <c r="HIV188" s="3"/>
      <c r="HIX188" s="1"/>
      <c r="HIZ188" s="16"/>
      <c r="HJA188" s="16"/>
      <c r="HJB188" s="16"/>
      <c r="HJC188" s="16"/>
      <c r="HJD188" s="10"/>
      <c r="HJE188" s="10"/>
      <c r="HJL188" s="3"/>
      <c r="HJN188" s="1"/>
      <c r="HJP188" s="16"/>
      <c r="HJQ188" s="16"/>
      <c r="HJR188" s="16"/>
      <c r="HJS188" s="16"/>
      <c r="HJT188" s="10"/>
      <c r="HJU188" s="10"/>
      <c r="HKB188" s="3"/>
      <c r="HKD188" s="1"/>
      <c r="HKF188" s="16"/>
      <c r="HKG188" s="16"/>
      <c r="HKH188" s="16"/>
      <c r="HKI188" s="16"/>
      <c r="HKJ188" s="10"/>
      <c r="HKK188" s="10"/>
      <c r="HKR188" s="3"/>
      <c r="HKT188" s="1"/>
      <c r="HKV188" s="16"/>
      <c r="HKW188" s="16"/>
      <c r="HKX188" s="16"/>
      <c r="HKY188" s="16"/>
      <c r="HKZ188" s="10"/>
      <c r="HLA188" s="10"/>
      <c r="HLH188" s="3"/>
      <c r="HLJ188" s="1"/>
      <c r="HLL188" s="16"/>
      <c r="HLM188" s="16"/>
      <c r="HLN188" s="16"/>
      <c r="HLO188" s="16"/>
      <c r="HLP188" s="10"/>
      <c r="HLQ188" s="10"/>
      <c r="HLX188" s="3"/>
      <c r="HLZ188" s="1"/>
      <c r="HMB188" s="16"/>
      <c r="HMC188" s="16"/>
      <c r="HMD188" s="16"/>
      <c r="HME188" s="16"/>
      <c r="HMF188" s="10"/>
      <c r="HMG188" s="10"/>
      <c r="HMN188" s="3"/>
      <c r="HMP188" s="1"/>
      <c r="HMR188" s="16"/>
      <c r="HMS188" s="16"/>
      <c r="HMT188" s="16"/>
      <c r="HMU188" s="16"/>
      <c r="HMV188" s="10"/>
      <c r="HMW188" s="10"/>
      <c r="HND188" s="3"/>
      <c r="HNF188" s="1"/>
      <c r="HNH188" s="16"/>
      <c r="HNI188" s="16"/>
      <c r="HNJ188" s="16"/>
      <c r="HNK188" s="16"/>
      <c r="HNL188" s="10"/>
      <c r="HNM188" s="10"/>
      <c r="HNT188" s="3"/>
      <c r="HNV188" s="1"/>
      <c r="HNX188" s="16"/>
      <c r="HNY188" s="16"/>
      <c r="HNZ188" s="16"/>
      <c r="HOA188" s="16"/>
      <c r="HOB188" s="10"/>
      <c r="HOC188" s="10"/>
      <c r="HOJ188" s="3"/>
      <c r="HOL188" s="1"/>
      <c r="HON188" s="16"/>
      <c r="HOO188" s="16"/>
      <c r="HOP188" s="16"/>
      <c r="HOQ188" s="16"/>
      <c r="HOR188" s="10"/>
      <c r="HOS188" s="10"/>
      <c r="HOZ188" s="3"/>
      <c r="HPB188" s="1"/>
      <c r="HPD188" s="16"/>
      <c r="HPE188" s="16"/>
      <c r="HPF188" s="16"/>
      <c r="HPG188" s="16"/>
      <c r="HPH188" s="10"/>
      <c r="HPI188" s="10"/>
      <c r="HPP188" s="3"/>
      <c r="HPR188" s="1"/>
      <c r="HPT188" s="16"/>
      <c r="HPU188" s="16"/>
      <c r="HPV188" s="16"/>
      <c r="HPW188" s="16"/>
      <c r="HPX188" s="10"/>
      <c r="HPY188" s="10"/>
      <c r="HQF188" s="3"/>
      <c r="HQH188" s="1"/>
      <c r="HQJ188" s="16"/>
      <c r="HQK188" s="16"/>
      <c r="HQL188" s="16"/>
      <c r="HQM188" s="16"/>
      <c r="HQN188" s="10"/>
      <c r="HQO188" s="10"/>
      <c r="HQV188" s="3"/>
      <c r="HQX188" s="1"/>
      <c r="HQZ188" s="16"/>
      <c r="HRA188" s="16"/>
      <c r="HRB188" s="16"/>
      <c r="HRC188" s="16"/>
      <c r="HRD188" s="10"/>
      <c r="HRE188" s="10"/>
      <c r="HRL188" s="3"/>
      <c r="HRN188" s="1"/>
      <c r="HRP188" s="16"/>
      <c r="HRQ188" s="16"/>
      <c r="HRR188" s="16"/>
      <c r="HRS188" s="16"/>
      <c r="HRT188" s="10"/>
      <c r="HRU188" s="10"/>
      <c r="HSB188" s="3"/>
      <c r="HSD188" s="1"/>
      <c r="HSF188" s="16"/>
      <c r="HSG188" s="16"/>
      <c r="HSH188" s="16"/>
      <c r="HSI188" s="16"/>
      <c r="HSJ188" s="10"/>
      <c r="HSK188" s="10"/>
      <c r="HSR188" s="3"/>
      <c r="HST188" s="1"/>
      <c r="HSV188" s="16"/>
      <c r="HSW188" s="16"/>
      <c r="HSX188" s="16"/>
      <c r="HSY188" s="16"/>
      <c r="HSZ188" s="10"/>
      <c r="HTA188" s="10"/>
      <c r="HTH188" s="3"/>
      <c r="HTJ188" s="1"/>
      <c r="HTL188" s="16"/>
      <c r="HTM188" s="16"/>
      <c r="HTN188" s="16"/>
      <c r="HTO188" s="16"/>
      <c r="HTP188" s="10"/>
      <c r="HTQ188" s="10"/>
      <c r="HTX188" s="3"/>
      <c r="HTZ188" s="1"/>
      <c r="HUB188" s="16"/>
      <c r="HUC188" s="16"/>
      <c r="HUD188" s="16"/>
      <c r="HUE188" s="16"/>
      <c r="HUF188" s="10"/>
      <c r="HUG188" s="10"/>
      <c r="HUN188" s="3"/>
      <c r="HUP188" s="1"/>
      <c r="HUR188" s="16"/>
      <c r="HUS188" s="16"/>
      <c r="HUT188" s="16"/>
      <c r="HUU188" s="16"/>
      <c r="HUV188" s="10"/>
      <c r="HUW188" s="10"/>
      <c r="HVD188" s="3"/>
      <c r="HVF188" s="1"/>
      <c r="HVH188" s="16"/>
      <c r="HVI188" s="16"/>
      <c r="HVJ188" s="16"/>
      <c r="HVK188" s="16"/>
      <c r="HVL188" s="10"/>
      <c r="HVM188" s="10"/>
      <c r="HVT188" s="3"/>
      <c r="HVV188" s="1"/>
      <c r="HVX188" s="16"/>
      <c r="HVY188" s="16"/>
      <c r="HVZ188" s="16"/>
      <c r="HWA188" s="16"/>
      <c r="HWB188" s="10"/>
      <c r="HWC188" s="10"/>
      <c r="HWJ188" s="3"/>
      <c r="HWL188" s="1"/>
      <c r="HWN188" s="16"/>
      <c r="HWO188" s="16"/>
      <c r="HWP188" s="16"/>
      <c r="HWQ188" s="16"/>
      <c r="HWR188" s="10"/>
      <c r="HWS188" s="10"/>
      <c r="HWZ188" s="3"/>
      <c r="HXB188" s="1"/>
      <c r="HXD188" s="16"/>
      <c r="HXE188" s="16"/>
      <c r="HXF188" s="16"/>
      <c r="HXG188" s="16"/>
      <c r="HXH188" s="10"/>
      <c r="HXI188" s="10"/>
      <c r="HXP188" s="3"/>
      <c r="HXR188" s="1"/>
      <c r="HXT188" s="16"/>
      <c r="HXU188" s="16"/>
      <c r="HXV188" s="16"/>
      <c r="HXW188" s="16"/>
      <c r="HXX188" s="10"/>
      <c r="HXY188" s="10"/>
      <c r="HYF188" s="3"/>
      <c r="HYH188" s="1"/>
      <c r="HYJ188" s="16"/>
      <c r="HYK188" s="16"/>
      <c r="HYL188" s="16"/>
      <c r="HYM188" s="16"/>
      <c r="HYN188" s="10"/>
      <c r="HYO188" s="10"/>
      <c r="HYV188" s="3"/>
      <c r="HYX188" s="1"/>
      <c r="HYZ188" s="16"/>
      <c r="HZA188" s="16"/>
      <c r="HZB188" s="16"/>
      <c r="HZC188" s="16"/>
      <c r="HZD188" s="10"/>
      <c r="HZE188" s="10"/>
      <c r="HZL188" s="3"/>
      <c r="HZN188" s="1"/>
      <c r="HZP188" s="16"/>
      <c r="HZQ188" s="16"/>
      <c r="HZR188" s="16"/>
      <c r="HZS188" s="16"/>
      <c r="HZT188" s="10"/>
      <c r="HZU188" s="10"/>
      <c r="IAB188" s="3"/>
      <c r="IAD188" s="1"/>
      <c r="IAF188" s="16"/>
      <c r="IAG188" s="16"/>
      <c r="IAH188" s="16"/>
      <c r="IAI188" s="16"/>
      <c r="IAJ188" s="10"/>
      <c r="IAK188" s="10"/>
      <c r="IAR188" s="3"/>
      <c r="IAT188" s="1"/>
      <c r="IAV188" s="16"/>
      <c r="IAW188" s="16"/>
      <c r="IAX188" s="16"/>
      <c r="IAY188" s="16"/>
      <c r="IAZ188" s="10"/>
      <c r="IBA188" s="10"/>
      <c r="IBH188" s="3"/>
      <c r="IBJ188" s="1"/>
      <c r="IBL188" s="16"/>
      <c r="IBM188" s="16"/>
      <c r="IBN188" s="16"/>
      <c r="IBO188" s="16"/>
      <c r="IBP188" s="10"/>
      <c r="IBQ188" s="10"/>
      <c r="IBX188" s="3"/>
      <c r="IBZ188" s="1"/>
      <c r="ICB188" s="16"/>
      <c r="ICC188" s="16"/>
      <c r="ICD188" s="16"/>
      <c r="ICE188" s="16"/>
      <c r="ICF188" s="10"/>
      <c r="ICG188" s="10"/>
      <c r="ICN188" s="3"/>
      <c r="ICP188" s="1"/>
      <c r="ICR188" s="16"/>
      <c r="ICS188" s="16"/>
      <c r="ICT188" s="16"/>
      <c r="ICU188" s="16"/>
      <c r="ICV188" s="10"/>
      <c r="ICW188" s="10"/>
      <c r="IDD188" s="3"/>
      <c r="IDF188" s="1"/>
      <c r="IDH188" s="16"/>
      <c r="IDI188" s="16"/>
      <c r="IDJ188" s="16"/>
      <c r="IDK188" s="16"/>
      <c r="IDL188" s="10"/>
      <c r="IDM188" s="10"/>
      <c r="IDT188" s="3"/>
      <c r="IDV188" s="1"/>
      <c r="IDX188" s="16"/>
      <c r="IDY188" s="16"/>
      <c r="IDZ188" s="16"/>
      <c r="IEA188" s="16"/>
      <c r="IEB188" s="10"/>
      <c r="IEC188" s="10"/>
      <c r="IEJ188" s="3"/>
      <c r="IEL188" s="1"/>
      <c r="IEN188" s="16"/>
      <c r="IEO188" s="16"/>
      <c r="IEP188" s="16"/>
      <c r="IEQ188" s="16"/>
      <c r="IER188" s="10"/>
      <c r="IES188" s="10"/>
      <c r="IEZ188" s="3"/>
      <c r="IFB188" s="1"/>
      <c r="IFD188" s="16"/>
      <c r="IFE188" s="16"/>
      <c r="IFF188" s="16"/>
      <c r="IFG188" s="16"/>
      <c r="IFH188" s="10"/>
      <c r="IFI188" s="10"/>
      <c r="IFP188" s="3"/>
      <c r="IFR188" s="1"/>
      <c r="IFT188" s="16"/>
      <c r="IFU188" s="16"/>
      <c r="IFV188" s="16"/>
      <c r="IFW188" s="16"/>
      <c r="IFX188" s="10"/>
      <c r="IFY188" s="10"/>
      <c r="IGF188" s="3"/>
      <c r="IGH188" s="1"/>
      <c r="IGJ188" s="16"/>
      <c r="IGK188" s="16"/>
      <c r="IGL188" s="16"/>
      <c r="IGM188" s="16"/>
      <c r="IGN188" s="10"/>
      <c r="IGO188" s="10"/>
      <c r="IGV188" s="3"/>
      <c r="IGX188" s="1"/>
      <c r="IGZ188" s="16"/>
      <c r="IHA188" s="16"/>
      <c r="IHB188" s="16"/>
      <c r="IHC188" s="16"/>
      <c r="IHD188" s="10"/>
      <c r="IHE188" s="10"/>
      <c r="IHL188" s="3"/>
      <c r="IHN188" s="1"/>
      <c r="IHP188" s="16"/>
      <c r="IHQ188" s="16"/>
      <c r="IHR188" s="16"/>
      <c r="IHS188" s="16"/>
      <c r="IHT188" s="10"/>
      <c r="IHU188" s="10"/>
      <c r="IIB188" s="3"/>
      <c r="IID188" s="1"/>
      <c r="IIF188" s="16"/>
      <c r="IIG188" s="16"/>
      <c r="IIH188" s="16"/>
      <c r="III188" s="16"/>
      <c r="IIJ188" s="10"/>
      <c r="IIK188" s="10"/>
      <c r="IIR188" s="3"/>
      <c r="IIT188" s="1"/>
      <c r="IIV188" s="16"/>
      <c r="IIW188" s="16"/>
      <c r="IIX188" s="16"/>
      <c r="IIY188" s="16"/>
      <c r="IIZ188" s="10"/>
      <c r="IJA188" s="10"/>
      <c r="IJH188" s="3"/>
      <c r="IJJ188" s="1"/>
      <c r="IJL188" s="16"/>
      <c r="IJM188" s="16"/>
      <c r="IJN188" s="16"/>
      <c r="IJO188" s="16"/>
      <c r="IJP188" s="10"/>
      <c r="IJQ188" s="10"/>
      <c r="IJX188" s="3"/>
      <c r="IJZ188" s="1"/>
      <c r="IKB188" s="16"/>
      <c r="IKC188" s="16"/>
      <c r="IKD188" s="16"/>
      <c r="IKE188" s="16"/>
      <c r="IKF188" s="10"/>
      <c r="IKG188" s="10"/>
      <c r="IKN188" s="3"/>
      <c r="IKP188" s="1"/>
      <c r="IKR188" s="16"/>
      <c r="IKS188" s="16"/>
      <c r="IKT188" s="16"/>
      <c r="IKU188" s="16"/>
      <c r="IKV188" s="10"/>
      <c r="IKW188" s="10"/>
      <c r="ILD188" s="3"/>
      <c r="ILF188" s="1"/>
      <c r="ILH188" s="16"/>
      <c r="ILI188" s="16"/>
      <c r="ILJ188" s="16"/>
      <c r="ILK188" s="16"/>
      <c r="ILL188" s="10"/>
      <c r="ILM188" s="10"/>
      <c r="ILT188" s="3"/>
      <c r="ILV188" s="1"/>
      <c r="ILX188" s="16"/>
      <c r="ILY188" s="16"/>
      <c r="ILZ188" s="16"/>
      <c r="IMA188" s="16"/>
      <c r="IMB188" s="10"/>
      <c r="IMC188" s="10"/>
      <c r="IMJ188" s="3"/>
      <c r="IML188" s="1"/>
      <c r="IMN188" s="16"/>
      <c r="IMO188" s="16"/>
      <c r="IMP188" s="16"/>
      <c r="IMQ188" s="16"/>
      <c r="IMR188" s="10"/>
      <c r="IMS188" s="10"/>
      <c r="IMZ188" s="3"/>
      <c r="INB188" s="1"/>
      <c r="IND188" s="16"/>
      <c r="INE188" s="16"/>
      <c r="INF188" s="16"/>
      <c r="ING188" s="16"/>
      <c r="INH188" s="10"/>
      <c r="INI188" s="10"/>
      <c r="INP188" s="3"/>
      <c r="INR188" s="1"/>
      <c r="INT188" s="16"/>
      <c r="INU188" s="16"/>
      <c r="INV188" s="16"/>
      <c r="INW188" s="16"/>
      <c r="INX188" s="10"/>
      <c r="INY188" s="10"/>
      <c r="IOF188" s="3"/>
      <c r="IOH188" s="1"/>
      <c r="IOJ188" s="16"/>
      <c r="IOK188" s="16"/>
      <c r="IOL188" s="16"/>
      <c r="IOM188" s="16"/>
      <c r="ION188" s="10"/>
      <c r="IOO188" s="10"/>
      <c r="IOV188" s="3"/>
      <c r="IOX188" s="1"/>
      <c r="IOZ188" s="16"/>
      <c r="IPA188" s="16"/>
      <c r="IPB188" s="16"/>
      <c r="IPC188" s="16"/>
      <c r="IPD188" s="10"/>
      <c r="IPE188" s="10"/>
      <c r="IPL188" s="3"/>
      <c r="IPN188" s="1"/>
      <c r="IPP188" s="16"/>
      <c r="IPQ188" s="16"/>
      <c r="IPR188" s="16"/>
      <c r="IPS188" s="16"/>
      <c r="IPT188" s="10"/>
      <c r="IPU188" s="10"/>
      <c r="IQB188" s="3"/>
      <c r="IQD188" s="1"/>
      <c r="IQF188" s="16"/>
      <c r="IQG188" s="16"/>
      <c r="IQH188" s="16"/>
      <c r="IQI188" s="16"/>
      <c r="IQJ188" s="10"/>
      <c r="IQK188" s="10"/>
      <c r="IQR188" s="3"/>
      <c r="IQT188" s="1"/>
      <c r="IQV188" s="16"/>
      <c r="IQW188" s="16"/>
      <c r="IQX188" s="16"/>
      <c r="IQY188" s="16"/>
      <c r="IQZ188" s="10"/>
      <c r="IRA188" s="10"/>
      <c r="IRH188" s="3"/>
      <c r="IRJ188" s="1"/>
      <c r="IRL188" s="16"/>
      <c r="IRM188" s="16"/>
      <c r="IRN188" s="16"/>
      <c r="IRO188" s="16"/>
      <c r="IRP188" s="10"/>
      <c r="IRQ188" s="10"/>
      <c r="IRX188" s="3"/>
      <c r="IRZ188" s="1"/>
      <c r="ISB188" s="16"/>
      <c r="ISC188" s="16"/>
      <c r="ISD188" s="16"/>
      <c r="ISE188" s="16"/>
      <c r="ISF188" s="10"/>
      <c r="ISG188" s="10"/>
      <c r="ISN188" s="3"/>
      <c r="ISP188" s="1"/>
      <c r="ISR188" s="16"/>
      <c r="ISS188" s="16"/>
      <c r="IST188" s="16"/>
      <c r="ISU188" s="16"/>
      <c r="ISV188" s="10"/>
      <c r="ISW188" s="10"/>
      <c r="ITD188" s="3"/>
      <c r="ITF188" s="1"/>
      <c r="ITH188" s="16"/>
      <c r="ITI188" s="16"/>
      <c r="ITJ188" s="16"/>
      <c r="ITK188" s="16"/>
      <c r="ITL188" s="10"/>
      <c r="ITM188" s="10"/>
      <c r="ITT188" s="3"/>
      <c r="ITV188" s="1"/>
      <c r="ITX188" s="16"/>
      <c r="ITY188" s="16"/>
      <c r="ITZ188" s="16"/>
      <c r="IUA188" s="16"/>
      <c r="IUB188" s="10"/>
      <c r="IUC188" s="10"/>
      <c r="IUJ188" s="3"/>
      <c r="IUL188" s="1"/>
      <c r="IUN188" s="16"/>
      <c r="IUO188" s="16"/>
      <c r="IUP188" s="16"/>
      <c r="IUQ188" s="16"/>
      <c r="IUR188" s="10"/>
      <c r="IUS188" s="10"/>
      <c r="IUZ188" s="3"/>
      <c r="IVB188" s="1"/>
      <c r="IVD188" s="16"/>
      <c r="IVE188" s="16"/>
      <c r="IVF188" s="16"/>
      <c r="IVG188" s="16"/>
      <c r="IVH188" s="10"/>
      <c r="IVI188" s="10"/>
      <c r="IVP188" s="3"/>
      <c r="IVR188" s="1"/>
      <c r="IVT188" s="16"/>
      <c r="IVU188" s="16"/>
      <c r="IVV188" s="16"/>
      <c r="IVW188" s="16"/>
      <c r="IVX188" s="10"/>
      <c r="IVY188" s="10"/>
      <c r="IWF188" s="3"/>
      <c r="IWH188" s="1"/>
      <c r="IWJ188" s="16"/>
      <c r="IWK188" s="16"/>
      <c r="IWL188" s="16"/>
      <c r="IWM188" s="16"/>
      <c r="IWN188" s="10"/>
      <c r="IWO188" s="10"/>
      <c r="IWV188" s="3"/>
      <c r="IWX188" s="1"/>
      <c r="IWZ188" s="16"/>
      <c r="IXA188" s="16"/>
      <c r="IXB188" s="16"/>
      <c r="IXC188" s="16"/>
      <c r="IXD188" s="10"/>
      <c r="IXE188" s="10"/>
      <c r="IXL188" s="3"/>
      <c r="IXN188" s="1"/>
      <c r="IXP188" s="16"/>
      <c r="IXQ188" s="16"/>
      <c r="IXR188" s="16"/>
      <c r="IXS188" s="16"/>
      <c r="IXT188" s="10"/>
      <c r="IXU188" s="10"/>
      <c r="IYB188" s="3"/>
      <c r="IYD188" s="1"/>
      <c r="IYF188" s="16"/>
      <c r="IYG188" s="16"/>
      <c r="IYH188" s="16"/>
      <c r="IYI188" s="16"/>
      <c r="IYJ188" s="10"/>
      <c r="IYK188" s="10"/>
      <c r="IYR188" s="3"/>
      <c r="IYT188" s="1"/>
      <c r="IYV188" s="16"/>
      <c r="IYW188" s="16"/>
      <c r="IYX188" s="16"/>
      <c r="IYY188" s="16"/>
      <c r="IYZ188" s="10"/>
      <c r="IZA188" s="10"/>
      <c r="IZH188" s="3"/>
      <c r="IZJ188" s="1"/>
      <c r="IZL188" s="16"/>
      <c r="IZM188" s="16"/>
      <c r="IZN188" s="16"/>
      <c r="IZO188" s="16"/>
      <c r="IZP188" s="10"/>
      <c r="IZQ188" s="10"/>
      <c r="IZX188" s="3"/>
      <c r="IZZ188" s="1"/>
      <c r="JAB188" s="16"/>
      <c r="JAC188" s="16"/>
      <c r="JAD188" s="16"/>
      <c r="JAE188" s="16"/>
      <c r="JAF188" s="10"/>
      <c r="JAG188" s="10"/>
      <c r="JAN188" s="3"/>
      <c r="JAP188" s="1"/>
      <c r="JAR188" s="16"/>
      <c r="JAS188" s="16"/>
      <c r="JAT188" s="16"/>
      <c r="JAU188" s="16"/>
      <c r="JAV188" s="10"/>
      <c r="JAW188" s="10"/>
      <c r="JBD188" s="3"/>
      <c r="JBF188" s="1"/>
      <c r="JBH188" s="16"/>
      <c r="JBI188" s="16"/>
      <c r="JBJ188" s="16"/>
      <c r="JBK188" s="16"/>
      <c r="JBL188" s="10"/>
      <c r="JBM188" s="10"/>
      <c r="JBT188" s="3"/>
      <c r="JBV188" s="1"/>
      <c r="JBX188" s="16"/>
      <c r="JBY188" s="16"/>
      <c r="JBZ188" s="16"/>
      <c r="JCA188" s="16"/>
      <c r="JCB188" s="10"/>
      <c r="JCC188" s="10"/>
      <c r="JCJ188" s="3"/>
      <c r="JCL188" s="1"/>
      <c r="JCN188" s="16"/>
      <c r="JCO188" s="16"/>
      <c r="JCP188" s="16"/>
      <c r="JCQ188" s="16"/>
      <c r="JCR188" s="10"/>
      <c r="JCS188" s="10"/>
      <c r="JCZ188" s="3"/>
      <c r="JDB188" s="1"/>
      <c r="JDD188" s="16"/>
      <c r="JDE188" s="16"/>
      <c r="JDF188" s="16"/>
      <c r="JDG188" s="16"/>
      <c r="JDH188" s="10"/>
      <c r="JDI188" s="10"/>
      <c r="JDP188" s="3"/>
      <c r="JDR188" s="1"/>
      <c r="JDT188" s="16"/>
      <c r="JDU188" s="16"/>
      <c r="JDV188" s="16"/>
      <c r="JDW188" s="16"/>
      <c r="JDX188" s="10"/>
      <c r="JDY188" s="10"/>
      <c r="JEF188" s="3"/>
      <c r="JEH188" s="1"/>
      <c r="JEJ188" s="16"/>
      <c r="JEK188" s="16"/>
      <c r="JEL188" s="16"/>
      <c r="JEM188" s="16"/>
      <c r="JEN188" s="10"/>
      <c r="JEO188" s="10"/>
      <c r="JEV188" s="3"/>
      <c r="JEX188" s="1"/>
      <c r="JEZ188" s="16"/>
      <c r="JFA188" s="16"/>
      <c r="JFB188" s="16"/>
      <c r="JFC188" s="16"/>
      <c r="JFD188" s="10"/>
      <c r="JFE188" s="10"/>
      <c r="JFL188" s="3"/>
      <c r="JFN188" s="1"/>
      <c r="JFP188" s="16"/>
      <c r="JFQ188" s="16"/>
      <c r="JFR188" s="16"/>
      <c r="JFS188" s="16"/>
      <c r="JFT188" s="10"/>
      <c r="JFU188" s="10"/>
      <c r="JGB188" s="3"/>
      <c r="JGD188" s="1"/>
      <c r="JGF188" s="16"/>
      <c r="JGG188" s="16"/>
      <c r="JGH188" s="16"/>
      <c r="JGI188" s="16"/>
      <c r="JGJ188" s="10"/>
      <c r="JGK188" s="10"/>
      <c r="JGR188" s="3"/>
      <c r="JGT188" s="1"/>
      <c r="JGV188" s="16"/>
      <c r="JGW188" s="16"/>
      <c r="JGX188" s="16"/>
      <c r="JGY188" s="16"/>
      <c r="JGZ188" s="10"/>
      <c r="JHA188" s="10"/>
      <c r="JHH188" s="3"/>
      <c r="JHJ188" s="1"/>
      <c r="JHL188" s="16"/>
      <c r="JHM188" s="16"/>
      <c r="JHN188" s="16"/>
      <c r="JHO188" s="16"/>
      <c r="JHP188" s="10"/>
      <c r="JHQ188" s="10"/>
      <c r="JHX188" s="3"/>
      <c r="JHZ188" s="1"/>
      <c r="JIB188" s="16"/>
      <c r="JIC188" s="16"/>
      <c r="JID188" s="16"/>
      <c r="JIE188" s="16"/>
      <c r="JIF188" s="10"/>
      <c r="JIG188" s="10"/>
      <c r="JIN188" s="3"/>
      <c r="JIP188" s="1"/>
      <c r="JIR188" s="16"/>
      <c r="JIS188" s="16"/>
      <c r="JIT188" s="16"/>
      <c r="JIU188" s="16"/>
      <c r="JIV188" s="10"/>
      <c r="JIW188" s="10"/>
      <c r="JJD188" s="3"/>
      <c r="JJF188" s="1"/>
      <c r="JJH188" s="16"/>
      <c r="JJI188" s="16"/>
      <c r="JJJ188" s="16"/>
      <c r="JJK188" s="16"/>
      <c r="JJL188" s="10"/>
      <c r="JJM188" s="10"/>
      <c r="JJT188" s="3"/>
      <c r="JJV188" s="1"/>
      <c r="JJX188" s="16"/>
      <c r="JJY188" s="16"/>
      <c r="JJZ188" s="16"/>
      <c r="JKA188" s="16"/>
      <c r="JKB188" s="10"/>
      <c r="JKC188" s="10"/>
      <c r="JKJ188" s="3"/>
      <c r="JKL188" s="1"/>
      <c r="JKN188" s="16"/>
      <c r="JKO188" s="16"/>
      <c r="JKP188" s="16"/>
      <c r="JKQ188" s="16"/>
      <c r="JKR188" s="10"/>
      <c r="JKS188" s="10"/>
      <c r="JKZ188" s="3"/>
      <c r="JLB188" s="1"/>
      <c r="JLD188" s="16"/>
      <c r="JLE188" s="16"/>
      <c r="JLF188" s="16"/>
      <c r="JLG188" s="16"/>
      <c r="JLH188" s="10"/>
      <c r="JLI188" s="10"/>
      <c r="JLP188" s="3"/>
      <c r="JLR188" s="1"/>
      <c r="JLT188" s="16"/>
      <c r="JLU188" s="16"/>
      <c r="JLV188" s="16"/>
      <c r="JLW188" s="16"/>
      <c r="JLX188" s="10"/>
      <c r="JLY188" s="10"/>
      <c r="JMF188" s="3"/>
      <c r="JMH188" s="1"/>
      <c r="JMJ188" s="16"/>
      <c r="JMK188" s="16"/>
      <c r="JML188" s="16"/>
      <c r="JMM188" s="16"/>
      <c r="JMN188" s="10"/>
      <c r="JMO188" s="10"/>
      <c r="JMV188" s="3"/>
      <c r="JMX188" s="1"/>
      <c r="JMZ188" s="16"/>
      <c r="JNA188" s="16"/>
      <c r="JNB188" s="16"/>
      <c r="JNC188" s="16"/>
      <c r="JND188" s="10"/>
      <c r="JNE188" s="10"/>
      <c r="JNL188" s="3"/>
      <c r="JNN188" s="1"/>
      <c r="JNP188" s="16"/>
      <c r="JNQ188" s="16"/>
      <c r="JNR188" s="16"/>
      <c r="JNS188" s="16"/>
      <c r="JNT188" s="10"/>
      <c r="JNU188" s="10"/>
      <c r="JOB188" s="3"/>
      <c r="JOD188" s="1"/>
      <c r="JOF188" s="16"/>
      <c r="JOG188" s="16"/>
      <c r="JOH188" s="16"/>
      <c r="JOI188" s="16"/>
      <c r="JOJ188" s="10"/>
      <c r="JOK188" s="10"/>
      <c r="JOR188" s="3"/>
      <c r="JOT188" s="1"/>
      <c r="JOV188" s="16"/>
      <c r="JOW188" s="16"/>
      <c r="JOX188" s="16"/>
      <c r="JOY188" s="16"/>
      <c r="JOZ188" s="10"/>
      <c r="JPA188" s="10"/>
      <c r="JPH188" s="3"/>
      <c r="JPJ188" s="1"/>
      <c r="JPL188" s="16"/>
      <c r="JPM188" s="16"/>
      <c r="JPN188" s="16"/>
      <c r="JPO188" s="16"/>
      <c r="JPP188" s="10"/>
      <c r="JPQ188" s="10"/>
      <c r="JPX188" s="3"/>
      <c r="JPZ188" s="1"/>
      <c r="JQB188" s="16"/>
      <c r="JQC188" s="16"/>
      <c r="JQD188" s="16"/>
      <c r="JQE188" s="16"/>
      <c r="JQF188" s="10"/>
      <c r="JQG188" s="10"/>
      <c r="JQN188" s="3"/>
      <c r="JQP188" s="1"/>
      <c r="JQR188" s="16"/>
      <c r="JQS188" s="16"/>
      <c r="JQT188" s="16"/>
      <c r="JQU188" s="16"/>
      <c r="JQV188" s="10"/>
      <c r="JQW188" s="10"/>
      <c r="JRD188" s="3"/>
      <c r="JRF188" s="1"/>
      <c r="JRH188" s="16"/>
      <c r="JRI188" s="16"/>
      <c r="JRJ188" s="16"/>
      <c r="JRK188" s="16"/>
      <c r="JRL188" s="10"/>
      <c r="JRM188" s="10"/>
      <c r="JRT188" s="3"/>
      <c r="JRV188" s="1"/>
      <c r="JRX188" s="16"/>
      <c r="JRY188" s="16"/>
      <c r="JRZ188" s="16"/>
      <c r="JSA188" s="16"/>
      <c r="JSB188" s="10"/>
      <c r="JSC188" s="10"/>
      <c r="JSJ188" s="3"/>
      <c r="JSL188" s="1"/>
      <c r="JSN188" s="16"/>
      <c r="JSO188" s="16"/>
      <c r="JSP188" s="16"/>
      <c r="JSQ188" s="16"/>
      <c r="JSR188" s="10"/>
      <c r="JSS188" s="10"/>
      <c r="JSZ188" s="3"/>
      <c r="JTB188" s="1"/>
      <c r="JTD188" s="16"/>
      <c r="JTE188" s="16"/>
      <c r="JTF188" s="16"/>
      <c r="JTG188" s="16"/>
      <c r="JTH188" s="10"/>
      <c r="JTI188" s="10"/>
      <c r="JTP188" s="3"/>
      <c r="JTR188" s="1"/>
      <c r="JTT188" s="16"/>
      <c r="JTU188" s="16"/>
      <c r="JTV188" s="16"/>
      <c r="JTW188" s="16"/>
      <c r="JTX188" s="10"/>
      <c r="JTY188" s="10"/>
      <c r="JUF188" s="3"/>
      <c r="JUH188" s="1"/>
      <c r="JUJ188" s="16"/>
      <c r="JUK188" s="16"/>
      <c r="JUL188" s="16"/>
      <c r="JUM188" s="16"/>
      <c r="JUN188" s="10"/>
      <c r="JUO188" s="10"/>
      <c r="JUV188" s="3"/>
      <c r="JUX188" s="1"/>
      <c r="JUZ188" s="16"/>
      <c r="JVA188" s="16"/>
      <c r="JVB188" s="16"/>
      <c r="JVC188" s="16"/>
      <c r="JVD188" s="10"/>
      <c r="JVE188" s="10"/>
      <c r="JVL188" s="3"/>
      <c r="JVN188" s="1"/>
      <c r="JVP188" s="16"/>
      <c r="JVQ188" s="16"/>
      <c r="JVR188" s="16"/>
      <c r="JVS188" s="16"/>
      <c r="JVT188" s="10"/>
      <c r="JVU188" s="10"/>
      <c r="JWB188" s="3"/>
      <c r="JWD188" s="1"/>
      <c r="JWF188" s="16"/>
      <c r="JWG188" s="16"/>
      <c r="JWH188" s="16"/>
      <c r="JWI188" s="16"/>
      <c r="JWJ188" s="10"/>
      <c r="JWK188" s="10"/>
      <c r="JWR188" s="3"/>
      <c r="JWT188" s="1"/>
      <c r="JWV188" s="16"/>
      <c r="JWW188" s="16"/>
      <c r="JWX188" s="16"/>
      <c r="JWY188" s="16"/>
      <c r="JWZ188" s="10"/>
      <c r="JXA188" s="10"/>
      <c r="JXH188" s="3"/>
      <c r="JXJ188" s="1"/>
      <c r="JXL188" s="16"/>
      <c r="JXM188" s="16"/>
      <c r="JXN188" s="16"/>
      <c r="JXO188" s="16"/>
      <c r="JXP188" s="10"/>
      <c r="JXQ188" s="10"/>
      <c r="JXX188" s="3"/>
      <c r="JXZ188" s="1"/>
      <c r="JYB188" s="16"/>
      <c r="JYC188" s="16"/>
      <c r="JYD188" s="16"/>
      <c r="JYE188" s="16"/>
      <c r="JYF188" s="10"/>
      <c r="JYG188" s="10"/>
      <c r="JYN188" s="3"/>
      <c r="JYP188" s="1"/>
      <c r="JYR188" s="16"/>
      <c r="JYS188" s="16"/>
      <c r="JYT188" s="16"/>
      <c r="JYU188" s="16"/>
      <c r="JYV188" s="10"/>
      <c r="JYW188" s="10"/>
      <c r="JZD188" s="3"/>
      <c r="JZF188" s="1"/>
      <c r="JZH188" s="16"/>
      <c r="JZI188" s="16"/>
      <c r="JZJ188" s="16"/>
      <c r="JZK188" s="16"/>
      <c r="JZL188" s="10"/>
      <c r="JZM188" s="10"/>
      <c r="JZT188" s="3"/>
      <c r="JZV188" s="1"/>
      <c r="JZX188" s="16"/>
      <c r="JZY188" s="16"/>
      <c r="JZZ188" s="16"/>
      <c r="KAA188" s="16"/>
      <c r="KAB188" s="10"/>
      <c r="KAC188" s="10"/>
      <c r="KAJ188" s="3"/>
      <c r="KAL188" s="1"/>
      <c r="KAN188" s="16"/>
      <c r="KAO188" s="16"/>
      <c r="KAP188" s="16"/>
      <c r="KAQ188" s="16"/>
      <c r="KAR188" s="10"/>
      <c r="KAS188" s="10"/>
      <c r="KAZ188" s="3"/>
      <c r="KBB188" s="1"/>
      <c r="KBD188" s="16"/>
      <c r="KBE188" s="16"/>
      <c r="KBF188" s="16"/>
      <c r="KBG188" s="16"/>
      <c r="KBH188" s="10"/>
      <c r="KBI188" s="10"/>
      <c r="KBP188" s="3"/>
      <c r="KBR188" s="1"/>
      <c r="KBT188" s="16"/>
      <c r="KBU188" s="16"/>
      <c r="KBV188" s="16"/>
      <c r="KBW188" s="16"/>
      <c r="KBX188" s="10"/>
      <c r="KBY188" s="10"/>
      <c r="KCF188" s="3"/>
      <c r="KCH188" s="1"/>
      <c r="KCJ188" s="16"/>
      <c r="KCK188" s="16"/>
      <c r="KCL188" s="16"/>
      <c r="KCM188" s="16"/>
      <c r="KCN188" s="10"/>
      <c r="KCO188" s="10"/>
      <c r="KCV188" s="3"/>
      <c r="KCX188" s="1"/>
      <c r="KCZ188" s="16"/>
      <c r="KDA188" s="16"/>
      <c r="KDB188" s="16"/>
      <c r="KDC188" s="16"/>
      <c r="KDD188" s="10"/>
      <c r="KDE188" s="10"/>
      <c r="KDL188" s="3"/>
      <c r="KDN188" s="1"/>
      <c r="KDP188" s="16"/>
      <c r="KDQ188" s="16"/>
      <c r="KDR188" s="16"/>
      <c r="KDS188" s="16"/>
      <c r="KDT188" s="10"/>
      <c r="KDU188" s="10"/>
      <c r="KEB188" s="3"/>
      <c r="KED188" s="1"/>
      <c r="KEF188" s="16"/>
      <c r="KEG188" s="16"/>
      <c r="KEH188" s="16"/>
      <c r="KEI188" s="16"/>
      <c r="KEJ188" s="10"/>
      <c r="KEK188" s="10"/>
      <c r="KER188" s="3"/>
      <c r="KET188" s="1"/>
      <c r="KEV188" s="16"/>
      <c r="KEW188" s="16"/>
      <c r="KEX188" s="16"/>
      <c r="KEY188" s="16"/>
      <c r="KEZ188" s="10"/>
      <c r="KFA188" s="10"/>
      <c r="KFH188" s="3"/>
      <c r="KFJ188" s="1"/>
      <c r="KFL188" s="16"/>
      <c r="KFM188" s="16"/>
      <c r="KFN188" s="16"/>
      <c r="KFO188" s="16"/>
      <c r="KFP188" s="10"/>
      <c r="KFQ188" s="10"/>
      <c r="KFX188" s="3"/>
      <c r="KFZ188" s="1"/>
      <c r="KGB188" s="16"/>
      <c r="KGC188" s="16"/>
      <c r="KGD188" s="16"/>
      <c r="KGE188" s="16"/>
      <c r="KGF188" s="10"/>
      <c r="KGG188" s="10"/>
      <c r="KGN188" s="3"/>
      <c r="KGP188" s="1"/>
      <c r="KGR188" s="16"/>
      <c r="KGS188" s="16"/>
      <c r="KGT188" s="16"/>
      <c r="KGU188" s="16"/>
      <c r="KGV188" s="10"/>
      <c r="KGW188" s="10"/>
      <c r="KHD188" s="3"/>
      <c r="KHF188" s="1"/>
      <c r="KHH188" s="16"/>
      <c r="KHI188" s="16"/>
      <c r="KHJ188" s="16"/>
      <c r="KHK188" s="16"/>
      <c r="KHL188" s="10"/>
      <c r="KHM188" s="10"/>
      <c r="KHT188" s="3"/>
      <c r="KHV188" s="1"/>
      <c r="KHX188" s="16"/>
      <c r="KHY188" s="16"/>
      <c r="KHZ188" s="16"/>
      <c r="KIA188" s="16"/>
      <c r="KIB188" s="10"/>
      <c r="KIC188" s="10"/>
      <c r="KIJ188" s="3"/>
      <c r="KIL188" s="1"/>
      <c r="KIN188" s="16"/>
      <c r="KIO188" s="16"/>
      <c r="KIP188" s="16"/>
      <c r="KIQ188" s="16"/>
      <c r="KIR188" s="10"/>
      <c r="KIS188" s="10"/>
      <c r="KIZ188" s="3"/>
      <c r="KJB188" s="1"/>
      <c r="KJD188" s="16"/>
      <c r="KJE188" s="16"/>
      <c r="KJF188" s="16"/>
      <c r="KJG188" s="16"/>
      <c r="KJH188" s="10"/>
      <c r="KJI188" s="10"/>
      <c r="KJP188" s="3"/>
      <c r="KJR188" s="1"/>
      <c r="KJT188" s="16"/>
      <c r="KJU188" s="16"/>
      <c r="KJV188" s="16"/>
      <c r="KJW188" s="16"/>
      <c r="KJX188" s="10"/>
      <c r="KJY188" s="10"/>
      <c r="KKF188" s="3"/>
      <c r="KKH188" s="1"/>
      <c r="KKJ188" s="16"/>
      <c r="KKK188" s="16"/>
      <c r="KKL188" s="16"/>
      <c r="KKM188" s="16"/>
      <c r="KKN188" s="10"/>
      <c r="KKO188" s="10"/>
      <c r="KKV188" s="3"/>
      <c r="KKX188" s="1"/>
      <c r="KKZ188" s="16"/>
      <c r="KLA188" s="16"/>
      <c r="KLB188" s="16"/>
      <c r="KLC188" s="16"/>
      <c r="KLD188" s="10"/>
      <c r="KLE188" s="10"/>
      <c r="KLL188" s="3"/>
      <c r="KLN188" s="1"/>
      <c r="KLP188" s="16"/>
      <c r="KLQ188" s="16"/>
      <c r="KLR188" s="16"/>
      <c r="KLS188" s="16"/>
      <c r="KLT188" s="10"/>
      <c r="KLU188" s="10"/>
      <c r="KMB188" s="3"/>
      <c r="KMD188" s="1"/>
      <c r="KMF188" s="16"/>
      <c r="KMG188" s="16"/>
      <c r="KMH188" s="16"/>
      <c r="KMI188" s="16"/>
      <c r="KMJ188" s="10"/>
      <c r="KMK188" s="10"/>
      <c r="KMR188" s="3"/>
      <c r="KMT188" s="1"/>
      <c r="KMV188" s="16"/>
      <c r="KMW188" s="16"/>
      <c r="KMX188" s="16"/>
      <c r="KMY188" s="16"/>
      <c r="KMZ188" s="10"/>
      <c r="KNA188" s="10"/>
      <c r="KNH188" s="3"/>
      <c r="KNJ188" s="1"/>
      <c r="KNL188" s="16"/>
      <c r="KNM188" s="16"/>
      <c r="KNN188" s="16"/>
      <c r="KNO188" s="16"/>
      <c r="KNP188" s="10"/>
      <c r="KNQ188" s="10"/>
      <c r="KNX188" s="3"/>
      <c r="KNZ188" s="1"/>
      <c r="KOB188" s="16"/>
      <c r="KOC188" s="16"/>
      <c r="KOD188" s="16"/>
      <c r="KOE188" s="16"/>
      <c r="KOF188" s="10"/>
      <c r="KOG188" s="10"/>
      <c r="KON188" s="3"/>
      <c r="KOP188" s="1"/>
      <c r="KOR188" s="16"/>
      <c r="KOS188" s="16"/>
      <c r="KOT188" s="16"/>
      <c r="KOU188" s="16"/>
      <c r="KOV188" s="10"/>
      <c r="KOW188" s="10"/>
      <c r="KPD188" s="3"/>
      <c r="KPF188" s="1"/>
      <c r="KPH188" s="16"/>
      <c r="KPI188" s="16"/>
      <c r="KPJ188" s="16"/>
      <c r="KPK188" s="16"/>
      <c r="KPL188" s="10"/>
      <c r="KPM188" s="10"/>
      <c r="KPT188" s="3"/>
      <c r="KPV188" s="1"/>
      <c r="KPX188" s="16"/>
      <c r="KPY188" s="16"/>
      <c r="KPZ188" s="16"/>
      <c r="KQA188" s="16"/>
      <c r="KQB188" s="10"/>
      <c r="KQC188" s="10"/>
      <c r="KQJ188" s="3"/>
      <c r="KQL188" s="1"/>
      <c r="KQN188" s="16"/>
      <c r="KQO188" s="16"/>
      <c r="KQP188" s="16"/>
      <c r="KQQ188" s="16"/>
      <c r="KQR188" s="10"/>
      <c r="KQS188" s="10"/>
      <c r="KQZ188" s="3"/>
      <c r="KRB188" s="1"/>
      <c r="KRD188" s="16"/>
      <c r="KRE188" s="16"/>
      <c r="KRF188" s="16"/>
      <c r="KRG188" s="16"/>
      <c r="KRH188" s="10"/>
      <c r="KRI188" s="10"/>
      <c r="KRP188" s="3"/>
      <c r="KRR188" s="1"/>
      <c r="KRT188" s="16"/>
      <c r="KRU188" s="16"/>
      <c r="KRV188" s="16"/>
      <c r="KRW188" s="16"/>
      <c r="KRX188" s="10"/>
      <c r="KRY188" s="10"/>
      <c r="KSF188" s="3"/>
      <c r="KSH188" s="1"/>
      <c r="KSJ188" s="16"/>
      <c r="KSK188" s="16"/>
      <c r="KSL188" s="16"/>
      <c r="KSM188" s="16"/>
      <c r="KSN188" s="10"/>
      <c r="KSO188" s="10"/>
      <c r="KSV188" s="3"/>
      <c r="KSX188" s="1"/>
      <c r="KSZ188" s="16"/>
      <c r="KTA188" s="16"/>
      <c r="KTB188" s="16"/>
      <c r="KTC188" s="16"/>
      <c r="KTD188" s="10"/>
      <c r="KTE188" s="10"/>
      <c r="KTL188" s="3"/>
      <c r="KTN188" s="1"/>
      <c r="KTP188" s="16"/>
      <c r="KTQ188" s="16"/>
      <c r="KTR188" s="16"/>
      <c r="KTS188" s="16"/>
      <c r="KTT188" s="10"/>
      <c r="KTU188" s="10"/>
      <c r="KUB188" s="3"/>
      <c r="KUD188" s="1"/>
      <c r="KUF188" s="16"/>
      <c r="KUG188" s="16"/>
      <c r="KUH188" s="16"/>
      <c r="KUI188" s="16"/>
      <c r="KUJ188" s="10"/>
      <c r="KUK188" s="10"/>
      <c r="KUR188" s="3"/>
      <c r="KUT188" s="1"/>
      <c r="KUV188" s="16"/>
      <c r="KUW188" s="16"/>
      <c r="KUX188" s="16"/>
      <c r="KUY188" s="16"/>
      <c r="KUZ188" s="10"/>
      <c r="KVA188" s="10"/>
      <c r="KVH188" s="3"/>
      <c r="KVJ188" s="1"/>
      <c r="KVL188" s="16"/>
      <c r="KVM188" s="16"/>
      <c r="KVN188" s="16"/>
      <c r="KVO188" s="16"/>
      <c r="KVP188" s="10"/>
      <c r="KVQ188" s="10"/>
      <c r="KVX188" s="3"/>
      <c r="KVZ188" s="1"/>
      <c r="KWB188" s="16"/>
      <c r="KWC188" s="16"/>
      <c r="KWD188" s="16"/>
      <c r="KWE188" s="16"/>
      <c r="KWF188" s="10"/>
      <c r="KWG188" s="10"/>
      <c r="KWN188" s="3"/>
      <c r="KWP188" s="1"/>
      <c r="KWR188" s="16"/>
      <c r="KWS188" s="16"/>
      <c r="KWT188" s="16"/>
      <c r="KWU188" s="16"/>
      <c r="KWV188" s="10"/>
      <c r="KWW188" s="10"/>
      <c r="KXD188" s="3"/>
      <c r="KXF188" s="1"/>
      <c r="KXH188" s="16"/>
      <c r="KXI188" s="16"/>
      <c r="KXJ188" s="16"/>
      <c r="KXK188" s="16"/>
      <c r="KXL188" s="10"/>
      <c r="KXM188" s="10"/>
      <c r="KXT188" s="3"/>
      <c r="KXV188" s="1"/>
      <c r="KXX188" s="16"/>
      <c r="KXY188" s="16"/>
      <c r="KXZ188" s="16"/>
      <c r="KYA188" s="16"/>
      <c r="KYB188" s="10"/>
      <c r="KYC188" s="10"/>
      <c r="KYJ188" s="3"/>
      <c r="KYL188" s="1"/>
      <c r="KYN188" s="16"/>
      <c r="KYO188" s="16"/>
      <c r="KYP188" s="16"/>
      <c r="KYQ188" s="16"/>
      <c r="KYR188" s="10"/>
      <c r="KYS188" s="10"/>
      <c r="KYZ188" s="3"/>
      <c r="KZB188" s="1"/>
      <c r="KZD188" s="16"/>
      <c r="KZE188" s="16"/>
      <c r="KZF188" s="16"/>
      <c r="KZG188" s="16"/>
      <c r="KZH188" s="10"/>
      <c r="KZI188" s="10"/>
      <c r="KZP188" s="3"/>
      <c r="KZR188" s="1"/>
      <c r="KZT188" s="16"/>
      <c r="KZU188" s="16"/>
      <c r="KZV188" s="16"/>
      <c r="KZW188" s="16"/>
      <c r="KZX188" s="10"/>
      <c r="KZY188" s="10"/>
      <c r="LAF188" s="3"/>
      <c r="LAH188" s="1"/>
      <c r="LAJ188" s="16"/>
      <c r="LAK188" s="16"/>
      <c r="LAL188" s="16"/>
      <c r="LAM188" s="16"/>
      <c r="LAN188" s="10"/>
      <c r="LAO188" s="10"/>
      <c r="LAV188" s="3"/>
      <c r="LAX188" s="1"/>
      <c r="LAZ188" s="16"/>
      <c r="LBA188" s="16"/>
      <c r="LBB188" s="16"/>
      <c r="LBC188" s="16"/>
      <c r="LBD188" s="10"/>
      <c r="LBE188" s="10"/>
      <c r="LBL188" s="3"/>
      <c r="LBN188" s="1"/>
      <c r="LBP188" s="16"/>
      <c r="LBQ188" s="16"/>
      <c r="LBR188" s="16"/>
      <c r="LBS188" s="16"/>
      <c r="LBT188" s="10"/>
      <c r="LBU188" s="10"/>
      <c r="LCB188" s="3"/>
      <c r="LCD188" s="1"/>
      <c r="LCF188" s="16"/>
      <c r="LCG188" s="16"/>
      <c r="LCH188" s="16"/>
      <c r="LCI188" s="16"/>
      <c r="LCJ188" s="10"/>
      <c r="LCK188" s="10"/>
      <c r="LCR188" s="3"/>
      <c r="LCT188" s="1"/>
      <c r="LCV188" s="16"/>
      <c r="LCW188" s="16"/>
      <c r="LCX188" s="16"/>
      <c r="LCY188" s="16"/>
      <c r="LCZ188" s="10"/>
      <c r="LDA188" s="10"/>
      <c r="LDH188" s="3"/>
      <c r="LDJ188" s="1"/>
      <c r="LDL188" s="16"/>
      <c r="LDM188" s="16"/>
      <c r="LDN188" s="16"/>
      <c r="LDO188" s="16"/>
      <c r="LDP188" s="10"/>
      <c r="LDQ188" s="10"/>
      <c r="LDX188" s="3"/>
      <c r="LDZ188" s="1"/>
      <c r="LEB188" s="16"/>
      <c r="LEC188" s="16"/>
      <c r="LED188" s="16"/>
      <c r="LEE188" s="16"/>
      <c r="LEF188" s="10"/>
      <c r="LEG188" s="10"/>
      <c r="LEN188" s="3"/>
      <c r="LEP188" s="1"/>
      <c r="LER188" s="16"/>
      <c r="LES188" s="16"/>
      <c r="LET188" s="16"/>
      <c r="LEU188" s="16"/>
      <c r="LEV188" s="10"/>
      <c r="LEW188" s="10"/>
      <c r="LFD188" s="3"/>
      <c r="LFF188" s="1"/>
      <c r="LFH188" s="16"/>
      <c r="LFI188" s="16"/>
      <c r="LFJ188" s="16"/>
      <c r="LFK188" s="16"/>
      <c r="LFL188" s="10"/>
      <c r="LFM188" s="10"/>
      <c r="LFT188" s="3"/>
      <c r="LFV188" s="1"/>
      <c r="LFX188" s="16"/>
      <c r="LFY188" s="16"/>
      <c r="LFZ188" s="16"/>
      <c r="LGA188" s="16"/>
      <c r="LGB188" s="10"/>
      <c r="LGC188" s="10"/>
      <c r="LGJ188" s="3"/>
      <c r="LGL188" s="1"/>
      <c r="LGN188" s="16"/>
      <c r="LGO188" s="16"/>
      <c r="LGP188" s="16"/>
      <c r="LGQ188" s="16"/>
      <c r="LGR188" s="10"/>
      <c r="LGS188" s="10"/>
      <c r="LGZ188" s="3"/>
      <c r="LHB188" s="1"/>
      <c r="LHD188" s="16"/>
      <c r="LHE188" s="16"/>
      <c r="LHF188" s="16"/>
      <c r="LHG188" s="16"/>
      <c r="LHH188" s="10"/>
      <c r="LHI188" s="10"/>
      <c r="LHP188" s="3"/>
      <c r="LHR188" s="1"/>
      <c r="LHT188" s="16"/>
      <c r="LHU188" s="16"/>
      <c r="LHV188" s="16"/>
      <c r="LHW188" s="16"/>
      <c r="LHX188" s="10"/>
      <c r="LHY188" s="10"/>
      <c r="LIF188" s="3"/>
      <c r="LIH188" s="1"/>
      <c r="LIJ188" s="16"/>
      <c r="LIK188" s="16"/>
      <c r="LIL188" s="16"/>
      <c r="LIM188" s="16"/>
      <c r="LIN188" s="10"/>
      <c r="LIO188" s="10"/>
      <c r="LIV188" s="3"/>
      <c r="LIX188" s="1"/>
      <c r="LIZ188" s="16"/>
      <c r="LJA188" s="16"/>
      <c r="LJB188" s="16"/>
      <c r="LJC188" s="16"/>
      <c r="LJD188" s="10"/>
      <c r="LJE188" s="10"/>
      <c r="LJL188" s="3"/>
      <c r="LJN188" s="1"/>
      <c r="LJP188" s="16"/>
      <c r="LJQ188" s="16"/>
      <c r="LJR188" s="16"/>
      <c r="LJS188" s="16"/>
      <c r="LJT188" s="10"/>
      <c r="LJU188" s="10"/>
      <c r="LKB188" s="3"/>
      <c r="LKD188" s="1"/>
      <c r="LKF188" s="16"/>
      <c r="LKG188" s="16"/>
      <c r="LKH188" s="16"/>
      <c r="LKI188" s="16"/>
      <c r="LKJ188" s="10"/>
      <c r="LKK188" s="10"/>
      <c r="LKR188" s="3"/>
      <c r="LKT188" s="1"/>
      <c r="LKV188" s="16"/>
      <c r="LKW188" s="16"/>
      <c r="LKX188" s="16"/>
      <c r="LKY188" s="16"/>
      <c r="LKZ188" s="10"/>
      <c r="LLA188" s="10"/>
      <c r="LLH188" s="3"/>
      <c r="LLJ188" s="1"/>
      <c r="LLL188" s="16"/>
      <c r="LLM188" s="16"/>
      <c r="LLN188" s="16"/>
      <c r="LLO188" s="16"/>
      <c r="LLP188" s="10"/>
      <c r="LLQ188" s="10"/>
      <c r="LLX188" s="3"/>
      <c r="LLZ188" s="1"/>
      <c r="LMB188" s="16"/>
      <c r="LMC188" s="16"/>
      <c r="LMD188" s="16"/>
      <c r="LME188" s="16"/>
      <c r="LMF188" s="10"/>
      <c r="LMG188" s="10"/>
      <c r="LMN188" s="3"/>
      <c r="LMP188" s="1"/>
      <c r="LMR188" s="16"/>
      <c r="LMS188" s="16"/>
      <c r="LMT188" s="16"/>
      <c r="LMU188" s="16"/>
      <c r="LMV188" s="10"/>
      <c r="LMW188" s="10"/>
      <c r="LND188" s="3"/>
      <c r="LNF188" s="1"/>
      <c r="LNH188" s="16"/>
      <c r="LNI188" s="16"/>
      <c r="LNJ188" s="16"/>
      <c r="LNK188" s="16"/>
      <c r="LNL188" s="10"/>
      <c r="LNM188" s="10"/>
      <c r="LNT188" s="3"/>
      <c r="LNV188" s="1"/>
      <c r="LNX188" s="16"/>
      <c r="LNY188" s="16"/>
      <c r="LNZ188" s="16"/>
      <c r="LOA188" s="16"/>
      <c r="LOB188" s="10"/>
      <c r="LOC188" s="10"/>
      <c r="LOJ188" s="3"/>
      <c r="LOL188" s="1"/>
      <c r="LON188" s="16"/>
      <c r="LOO188" s="16"/>
      <c r="LOP188" s="16"/>
      <c r="LOQ188" s="16"/>
      <c r="LOR188" s="10"/>
      <c r="LOS188" s="10"/>
      <c r="LOZ188" s="3"/>
      <c r="LPB188" s="1"/>
      <c r="LPD188" s="16"/>
      <c r="LPE188" s="16"/>
      <c r="LPF188" s="16"/>
      <c r="LPG188" s="16"/>
      <c r="LPH188" s="10"/>
      <c r="LPI188" s="10"/>
      <c r="LPP188" s="3"/>
      <c r="LPR188" s="1"/>
      <c r="LPT188" s="16"/>
      <c r="LPU188" s="16"/>
      <c r="LPV188" s="16"/>
      <c r="LPW188" s="16"/>
      <c r="LPX188" s="10"/>
      <c r="LPY188" s="10"/>
      <c r="LQF188" s="3"/>
      <c r="LQH188" s="1"/>
      <c r="LQJ188" s="16"/>
      <c r="LQK188" s="16"/>
      <c r="LQL188" s="16"/>
      <c r="LQM188" s="16"/>
      <c r="LQN188" s="10"/>
      <c r="LQO188" s="10"/>
      <c r="LQV188" s="3"/>
      <c r="LQX188" s="1"/>
      <c r="LQZ188" s="16"/>
      <c r="LRA188" s="16"/>
      <c r="LRB188" s="16"/>
      <c r="LRC188" s="16"/>
      <c r="LRD188" s="10"/>
      <c r="LRE188" s="10"/>
      <c r="LRL188" s="3"/>
      <c r="LRN188" s="1"/>
      <c r="LRP188" s="16"/>
      <c r="LRQ188" s="16"/>
      <c r="LRR188" s="16"/>
      <c r="LRS188" s="16"/>
      <c r="LRT188" s="10"/>
      <c r="LRU188" s="10"/>
      <c r="LSB188" s="3"/>
      <c r="LSD188" s="1"/>
      <c r="LSF188" s="16"/>
      <c r="LSG188" s="16"/>
      <c r="LSH188" s="16"/>
      <c r="LSI188" s="16"/>
      <c r="LSJ188" s="10"/>
      <c r="LSK188" s="10"/>
      <c r="LSR188" s="3"/>
      <c r="LST188" s="1"/>
      <c r="LSV188" s="16"/>
      <c r="LSW188" s="16"/>
      <c r="LSX188" s="16"/>
      <c r="LSY188" s="16"/>
      <c r="LSZ188" s="10"/>
      <c r="LTA188" s="10"/>
      <c r="LTH188" s="3"/>
      <c r="LTJ188" s="1"/>
      <c r="LTL188" s="16"/>
      <c r="LTM188" s="16"/>
      <c r="LTN188" s="16"/>
      <c r="LTO188" s="16"/>
      <c r="LTP188" s="10"/>
      <c r="LTQ188" s="10"/>
      <c r="LTX188" s="3"/>
      <c r="LTZ188" s="1"/>
      <c r="LUB188" s="16"/>
      <c r="LUC188" s="16"/>
      <c r="LUD188" s="16"/>
      <c r="LUE188" s="16"/>
      <c r="LUF188" s="10"/>
      <c r="LUG188" s="10"/>
      <c r="LUN188" s="3"/>
      <c r="LUP188" s="1"/>
      <c r="LUR188" s="16"/>
      <c r="LUS188" s="16"/>
      <c r="LUT188" s="16"/>
      <c r="LUU188" s="16"/>
      <c r="LUV188" s="10"/>
      <c r="LUW188" s="10"/>
      <c r="LVD188" s="3"/>
      <c r="LVF188" s="1"/>
      <c r="LVH188" s="16"/>
      <c r="LVI188" s="16"/>
      <c r="LVJ188" s="16"/>
      <c r="LVK188" s="16"/>
      <c r="LVL188" s="10"/>
      <c r="LVM188" s="10"/>
      <c r="LVT188" s="3"/>
      <c r="LVV188" s="1"/>
      <c r="LVX188" s="16"/>
      <c r="LVY188" s="16"/>
      <c r="LVZ188" s="16"/>
      <c r="LWA188" s="16"/>
      <c r="LWB188" s="10"/>
      <c r="LWC188" s="10"/>
      <c r="LWJ188" s="3"/>
      <c r="LWL188" s="1"/>
      <c r="LWN188" s="16"/>
      <c r="LWO188" s="16"/>
      <c r="LWP188" s="16"/>
      <c r="LWQ188" s="16"/>
      <c r="LWR188" s="10"/>
      <c r="LWS188" s="10"/>
      <c r="LWZ188" s="3"/>
      <c r="LXB188" s="1"/>
      <c r="LXD188" s="16"/>
      <c r="LXE188" s="16"/>
      <c r="LXF188" s="16"/>
      <c r="LXG188" s="16"/>
      <c r="LXH188" s="10"/>
      <c r="LXI188" s="10"/>
      <c r="LXP188" s="3"/>
      <c r="LXR188" s="1"/>
      <c r="LXT188" s="16"/>
      <c r="LXU188" s="16"/>
      <c r="LXV188" s="16"/>
      <c r="LXW188" s="16"/>
      <c r="LXX188" s="10"/>
      <c r="LXY188" s="10"/>
      <c r="LYF188" s="3"/>
      <c r="LYH188" s="1"/>
      <c r="LYJ188" s="16"/>
      <c r="LYK188" s="16"/>
      <c r="LYL188" s="16"/>
      <c r="LYM188" s="16"/>
      <c r="LYN188" s="10"/>
      <c r="LYO188" s="10"/>
      <c r="LYV188" s="3"/>
      <c r="LYX188" s="1"/>
      <c r="LYZ188" s="16"/>
      <c r="LZA188" s="16"/>
      <c r="LZB188" s="16"/>
      <c r="LZC188" s="16"/>
      <c r="LZD188" s="10"/>
      <c r="LZE188" s="10"/>
      <c r="LZL188" s="3"/>
      <c r="LZN188" s="1"/>
      <c r="LZP188" s="16"/>
      <c r="LZQ188" s="16"/>
      <c r="LZR188" s="16"/>
      <c r="LZS188" s="16"/>
      <c r="LZT188" s="10"/>
      <c r="LZU188" s="10"/>
      <c r="MAB188" s="3"/>
      <c r="MAD188" s="1"/>
      <c r="MAF188" s="16"/>
      <c r="MAG188" s="16"/>
      <c r="MAH188" s="16"/>
      <c r="MAI188" s="16"/>
      <c r="MAJ188" s="10"/>
      <c r="MAK188" s="10"/>
      <c r="MAR188" s="3"/>
      <c r="MAT188" s="1"/>
      <c r="MAV188" s="16"/>
      <c r="MAW188" s="16"/>
      <c r="MAX188" s="16"/>
      <c r="MAY188" s="16"/>
      <c r="MAZ188" s="10"/>
      <c r="MBA188" s="10"/>
      <c r="MBH188" s="3"/>
      <c r="MBJ188" s="1"/>
      <c r="MBL188" s="16"/>
      <c r="MBM188" s="16"/>
      <c r="MBN188" s="16"/>
      <c r="MBO188" s="16"/>
      <c r="MBP188" s="10"/>
      <c r="MBQ188" s="10"/>
      <c r="MBX188" s="3"/>
      <c r="MBZ188" s="1"/>
      <c r="MCB188" s="16"/>
      <c r="MCC188" s="16"/>
      <c r="MCD188" s="16"/>
      <c r="MCE188" s="16"/>
      <c r="MCF188" s="10"/>
      <c r="MCG188" s="10"/>
      <c r="MCN188" s="3"/>
      <c r="MCP188" s="1"/>
      <c r="MCR188" s="16"/>
      <c r="MCS188" s="16"/>
      <c r="MCT188" s="16"/>
      <c r="MCU188" s="16"/>
      <c r="MCV188" s="10"/>
      <c r="MCW188" s="10"/>
      <c r="MDD188" s="3"/>
      <c r="MDF188" s="1"/>
      <c r="MDH188" s="16"/>
      <c r="MDI188" s="16"/>
      <c r="MDJ188" s="16"/>
      <c r="MDK188" s="16"/>
      <c r="MDL188" s="10"/>
      <c r="MDM188" s="10"/>
      <c r="MDT188" s="3"/>
      <c r="MDV188" s="1"/>
      <c r="MDX188" s="16"/>
      <c r="MDY188" s="16"/>
      <c r="MDZ188" s="16"/>
      <c r="MEA188" s="16"/>
      <c r="MEB188" s="10"/>
      <c r="MEC188" s="10"/>
      <c r="MEJ188" s="3"/>
      <c r="MEL188" s="1"/>
      <c r="MEN188" s="16"/>
      <c r="MEO188" s="16"/>
      <c r="MEP188" s="16"/>
      <c r="MEQ188" s="16"/>
      <c r="MER188" s="10"/>
      <c r="MES188" s="10"/>
      <c r="MEZ188" s="3"/>
      <c r="MFB188" s="1"/>
      <c r="MFD188" s="16"/>
      <c r="MFE188" s="16"/>
      <c r="MFF188" s="16"/>
      <c r="MFG188" s="16"/>
      <c r="MFH188" s="10"/>
      <c r="MFI188" s="10"/>
      <c r="MFP188" s="3"/>
      <c r="MFR188" s="1"/>
      <c r="MFT188" s="16"/>
      <c r="MFU188" s="16"/>
      <c r="MFV188" s="16"/>
      <c r="MFW188" s="16"/>
      <c r="MFX188" s="10"/>
      <c r="MFY188" s="10"/>
      <c r="MGF188" s="3"/>
      <c r="MGH188" s="1"/>
      <c r="MGJ188" s="16"/>
      <c r="MGK188" s="16"/>
      <c r="MGL188" s="16"/>
      <c r="MGM188" s="16"/>
      <c r="MGN188" s="10"/>
      <c r="MGO188" s="10"/>
      <c r="MGV188" s="3"/>
      <c r="MGX188" s="1"/>
      <c r="MGZ188" s="16"/>
      <c r="MHA188" s="16"/>
      <c r="MHB188" s="16"/>
      <c r="MHC188" s="16"/>
      <c r="MHD188" s="10"/>
      <c r="MHE188" s="10"/>
      <c r="MHL188" s="3"/>
      <c r="MHN188" s="1"/>
      <c r="MHP188" s="16"/>
      <c r="MHQ188" s="16"/>
      <c r="MHR188" s="16"/>
      <c r="MHS188" s="16"/>
      <c r="MHT188" s="10"/>
      <c r="MHU188" s="10"/>
      <c r="MIB188" s="3"/>
      <c r="MID188" s="1"/>
      <c r="MIF188" s="16"/>
      <c r="MIG188" s="16"/>
      <c r="MIH188" s="16"/>
      <c r="MII188" s="16"/>
      <c r="MIJ188" s="10"/>
      <c r="MIK188" s="10"/>
      <c r="MIR188" s="3"/>
      <c r="MIT188" s="1"/>
      <c r="MIV188" s="16"/>
      <c r="MIW188" s="16"/>
      <c r="MIX188" s="16"/>
      <c r="MIY188" s="16"/>
      <c r="MIZ188" s="10"/>
      <c r="MJA188" s="10"/>
      <c r="MJH188" s="3"/>
      <c r="MJJ188" s="1"/>
      <c r="MJL188" s="16"/>
      <c r="MJM188" s="16"/>
      <c r="MJN188" s="16"/>
      <c r="MJO188" s="16"/>
      <c r="MJP188" s="10"/>
      <c r="MJQ188" s="10"/>
      <c r="MJX188" s="3"/>
      <c r="MJZ188" s="1"/>
      <c r="MKB188" s="16"/>
      <c r="MKC188" s="16"/>
      <c r="MKD188" s="16"/>
      <c r="MKE188" s="16"/>
      <c r="MKF188" s="10"/>
      <c r="MKG188" s="10"/>
      <c r="MKN188" s="3"/>
      <c r="MKP188" s="1"/>
      <c r="MKR188" s="16"/>
      <c r="MKS188" s="16"/>
      <c r="MKT188" s="16"/>
      <c r="MKU188" s="16"/>
      <c r="MKV188" s="10"/>
      <c r="MKW188" s="10"/>
      <c r="MLD188" s="3"/>
      <c r="MLF188" s="1"/>
      <c r="MLH188" s="16"/>
      <c r="MLI188" s="16"/>
      <c r="MLJ188" s="16"/>
      <c r="MLK188" s="16"/>
      <c r="MLL188" s="10"/>
      <c r="MLM188" s="10"/>
      <c r="MLT188" s="3"/>
      <c r="MLV188" s="1"/>
      <c r="MLX188" s="16"/>
      <c r="MLY188" s="16"/>
      <c r="MLZ188" s="16"/>
      <c r="MMA188" s="16"/>
      <c r="MMB188" s="10"/>
      <c r="MMC188" s="10"/>
      <c r="MMJ188" s="3"/>
      <c r="MML188" s="1"/>
      <c r="MMN188" s="16"/>
      <c r="MMO188" s="16"/>
      <c r="MMP188" s="16"/>
      <c r="MMQ188" s="16"/>
      <c r="MMR188" s="10"/>
      <c r="MMS188" s="10"/>
      <c r="MMZ188" s="3"/>
      <c r="MNB188" s="1"/>
      <c r="MND188" s="16"/>
      <c r="MNE188" s="16"/>
      <c r="MNF188" s="16"/>
      <c r="MNG188" s="16"/>
      <c r="MNH188" s="10"/>
      <c r="MNI188" s="10"/>
      <c r="MNP188" s="3"/>
      <c r="MNR188" s="1"/>
      <c r="MNT188" s="16"/>
      <c r="MNU188" s="16"/>
      <c r="MNV188" s="16"/>
      <c r="MNW188" s="16"/>
      <c r="MNX188" s="10"/>
      <c r="MNY188" s="10"/>
      <c r="MOF188" s="3"/>
      <c r="MOH188" s="1"/>
      <c r="MOJ188" s="16"/>
      <c r="MOK188" s="16"/>
      <c r="MOL188" s="16"/>
      <c r="MOM188" s="16"/>
      <c r="MON188" s="10"/>
      <c r="MOO188" s="10"/>
      <c r="MOV188" s="3"/>
      <c r="MOX188" s="1"/>
      <c r="MOZ188" s="16"/>
      <c r="MPA188" s="16"/>
      <c r="MPB188" s="16"/>
      <c r="MPC188" s="16"/>
      <c r="MPD188" s="10"/>
      <c r="MPE188" s="10"/>
      <c r="MPL188" s="3"/>
      <c r="MPN188" s="1"/>
      <c r="MPP188" s="16"/>
      <c r="MPQ188" s="16"/>
      <c r="MPR188" s="16"/>
      <c r="MPS188" s="16"/>
      <c r="MPT188" s="10"/>
      <c r="MPU188" s="10"/>
      <c r="MQB188" s="3"/>
      <c r="MQD188" s="1"/>
      <c r="MQF188" s="16"/>
      <c r="MQG188" s="16"/>
      <c r="MQH188" s="16"/>
      <c r="MQI188" s="16"/>
      <c r="MQJ188" s="10"/>
      <c r="MQK188" s="10"/>
      <c r="MQR188" s="3"/>
      <c r="MQT188" s="1"/>
      <c r="MQV188" s="16"/>
      <c r="MQW188" s="16"/>
      <c r="MQX188" s="16"/>
      <c r="MQY188" s="16"/>
      <c r="MQZ188" s="10"/>
      <c r="MRA188" s="10"/>
      <c r="MRH188" s="3"/>
      <c r="MRJ188" s="1"/>
      <c r="MRL188" s="16"/>
      <c r="MRM188" s="16"/>
      <c r="MRN188" s="16"/>
      <c r="MRO188" s="16"/>
      <c r="MRP188" s="10"/>
      <c r="MRQ188" s="10"/>
      <c r="MRX188" s="3"/>
      <c r="MRZ188" s="1"/>
      <c r="MSB188" s="16"/>
      <c r="MSC188" s="16"/>
      <c r="MSD188" s="16"/>
      <c r="MSE188" s="16"/>
      <c r="MSF188" s="10"/>
      <c r="MSG188" s="10"/>
      <c r="MSN188" s="3"/>
      <c r="MSP188" s="1"/>
      <c r="MSR188" s="16"/>
      <c r="MSS188" s="16"/>
      <c r="MST188" s="16"/>
      <c r="MSU188" s="16"/>
      <c r="MSV188" s="10"/>
      <c r="MSW188" s="10"/>
      <c r="MTD188" s="3"/>
      <c r="MTF188" s="1"/>
      <c r="MTH188" s="16"/>
      <c r="MTI188" s="16"/>
      <c r="MTJ188" s="16"/>
      <c r="MTK188" s="16"/>
      <c r="MTL188" s="10"/>
      <c r="MTM188" s="10"/>
      <c r="MTT188" s="3"/>
      <c r="MTV188" s="1"/>
      <c r="MTX188" s="16"/>
      <c r="MTY188" s="16"/>
      <c r="MTZ188" s="16"/>
      <c r="MUA188" s="16"/>
      <c r="MUB188" s="10"/>
      <c r="MUC188" s="10"/>
      <c r="MUJ188" s="3"/>
      <c r="MUL188" s="1"/>
      <c r="MUN188" s="16"/>
      <c r="MUO188" s="16"/>
      <c r="MUP188" s="16"/>
      <c r="MUQ188" s="16"/>
      <c r="MUR188" s="10"/>
      <c r="MUS188" s="10"/>
      <c r="MUZ188" s="3"/>
      <c r="MVB188" s="1"/>
      <c r="MVD188" s="16"/>
      <c r="MVE188" s="16"/>
      <c r="MVF188" s="16"/>
      <c r="MVG188" s="16"/>
      <c r="MVH188" s="10"/>
      <c r="MVI188" s="10"/>
      <c r="MVP188" s="3"/>
      <c r="MVR188" s="1"/>
      <c r="MVT188" s="16"/>
      <c r="MVU188" s="16"/>
      <c r="MVV188" s="16"/>
      <c r="MVW188" s="16"/>
      <c r="MVX188" s="10"/>
      <c r="MVY188" s="10"/>
      <c r="MWF188" s="3"/>
      <c r="MWH188" s="1"/>
      <c r="MWJ188" s="16"/>
      <c r="MWK188" s="16"/>
      <c r="MWL188" s="16"/>
      <c r="MWM188" s="16"/>
      <c r="MWN188" s="10"/>
      <c r="MWO188" s="10"/>
      <c r="MWV188" s="3"/>
      <c r="MWX188" s="1"/>
      <c r="MWZ188" s="16"/>
      <c r="MXA188" s="16"/>
      <c r="MXB188" s="16"/>
      <c r="MXC188" s="16"/>
      <c r="MXD188" s="10"/>
      <c r="MXE188" s="10"/>
      <c r="MXL188" s="3"/>
      <c r="MXN188" s="1"/>
      <c r="MXP188" s="16"/>
      <c r="MXQ188" s="16"/>
      <c r="MXR188" s="16"/>
      <c r="MXS188" s="16"/>
      <c r="MXT188" s="10"/>
      <c r="MXU188" s="10"/>
      <c r="MYB188" s="3"/>
      <c r="MYD188" s="1"/>
      <c r="MYF188" s="16"/>
      <c r="MYG188" s="16"/>
      <c r="MYH188" s="16"/>
      <c r="MYI188" s="16"/>
      <c r="MYJ188" s="10"/>
      <c r="MYK188" s="10"/>
      <c r="MYR188" s="3"/>
      <c r="MYT188" s="1"/>
      <c r="MYV188" s="16"/>
      <c r="MYW188" s="16"/>
      <c r="MYX188" s="16"/>
      <c r="MYY188" s="16"/>
      <c r="MYZ188" s="10"/>
      <c r="MZA188" s="10"/>
      <c r="MZH188" s="3"/>
      <c r="MZJ188" s="1"/>
      <c r="MZL188" s="16"/>
      <c r="MZM188" s="16"/>
      <c r="MZN188" s="16"/>
      <c r="MZO188" s="16"/>
      <c r="MZP188" s="10"/>
      <c r="MZQ188" s="10"/>
      <c r="MZX188" s="3"/>
      <c r="MZZ188" s="1"/>
      <c r="NAB188" s="16"/>
      <c r="NAC188" s="16"/>
      <c r="NAD188" s="16"/>
      <c r="NAE188" s="16"/>
      <c r="NAF188" s="10"/>
      <c r="NAG188" s="10"/>
      <c r="NAN188" s="3"/>
      <c r="NAP188" s="1"/>
      <c r="NAR188" s="16"/>
      <c r="NAS188" s="16"/>
      <c r="NAT188" s="16"/>
      <c r="NAU188" s="16"/>
      <c r="NAV188" s="10"/>
      <c r="NAW188" s="10"/>
      <c r="NBD188" s="3"/>
      <c r="NBF188" s="1"/>
      <c r="NBH188" s="16"/>
      <c r="NBI188" s="16"/>
      <c r="NBJ188" s="16"/>
      <c r="NBK188" s="16"/>
      <c r="NBL188" s="10"/>
      <c r="NBM188" s="10"/>
      <c r="NBT188" s="3"/>
      <c r="NBV188" s="1"/>
      <c r="NBX188" s="16"/>
      <c r="NBY188" s="16"/>
      <c r="NBZ188" s="16"/>
      <c r="NCA188" s="16"/>
      <c r="NCB188" s="10"/>
      <c r="NCC188" s="10"/>
      <c r="NCJ188" s="3"/>
      <c r="NCL188" s="1"/>
      <c r="NCN188" s="16"/>
      <c r="NCO188" s="16"/>
      <c r="NCP188" s="16"/>
      <c r="NCQ188" s="16"/>
      <c r="NCR188" s="10"/>
      <c r="NCS188" s="10"/>
      <c r="NCZ188" s="3"/>
      <c r="NDB188" s="1"/>
      <c r="NDD188" s="16"/>
      <c r="NDE188" s="16"/>
      <c r="NDF188" s="16"/>
      <c r="NDG188" s="16"/>
      <c r="NDH188" s="10"/>
      <c r="NDI188" s="10"/>
      <c r="NDP188" s="3"/>
      <c r="NDR188" s="1"/>
      <c r="NDT188" s="16"/>
      <c r="NDU188" s="16"/>
      <c r="NDV188" s="16"/>
      <c r="NDW188" s="16"/>
      <c r="NDX188" s="10"/>
      <c r="NDY188" s="10"/>
      <c r="NEF188" s="3"/>
      <c r="NEH188" s="1"/>
      <c r="NEJ188" s="16"/>
      <c r="NEK188" s="16"/>
      <c r="NEL188" s="16"/>
      <c r="NEM188" s="16"/>
      <c r="NEN188" s="10"/>
      <c r="NEO188" s="10"/>
      <c r="NEV188" s="3"/>
      <c r="NEX188" s="1"/>
      <c r="NEZ188" s="16"/>
      <c r="NFA188" s="16"/>
      <c r="NFB188" s="16"/>
      <c r="NFC188" s="16"/>
      <c r="NFD188" s="10"/>
      <c r="NFE188" s="10"/>
      <c r="NFL188" s="3"/>
      <c r="NFN188" s="1"/>
      <c r="NFP188" s="16"/>
      <c r="NFQ188" s="16"/>
      <c r="NFR188" s="16"/>
      <c r="NFS188" s="16"/>
      <c r="NFT188" s="10"/>
      <c r="NFU188" s="10"/>
      <c r="NGB188" s="3"/>
      <c r="NGD188" s="1"/>
      <c r="NGF188" s="16"/>
      <c r="NGG188" s="16"/>
      <c r="NGH188" s="16"/>
      <c r="NGI188" s="16"/>
      <c r="NGJ188" s="10"/>
      <c r="NGK188" s="10"/>
      <c r="NGR188" s="3"/>
      <c r="NGT188" s="1"/>
      <c r="NGV188" s="16"/>
      <c r="NGW188" s="16"/>
      <c r="NGX188" s="16"/>
      <c r="NGY188" s="16"/>
      <c r="NGZ188" s="10"/>
      <c r="NHA188" s="10"/>
      <c r="NHH188" s="3"/>
      <c r="NHJ188" s="1"/>
      <c r="NHL188" s="16"/>
      <c r="NHM188" s="16"/>
      <c r="NHN188" s="16"/>
      <c r="NHO188" s="16"/>
      <c r="NHP188" s="10"/>
      <c r="NHQ188" s="10"/>
      <c r="NHX188" s="3"/>
      <c r="NHZ188" s="1"/>
      <c r="NIB188" s="16"/>
      <c r="NIC188" s="16"/>
      <c r="NID188" s="16"/>
      <c r="NIE188" s="16"/>
      <c r="NIF188" s="10"/>
      <c r="NIG188" s="10"/>
      <c r="NIN188" s="3"/>
      <c r="NIP188" s="1"/>
      <c r="NIR188" s="16"/>
      <c r="NIS188" s="16"/>
      <c r="NIT188" s="16"/>
      <c r="NIU188" s="16"/>
      <c r="NIV188" s="10"/>
      <c r="NIW188" s="10"/>
      <c r="NJD188" s="3"/>
      <c r="NJF188" s="1"/>
      <c r="NJH188" s="16"/>
      <c r="NJI188" s="16"/>
      <c r="NJJ188" s="16"/>
      <c r="NJK188" s="16"/>
      <c r="NJL188" s="10"/>
      <c r="NJM188" s="10"/>
      <c r="NJT188" s="3"/>
      <c r="NJV188" s="1"/>
      <c r="NJX188" s="16"/>
      <c r="NJY188" s="16"/>
      <c r="NJZ188" s="16"/>
      <c r="NKA188" s="16"/>
      <c r="NKB188" s="10"/>
      <c r="NKC188" s="10"/>
      <c r="NKJ188" s="3"/>
      <c r="NKL188" s="1"/>
      <c r="NKN188" s="16"/>
      <c r="NKO188" s="16"/>
      <c r="NKP188" s="16"/>
      <c r="NKQ188" s="16"/>
      <c r="NKR188" s="10"/>
      <c r="NKS188" s="10"/>
      <c r="NKZ188" s="3"/>
      <c r="NLB188" s="1"/>
      <c r="NLD188" s="16"/>
      <c r="NLE188" s="16"/>
      <c r="NLF188" s="16"/>
      <c r="NLG188" s="16"/>
      <c r="NLH188" s="10"/>
      <c r="NLI188" s="10"/>
      <c r="NLP188" s="3"/>
      <c r="NLR188" s="1"/>
      <c r="NLT188" s="16"/>
      <c r="NLU188" s="16"/>
      <c r="NLV188" s="16"/>
      <c r="NLW188" s="16"/>
      <c r="NLX188" s="10"/>
      <c r="NLY188" s="10"/>
      <c r="NMF188" s="3"/>
      <c r="NMH188" s="1"/>
      <c r="NMJ188" s="16"/>
      <c r="NMK188" s="16"/>
      <c r="NML188" s="16"/>
      <c r="NMM188" s="16"/>
      <c r="NMN188" s="10"/>
      <c r="NMO188" s="10"/>
      <c r="NMV188" s="3"/>
      <c r="NMX188" s="1"/>
      <c r="NMZ188" s="16"/>
      <c r="NNA188" s="16"/>
      <c r="NNB188" s="16"/>
      <c r="NNC188" s="16"/>
      <c r="NND188" s="10"/>
      <c r="NNE188" s="10"/>
      <c r="NNL188" s="3"/>
      <c r="NNN188" s="1"/>
      <c r="NNP188" s="16"/>
      <c r="NNQ188" s="16"/>
      <c r="NNR188" s="16"/>
      <c r="NNS188" s="16"/>
      <c r="NNT188" s="10"/>
      <c r="NNU188" s="10"/>
      <c r="NOB188" s="3"/>
      <c r="NOD188" s="1"/>
      <c r="NOF188" s="16"/>
      <c r="NOG188" s="16"/>
      <c r="NOH188" s="16"/>
      <c r="NOI188" s="16"/>
      <c r="NOJ188" s="10"/>
      <c r="NOK188" s="10"/>
      <c r="NOR188" s="3"/>
      <c r="NOT188" s="1"/>
      <c r="NOV188" s="16"/>
      <c r="NOW188" s="16"/>
      <c r="NOX188" s="16"/>
      <c r="NOY188" s="16"/>
      <c r="NOZ188" s="10"/>
      <c r="NPA188" s="10"/>
      <c r="NPH188" s="3"/>
      <c r="NPJ188" s="1"/>
      <c r="NPL188" s="16"/>
      <c r="NPM188" s="16"/>
      <c r="NPN188" s="16"/>
      <c r="NPO188" s="16"/>
      <c r="NPP188" s="10"/>
      <c r="NPQ188" s="10"/>
      <c r="NPX188" s="3"/>
      <c r="NPZ188" s="1"/>
      <c r="NQB188" s="16"/>
      <c r="NQC188" s="16"/>
      <c r="NQD188" s="16"/>
      <c r="NQE188" s="16"/>
      <c r="NQF188" s="10"/>
      <c r="NQG188" s="10"/>
      <c r="NQN188" s="3"/>
      <c r="NQP188" s="1"/>
      <c r="NQR188" s="16"/>
      <c r="NQS188" s="16"/>
      <c r="NQT188" s="16"/>
      <c r="NQU188" s="16"/>
      <c r="NQV188" s="10"/>
      <c r="NQW188" s="10"/>
      <c r="NRD188" s="3"/>
      <c r="NRF188" s="1"/>
      <c r="NRH188" s="16"/>
      <c r="NRI188" s="16"/>
      <c r="NRJ188" s="16"/>
      <c r="NRK188" s="16"/>
      <c r="NRL188" s="10"/>
      <c r="NRM188" s="10"/>
      <c r="NRT188" s="3"/>
      <c r="NRV188" s="1"/>
      <c r="NRX188" s="16"/>
      <c r="NRY188" s="16"/>
      <c r="NRZ188" s="16"/>
      <c r="NSA188" s="16"/>
      <c r="NSB188" s="10"/>
      <c r="NSC188" s="10"/>
      <c r="NSJ188" s="3"/>
      <c r="NSL188" s="1"/>
      <c r="NSN188" s="16"/>
      <c r="NSO188" s="16"/>
      <c r="NSP188" s="16"/>
      <c r="NSQ188" s="16"/>
      <c r="NSR188" s="10"/>
      <c r="NSS188" s="10"/>
      <c r="NSZ188" s="3"/>
      <c r="NTB188" s="1"/>
      <c r="NTD188" s="16"/>
      <c r="NTE188" s="16"/>
      <c r="NTF188" s="16"/>
      <c r="NTG188" s="16"/>
      <c r="NTH188" s="10"/>
      <c r="NTI188" s="10"/>
      <c r="NTP188" s="3"/>
      <c r="NTR188" s="1"/>
      <c r="NTT188" s="16"/>
      <c r="NTU188" s="16"/>
      <c r="NTV188" s="16"/>
      <c r="NTW188" s="16"/>
      <c r="NTX188" s="10"/>
      <c r="NTY188" s="10"/>
      <c r="NUF188" s="3"/>
      <c r="NUH188" s="1"/>
      <c r="NUJ188" s="16"/>
      <c r="NUK188" s="16"/>
      <c r="NUL188" s="16"/>
      <c r="NUM188" s="16"/>
      <c r="NUN188" s="10"/>
      <c r="NUO188" s="10"/>
      <c r="NUV188" s="3"/>
      <c r="NUX188" s="1"/>
      <c r="NUZ188" s="16"/>
      <c r="NVA188" s="16"/>
      <c r="NVB188" s="16"/>
      <c r="NVC188" s="16"/>
      <c r="NVD188" s="10"/>
      <c r="NVE188" s="10"/>
      <c r="NVL188" s="3"/>
      <c r="NVN188" s="1"/>
      <c r="NVP188" s="16"/>
      <c r="NVQ188" s="16"/>
      <c r="NVR188" s="16"/>
      <c r="NVS188" s="16"/>
      <c r="NVT188" s="10"/>
      <c r="NVU188" s="10"/>
      <c r="NWB188" s="3"/>
      <c r="NWD188" s="1"/>
      <c r="NWF188" s="16"/>
      <c r="NWG188" s="16"/>
      <c r="NWH188" s="16"/>
      <c r="NWI188" s="16"/>
      <c r="NWJ188" s="10"/>
      <c r="NWK188" s="10"/>
      <c r="NWR188" s="3"/>
      <c r="NWT188" s="1"/>
      <c r="NWV188" s="16"/>
      <c r="NWW188" s="16"/>
      <c r="NWX188" s="16"/>
      <c r="NWY188" s="16"/>
      <c r="NWZ188" s="10"/>
      <c r="NXA188" s="10"/>
      <c r="NXH188" s="3"/>
      <c r="NXJ188" s="1"/>
      <c r="NXL188" s="16"/>
      <c r="NXM188" s="16"/>
      <c r="NXN188" s="16"/>
      <c r="NXO188" s="16"/>
      <c r="NXP188" s="10"/>
      <c r="NXQ188" s="10"/>
      <c r="NXX188" s="3"/>
      <c r="NXZ188" s="1"/>
      <c r="NYB188" s="16"/>
      <c r="NYC188" s="16"/>
      <c r="NYD188" s="16"/>
      <c r="NYE188" s="16"/>
      <c r="NYF188" s="10"/>
      <c r="NYG188" s="10"/>
      <c r="NYN188" s="3"/>
      <c r="NYP188" s="1"/>
      <c r="NYR188" s="16"/>
      <c r="NYS188" s="16"/>
      <c r="NYT188" s="16"/>
      <c r="NYU188" s="16"/>
      <c r="NYV188" s="10"/>
      <c r="NYW188" s="10"/>
      <c r="NZD188" s="3"/>
      <c r="NZF188" s="1"/>
      <c r="NZH188" s="16"/>
      <c r="NZI188" s="16"/>
      <c r="NZJ188" s="16"/>
      <c r="NZK188" s="16"/>
      <c r="NZL188" s="10"/>
      <c r="NZM188" s="10"/>
      <c r="NZT188" s="3"/>
      <c r="NZV188" s="1"/>
      <c r="NZX188" s="16"/>
      <c r="NZY188" s="16"/>
      <c r="NZZ188" s="16"/>
      <c r="OAA188" s="16"/>
      <c r="OAB188" s="10"/>
      <c r="OAC188" s="10"/>
      <c r="OAJ188" s="3"/>
      <c r="OAL188" s="1"/>
      <c r="OAN188" s="16"/>
      <c r="OAO188" s="16"/>
      <c r="OAP188" s="16"/>
      <c r="OAQ188" s="16"/>
      <c r="OAR188" s="10"/>
      <c r="OAS188" s="10"/>
      <c r="OAZ188" s="3"/>
      <c r="OBB188" s="1"/>
      <c r="OBD188" s="16"/>
      <c r="OBE188" s="16"/>
      <c r="OBF188" s="16"/>
      <c r="OBG188" s="16"/>
      <c r="OBH188" s="10"/>
      <c r="OBI188" s="10"/>
      <c r="OBP188" s="3"/>
      <c r="OBR188" s="1"/>
      <c r="OBT188" s="16"/>
      <c r="OBU188" s="16"/>
      <c r="OBV188" s="16"/>
      <c r="OBW188" s="16"/>
      <c r="OBX188" s="10"/>
      <c r="OBY188" s="10"/>
      <c r="OCF188" s="3"/>
      <c r="OCH188" s="1"/>
      <c r="OCJ188" s="16"/>
      <c r="OCK188" s="16"/>
      <c r="OCL188" s="16"/>
      <c r="OCM188" s="16"/>
      <c r="OCN188" s="10"/>
      <c r="OCO188" s="10"/>
      <c r="OCV188" s="3"/>
      <c r="OCX188" s="1"/>
      <c r="OCZ188" s="16"/>
      <c r="ODA188" s="16"/>
      <c r="ODB188" s="16"/>
      <c r="ODC188" s="16"/>
      <c r="ODD188" s="10"/>
      <c r="ODE188" s="10"/>
      <c r="ODL188" s="3"/>
      <c r="ODN188" s="1"/>
      <c r="ODP188" s="16"/>
      <c r="ODQ188" s="16"/>
      <c r="ODR188" s="16"/>
      <c r="ODS188" s="16"/>
      <c r="ODT188" s="10"/>
      <c r="ODU188" s="10"/>
      <c r="OEB188" s="3"/>
      <c r="OED188" s="1"/>
      <c r="OEF188" s="16"/>
      <c r="OEG188" s="16"/>
      <c r="OEH188" s="16"/>
      <c r="OEI188" s="16"/>
      <c r="OEJ188" s="10"/>
      <c r="OEK188" s="10"/>
      <c r="OER188" s="3"/>
      <c r="OET188" s="1"/>
      <c r="OEV188" s="16"/>
      <c r="OEW188" s="16"/>
      <c r="OEX188" s="16"/>
      <c r="OEY188" s="16"/>
      <c r="OEZ188" s="10"/>
      <c r="OFA188" s="10"/>
      <c r="OFH188" s="3"/>
      <c r="OFJ188" s="1"/>
      <c r="OFL188" s="16"/>
      <c r="OFM188" s="16"/>
      <c r="OFN188" s="16"/>
      <c r="OFO188" s="16"/>
      <c r="OFP188" s="10"/>
      <c r="OFQ188" s="10"/>
      <c r="OFX188" s="3"/>
      <c r="OFZ188" s="1"/>
      <c r="OGB188" s="16"/>
      <c r="OGC188" s="16"/>
      <c r="OGD188" s="16"/>
      <c r="OGE188" s="16"/>
      <c r="OGF188" s="10"/>
      <c r="OGG188" s="10"/>
      <c r="OGN188" s="3"/>
      <c r="OGP188" s="1"/>
      <c r="OGR188" s="16"/>
      <c r="OGS188" s="16"/>
      <c r="OGT188" s="16"/>
      <c r="OGU188" s="16"/>
      <c r="OGV188" s="10"/>
      <c r="OGW188" s="10"/>
      <c r="OHD188" s="3"/>
      <c r="OHF188" s="1"/>
      <c r="OHH188" s="16"/>
      <c r="OHI188" s="16"/>
      <c r="OHJ188" s="16"/>
      <c r="OHK188" s="16"/>
      <c r="OHL188" s="10"/>
      <c r="OHM188" s="10"/>
      <c r="OHT188" s="3"/>
      <c r="OHV188" s="1"/>
      <c r="OHX188" s="16"/>
      <c r="OHY188" s="16"/>
      <c r="OHZ188" s="16"/>
      <c r="OIA188" s="16"/>
      <c r="OIB188" s="10"/>
      <c r="OIC188" s="10"/>
      <c r="OIJ188" s="3"/>
      <c r="OIL188" s="1"/>
      <c r="OIN188" s="16"/>
      <c r="OIO188" s="16"/>
      <c r="OIP188" s="16"/>
      <c r="OIQ188" s="16"/>
      <c r="OIR188" s="10"/>
      <c r="OIS188" s="10"/>
      <c r="OIZ188" s="3"/>
      <c r="OJB188" s="1"/>
      <c r="OJD188" s="16"/>
      <c r="OJE188" s="16"/>
      <c r="OJF188" s="16"/>
      <c r="OJG188" s="16"/>
      <c r="OJH188" s="10"/>
      <c r="OJI188" s="10"/>
      <c r="OJP188" s="3"/>
      <c r="OJR188" s="1"/>
      <c r="OJT188" s="16"/>
      <c r="OJU188" s="16"/>
      <c r="OJV188" s="16"/>
      <c r="OJW188" s="16"/>
      <c r="OJX188" s="10"/>
      <c r="OJY188" s="10"/>
      <c r="OKF188" s="3"/>
      <c r="OKH188" s="1"/>
      <c r="OKJ188" s="16"/>
      <c r="OKK188" s="16"/>
      <c r="OKL188" s="16"/>
      <c r="OKM188" s="16"/>
      <c r="OKN188" s="10"/>
      <c r="OKO188" s="10"/>
      <c r="OKV188" s="3"/>
      <c r="OKX188" s="1"/>
      <c r="OKZ188" s="16"/>
      <c r="OLA188" s="16"/>
      <c r="OLB188" s="16"/>
      <c r="OLC188" s="16"/>
      <c r="OLD188" s="10"/>
      <c r="OLE188" s="10"/>
      <c r="OLL188" s="3"/>
      <c r="OLN188" s="1"/>
      <c r="OLP188" s="16"/>
      <c r="OLQ188" s="16"/>
      <c r="OLR188" s="16"/>
      <c r="OLS188" s="16"/>
      <c r="OLT188" s="10"/>
      <c r="OLU188" s="10"/>
      <c r="OMB188" s="3"/>
      <c r="OMD188" s="1"/>
      <c r="OMF188" s="16"/>
      <c r="OMG188" s="16"/>
      <c r="OMH188" s="16"/>
      <c r="OMI188" s="16"/>
      <c r="OMJ188" s="10"/>
      <c r="OMK188" s="10"/>
      <c r="OMR188" s="3"/>
      <c r="OMT188" s="1"/>
      <c r="OMV188" s="16"/>
      <c r="OMW188" s="16"/>
      <c r="OMX188" s="16"/>
      <c r="OMY188" s="16"/>
      <c r="OMZ188" s="10"/>
      <c r="ONA188" s="10"/>
      <c r="ONH188" s="3"/>
      <c r="ONJ188" s="1"/>
      <c r="ONL188" s="16"/>
      <c r="ONM188" s="16"/>
      <c r="ONN188" s="16"/>
      <c r="ONO188" s="16"/>
      <c r="ONP188" s="10"/>
      <c r="ONQ188" s="10"/>
      <c r="ONX188" s="3"/>
      <c r="ONZ188" s="1"/>
      <c r="OOB188" s="16"/>
      <c r="OOC188" s="16"/>
      <c r="OOD188" s="16"/>
      <c r="OOE188" s="16"/>
      <c r="OOF188" s="10"/>
      <c r="OOG188" s="10"/>
      <c r="OON188" s="3"/>
      <c r="OOP188" s="1"/>
      <c r="OOR188" s="16"/>
      <c r="OOS188" s="16"/>
      <c r="OOT188" s="16"/>
      <c r="OOU188" s="16"/>
      <c r="OOV188" s="10"/>
      <c r="OOW188" s="10"/>
      <c r="OPD188" s="3"/>
      <c r="OPF188" s="1"/>
      <c r="OPH188" s="16"/>
      <c r="OPI188" s="16"/>
      <c r="OPJ188" s="16"/>
      <c r="OPK188" s="16"/>
      <c r="OPL188" s="10"/>
      <c r="OPM188" s="10"/>
      <c r="OPT188" s="3"/>
      <c r="OPV188" s="1"/>
      <c r="OPX188" s="16"/>
      <c r="OPY188" s="16"/>
      <c r="OPZ188" s="16"/>
      <c r="OQA188" s="16"/>
      <c r="OQB188" s="10"/>
      <c r="OQC188" s="10"/>
      <c r="OQJ188" s="3"/>
      <c r="OQL188" s="1"/>
      <c r="OQN188" s="16"/>
      <c r="OQO188" s="16"/>
      <c r="OQP188" s="16"/>
      <c r="OQQ188" s="16"/>
      <c r="OQR188" s="10"/>
      <c r="OQS188" s="10"/>
      <c r="OQZ188" s="3"/>
      <c r="ORB188" s="1"/>
      <c r="ORD188" s="16"/>
      <c r="ORE188" s="16"/>
      <c r="ORF188" s="16"/>
      <c r="ORG188" s="16"/>
      <c r="ORH188" s="10"/>
      <c r="ORI188" s="10"/>
      <c r="ORP188" s="3"/>
      <c r="ORR188" s="1"/>
      <c r="ORT188" s="16"/>
      <c r="ORU188" s="16"/>
      <c r="ORV188" s="16"/>
      <c r="ORW188" s="16"/>
      <c r="ORX188" s="10"/>
      <c r="ORY188" s="10"/>
      <c r="OSF188" s="3"/>
      <c r="OSH188" s="1"/>
      <c r="OSJ188" s="16"/>
      <c r="OSK188" s="16"/>
      <c r="OSL188" s="16"/>
      <c r="OSM188" s="16"/>
      <c r="OSN188" s="10"/>
      <c r="OSO188" s="10"/>
      <c r="OSV188" s="3"/>
      <c r="OSX188" s="1"/>
      <c r="OSZ188" s="16"/>
      <c r="OTA188" s="16"/>
      <c r="OTB188" s="16"/>
      <c r="OTC188" s="16"/>
      <c r="OTD188" s="10"/>
      <c r="OTE188" s="10"/>
      <c r="OTL188" s="3"/>
      <c r="OTN188" s="1"/>
      <c r="OTP188" s="16"/>
      <c r="OTQ188" s="16"/>
      <c r="OTR188" s="16"/>
      <c r="OTS188" s="16"/>
      <c r="OTT188" s="10"/>
      <c r="OTU188" s="10"/>
      <c r="OUB188" s="3"/>
      <c r="OUD188" s="1"/>
      <c r="OUF188" s="16"/>
      <c r="OUG188" s="16"/>
      <c r="OUH188" s="16"/>
      <c r="OUI188" s="16"/>
      <c r="OUJ188" s="10"/>
      <c r="OUK188" s="10"/>
      <c r="OUR188" s="3"/>
      <c r="OUT188" s="1"/>
      <c r="OUV188" s="16"/>
      <c r="OUW188" s="16"/>
      <c r="OUX188" s="16"/>
      <c r="OUY188" s="16"/>
      <c r="OUZ188" s="10"/>
      <c r="OVA188" s="10"/>
      <c r="OVH188" s="3"/>
      <c r="OVJ188" s="1"/>
      <c r="OVL188" s="16"/>
      <c r="OVM188" s="16"/>
      <c r="OVN188" s="16"/>
      <c r="OVO188" s="16"/>
      <c r="OVP188" s="10"/>
      <c r="OVQ188" s="10"/>
      <c r="OVX188" s="3"/>
      <c r="OVZ188" s="1"/>
      <c r="OWB188" s="16"/>
      <c r="OWC188" s="16"/>
      <c r="OWD188" s="16"/>
      <c r="OWE188" s="16"/>
      <c r="OWF188" s="10"/>
      <c r="OWG188" s="10"/>
      <c r="OWN188" s="3"/>
      <c r="OWP188" s="1"/>
      <c r="OWR188" s="16"/>
      <c r="OWS188" s="16"/>
      <c r="OWT188" s="16"/>
      <c r="OWU188" s="16"/>
      <c r="OWV188" s="10"/>
      <c r="OWW188" s="10"/>
      <c r="OXD188" s="3"/>
      <c r="OXF188" s="1"/>
      <c r="OXH188" s="16"/>
      <c r="OXI188" s="16"/>
      <c r="OXJ188" s="16"/>
      <c r="OXK188" s="16"/>
      <c r="OXL188" s="10"/>
      <c r="OXM188" s="10"/>
      <c r="OXT188" s="3"/>
      <c r="OXV188" s="1"/>
      <c r="OXX188" s="16"/>
      <c r="OXY188" s="16"/>
      <c r="OXZ188" s="16"/>
      <c r="OYA188" s="16"/>
      <c r="OYB188" s="10"/>
      <c r="OYC188" s="10"/>
      <c r="OYJ188" s="3"/>
      <c r="OYL188" s="1"/>
      <c r="OYN188" s="16"/>
      <c r="OYO188" s="16"/>
      <c r="OYP188" s="16"/>
      <c r="OYQ188" s="16"/>
      <c r="OYR188" s="10"/>
      <c r="OYS188" s="10"/>
      <c r="OYZ188" s="3"/>
      <c r="OZB188" s="1"/>
      <c r="OZD188" s="16"/>
      <c r="OZE188" s="16"/>
      <c r="OZF188" s="16"/>
      <c r="OZG188" s="16"/>
      <c r="OZH188" s="10"/>
      <c r="OZI188" s="10"/>
      <c r="OZP188" s="3"/>
      <c r="OZR188" s="1"/>
      <c r="OZT188" s="16"/>
      <c r="OZU188" s="16"/>
      <c r="OZV188" s="16"/>
      <c r="OZW188" s="16"/>
      <c r="OZX188" s="10"/>
      <c r="OZY188" s="10"/>
      <c r="PAF188" s="3"/>
      <c r="PAH188" s="1"/>
      <c r="PAJ188" s="16"/>
      <c r="PAK188" s="16"/>
      <c r="PAL188" s="16"/>
      <c r="PAM188" s="16"/>
      <c r="PAN188" s="10"/>
      <c r="PAO188" s="10"/>
      <c r="PAV188" s="3"/>
      <c r="PAX188" s="1"/>
      <c r="PAZ188" s="16"/>
      <c r="PBA188" s="16"/>
      <c r="PBB188" s="16"/>
      <c r="PBC188" s="16"/>
      <c r="PBD188" s="10"/>
      <c r="PBE188" s="10"/>
      <c r="PBL188" s="3"/>
      <c r="PBN188" s="1"/>
      <c r="PBP188" s="16"/>
      <c r="PBQ188" s="16"/>
      <c r="PBR188" s="16"/>
      <c r="PBS188" s="16"/>
      <c r="PBT188" s="10"/>
      <c r="PBU188" s="10"/>
      <c r="PCB188" s="3"/>
      <c r="PCD188" s="1"/>
      <c r="PCF188" s="16"/>
      <c r="PCG188" s="16"/>
      <c r="PCH188" s="16"/>
      <c r="PCI188" s="16"/>
      <c r="PCJ188" s="10"/>
      <c r="PCK188" s="10"/>
      <c r="PCR188" s="3"/>
      <c r="PCT188" s="1"/>
      <c r="PCV188" s="16"/>
      <c r="PCW188" s="16"/>
      <c r="PCX188" s="16"/>
      <c r="PCY188" s="16"/>
      <c r="PCZ188" s="10"/>
      <c r="PDA188" s="10"/>
      <c r="PDH188" s="3"/>
      <c r="PDJ188" s="1"/>
      <c r="PDL188" s="16"/>
      <c r="PDM188" s="16"/>
      <c r="PDN188" s="16"/>
      <c r="PDO188" s="16"/>
      <c r="PDP188" s="10"/>
      <c r="PDQ188" s="10"/>
      <c r="PDX188" s="3"/>
      <c r="PDZ188" s="1"/>
      <c r="PEB188" s="16"/>
      <c r="PEC188" s="16"/>
      <c r="PED188" s="16"/>
      <c r="PEE188" s="16"/>
      <c r="PEF188" s="10"/>
      <c r="PEG188" s="10"/>
      <c r="PEN188" s="3"/>
      <c r="PEP188" s="1"/>
      <c r="PER188" s="16"/>
      <c r="PES188" s="16"/>
      <c r="PET188" s="16"/>
      <c r="PEU188" s="16"/>
      <c r="PEV188" s="10"/>
      <c r="PEW188" s="10"/>
      <c r="PFD188" s="3"/>
      <c r="PFF188" s="1"/>
      <c r="PFH188" s="16"/>
      <c r="PFI188" s="16"/>
      <c r="PFJ188" s="16"/>
      <c r="PFK188" s="16"/>
      <c r="PFL188" s="10"/>
      <c r="PFM188" s="10"/>
      <c r="PFT188" s="3"/>
      <c r="PFV188" s="1"/>
      <c r="PFX188" s="16"/>
      <c r="PFY188" s="16"/>
      <c r="PFZ188" s="16"/>
      <c r="PGA188" s="16"/>
      <c r="PGB188" s="10"/>
      <c r="PGC188" s="10"/>
      <c r="PGJ188" s="3"/>
      <c r="PGL188" s="1"/>
      <c r="PGN188" s="16"/>
      <c r="PGO188" s="16"/>
      <c r="PGP188" s="16"/>
      <c r="PGQ188" s="16"/>
      <c r="PGR188" s="10"/>
      <c r="PGS188" s="10"/>
      <c r="PGZ188" s="3"/>
      <c r="PHB188" s="1"/>
      <c r="PHD188" s="16"/>
      <c r="PHE188" s="16"/>
      <c r="PHF188" s="16"/>
      <c r="PHG188" s="16"/>
      <c r="PHH188" s="10"/>
      <c r="PHI188" s="10"/>
      <c r="PHP188" s="3"/>
      <c r="PHR188" s="1"/>
      <c r="PHT188" s="16"/>
      <c r="PHU188" s="16"/>
      <c r="PHV188" s="16"/>
      <c r="PHW188" s="16"/>
      <c r="PHX188" s="10"/>
      <c r="PHY188" s="10"/>
      <c r="PIF188" s="3"/>
      <c r="PIH188" s="1"/>
      <c r="PIJ188" s="16"/>
      <c r="PIK188" s="16"/>
      <c r="PIL188" s="16"/>
      <c r="PIM188" s="16"/>
      <c r="PIN188" s="10"/>
      <c r="PIO188" s="10"/>
      <c r="PIV188" s="3"/>
      <c r="PIX188" s="1"/>
      <c r="PIZ188" s="16"/>
      <c r="PJA188" s="16"/>
      <c r="PJB188" s="16"/>
      <c r="PJC188" s="16"/>
      <c r="PJD188" s="10"/>
      <c r="PJE188" s="10"/>
      <c r="PJL188" s="3"/>
      <c r="PJN188" s="1"/>
      <c r="PJP188" s="16"/>
      <c r="PJQ188" s="16"/>
      <c r="PJR188" s="16"/>
      <c r="PJS188" s="16"/>
      <c r="PJT188" s="10"/>
      <c r="PJU188" s="10"/>
      <c r="PKB188" s="3"/>
      <c r="PKD188" s="1"/>
      <c r="PKF188" s="16"/>
      <c r="PKG188" s="16"/>
      <c r="PKH188" s="16"/>
      <c r="PKI188" s="16"/>
      <c r="PKJ188" s="10"/>
      <c r="PKK188" s="10"/>
      <c r="PKR188" s="3"/>
      <c r="PKT188" s="1"/>
      <c r="PKV188" s="16"/>
      <c r="PKW188" s="16"/>
      <c r="PKX188" s="16"/>
      <c r="PKY188" s="16"/>
      <c r="PKZ188" s="10"/>
      <c r="PLA188" s="10"/>
      <c r="PLH188" s="3"/>
      <c r="PLJ188" s="1"/>
      <c r="PLL188" s="16"/>
      <c r="PLM188" s="16"/>
      <c r="PLN188" s="16"/>
      <c r="PLO188" s="16"/>
      <c r="PLP188" s="10"/>
      <c r="PLQ188" s="10"/>
      <c r="PLX188" s="3"/>
      <c r="PLZ188" s="1"/>
      <c r="PMB188" s="16"/>
      <c r="PMC188" s="16"/>
      <c r="PMD188" s="16"/>
      <c r="PME188" s="16"/>
      <c r="PMF188" s="10"/>
      <c r="PMG188" s="10"/>
      <c r="PMN188" s="3"/>
      <c r="PMP188" s="1"/>
      <c r="PMR188" s="16"/>
      <c r="PMS188" s="16"/>
      <c r="PMT188" s="16"/>
      <c r="PMU188" s="16"/>
      <c r="PMV188" s="10"/>
      <c r="PMW188" s="10"/>
      <c r="PND188" s="3"/>
      <c r="PNF188" s="1"/>
      <c r="PNH188" s="16"/>
      <c r="PNI188" s="16"/>
      <c r="PNJ188" s="16"/>
      <c r="PNK188" s="16"/>
      <c r="PNL188" s="10"/>
      <c r="PNM188" s="10"/>
      <c r="PNT188" s="3"/>
      <c r="PNV188" s="1"/>
      <c r="PNX188" s="16"/>
      <c r="PNY188" s="16"/>
      <c r="PNZ188" s="16"/>
      <c r="POA188" s="16"/>
      <c r="POB188" s="10"/>
      <c r="POC188" s="10"/>
      <c r="POJ188" s="3"/>
      <c r="POL188" s="1"/>
      <c r="PON188" s="16"/>
      <c r="POO188" s="16"/>
      <c r="POP188" s="16"/>
      <c r="POQ188" s="16"/>
      <c r="POR188" s="10"/>
      <c r="POS188" s="10"/>
      <c r="POZ188" s="3"/>
      <c r="PPB188" s="1"/>
      <c r="PPD188" s="16"/>
      <c r="PPE188" s="16"/>
      <c r="PPF188" s="16"/>
      <c r="PPG188" s="16"/>
      <c r="PPH188" s="10"/>
      <c r="PPI188" s="10"/>
      <c r="PPP188" s="3"/>
      <c r="PPR188" s="1"/>
      <c r="PPT188" s="16"/>
      <c r="PPU188" s="16"/>
      <c r="PPV188" s="16"/>
      <c r="PPW188" s="16"/>
      <c r="PPX188" s="10"/>
      <c r="PPY188" s="10"/>
      <c r="PQF188" s="3"/>
      <c r="PQH188" s="1"/>
      <c r="PQJ188" s="16"/>
      <c r="PQK188" s="16"/>
      <c r="PQL188" s="16"/>
      <c r="PQM188" s="16"/>
      <c r="PQN188" s="10"/>
      <c r="PQO188" s="10"/>
      <c r="PQV188" s="3"/>
      <c r="PQX188" s="1"/>
      <c r="PQZ188" s="16"/>
      <c r="PRA188" s="16"/>
      <c r="PRB188" s="16"/>
      <c r="PRC188" s="16"/>
      <c r="PRD188" s="10"/>
      <c r="PRE188" s="10"/>
      <c r="PRL188" s="3"/>
      <c r="PRN188" s="1"/>
      <c r="PRP188" s="16"/>
      <c r="PRQ188" s="16"/>
      <c r="PRR188" s="16"/>
      <c r="PRS188" s="16"/>
      <c r="PRT188" s="10"/>
      <c r="PRU188" s="10"/>
      <c r="PSB188" s="3"/>
      <c r="PSD188" s="1"/>
      <c r="PSF188" s="16"/>
      <c r="PSG188" s="16"/>
      <c r="PSH188" s="16"/>
      <c r="PSI188" s="16"/>
      <c r="PSJ188" s="10"/>
      <c r="PSK188" s="10"/>
      <c r="PSR188" s="3"/>
      <c r="PST188" s="1"/>
      <c r="PSV188" s="16"/>
      <c r="PSW188" s="16"/>
      <c r="PSX188" s="16"/>
      <c r="PSY188" s="16"/>
      <c r="PSZ188" s="10"/>
      <c r="PTA188" s="10"/>
      <c r="PTH188" s="3"/>
      <c r="PTJ188" s="1"/>
      <c r="PTL188" s="16"/>
      <c r="PTM188" s="16"/>
      <c r="PTN188" s="16"/>
      <c r="PTO188" s="16"/>
      <c r="PTP188" s="10"/>
      <c r="PTQ188" s="10"/>
      <c r="PTX188" s="3"/>
      <c r="PTZ188" s="1"/>
      <c r="PUB188" s="16"/>
      <c r="PUC188" s="16"/>
      <c r="PUD188" s="16"/>
      <c r="PUE188" s="16"/>
      <c r="PUF188" s="10"/>
      <c r="PUG188" s="10"/>
      <c r="PUN188" s="3"/>
      <c r="PUP188" s="1"/>
      <c r="PUR188" s="16"/>
      <c r="PUS188" s="16"/>
      <c r="PUT188" s="16"/>
      <c r="PUU188" s="16"/>
      <c r="PUV188" s="10"/>
      <c r="PUW188" s="10"/>
      <c r="PVD188" s="3"/>
      <c r="PVF188" s="1"/>
      <c r="PVH188" s="16"/>
      <c r="PVI188" s="16"/>
      <c r="PVJ188" s="16"/>
      <c r="PVK188" s="16"/>
      <c r="PVL188" s="10"/>
      <c r="PVM188" s="10"/>
      <c r="PVT188" s="3"/>
      <c r="PVV188" s="1"/>
      <c r="PVX188" s="16"/>
      <c r="PVY188" s="16"/>
      <c r="PVZ188" s="16"/>
      <c r="PWA188" s="16"/>
      <c r="PWB188" s="10"/>
      <c r="PWC188" s="10"/>
      <c r="PWJ188" s="3"/>
      <c r="PWL188" s="1"/>
      <c r="PWN188" s="16"/>
      <c r="PWO188" s="16"/>
      <c r="PWP188" s="16"/>
      <c r="PWQ188" s="16"/>
      <c r="PWR188" s="10"/>
      <c r="PWS188" s="10"/>
      <c r="PWZ188" s="3"/>
      <c r="PXB188" s="1"/>
      <c r="PXD188" s="16"/>
      <c r="PXE188" s="16"/>
      <c r="PXF188" s="16"/>
      <c r="PXG188" s="16"/>
      <c r="PXH188" s="10"/>
      <c r="PXI188" s="10"/>
      <c r="PXP188" s="3"/>
      <c r="PXR188" s="1"/>
      <c r="PXT188" s="16"/>
      <c r="PXU188" s="16"/>
      <c r="PXV188" s="16"/>
      <c r="PXW188" s="16"/>
      <c r="PXX188" s="10"/>
      <c r="PXY188" s="10"/>
      <c r="PYF188" s="3"/>
      <c r="PYH188" s="1"/>
      <c r="PYJ188" s="16"/>
      <c r="PYK188" s="16"/>
      <c r="PYL188" s="16"/>
      <c r="PYM188" s="16"/>
      <c r="PYN188" s="10"/>
      <c r="PYO188" s="10"/>
      <c r="PYV188" s="3"/>
      <c r="PYX188" s="1"/>
      <c r="PYZ188" s="16"/>
      <c r="PZA188" s="16"/>
      <c r="PZB188" s="16"/>
      <c r="PZC188" s="16"/>
      <c r="PZD188" s="10"/>
      <c r="PZE188" s="10"/>
      <c r="PZL188" s="3"/>
      <c r="PZN188" s="1"/>
      <c r="PZP188" s="16"/>
      <c r="PZQ188" s="16"/>
      <c r="PZR188" s="16"/>
      <c r="PZS188" s="16"/>
      <c r="PZT188" s="10"/>
      <c r="PZU188" s="10"/>
      <c r="QAB188" s="3"/>
      <c r="QAD188" s="1"/>
      <c r="QAF188" s="16"/>
      <c r="QAG188" s="16"/>
      <c r="QAH188" s="16"/>
      <c r="QAI188" s="16"/>
      <c r="QAJ188" s="10"/>
      <c r="QAK188" s="10"/>
      <c r="QAR188" s="3"/>
      <c r="QAT188" s="1"/>
      <c r="QAV188" s="16"/>
      <c r="QAW188" s="16"/>
      <c r="QAX188" s="16"/>
      <c r="QAY188" s="16"/>
      <c r="QAZ188" s="10"/>
      <c r="QBA188" s="10"/>
      <c r="QBH188" s="3"/>
      <c r="QBJ188" s="1"/>
      <c r="QBL188" s="16"/>
      <c r="QBM188" s="16"/>
      <c r="QBN188" s="16"/>
      <c r="QBO188" s="16"/>
      <c r="QBP188" s="10"/>
      <c r="QBQ188" s="10"/>
      <c r="QBX188" s="3"/>
      <c r="QBZ188" s="1"/>
      <c r="QCB188" s="16"/>
      <c r="QCC188" s="16"/>
      <c r="QCD188" s="16"/>
      <c r="QCE188" s="16"/>
      <c r="QCF188" s="10"/>
      <c r="QCG188" s="10"/>
      <c r="QCN188" s="3"/>
      <c r="QCP188" s="1"/>
      <c r="QCR188" s="16"/>
      <c r="QCS188" s="16"/>
      <c r="QCT188" s="16"/>
      <c r="QCU188" s="16"/>
      <c r="QCV188" s="10"/>
      <c r="QCW188" s="10"/>
      <c r="QDD188" s="3"/>
      <c r="QDF188" s="1"/>
      <c r="QDH188" s="16"/>
      <c r="QDI188" s="16"/>
      <c r="QDJ188" s="16"/>
      <c r="QDK188" s="16"/>
      <c r="QDL188" s="10"/>
      <c r="QDM188" s="10"/>
      <c r="QDT188" s="3"/>
      <c r="QDV188" s="1"/>
      <c r="QDX188" s="16"/>
      <c r="QDY188" s="16"/>
      <c r="QDZ188" s="16"/>
      <c r="QEA188" s="16"/>
      <c r="QEB188" s="10"/>
      <c r="QEC188" s="10"/>
      <c r="QEJ188" s="3"/>
      <c r="QEL188" s="1"/>
      <c r="QEN188" s="16"/>
      <c r="QEO188" s="16"/>
      <c r="QEP188" s="16"/>
      <c r="QEQ188" s="16"/>
      <c r="QER188" s="10"/>
      <c r="QES188" s="10"/>
      <c r="QEZ188" s="3"/>
      <c r="QFB188" s="1"/>
      <c r="QFD188" s="16"/>
      <c r="QFE188" s="16"/>
      <c r="QFF188" s="16"/>
      <c r="QFG188" s="16"/>
      <c r="QFH188" s="10"/>
      <c r="QFI188" s="10"/>
      <c r="QFP188" s="3"/>
      <c r="QFR188" s="1"/>
      <c r="QFT188" s="16"/>
      <c r="QFU188" s="16"/>
      <c r="QFV188" s="16"/>
      <c r="QFW188" s="16"/>
      <c r="QFX188" s="10"/>
      <c r="QFY188" s="10"/>
      <c r="QGF188" s="3"/>
      <c r="QGH188" s="1"/>
      <c r="QGJ188" s="16"/>
      <c r="QGK188" s="16"/>
      <c r="QGL188" s="16"/>
      <c r="QGM188" s="16"/>
      <c r="QGN188" s="10"/>
      <c r="QGO188" s="10"/>
      <c r="QGV188" s="3"/>
      <c r="QGX188" s="1"/>
      <c r="QGZ188" s="16"/>
      <c r="QHA188" s="16"/>
      <c r="QHB188" s="16"/>
      <c r="QHC188" s="16"/>
      <c r="QHD188" s="10"/>
      <c r="QHE188" s="10"/>
      <c r="QHL188" s="3"/>
      <c r="QHN188" s="1"/>
      <c r="QHP188" s="16"/>
      <c r="QHQ188" s="16"/>
      <c r="QHR188" s="16"/>
      <c r="QHS188" s="16"/>
      <c r="QHT188" s="10"/>
      <c r="QHU188" s="10"/>
      <c r="QIB188" s="3"/>
      <c r="QID188" s="1"/>
      <c r="QIF188" s="16"/>
      <c r="QIG188" s="16"/>
      <c r="QIH188" s="16"/>
      <c r="QII188" s="16"/>
      <c r="QIJ188" s="10"/>
      <c r="QIK188" s="10"/>
      <c r="QIR188" s="3"/>
      <c r="QIT188" s="1"/>
      <c r="QIV188" s="16"/>
      <c r="QIW188" s="16"/>
      <c r="QIX188" s="16"/>
      <c r="QIY188" s="16"/>
      <c r="QIZ188" s="10"/>
      <c r="QJA188" s="10"/>
      <c r="QJH188" s="3"/>
      <c r="QJJ188" s="1"/>
      <c r="QJL188" s="16"/>
      <c r="QJM188" s="16"/>
      <c r="QJN188" s="16"/>
      <c r="QJO188" s="16"/>
      <c r="QJP188" s="10"/>
      <c r="QJQ188" s="10"/>
      <c r="QJX188" s="3"/>
      <c r="QJZ188" s="1"/>
      <c r="QKB188" s="16"/>
      <c r="QKC188" s="16"/>
      <c r="QKD188" s="16"/>
      <c r="QKE188" s="16"/>
      <c r="QKF188" s="10"/>
      <c r="QKG188" s="10"/>
      <c r="QKN188" s="3"/>
      <c r="QKP188" s="1"/>
      <c r="QKR188" s="16"/>
      <c r="QKS188" s="16"/>
      <c r="QKT188" s="16"/>
      <c r="QKU188" s="16"/>
      <c r="QKV188" s="10"/>
      <c r="QKW188" s="10"/>
      <c r="QLD188" s="3"/>
      <c r="QLF188" s="1"/>
      <c r="QLH188" s="16"/>
      <c r="QLI188" s="16"/>
      <c r="QLJ188" s="16"/>
      <c r="QLK188" s="16"/>
      <c r="QLL188" s="10"/>
      <c r="QLM188" s="10"/>
      <c r="QLT188" s="3"/>
      <c r="QLV188" s="1"/>
      <c r="QLX188" s="16"/>
      <c r="QLY188" s="16"/>
      <c r="QLZ188" s="16"/>
      <c r="QMA188" s="16"/>
      <c r="QMB188" s="10"/>
      <c r="QMC188" s="10"/>
      <c r="QMJ188" s="3"/>
      <c r="QML188" s="1"/>
      <c r="QMN188" s="16"/>
      <c r="QMO188" s="16"/>
      <c r="QMP188" s="16"/>
      <c r="QMQ188" s="16"/>
      <c r="QMR188" s="10"/>
      <c r="QMS188" s="10"/>
      <c r="QMZ188" s="3"/>
      <c r="QNB188" s="1"/>
      <c r="QND188" s="16"/>
      <c r="QNE188" s="16"/>
      <c r="QNF188" s="16"/>
      <c r="QNG188" s="16"/>
      <c r="QNH188" s="10"/>
      <c r="QNI188" s="10"/>
      <c r="QNP188" s="3"/>
      <c r="QNR188" s="1"/>
      <c r="QNT188" s="16"/>
      <c r="QNU188" s="16"/>
      <c r="QNV188" s="16"/>
      <c r="QNW188" s="16"/>
      <c r="QNX188" s="10"/>
      <c r="QNY188" s="10"/>
      <c r="QOF188" s="3"/>
      <c r="QOH188" s="1"/>
      <c r="QOJ188" s="16"/>
      <c r="QOK188" s="16"/>
      <c r="QOL188" s="16"/>
      <c r="QOM188" s="16"/>
      <c r="QON188" s="10"/>
      <c r="QOO188" s="10"/>
      <c r="QOV188" s="3"/>
      <c r="QOX188" s="1"/>
      <c r="QOZ188" s="16"/>
      <c r="QPA188" s="16"/>
      <c r="QPB188" s="16"/>
      <c r="QPC188" s="16"/>
      <c r="QPD188" s="10"/>
      <c r="QPE188" s="10"/>
      <c r="QPL188" s="3"/>
      <c r="QPN188" s="1"/>
      <c r="QPP188" s="16"/>
      <c r="QPQ188" s="16"/>
      <c r="QPR188" s="16"/>
      <c r="QPS188" s="16"/>
      <c r="QPT188" s="10"/>
      <c r="QPU188" s="10"/>
      <c r="QQB188" s="3"/>
      <c r="QQD188" s="1"/>
      <c r="QQF188" s="16"/>
      <c r="QQG188" s="16"/>
      <c r="QQH188" s="16"/>
      <c r="QQI188" s="16"/>
      <c r="QQJ188" s="10"/>
      <c r="QQK188" s="10"/>
      <c r="QQR188" s="3"/>
      <c r="QQT188" s="1"/>
      <c r="QQV188" s="16"/>
      <c r="QQW188" s="16"/>
      <c r="QQX188" s="16"/>
      <c r="QQY188" s="16"/>
      <c r="QQZ188" s="10"/>
      <c r="QRA188" s="10"/>
      <c r="QRH188" s="3"/>
      <c r="QRJ188" s="1"/>
      <c r="QRL188" s="16"/>
      <c r="QRM188" s="16"/>
      <c r="QRN188" s="16"/>
      <c r="QRO188" s="16"/>
      <c r="QRP188" s="10"/>
      <c r="QRQ188" s="10"/>
      <c r="QRX188" s="3"/>
      <c r="QRZ188" s="1"/>
      <c r="QSB188" s="16"/>
      <c r="QSC188" s="16"/>
      <c r="QSD188" s="16"/>
      <c r="QSE188" s="16"/>
      <c r="QSF188" s="10"/>
      <c r="QSG188" s="10"/>
      <c r="QSN188" s="3"/>
      <c r="QSP188" s="1"/>
      <c r="QSR188" s="16"/>
      <c r="QSS188" s="16"/>
      <c r="QST188" s="16"/>
      <c r="QSU188" s="16"/>
      <c r="QSV188" s="10"/>
      <c r="QSW188" s="10"/>
      <c r="QTD188" s="3"/>
      <c r="QTF188" s="1"/>
      <c r="QTH188" s="16"/>
      <c r="QTI188" s="16"/>
      <c r="QTJ188" s="16"/>
      <c r="QTK188" s="16"/>
      <c r="QTL188" s="10"/>
      <c r="QTM188" s="10"/>
      <c r="QTT188" s="3"/>
      <c r="QTV188" s="1"/>
      <c r="QTX188" s="16"/>
      <c r="QTY188" s="16"/>
      <c r="QTZ188" s="16"/>
      <c r="QUA188" s="16"/>
      <c r="QUB188" s="10"/>
      <c r="QUC188" s="10"/>
      <c r="QUJ188" s="3"/>
      <c r="QUL188" s="1"/>
      <c r="QUN188" s="16"/>
      <c r="QUO188" s="16"/>
      <c r="QUP188" s="16"/>
      <c r="QUQ188" s="16"/>
      <c r="QUR188" s="10"/>
      <c r="QUS188" s="10"/>
      <c r="QUZ188" s="3"/>
      <c r="QVB188" s="1"/>
      <c r="QVD188" s="16"/>
      <c r="QVE188" s="16"/>
      <c r="QVF188" s="16"/>
      <c r="QVG188" s="16"/>
      <c r="QVH188" s="10"/>
      <c r="QVI188" s="10"/>
      <c r="QVP188" s="3"/>
      <c r="QVR188" s="1"/>
      <c r="QVT188" s="16"/>
      <c r="QVU188" s="16"/>
      <c r="QVV188" s="16"/>
      <c r="QVW188" s="16"/>
      <c r="QVX188" s="10"/>
      <c r="QVY188" s="10"/>
      <c r="QWF188" s="3"/>
      <c r="QWH188" s="1"/>
      <c r="QWJ188" s="16"/>
      <c r="QWK188" s="16"/>
      <c r="QWL188" s="16"/>
      <c r="QWM188" s="16"/>
      <c r="QWN188" s="10"/>
      <c r="QWO188" s="10"/>
      <c r="QWV188" s="3"/>
      <c r="QWX188" s="1"/>
      <c r="QWZ188" s="16"/>
      <c r="QXA188" s="16"/>
      <c r="QXB188" s="16"/>
      <c r="QXC188" s="16"/>
      <c r="QXD188" s="10"/>
      <c r="QXE188" s="10"/>
      <c r="QXL188" s="3"/>
      <c r="QXN188" s="1"/>
      <c r="QXP188" s="16"/>
      <c r="QXQ188" s="16"/>
      <c r="QXR188" s="16"/>
      <c r="QXS188" s="16"/>
      <c r="QXT188" s="10"/>
      <c r="QXU188" s="10"/>
      <c r="QYB188" s="3"/>
      <c r="QYD188" s="1"/>
      <c r="QYF188" s="16"/>
      <c r="QYG188" s="16"/>
      <c r="QYH188" s="16"/>
      <c r="QYI188" s="16"/>
      <c r="QYJ188" s="10"/>
      <c r="QYK188" s="10"/>
      <c r="QYR188" s="3"/>
      <c r="QYT188" s="1"/>
      <c r="QYV188" s="16"/>
      <c r="QYW188" s="16"/>
      <c r="QYX188" s="16"/>
      <c r="QYY188" s="16"/>
      <c r="QYZ188" s="10"/>
      <c r="QZA188" s="10"/>
      <c r="QZH188" s="3"/>
      <c r="QZJ188" s="1"/>
      <c r="QZL188" s="16"/>
      <c r="QZM188" s="16"/>
      <c r="QZN188" s="16"/>
      <c r="QZO188" s="16"/>
      <c r="QZP188" s="10"/>
      <c r="QZQ188" s="10"/>
      <c r="QZX188" s="3"/>
      <c r="QZZ188" s="1"/>
      <c r="RAB188" s="16"/>
      <c r="RAC188" s="16"/>
      <c r="RAD188" s="16"/>
      <c r="RAE188" s="16"/>
      <c r="RAF188" s="10"/>
      <c r="RAG188" s="10"/>
      <c r="RAN188" s="3"/>
      <c r="RAP188" s="1"/>
      <c r="RAR188" s="16"/>
      <c r="RAS188" s="16"/>
      <c r="RAT188" s="16"/>
      <c r="RAU188" s="16"/>
      <c r="RAV188" s="10"/>
      <c r="RAW188" s="10"/>
      <c r="RBD188" s="3"/>
      <c r="RBF188" s="1"/>
      <c r="RBH188" s="16"/>
      <c r="RBI188" s="16"/>
      <c r="RBJ188" s="16"/>
      <c r="RBK188" s="16"/>
      <c r="RBL188" s="10"/>
      <c r="RBM188" s="10"/>
      <c r="RBT188" s="3"/>
      <c r="RBV188" s="1"/>
      <c r="RBX188" s="16"/>
      <c r="RBY188" s="16"/>
      <c r="RBZ188" s="16"/>
      <c r="RCA188" s="16"/>
      <c r="RCB188" s="10"/>
      <c r="RCC188" s="10"/>
      <c r="RCJ188" s="3"/>
      <c r="RCL188" s="1"/>
      <c r="RCN188" s="16"/>
      <c r="RCO188" s="16"/>
      <c r="RCP188" s="16"/>
      <c r="RCQ188" s="16"/>
      <c r="RCR188" s="10"/>
      <c r="RCS188" s="10"/>
      <c r="RCZ188" s="3"/>
      <c r="RDB188" s="1"/>
      <c r="RDD188" s="16"/>
      <c r="RDE188" s="16"/>
      <c r="RDF188" s="16"/>
      <c r="RDG188" s="16"/>
      <c r="RDH188" s="10"/>
      <c r="RDI188" s="10"/>
      <c r="RDP188" s="3"/>
      <c r="RDR188" s="1"/>
      <c r="RDT188" s="16"/>
      <c r="RDU188" s="16"/>
      <c r="RDV188" s="16"/>
      <c r="RDW188" s="16"/>
      <c r="RDX188" s="10"/>
      <c r="RDY188" s="10"/>
      <c r="REF188" s="3"/>
      <c r="REH188" s="1"/>
      <c r="REJ188" s="16"/>
      <c r="REK188" s="16"/>
      <c r="REL188" s="16"/>
      <c r="REM188" s="16"/>
      <c r="REN188" s="10"/>
      <c r="REO188" s="10"/>
      <c r="REV188" s="3"/>
      <c r="REX188" s="1"/>
      <c r="REZ188" s="16"/>
      <c r="RFA188" s="16"/>
      <c r="RFB188" s="16"/>
      <c r="RFC188" s="16"/>
      <c r="RFD188" s="10"/>
      <c r="RFE188" s="10"/>
      <c r="RFL188" s="3"/>
      <c r="RFN188" s="1"/>
      <c r="RFP188" s="16"/>
      <c r="RFQ188" s="16"/>
      <c r="RFR188" s="16"/>
      <c r="RFS188" s="16"/>
      <c r="RFT188" s="10"/>
      <c r="RFU188" s="10"/>
      <c r="RGB188" s="3"/>
      <c r="RGD188" s="1"/>
      <c r="RGF188" s="16"/>
      <c r="RGG188" s="16"/>
      <c r="RGH188" s="16"/>
      <c r="RGI188" s="16"/>
      <c r="RGJ188" s="10"/>
      <c r="RGK188" s="10"/>
      <c r="RGR188" s="3"/>
      <c r="RGT188" s="1"/>
      <c r="RGV188" s="16"/>
      <c r="RGW188" s="16"/>
      <c r="RGX188" s="16"/>
      <c r="RGY188" s="16"/>
      <c r="RGZ188" s="10"/>
      <c r="RHA188" s="10"/>
      <c r="RHH188" s="3"/>
      <c r="RHJ188" s="1"/>
      <c r="RHL188" s="16"/>
      <c r="RHM188" s="16"/>
      <c r="RHN188" s="16"/>
      <c r="RHO188" s="16"/>
      <c r="RHP188" s="10"/>
      <c r="RHQ188" s="10"/>
      <c r="RHX188" s="3"/>
      <c r="RHZ188" s="1"/>
      <c r="RIB188" s="16"/>
      <c r="RIC188" s="16"/>
      <c r="RID188" s="16"/>
      <c r="RIE188" s="16"/>
      <c r="RIF188" s="10"/>
      <c r="RIG188" s="10"/>
      <c r="RIN188" s="3"/>
      <c r="RIP188" s="1"/>
      <c r="RIR188" s="16"/>
      <c r="RIS188" s="16"/>
      <c r="RIT188" s="16"/>
      <c r="RIU188" s="16"/>
      <c r="RIV188" s="10"/>
      <c r="RIW188" s="10"/>
      <c r="RJD188" s="3"/>
      <c r="RJF188" s="1"/>
      <c r="RJH188" s="16"/>
      <c r="RJI188" s="16"/>
      <c r="RJJ188" s="16"/>
      <c r="RJK188" s="16"/>
      <c r="RJL188" s="10"/>
      <c r="RJM188" s="10"/>
      <c r="RJT188" s="3"/>
      <c r="RJV188" s="1"/>
      <c r="RJX188" s="16"/>
      <c r="RJY188" s="16"/>
      <c r="RJZ188" s="16"/>
      <c r="RKA188" s="16"/>
      <c r="RKB188" s="10"/>
      <c r="RKC188" s="10"/>
      <c r="RKJ188" s="3"/>
      <c r="RKL188" s="1"/>
      <c r="RKN188" s="16"/>
      <c r="RKO188" s="16"/>
      <c r="RKP188" s="16"/>
      <c r="RKQ188" s="16"/>
      <c r="RKR188" s="10"/>
      <c r="RKS188" s="10"/>
      <c r="RKZ188" s="3"/>
      <c r="RLB188" s="1"/>
      <c r="RLD188" s="16"/>
      <c r="RLE188" s="16"/>
      <c r="RLF188" s="16"/>
      <c r="RLG188" s="16"/>
      <c r="RLH188" s="10"/>
      <c r="RLI188" s="10"/>
      <c r="RLP188" s="3"/>
      <c r="RLR188" s="1"/>
      <c r="RLT188" s="16"/>
      <c r="RLU188" s="16"/>
      <c r="RLV188" s="16"/>
      <c r="RLW188" s="16"/>
      <c r="RLX188" s="10"/>
      <c r="RLY188" s="10"/>
      <c r="RMF188" s="3"/>
      <c r="RMH188" s="1"/>
      <c r="RMJ188" s="16"/>
      <c r="RMK188" s="16"/>
      <c r="RML188" s="16"/>
      <c r="RMM188" s="16"/>
      <c r="RMN188" s="10"/>
      <c r="RMO188" s="10"/>
      <c r="RMV188" s="3"/>
      <c r="RMX188" s="1"/>
      <c r="RMZ188" s="16"/>
      <c r="RNA188" s="16"/>
      <c r="RNB188" s="16"/>
      <c r="RNC188" s="16"/>
      <c r="RND188" s="10"/>
      <c r="RNE188" s="10"/>
      <c r="RNL188" s="3"/>
      <c r="RNN188" s="1"/>
      <c r="RNP188" s="16"/>
      <c r="RNQ188" s="16"/>
      <c r="RNR188" s="16"/>
      <c r="RNS188" s="16"/>
      <c r="RNT188" s="10"/>
      <c r="RNU188" s="10"/>
      <c r="ROB188" s="3"/>
      <c r="ROD188" s="1"/>
      <c r="ROF188" s="16"/>
      <c r="ROG188" s="16"/>
      <c r="ROH188" s="16"/>
      <c r="ROI188" s="16"/>
      <c r="ROJ188" s="10"/>
      <c r="ROK188" s="10"/>
      <c r="ROR188" s="3"/>
      <c r="ROT188" s="1"/>
      <c r="ROV188" s="16"/>
      <c r="ROW188" s="16"/>
      <c r="ROX188" s="16"/>
      <c r="ROY188" s="16"/>
      <c r="ROZ188" s="10"/>
      <c r="RPA188" s="10"/>
      <c r="RPH188" s="3"/>
      <c r="RPJ188" s="1"/>
      <c r="RPL188" s="16"/>
      <c r="RPM188" s="16"/>
      <c r="RPN188" s="16"/>
      <c r="RPO188" s="16"/>
      <c r="RPP188" s="10"/>
      <c r="RPQ188" s="10"/>
      <c r="RPX188" s="3"/>
      <c r="RPZ188" s="1"/>
      <c r="RQB188" s="16"/>
      <c r="RQC188" s="16"/>
      <c r="RQD188" s="16"/>
      <c r="RQE188" s="16"/>
      <c r="RQF188" s="10"/>
      <c r="RQG188" s="10"/>
      <c r="RQN188" s="3"/>
      <c r="RQP188" s="1"/>
      <c r="RQR188" s="16"/>
      <c r="RQS188" s="16"/>
      <c r="RQT188" s="16"/>
      <c r="RQU188" s="16"/>
      <c r="RQV188" s="10"/>
      <c r="RQW188" s="10"/>
      <c r="RRD188" s="3"/>
      <c r="RRF188" s="1"/>
      <c r="RRH188" s="16"/>
      <c r="RRI188" s="16"/>
      <c r="RRJ188" s="16"/>
      <c r="RRK188" s="16"/>
      <c r="RRL188" s="10"/>
      <c r="RRM188" s="10"/>
      <c r="RRT188" s="3"/>
      <c r="RRV188" s="1"/>
      <c r="RRX188" s="16"/>
      <c r="RRY188" s="16"/>
      <c r="RRZ188" s="16"/>
      <c r="RSA188" s="16"/>
      <c r="RSB188" s="10"/>
      <c r="RSC188" s="10"/>
      <c r="RSJ188" s="3"/>
      <c r="RSL188" s="1"/>
      <c r="RSN188" s="16"/>
      <c r="RSO188" s="16"/>
      <c r="RSP188" s="16"/>
      <c r="RSQ188" s="16"/>
      <c r="RSR188" s="10"/>
      <c r="RSS188" s="10"/>
      <c r="RSZ188" s="3"/>
      <c r="RTB188" s="1"/>
      <c r="RTD188" s="16"/>
      <c r="RTE188" s="16"/>
      <c r="RTF188" s="16"/>
      <c r="RTG188" s="16"/>
      <c r="RTH188" s="10"/>
      <c r="RTI188" s="10"/>
      <c r="RTP188" s="3"/>
      <c r="RTR188" s="1"/>
      <c r="RTT188" s="16"/>
      <c r="RTU188" s="16"/>
      <c r="RTV188" s="16"/>
      <c r="RTW188" s="16"/>
      <c r="RTX188" s="10"/>
      <c r="RTY188" s="10"/>
      <c r="RUF188" s="3"/>
      <c r="RUH188" s="1"/>
      <c r="RUJ188" s="16"/>
      <c r="RUK188" s="16"/>
      <c r="RUL188" s="16"/>
      <c r="RUM188" s="16"/>
      <c r="RUN188" s="10"/>
      <c r="RUO188" s="10"/>
      <c r="RUV188" s="3"/>
      <c r="RUX188" s="1"/>
      <c r="RUZ188" s="16"/>
      <c r="RVA188" s="16"/>
      <c r="RVB188" s="16"/>
      <c r="RVC188" s="16"/>
      <c r="RVD188" s="10"/>
      <c r="RVE188" s="10"/>
      <c r="RVL188" s="3"/>
      <c r="RVN188" s="1"/>
      <c r="RVP188" s="16"/>
      <c r="RVQ188" s="16"/>
      <c r="RVR188" s="16"/>
      <c r="RVS188" s="16"/>
      <c r="RVT188" s="10"/>
      <c r="RVU188" s="10"/>
      <c r="RWB188" s="3"/>
      <c r="RWD188" s="1"/>
      <c r="RWF188" s="16"/>
      <c r="RWG188" s="16"/>
      <c r="RWH188" s="16"/>
      <c r="RWI188" s="16"/>
      <c r="RWJ188" s="10"/>
      <c r="RWK188" s="10"/>
      <c r="RWR188" s="3"/>
      <c r="RWT188" s="1"/>
      <c r="RWV188" s="16"/>
      <c r="RWW188" s="16"/>
      <c r="RWX188" s="16"/>
      <c r="RWY188" s="16"/>
      <c r="RWZ188" s="10"/>
      <c r="RXA188" s="10"/>
      <c r="RXH188" s="3"/>
      <c r="RXJ188" s="1"/>
      <c r="RXL188" s="16"/>
      <c r="RXM188" s="16"/>
      <c r="RXN188" s="16"/>
      <c r="RXO188" s="16"/>
      <c r="RXP188" s="10"/>
      <c r="RXQ188" s="10"/>
      <c r="RXX188" s="3"/>
      <c r="RXZ188" s="1"/>
      <c r="RYB188" s="16"/>
      <c r="RYC188" s="16"/>
      <c r="RYD188" s="16"/>
      <c r="RYE188" s="16"/>
      <c r="RYF188" s="10"/>
      <c r="RYG188" s="10"/>
      <c r="RYN188" s="3"/>
      <c r="RYP188" s="1"/>
      <c r="RYR188" s="16"/>
      <c r="RYS188" s="16"/>
      <c r="RYT188" s="16"/>
      <c r="RYU188" s="16"/>
      <c r="RYV188" s="10"/>
      <c r="RYW188" s="10"/>
      <c r="RZD188" s="3"/>
      <c r="RZF188" s="1"/>
      <c r="RZH188" s="16"/>
      <c r="RZI188" s="16"/>
      <c r="RZJ188" s="16"/>
      <c r="RZK188" s="16"/>
      <c r="RZL188" s="10"/>
      <c r="RZM188" s="10"/>
      <c r="RZT188" s="3"/>
      <c r="RZV188" s="1"/>
      <c r="RZX188" s="16"/>
      <c r="RZY188" s="16"/>
      <c r="RZZ188" s="16"/>
      <c r="SAA188" s="16"/>
      <c r="SAB188" s="10"/>
      <c r="SAC188" s="10"/>
      <c r="SAJ188" s="3"/>
      <c r="SAL188" s="1"/>
      <c r="SAN188" s="16"/>
      <c r="SAO188" s="16"/>
      <c r="SAP188" s="16"/>
      <c r="SAQ188" s="16"/>
      <c r="SAR188" s="10"/>
      <c r="SAS188" s="10"/>
      <c r="SAZ188" s="3"/>
      <c r="SBB188" s="1"/>
      <c r="SBD188" s="16"/>
      <c r="SBE188" s="16"/>
      <c r="SBF188" s="16"/>
      <c r="SBG188" s="16"/>
      <c r="SBH188" s="10"/>
      <c r="SBI188" s="10"/>
      <c r="SBP188" s="3"/>
      <c r="SBR188" s="1"/>
      <c r="SBT188" s="16"/>
      <c r="SBU188" s="16"/>
      <c r="SBV188" s="16"/>
      <c r="SBW188" s="16"/>
      <c r="SBX188" s="10"/>
      <c r="SBY188" s="10"/>
      <c r="SCF188" s="3"/>
      <c r="SCH188" s="1"/>
      <c r="SCJ188" s="16"/>
      <c r="SCK188" s="16"/>
      <c r="SCL188" s="16"/>
      <c r="SCM188" s="16"/>
      <c r="SCN188" s="10"/>
      <c r="SCO188" s="10"/>
      <c r="SCV188" s="3"/>
      <c r="SCX188" s="1"/>
      <c r="SCZ188" s="16"/>
      <c r="SDA188" s="16"/>
      <c r="SDB188" s="16"/>
      <c r="SDC188" s="16"/>
      <c r="SDD188" s="10"/>
      <c r="SDE188" s="10"/>
      <c r="SDL188" s="3"/>
      <c r="SDN188" s="1"/>
      <c r="SDP188" s="16"/>
      <c r="SDQ188" s="16"/>
      <c r="SDR188" s="16"/>
      <c r="SDS188" s="16"/>
      <c r="SDT188" s="10"/>
      <c r="SDU188" s="10"/>
      <c r="SEB188" s="3"/>
      <c r="SED188" s="1"/>
      <c r="SEF188" s="16"/>
      <c r="SEG188" s="16"/>
      <c r="SEH188" s="16"/>
      <c r="SEI188" s="16"/>
      <c r="SEJ188" s="10"/>
      <c r="SEK188" s="10"/>
      <c r="SER188" s="3"/>
      <c r="SET188" s="1"/>
      <c r="SEV188" s="16"/>
      <c r="SEW188" s="16"/>
      <c r="SEX188" s="16"/>
      <c r="SEY188" s="16"/>
      <c r="SEZ188" s="10"/>
      <c r="SFA188" s="10"/>
      <c r="SFH188" s="3"/>
      <c r="SFJ188" s="1"/>
      <c r="SFL188" s="16"/>
      <c r="SFM188" s="16"/>
      <c r="SFN188" s="16"/>
      <c r="SFO188" s="16"/>
      <c r="SFP188" s="10"/>
      <c r="SFQ188" s="10"/>
      <c r="SFX188" s="3"/>
      <c r="SFZ188" s="1"/>
      <c r="SGB188" s="16"/>
      <c r="SGC188" s="16"/>
      <c r="SGD188" s="16"/>
      <c r="SGE188" s="16"/>
      <c r="SGF188" s="10"/>
      <c r="SGG188" s="10"/>
      <c r="SGN188" s="3"/>
      <c r="SGP188" s="1"/>
      <c r="SGR188" s="16"/>
      <c r="SGS188" s="16"/>
      <c r="SGT188" s="16"/>
      <c r="SGU188" s="16"/>
      <c r="SGV188" s="10"/>
      <c r="SGW188" s="10"/>
      <c r="SHD188" s="3"/>
      <c r="SHF188" s="1"/>
      <c r="SHH188" s="16"/>
      <c r="SHI188" s="16"/>
      <c r="SHJ188" s="16"/>
      <c r="SHK188" s="16"/>
      <c r="SHL188" s="10"/>
      <c r="SHM188" s="10"/>
      <c r="SHT188" s="3"/>
      <c r="SHV188" s="1"/>
      <c r="SHX188" s="16"/>
      <c r="SHY188" s="16"/>
      <c r="SHZ188" s="16"/>
      <c r="SIA188" s="16"/>
      <c r="SIB188" s="10"/>
      <c r="SIC188" s="10"/>
      <c r="SIJ188" s="3"/>
      <c r="SIL188" s="1"/>
      <c r="SIN188" s="16"/>
      <c r="SIO188" s="16"/>
      <c r="SIP188" s="16"/>
      <c r="SIQ188" s="16"/>
      <c r="SIR188" s="10"/>
      <c r="SIS188" s="10"/>
      <c r="SIZ188" s="3"/>
      <c r="SJB188" s="1"/>
      <c r="SJD188" s="16"/>
      <c r="SJE188" s="16"/>
      <c r="SJF188" s="16"/>
      <c r="SJG188" s="16"/>
      <c r="SJH188" s="10"/>
      <c r="SJI188" s="10"/>
      <c r="SJP188" s="3"/>
      <c r="SJR188" s="1"/>
      <c r="SJT188" s="16"/>
      <c r="SJU188" s="16"/>
      <c r="SJV188" s="16"/>
      <c r="SJW188" s="16"/>
      <c r="SJX188" s="10"/>
      <c r="SJY188" s="10"/>
      <c r="SKF188" s="3"/>
      <c r="SKH188" s="1"/>
      <c r="SKJ188" s="16"/>
      <c r="SKK188" s="16"/>
      <c r="SKL188" s="16"/>
      <c r="SKM188" s="16"/>
      <c r="SKN188" s="10"/>
      <c r="SKO188" s="10"/>
      <c r="SKV188" s="3"/>
      <c r="SKX188" s="1"/>
      <c r="SKZ188" s="16"/>
      <c r="SLA188" s="16"/>
      <c r="SLB188" s="16"/>
      <c r="SLC188" s="16"/>
      <c r="SLD188" s="10"/>
      <c r="SLE188" s="10"/>
      <c r="SLL188" s="3"/>
      <c r="SLN188" s="1"/>
      <c r="SLP188" s="16"/>
      <c r="SLQ188" s="16"/>
      <c r="SLR188" s="16"/>
      <c r="SLS188" s="16"/>
      <c r="SLT188" s="10"/>
      <c r="SLU188" s="10"/>
      <c r="SMB188" s="3"/>
      <c r="SMD188" s="1"/>
      <c r="SMF188" s="16"/>
      <c r="SMG188" s="16"/>
      <c r="SMH188" s="16"/>
      <c r="SMI188" s="16"/>
      <c r="SMJ188" s="10"/>
      <c r="SMK188" s="10"/>
      <c r="SMR188" s="3"/>
      <c r="SMT188" s="1"/>
      <c r="SMV188" s="16"/>
      <c r="SMW188" s="16"/>
      <c r="SMX188" s="16"/>
      <c r="SMY188" s="16"/>
      <c r="SMZ188" s="10"/>
      <c r="SNA188" s="10"/>
      <c r="SNH188" s="3"/>
      <c r="SNJ188" s="1"/>
      <c r="SNL188" s="16"/>
      <c r="SNM188" s="16"/>
      <c r="SNN188" s="16"/>
      <c r="SNO188" s="16"/>
      <c r="SNP188" s="10"/>
      <c r="SNQ188" s="10"/>
      <c r="SNX188" s="3"/>
      <c r="SNZ188" s="1"/>
      <c r="SOB188" s="16"/>
      <c r="SOC188" s="16"/>
      <c r="SOD188" s="16"/>
      <c r="SOE188" s="16"/>
      <c r="SOF188" s="10"/>
      <c r="SOG188" s="10"/>
      <c r="SON188" s="3"/>
      <c r="SOP188" s="1"/>
      <c r="SOR188" s="16"/>
      <c r="SOS188" s="16"/>
      <c r="SOT188" s="16"/>
      <c r="SOU188" s="16"/>
      <c r="SOV188" s="10"/>
      <c r="SOW188" s="10"/>
      <c r="SPD188" s="3"/>
      <c r="SPF188" s="1"/>
      <c r="SPH188" s="16"/>
      <c r="SPI188" s="16"/>
      <c r="SPJ188" s="16"/>
      <c r="SPK188" s="16"/>
      <c r="SPL188" s="10"/>
      <c r="SPM188" s="10"/>
      <c r="SPT188" s="3"/>
      <c r="SPV188" s="1"/>
      <c r="SPX188" s="16"/>
      <c r="SPY188" s="16"/>
      <c r="SPZ188" s="16"/>
      <c r="SQA188" s="16"/>
      <c r="SQB188" s="10"/>
      <c r="SQC188" s="10"/>
      <c r="SQJ188" s="3"/>
      <c r="SQL188" s="1"/>
      <c r="SQN188" s="16"/>
      <c r="SQO188" s="16"/>
      <c r="SQP188" s="16"/>
      <c r="SQQ188" s="16"/>
      <c r="SQR188" s="10"/>
      <c r="SQS188" s="10"/>
      <c r="SQZ188" s="3"/>
      <c r="SRB188" s="1"/>
      <c r="SRD188" s="16"/>
      <c r="SRE188" s="16"/>
      <c r="SRF188" s="16"/>
      <c r="SRG188" s="16"/>
      <c r="SRH188" s="10"/>
      <c r="SRI188" s="10"/>
      <c r="SRP188" s="3"/>
      <c r="SRR188" s="1"/>
      <c r="SRT188" s="16"/>
      <c r="SRU188" s="16"/>
      <c r="SRV188" s="16"/>
      <c r="SRW188" s="16"/>
      <c r="SRX188" s="10"/>
      <c r="SRY188" s="10"/>
      <c r="SSF188" s="3"/>
      <c r="SSH188" s="1"/>
      <c r="SSJ188" s="16"/>
      <c r="SSK188" s="16"/>
      <c r="SSL188" s="16"/>
      <c r="SSM188" s="16"/>
      <c r="SSN188" s="10"/>
      <c r="SSO188" s="10"/>
      <c r="SSV188" s="3"/>
      <c r="SSX188" s="1"/>
      <c r="SSZ188" s="16"/>
      <c r="STA188" s="16"/>
      <c r="STB188" s="16"/>
      <c r="STC188" s="16"/>
      <c r="STD188" s="10"/>
      <c r="STE188" s="10"/>
      <c r="STL188" s="3"/>
      <c r="STN188" s="1"/>
      <c r="STP188" s="16"/>
      <c r="STQ188" s="16"/>
      <c r="STR188" s="16"/>
      <c r="STS188" s="16"/>
      <c r="STT188" s="10"/>
      <c r="STU188" s="10"/>
      <c r="SUB188" s="3"/>
      <c r="SUD188" s="1"/>
      <c r="SUF188" s="16"/>
      <c r="SUG188" s="16"/>
      <c r="SUH188" s="16"/>
      <c r="SUI188" s="16"/>
      <c r="SUJ188" s="10"/>
      <c r="SUK188" s="10"/>
      <c r="SUR188" s="3"/>
      <c r="SUT188" s="1"/>
      <c r="SUV188" s="16"/>
      <c r="SUW188" s="16"/>
      <c r="SUX188" s="16"/>
      <c r="SUY188" s="16"/>
      <c r="SUZ188" s="10"/>
      <c r="SVA188" s="10"/>
      <c r="SVH188" s="3"/>
      <c r="SVJ188" s="1"/>
      <c r="SVL188" s="16"/>
      <c r="SVM188" s="16"/>
      <c r="SVN188" s="16"/>
      <c r="SVO188" s="16"/>
      <c r="SVP188" s="10"/>
      <c r="SVQ188" s="10"/>
      <c r="SVX188" s="3"/>
      <c r="SVZ188" s="1"/>
      <c r="SWB188" s="16"/>
      <c r="SWC188" s="16"/>
      <c r="SWD188" s="16"/>
      <c r="SWE188" s="16"/>
      <c r="SWF188" s="10"/>
      <c r="SWG188" s="10"/>
      <c r="SWN188" s="3"/>
      <c r="SWP188" s="1"/>
      <c r="SWR188" s="16"/>
      <c r="SWS188" s="16"/>
      <c r="SWT188" s="16"/>
      <c r="SWU188" s="16"/>
      <c r="SWV188" s="10"/>
      <c r="SWW188" s="10"/>
      <c r="SXD188" s="3"/>
      <c r="SXF188" s="1"/>
      <c r="SXH188" s="16"/>
      <c r="SXI188" s="16"/>
      <c r="SXJ188" s="16"/>
      <c r="SXK188" s="16"/>
      <c r="SXL188" s="10"/>
      <c r="SXM188" s="10"/>
      <c r="SXT188" s="3"/>
      <c r="SXV188" s="1"/>
      <c r="SXX188" s="16"/>
      <c r="SXY188" s="16"/>
      <c r="SXZ188" s="16"/>
      <c r="SYA188" s="16"/>
      <c r="SYB188" s="10"/>
      <c r="SYC188" s="10"/>
      <c r="SYJ188" s="3"/>
      <c r="SYL188" s="1"/>
      <c r="SYN188" s="16"/>
      <c r="SYO188" s="16"/>
      <c r="SYP188" s="16"/>
      <c r="SYQ188" s="16"/>
      <c r="SYR188" s="10"/>
      <c r="SYS188" s="10"/>
      <c r="SYZ188" s="3"/>
      <c r="SZB188" s="1"/>
      <c r="SZD188" s="16"/>
      <c r="SZE188" s="16"/>
      <c r="SZF188" s="16"/>
      <c r="SZG188" s="16"/>
      <c r="SZH188" s="10"/>
      <c r="SZI188" s="10"/>
      <c r="SZP188" s="3"/>
      <c r="SZR188" s="1"/>
      <c r="SZT188" s="16"/>
      <c r="SZU188" s="16"/>
      <c r="SZV188" s="16"/>
      <c r="SZW188" s="16"/>
      <c r="SZX188" s="10"/>
      <c r="SZY188" s="10"/>
      <c r="TAF188" s="3"/>
      <c r="TAH188" s="1"/>
      <c r="TAJ188" s="16"/>
      <c r="TAK188" s="16"/>
      <c r="TAL188" s="16"/>
      <c r="TAM188" s="16"/>
      <c r="TAN188" s="10"/>
      <c r="TAO188" s="10"/>
      <c r="TAV188" s="3"/>
      <c r="TAX188" s="1"/>
      <c r="TAZ188" s="16"/>
      <c r="TBA188" s="16"/>
      <c r="TBB188" s="16"/>
      <c r="TBC188" s="16"/>
      <c r="TBD188" s="10"/>
      <c r="TBE188" s="10"/>
      <c r="TBL188" s="3"/>
      <c r="TBN188" s="1"/>
      <c r="TBP188" s="16"/>
      <c r="TBQ188" s="16"/>
      <c r="TBR188" s="16"/>
      <c r="TBS188" s="16"/>
      <c r="TBT188" s="10"/>
      <c r="TBU188" s="10"/>
      <c r="TCB188" s="3"/>
      <c r="TCD188" s="1"/>
      <c r="TCF188" s="16"/>
      <c r="TCG188" s="16"/>
      <c r="TCH188" s="16"/>
      <c r="TCI188" s="16"/>
      <c r="TCJ188" s="10"/>
      <c r="TCK188" s="10"/>
      <c r="TCR188" s="3"/>
      <c r="TCT188" s="1"/>
      <c r="TCV188" s="16"/>
      <c r="TCW188" s="16"/>
      <c r="TCX188" s="16"/>
      <c r="TCY188" s="16"/>
      <c r="TCZ188" s="10"/>
      <c r="TDA188" s="10"/>
      <c r="TDH188" s="3"/>
      <c r="TDJ188" s="1"/>
      <c r="TDL188" s="16"/>
      <c r="TDM188" s="16"/>
      <c r="TDN188" s="16"/>
      <c r="TDO188" s="16"/>
      <c r="TDP188" s="10"/>
      <c r="TDQ188" s="10"/>
      <c r="TDX188" s="3"/>
      <c r="TDZ188" s="1"/>
      <c r="TEB188" s="16"/>
      <c r="TEC188" s="16"/>
      <c r="TED188" s="16"/>
      <c r="TEE188" s="16"/>
      <c r="TEF188" s="10"/>
      <c r="TEG188" s="10"/>
      <c r="TEN188" s="3"/>
      <c r="TEP188" s="1"/>
      <c r="TER188" s="16"/>
      <c r="TES188" s="16"/>
      <c r="TET188" s="16"/>
      <c r="TEU188" s="16"/>
      <c r="TEV188" s="10"/>
      <c r="TEW188" s="10"/>
      <c r="TFD188" s="3"/>
      <c r="TFF188" s="1"/>
      <c r="TFH188" s="16"/>
      <c r="TFI188" s="16"/>
      <c r="TFJ188" s="16"/>
      <c r="TFK188" s="16"/>
      <c r="TFL188" s="10"/>
      <c r="TFM188" s="10"/>
      <c r="TFT188" s="3"/>
      <c r="TFV188" s="1"/>
      <c r="TFX188" s="16"/>
      <c r="TFY188" s="16"/>
      <c r="TFZ188" s="16"/>
      <c r="TGA188" s="16"/>
      <c r="TGB188" s="10"/>
      <c r="TGC188" s="10"/>
      <c r="TGJ188" s="3"/>
      <c r="TGL188" s="1"/>
      <c r="TGN188" s="16"/>
      <c r="TGO188" s="16"/>
      <c r="TGP188" s="16"/>
      <c r="TGQ188" s="16"/>
      <c r="TGR188" s="10"/>
      <c r="TGS188" s="10"/>
      <c r="TGZ188" s="3"/>
      <c r="THB188" s="1"/>
      <c r="THD188" s="16"/>
      <c r="THE188" s="16"/>
      <c r="THF188" s="16"/>
      <c r="THG188" s="16"/>
      <c r="THH188" s="10"/>
      <c r="THI188" s="10"/>
      <c r="THP188" s="3"/>
      <c r="THR188" s="1"/>
      <c r="THT188" s="16"/>
      <c r="THU188" s="16"/>
      <c r="THV188" s="16"/>
      <c r="THW188" s="16"/>
      <c r="THX188" s="10"/>
      <c r="THY188" s="10"/>
      <c r="TIF188" s="3"/>
      <c r="TIH188" s="1"/>
      <c r="TIJ188" s="16"/>
      <c r="TIK188" s="16"/>
      <c r="TIL188" s="16"/>
      <c r="TIM188" s="16"/>
      <c r="TIN188" s="10"/>
      <c r="TIO188" s="10"/>
      <c r="TIV188" s="3"/>
      <c r="TIX188" s="1"/>
      <c r="TIZ188" s="16"/>
      <c r="TJA188" s="16"/>
      <c r="TJB188" s="16"/>
      <c r="TJC188" s="16"/>
      <c r="TJD188" s="10"/>
      <c r="TJE188" s="10"/>
      <c r="TJL188" s="3"/>
      <c r="TJN188" s="1"/>
      <c r="TJP188" s="16"/>
      <c r="TJQ188" s="16"/>
      <c r="TJR188" s="16"/>
      <c r="TJS188" s="16"/>
      <c r="TJT188" s="10"/>
      <c r="TJU188" s="10"/>
      <c r="TKB188" s="3"/>
      <c r="TKD188" s="1"/>
      <c r="TKF188" s="16"/>
      <c r="TKG188" s="16"/>
      <c r="TKH188" s="16"/>
      <c r="TKI188" s="16"/>
      <c r="TKJ188" s="10"/>
      <c r="TKK188" s="10"/>
      <c r="TKR188" s="3"/>
      <c r="TKT188" s="1"/>
      <c r="TKV188" s="16"/>
      <c r="TKW188" s="16"/>
      <c r="TKX188" s="16"/>
      <c r="TKY188" s="16"/>
      <c r="TKZ188" s="10"/>
      <c r="TLA188" s="10"/>
      <c r="TLH188" s="3"/>
      <c r="TLJ188" s="1"/>
      <c r="TLL188" s="16"/>
      <c r="TLM188" s="16"/>
      <c r="TLN188" s="16"/>
      <c r="TLO188" s="16"/>
      <c r="TLP188" s="10"/>
      <c r="TLQ188" s="10"/>
      <c r="TLX188" s="3"/>
      <c r="TLZ188" s="1"/>
      <c r="TMB188" s="16"/>
      <c r="TMC188" s="16"/>
      <c r="TMD188" s="16"/>
      <c r="TME188" s="16"/>
      <c r="TMF188" s="10"/>
      <c r="TMG188" s="10"/>
      <c r="TMN188" s="3"/>
      <c r="TMP188" s="1"/>
      <c r="TMR188" s="16"/>
      <c r="TMS188" s="16"/>
      <c r="TMT188" s="16"/>
      <c r="TMU188" s="16"/>
      <c r="TMV188" s="10"/>
      <c r="TMW188" s="10"/>
      <c r="TND188" s="3"/>
      <c r="TNF188" s="1"/>
      <c r="TNH188" s="16"/>
      <c r="TNI188" s="16"/>
      <c r="TNJ188" s="16"/>
      <c r="TNK188" s="16"/>
      <c r="TNL188" s="10"/>
      <c r="TNM188" s="10"/>
      <c r="TNT188" s="3"/>
      <c r="TNV188" s="1"/>
      <c r="TNX188" s="16"/>
      <c r="TNY188" s="16"/>
      <c r="TNZ188" s="16"/>
      <c r="TOA188" s="16"/>
      <c r="TOB188" s="10"/>
      <c r="TOC188" s="10"/>
      <c r="TOJ188" s="3"/>
      <c r="TOL188" s="1"/>
      <c r="TON188" s="16"/>
      <c r="TOO188" s="16"/>
      <c r="TOP188" s="16"/>
      <c r="TOQ188" s="16"/>
      <c r="TOR188" s="10"/>
      <c r="TOS188" s="10"/>
      <c r="TOZ188" s="3"/>
      <c r="TPB188" s="1"/>
      <c r="TPD188" s="16"/>
      <c r="TPE188" s="16"/>
      <c r="TPF188" s="16"/>
      <c r="TPG188" s="16"/>
      <c r="TPH188" s="10"/>
      <c r="TPI188" s="10"/>
      <c r="TPP188" s="3"/>
      <c r="TPR188" s="1"/>
      <c r="TPT188" s="16"/>
      <c r="TPU188" s="16"/>
      <c r="TPV188" s="16"/>
      <c r="TPW188" s="16"/>
      <c r="TPX188" s="10"/>
      <c r="TPY188" s="10"/>
      <c r="TQF188" s="3"/>
      <c r="TQH188" s="1"/>
      <c r="TQJ188" s="16"/>
      <c r="TQK188" s="16"/>
      <c r="TQL188" s="16"/>
      <c r="TQM188" s="16"/>
      <c r="TQN188" s="10"/>
      <c r="TQO188" s="10"/>
      <c r="TQV188" s="3"/>
      <c r="TQX188" s="1"/>
      <c r="TQZ188" s="16"/>
      <c r="TRA188" s="16"/>
      <c r="TRB188" s="16"/>
      <c r="TRC188" s="16"/>
      <c r="TRD188" s="10"/>
      <c r="TRE188" s="10"/>
      <c r="TRL188" s="3"/>
      <c r="TRN188" s="1"/>
      <c r="TRP188" s="16"/>
      <c r="TRQ188" s="16"/>
      <c r="TRR188" s="16"/>
      <c r="TRS188" s="16"/>
      <c r="TRT188" s="10"/>
      <c r="TRU188" s="10"/>
      <c r="TSB188" s="3"/>
      <c r="TSD188" s="1"/>
      <c r="TSF188" s="16"/>
      <c r="TSG188" s="16"/>
      <c r="TSH188" s="16"/>
      <c r="TSI188" s="16"/>
      <c r="TSJ188" s="10"/>
      <c r="TSK188" s="10"/>
      <c r="TSR188" s="3"/>
      <c r="TST188" s="1"/>
      <c r="TSV188" s="16"/>
      <c r="TSW188" s="16"/>
      <c r="TSX188" s="16"/>
      <c r="TSY188" s="16"/>
      <c r="TSZ188" s="10"/>
      <c r="TTA188" s="10"/>
      <c r="TTH188" s="3"/>
      <c r="TTJ188" s="1"/>
      <c r="TTL188" s="16"/>
      <c r="TTM188" s="16"/>
      <c r="TTN188" s="16"/>
      <c r="TTO188" s="16"/>
      <c r="TTP188" s="10"/>
      <c r="TTQ188" s="10"/>
      <c r="TTX188" s="3"/>
      <c r="TTZ188" s="1"/>
      <c r="TUB188" s="16"/>
      <c r="TUC188" s="16"/>
      <c r="TUD188" s="16"/>
      <c r="TUE188" s="16"/>
      <c r="TUF188" s="10"/>
      <c r="TUG188" s="10"/>
      <c r="TUN188" s="3"/>
      <c r="TUP188" s="1"/>
      <c r="TUR188" s="16"/>
      <c r="TUS188" s="16"/>
      <c r="TUT188" s="16"/>
      <c r="TUU188" s="16"/>
      <c r="TUV188" s="10"/>
      <c r="TUW188" s="10"/>
      <c r="TVD188" s="3"/>
      <c r="TVF188" s="1"/>
      <c r="TVH188" s="16"/>
      <c r="TVI188" s="16"/>
      <c r="TVJ188" s="16"/>
      <c r="TVK188" s="16"/>
      <c r="TVL188" s="10"/>
      <c r="TVM188" s="10"/>
      <c r="TVT188" s="3"/>
      <c r="TVV188" s="1"/>
      <c r="TVX188" s="16"/>
      <c r="TVY188" s="16"/>
      <c r="TVZ188" s="16"/>
      <c r="TWA188" s="16"/>
      <c r="TWB188" s="10"/>
      <c r="TWC188" s="10"/>
      <c r="TWJ188" s="3"/>
      <c r="TWL188" s="1"/>
      <c r="TWN188" s="16"/>
      <c r="TWO188" s="16"/>
      <c r="TWP188" s="16"/>
      <c r="TWQ188" s="16"/>
      <c r="TWR188" s="10"/>
      <c r="TWS188" s="10"/>
      <c r="TWZ188" s="3"/>
      <c r="TXB188" s="1"/>
      <c r="TXD188" s="16"/>
      <c r="TXE188" s="16"/>
      <c r="TXF188" s="16"/>
      <c r="TXG188" s="16"/>
      <c r="TXH188" s="10"/>
      <c r="TXI188" s="10"/>
      <c r="TXP188" s="3"/>
      <c r="TXR188" s="1"/>
      <c r="TXT188" s="16"/>
      <c r="TXU188" s="16"/>
      <c r="TXV188" s="16"/>
      <c r="TXW188" s="16"/>
      <c r="TXX188" s="10"/>
      <c r="TXY188" s="10"/>
      <c r="TYF188" s="3"/>
      <c r="TYH188" s="1"/>
      <c r="TYJ188" s="16"/>
      <c r="TYK188" s="16"/>
      <c r="TYL188" s="16"/>
      <c r="TYM188" s="16"/>
      <c r="TYN188" s="10"/>
      <c r="TYO188" s="10"/>
      <c r="TYV188" s="3"/>
      <c r="TYX188" s="1"/>
      <c r="TYZ188" s="16"/>
      <c r="TZA188" s="16"/>
      <c r="TZB188" s="16"/>
      <c r="TZC188" s="16"/>
      <c r="TZD188" s="10"/>
      <c r="TZE188" s="10"/>
      <c r="TZL188" s="3"/>
      <c r="TZN188" s="1"/>
      <c r="TZP188" s="16"/>
      <c r="TZQ188" s="16"/>
      <c r="TZR188" s="16"/>
      <c r="TZS188" s="16"/>
      <c r="TZT188" s="10"/>
      <c r="TZU188" s="10"/>
      <c r="UAB188" s="3"/>
      <c r="UAD188" s="1"/>
      <c r="UAF188" s="16"/>
      <c r="UAG188" s="16"/>
      <c r="UAH188" s="16"/>
      <c r="UAI188" s="16"/>
      <c r="UAJ188" s="10"/>
      <c r="UAK188" s="10"/>
      <c r="UAR188" s="3"/>
      <c r="UAT188" s="1"/>
      <c r="UAV188" s="16"/>
      <c r="UAW188" s="16"/>
      <c r="UAX188" s="16"/>
      <c r="UAY188" s="16"/>
      <c r="UAZ188" s="10"/>
      <c r="UBA188" s="10"/>
      <c r="UBH188" s="3"/>
      <c r="UBJ188" s="1"/>
      <c r="UBL188" s="16"/>
      <c r="UBM188" s="16"/>
      <c r="UBN188" s="16"/>
      <c r="UBO188" s="16"/>
      <c r="UBP188" s="10"/>
      <c r="UBQ188" s="10"/>
      <c r="UBX188" s="3"/>
      <c r="UBZ188" s="1"/>
      <c r="UCB188" s="16"/>
      <c r="UCC188" s="16"/>
      <c r="UCD188" s="16"/>
      <c r="UCE188" s="16"/>
      <c r="UCF188" s="10"/>
      <c r="UCG188" s="10"/>
      <c r="UCN188" s="3"/>
      <c r="UCP188" s="1"/>
      <c r="UCR188" s="16"/>
      <c r="UCS188" s="16"/>
      <c r="UCT188" s="16"/>
      <c r="UCU188" s="16"/>
      <c r="UCV188" s="10"/>
      <c r="UCW188" s="10"/>
      <c r="UDD188" s="3"/>
      <c r="UDF188" s="1"/>
      <c r="UDH188" s="16"/>
      <c r="UDI188" s="16"/>
      <c r="UDJ188" s="16"/>
      <c r="UDK188" s="16"/>
      <c r="UDL188" s="10"/>
      <c r="UDM188" s="10"/>
      <c r="UDT188" s="3"/>
      <c r="UDV188" s="1"/>
      <c r="UDX188" s="16"/>
      <c r="UDY188" s="16"/>
      <c r="UDZ188" s="16"/>
      <c r="UEA188" s="16"/>
      <c r="UEB188" s="10"/>
      <c r="UEC188" s="10"/>
      <c r="UEJ188" s="3"/>
      <c r="UEL188" s="1"/>
      <c r="UEN188" s="16"/>
      <c r="UEO188" s="16"/>
      <c r="UEP188" s="16"/>
      <c r="UEQ188" s="16"/>
      <c r="UER188" s="10"/>
      <c r="UES188" s="10"/>
      <c r="UEZ188" s="3"/>
      <c r="UFB188" s="1"/>
      <c r="UFD188" s="16"/>
      <c r="UFE188" s="16"/>
      <c r="UFF188" s="16"/>
      <c r="UFG188" s="16"/>
      <c r="UFH188" s="10"/>
      <c r="UFI188" s="10"/>
      <c r="UFP188" s="3"/>
      <c r="UFR188" s="1"/>
      <c r="UFT188" s="16"/>
      <c r="UFU188" s="16"/>
      <c r="UFV188" s="16"/>
      <c r="UFW188" s="16"/>
      <c r="UFX188" s="10"/>
      <c r="UFY188" s="10"/>
      <c r="UGF188" s="3"/>
      <c r="UGH188" s="1"/>
      <c r="UGJ188" s="16"/>
      <c r="UGK188" s="16"/>
      <c r="UGL188" s="16"/>
      <c r="UGM188" s="16"/>
      <c r="UGN188" s="10"/>
      <c r="UGO188" s="10"/>
      <c r="UGV188" s="3"/>
      <c r="UGX188" s="1"/>
      <c r="UGZ188" s="16"/>
      <c r="UHA188" s="16"/>
      <c r="UHB188" s="16"/>
      <c r="UHC188" s="16"/>
      <c r="UHD188" s="10"/>
      <c r="UHE188" s="10"/>
      <c r="UHL188" s="3"/>
      <c r="UHN188" s="1"/>
      <c r="UHP188" s="16"/>
      <c r="UHQ188" s="16"/>
      <c r="UHR188" s="16"/>
      <c r="UHS188" s="16"/>
      <c r="UHT188" s="10"/>
      <c r="UHU188" s="10"/>
      <c r="UIB188" s="3"/>
      <c r="UID188" s="1"/>
      <c r="UIF188" s="16"/>
      <c r="UIG188" s="16"/>
      <c r="UIH188" s="16"/>
      <c r="UII188" s="16"/>
      <c r="UIJ188" s="10"/>
      <c r="UIK188" s="10"/>
      <c r="UIR188" s="3"/>
      <c r="UIT188" s="1"/>
      <c r="UIV188" s="16"/>
      <c r="UIW188" s="16"/>
      <c r="UIX188" s="16"/>
      <c r="UIY188" s="16"/>
      <c r="UIZ188" s="10"/>
      <c r="UJA188" s="10"/>
      <c r="UJH188" s="3"/>
      <c r="UJJ188" s="1"/>
      <c r="UJL188" s="16"/>
      <c r="UJM188" s="16"/>
      <c r="UJN188" s="16"/>
      <c r="UJO188" s="16"/>
      <c r="UJP188" s="10"/>
      <c r="UJQ188" s="10"/>
      <c r="UJX188" s="3"/>
      <c r="UJZ188" s="1"/>
      <c r="UKB188" s="16"/>
      <c r="UKC188" s="16"/>
      <c r="UKD188" s="16"/>
      <c r="UKE188" s="16"/>
      <c r="UKF188" s="10"/>
      <c r="UKG188" s="10"/>
      <c r="UKN188" s="3"/>
      <c r="UKP188" s="1"/>
      <c r="UKR188" s="16"/>
      <c r="UKS188" s="16"/>
      <c r="UKT188" s="16"/>
      <c r="UKU188" s="16"/>
      <c r="UKV188" s="10"/>
      <c r="UKW188" s="10"/>
      <c r="ULD188" s="3"/>
      <c r="ULF188" s="1"/>
      <c r="ULH188" s="16"/>
      <c r="ULI188" s="16"/>
      <c r="ULJ188" s="16"/>
      <c r="ULK188" s="16"/>
      <c r="ULL188" s="10"/>
      <c r="ULM188" s="10"/>
      <c r="ULT188" s="3"/>
      <c r="ULV188" s="1"/>
      <c r="ULX188" s="16"/>
      <c r="ULY188" s="16"/>
      <c r="ULZ188" s="16"/>
      <c r="UMA188" s="16"/>
      <c r="UMB188" s="10"/>
      <c r="UMC188" s="10"/>
      <c r="UMJ188" s="3"/>
      <c r="UML188" s="1"/>
      <c r="UMN188" s="16"/>
      <c r="UMO188" s="16"/>
      <c r="UMP188" s="16"/>
      <c r="UMQ188" s="16"/>
      <c r="UMR188" s="10"/>
      <c r="UMS188" s="10"/>
      <c r="UMZ188" s="3"/>
      <c r="UNB188" s="1"/>
      <c r="UND188" s="16"/>
      <c r="UNE188" s="16"/>
      <c r="UNF188" s="16"/>
      <c r="UNG188" s="16"/>
      <c r="UNH188" s="10"/>
      <c r="UNI188" s="10"/>
      <c r="UNP188" s="3"/>
      <c r="UNR188" s="1"/>
      <c r="UNT188" s="16"/>
      <c r="UNU188" s="16"/>
      <c r="UNV188" s="16"/>
      <c r="UNW188" s="16"/>
      <c r="UNX188" s="10"/>
      <c r="UNY188" s="10"/>
      <c r="UOF188" s="3"/>
      <c r="UOH188" s="1"/>
      <c r="UOJ188" s="16"/>
      <c r="UOK188" s="16"/>
      <c r="UOL188" s="16"/>
      <c r="UOM188" s="16"/>
      <c r="UON188" s="10"/>
      <c r="UOO188" s="10"/>
      <c r="UOV188" s="3"/>
      <c r="UOX188" s="1"/>
      <c r="UOZ188" s="16"/>
      <c r="UPA188" s="16"/>
      <c r="UPB188" s="16"/>
      <c r="UPC188" s="16"/>
      <c r="UPD188" s="10"/>
      <c r="UPE188" s="10"/>
      <c r="UPL188" s="3"/>
      <c r="UPN188" s="1"/>
      <c r="UPP188" s="16"/>
      <c r="UPQ188" s="16"/>
      <c r="UPR188" s="16"/>
      <c r="UPS188" s="16"/>
      <c r="UPT188" s="10"/>
      <c r="UPU188" s="10"/>
      <c r="UQB188" s="3"/>
      <c r="UQD188" s="1"/>
      <c r="UQF188" s="16"/>
      <c r="UQG188" s="16"/>
      <c r="UQH188" s="16"/>
      <c r="UQI188" s="16"/>
      <c r="UQJ188" s="10"/>
      <c r="UQK188" s="10"/>
      <c r="UQR188" s="3"/>
      <c r="UQT188" s="1"/>
      <c r="UQV188" s="16"/>
      <c r="UQW188" s="16"/>
      <c r="UQX188" s="16"/>
      <c r="UQY188" s="16"/>
      <c r="UQZ188" s="10"/>
      <c r="URA188" s="10"/>
      <c r="URH188" s="3"/>
      <c r="URJ188" s="1"/>
      <c r="URL188" s="16"/>
      <c r="URM188" s="16"/>
      <c r="URN188" s="16"/>
      <c r="URO188" s="16"/>
      <c r="URP188" s="10"/>
      <c r="URQ188" s="10"/>
      <c r="URX188" s="3"/>
      <c r="URZ188" s="1"/>
      <c r="USB188" s="16"/>
      <c r="USC188" s="16"/>
      <c r="USD188" s="16"/>
      <c r="USE188" s="16"/>
      <c r="USF188" s="10"/>
      <c r="USG188" s="10"/>
      <c r="USN188" s="3"/>
      <c r="USP188" s="1"/>
      <c r="USR188" s="16"/>
      <c r="USS188" s="16"/>
      <c r="UST188" s="16"/>
      <c r="USU188" s="16"/>
      <c r="USV188" s="10"/>
      <c r="USW188" s="10"/>
      <c r="UTD188" s="3"/>
      <c r="UTF188" s="1"/>
      <c r="UTH188" s="16"/>
      <c r="UTI188" s="16"/>
      <c r="UTJ188" s="16"/>
      <c r="UTK188" s="16"/>
      <c r="UTL188" s="10"/>
      <c r="UTM188" s="10"/>
      <c r="UTT188" s="3"/>
      <c r="UTV188" s="1"/>
      <c r="UTX188" s="16"/>
      <c r="UTY188" s="16"/>
      <c r="UTZ188" s="16"/>
      <c r="UUA188" s="16"/>
      <c r="UUB188" s="10"/>
      <c r="UUC188" s="10"/>
      <c r="UUJ188" s="3"/>
      <c r="UUL188" s="1"/>
      <c r="UUN188" s="16"/>
      <c r="UUO188" s="16"/>
      <c r="UUP188" s="16"/>
      <c r="UUQ188" s="16"/>
      <c r="UUR188" s="10"/>
      <c r="UUS188" s="10"/>
      <c r="UUZ188" s="3"/>
      <c r="UVB188" s="1"/>
      <c r="UVD188" s="16"/>
      <c r="UVE188" s="16"/>
      <c r="UVF188" s="16"/>
      <c r="UVG188" s="16"/>
      <c r="UVH188" s="10"/>
      <c r="UVI188" s="10"/>
      <c r="UVP188" s="3"/>
      <c r="UVR188" s="1"/>
      <c r="UVT188" s="16"/>
      <c r="UVU188" s="16"/>
      <c r="UVV188" s="16"/>
      <c r="UVW188" s="16"/>
      <c r="UVX188" s="10"/>
      <c r="UVY188" s="10"/>
      <c r="UWF188" s="3"/>
      <c r="UWH188" s="1"/>
      <c r="UWJ188" s="16"/>
      <c r="UWK188" s="16"/>
      <c r="UWL188" s="16"/>
      <c r="UWM188" s="16"/>
      <c r="UWN188" s="10"/>
      <c r="UWO188" s="10"/>
      <c r="UWV188" s="3"/>
      <c r="UWX188" s="1"/>
      <c r="UWZ188" s="16"/>
      <c r="UXA188" s="16"/>
      <c r="UXB188" s="16"/>
      <c r="UXC188" s="16"/>
      <c r="UXD188" s="10"/>
      <c r="UXE188" s="10"/>
      <c r="UXL188" s="3"/>
      <c r="UXN188" s="1"/>
      <c r="UXP188" s="16"/>
      <c r="UXQ188" s="16"/>
      <c r="UXR188" s="16"/>
      <c r="UXS188" s="16"/>
      <c r="UXT188" s="10"/>
      <c r="UXU188" s="10"/>
      <c r="UYB188" s="3"/>
      <c r="UYD188" s="1"/>
      <c r="UYF188" s="16"/>
      <c r="UYG188" s="16"/>
      <c r="UYH188" s="16"/>
      <c r="UYI188" s="16"/>
      <c r="UYJ188" s="10"/>
      <c r="UYK188" s="10"/>
      <c r="UYR188" s="3"/>
      <c r="UYT188" s="1"/>
      <c r="UYV188" s="16"/>
      <c r="UYW188" s="16"/>
      <c r="UYX188" s="16"/>
      <c r="UYY188" s="16"/>
      <c r="UYZ188" s="10"/>
      <c r="UZA188" s="10"/>
      <c r="UZH188" s="3"/>
      <c r="UZJ188" s="1"/>
      <c r="UZL188" s="16"/>
      <c r="UZM188" s="16"/>
      <c r="UZN188" s="16"/>
      <c r="UZO188" s="16"/>
      <c r="UZP188" s="10"/>
      <c r="UZQ188" s="10"/>
      <c r="UZX188" s="3"/>
      <c r="UZZ188" s="1"/>
      <c r="VAB188" s="16"/>
      <c r="VAC188" s="16"/>
      <c r="VAD188" s="16"/>
      <c r="VAE188" s="16"/>
      <c r="VAF188" s="10"/>
      <c r="VAG188" s="10"/>
      <c r="VAN188" s="3"/>
      <c r="VAP188" s="1"/>
      <c r="VAR188" s="16"/>
      <c r="VAS188" s="16"/>
      <c r="VAT188" s="16"/>
      <c r="VAU188" s="16"/>
      <c r="VAV188" s="10"/>
      <c r="VAW188" s="10"/>
      <c r="VBD188" s="3"/>
      <c r="VBF188" s="1"/>
      <c r="VBH188" s="16"/>
      <c r="VBI188" s="16"/>
      <c r="VBJ188" s="16"/>
      <c r="VBK188" s="16"/>
      <c r="VBL188" s="10"/>
      <c r="VBM188" s="10"/>
      <c r="VBT188" s="3"/>
      <c r="VBV188" s="1"/>
      <c r="VBX188" s="16"/>
      <c r="VBY188" s="16"/>
      <c r="VBZ188" s="16"/>
      <c r="VCA188" s="16"/>
      <c r="VCB188" s="10"/>
      <c r="VCC188" s="10"/>
      <c r="VCJ188" s="3"/>
      <c r="VCL188" s="1"/>
      <c r="VCN188" s="16"/>
      <c r="VCO188" s="16"/>
      <c r="VCP188" s="16"/>
      <c r="VCQ188" s="16"/>
      <c r="VCR188" s="10"/>
      <c r="VCS188" s="10"/>
      <c r="VCZ188" s="3"/>
      <c r="VDB188" s="1"/>
      <c r="VDD188" s="16"/>
      <c r="VDE188" s="16"/>
      <c r="VDF188" s="16"/>
      <c r="VDG188" s="16"/>
      <c r="VDH188" s="10"/>
      <c r="VDI188" s="10"/>
      <c r="VDP188" s="3"/>
      <c r="VDR188" s="1"/>
      <c r="VDT188" s="16"/>
      <c r="VDU188" s="16"/>
      <c r="VDV188" s="16"/>
      <c r="VDW188" s="16"/>
      <c r="VDX188" s="10"/>
      <c r="VDY188" s="10"/>
      <c r="VEF188" s="3"/>
      <c r="VEH188" s="1"/>
      <c r="VEJ188" s="16"/>
      <c r="VEK188" s="16"/>
      <c r="VEL188" s="16"/>
      <c r="VEM188" s="16"/>
      <c r="VEN188" s="10"/>
      <c r="VEO188" s="10"/>
      <c r="VEV188" s="3"/>
      <c r="VEX188" s="1"/>
      <c r="VEZ188" s="16"/>
      <c r="VFA188" s="16"/>
      <c r="VFB188" s="16"/>
      <c r="VFC188" s="16"/>
      <c r="VFD188" s="10"/>
      <c r="VFE188" s="10"/>
      <c r="VFL188" s="3"/>
      <c r="VFN188" s="1"/>
      <c r="VFP188" s="16"/>
      <c r="VFQ188" s="16"/>
      <c r="VFR188" s="16"/>
      <c r="VFS188" s="16"/>
      <c r="VFT188" s="10"/>
      <c r="VFU188" s="10"/>
      <c r="VGB188" s="3"/>
      <c r="VGD188" s="1"/>
      <c r="VGF188" s="16"/>
      <c r="VGG188" s="16"/>
      <c r="VGH188" s="16"/>
      <c r="VGI188" s="16"/>
      <c r="VGJ188" s="10"/>
      <c r="VGK188" s="10"/>
      <c r="VGR188" s="3"/>
      <c r="VGT188" s="1"/>
      <c r="VGV188" s="16"/>
      <c r="VGW188" s="16"/>
      <c r="VGX188" s="16"/>
      <c r="VGY188" s="16"/>
      <c r="VGZ188" s="10"/>
      <c r="VHA188" s="10"/>
      <c r="VHH188" s="3"/>
      <c r="VHJ188" s="1"/>
      <c r="VHL188" s="16"/>
      <c r="VHM188" s="16"/>
      <c r="VHN188" s="16"/>
      <c r="VHO188" s="16"/>
      <c r="VHP188" s="10"/>
      <c r="VHQ188" s="10"/>
      <c r="VHX188" s="3"/>
      <c r="VHZ188" s="1"/>
      <c r="VIB188" s="16"/>
      <c r="VIC188" s="16"/>
      <c r="VID188" s="16"/>
      <c r="VIE188" s="16"/>
      <c r="VIF188" s="10"/>
      <c r="VIG188" s="10"/>
      <c r="VIN188" s="3"/>
      <c r="VIP188" s="1"/>
      <c r="VIR188" s="16"/>
      <c r="VIS188" s="16"/>
      <c r="VIT188" s="16"/>
      <c r="VIU188" s="16"/>
      <c r="VIV188" s="10"/>
      <c r="VIW188" s="10"/>
      <c r="VJD188" s="3"/>
      <c r="VJF188" s="1"/>
      <c r="VJH188" s="16"/>
      <c r="VJI188" s="16"/>
      <c r="VJJ188" s="16"/>
      <c r="VJK188" s="16"/>
      <c r="VJL188" s="10"/>
      <c r="VJM188" s="10"/>
      <c r="VJT188" s="3"/>
      <c r="VJV188" s="1"/>
      <c r="VJX188" s="16"/>
      <c r="VJY188" s="16"/>
      <c r="VJZ188" s="16"/>
      <c r="VKA188" s="16"/>
      <c r="VKB188" s="10"/>
      <c r="VKC188" s="10"/>
      <c r="VKJ188" s="3"/>
      <c r="VKL188" s="1"/>
      <c r="VKN188" s="16"/>
      <c r="VKO188" s="16"/>
      <c r="VKP188" s="16"/>
      <c r="VKQ188" s="16"/>
      <c r="VKR188" s="10"/>
      <c r="VKS188" s="10"/>
      <c r="VKZ188" s="3"/>
      <c r="VLB188" s="1"/>
      <c r="VLD188" s="16"/>
      <c r="VLE188" s="16"/>
      <c r="VLF188" s="16"/>
      <c r="VLG188" s="16"/>
      <c r="VLH188" s="10"/>
      <c r="VLI188" s="10"/>
      <c r="VLP188" s="3"/>
      <c r="VLR188" s="1"/>
      <c r="VLT188" s="16"/>
      <c r="VLU188" s="16"/>
      <c r="VLV188" s="16"/>
      <c r="VLW188" s="16"/>
      <c r="VLX188" s="10"/>
      <c r="VLY188" s="10"/>
      <c r="VMF188" s="3"/>
      <c r="VMH188" s="1"/>
      <c r="VMJ188" s="16"/>
      <c r="VMK188" s="16"/>
      <c r="VML188" s="16"/>
      <c r="VMM188" s="16"/>
      <c r="VMN188" s="10"/>
      <c r="VMO188" s="10"/>
      <c r="VMV188" s="3"/>
      <c r="VMX188" s="1"/>
      <c r="VMZ188" s="16"/>
      <c r="VNA188" s="16"/>
      <c r="VNB188" s="16"/>
      <c r="VNC188" s="16"/>
      <c r="VND188" s="10"/>
      <c r="VNE188" s="10"/>
      <c r="VNL188" s="3"/>
      <c r="VNN188" s="1"/>
      <c r="VNP188" s="16"/>
      <c r="VNQ188" s="16"/>
      <c r="VNR188" s="16"/>
      <c r="VNS188" s="16"/>
      <c r="VNT188" s="10"/>
      <c r="VNU188" s="10"/>
      <c r="VOB188" s="3"/>
      <c r="VOD188" s="1"/>
      <c r="VOF188" s="16"/>
      <c r="VOG188" s="16"/>
      <c r="VOH188" s="16"/>
      <c r="VOI188" s="16"/>
      <c r="VOJ188" s="10"/>
      <c r="VOK188" s="10"/>
      <c r="VOR188" s="3"/>
      <c r="VOT188" s="1"/>
      <c r="VOV188" s="16"/>
      <c r="VOW188" s="16"/>
      <c r="VOX188" s="16"/>
      <c r="VOY188" s="16"/>
      <c r="VOZ188" s="10"/>
      <c r="VPA188" s="10"/>
      <c r="VPH188" s="3"/>
      <c r="VPJ188" s="1"/>
      <c r="VPL188" s="16"/>
      <c r="VPM188" s="16"/>
      <c r="VPN188" s="16"/>
      <c r="VPO188" s="16"/>
      <c r="VPP188" s="10"/>
      <c r="VPQ188" s="10"/>
      <c r="VPX188" s="3"/>
      <c r="VPZ188" s="1"/>
      <c r="VQB188" s="16"/>
      <c r="VQC188" s="16"/>
      <c r="VQD188" s="16"/>
      <c r="VQE188" s="16"/>
      <c r="VQF188" s="10"/>
      <c r="VQG188" s="10"/>
      <c r="VQN188" s="3"/>
      <c r="VQP188" s="1"/>
      <c r="VQR188" s="16"/>
      <c r="VQS188" s="16"/>
      <c r="VQT188" s="16"/>
      <c r="VQU188" s="16"/>
      <c r="VQV188" s="10"/>
      <c r="VQW188" s="10"/>
      <c r="VRD188" s="3"/>
      <c r="VRF188" s="1"/>
      <c r="VRH188" s="16"/>
      <c r="VRI188" s="16"/>
      <c r="VRJ188" s="16"/>
      <c r="VRK188" s="16"/>
      <c r="VRL188" s="10"/>
      <c r="VRM188" s="10"/>
      <c r="VRT188" s="3"/>
      <c r="VRV188" s="1"/>
      <c r="VRX188" s="16"/>
      <c r="VRY188" s="16"/>
      <c r="VRZ188" s="16"/>
      <c r="VSA188" s="16"/>
      <c r="VSB188" s="10"/>
      <c r="VSC188" s="10"/>
      <c r="VSJ188" s="3"/>
      <c r="VSL188" s="1"/>
      <c r="VSN188" s="16"/>
      <c r="VSO188" s="16"/>
      <c r="VSP188" s="16"/>
      <c r="VSQ188" s="16"/>
      <c r="VSR188" s="10"/>
      <c r="VSS188" s="10"/>
      <c r="VSZ188" s="3"/>
      <c r="VTB188" s="1"/>
      <c r="VTD188" s="16"/>
      <c r="VTE188" s="16"/>
      <c r="VTF188" s="16"/>
      <c r="VTG188" s="16"/>
      <c r="VTH188" s="10"/>
      <c r="VTI188" s="10"/>
      <c r="VTP188" s="3"/>
      <c r="VTR188" s="1"/>
      <c r="VTT188" s="16"/>
      <c r="VTU188" s="16"/>
      <c r="VTV188" s="16"/>
      <c r="VTW188" s="16"/>
      <c r="VTX188" s="10"/>
      <c r="VTY188" s="10"/>
      <c r="VUF188" s="3"/>
      <c r="VUH188" s="1"/>
      <c r="VUJ188" s="16"/>
      <c r="VUK188" s="16"/>
      <c r="VUL188" s="16"/>
      <c r="VUM188" s="16"/>
      <c r="VUN188" s="10"/>
      <c r="VUO188" s="10"/>
      <c r="VUV188" s="3"/>
      <c r="VUX188" s="1"/>
      <c r="VUZ188" s="16"/>
      <c r="VVA188" s="16"/>
      <c r="VVB188" s="16"/>
      <c r="VVC188" s="16"/>
      <c r="VVD188" s="10"/>
      <c r="VVE188" s="10"/>
      <c r="VVL188" s="3"/>
      <c r="VVN188" s="1"/>
      <c r="VVP188" s="16"/>
      <c r="VVQ188" s="16"/>
      <c r="VVR188" s="16"/>
      <c r="VVS188" s="16"/>
      <c r="VVT188" s="10"/>
      <c r="VVU188" s="10"/>
      <c r="VWB188" s="3"/>
      <c r="VWD188" s="1"/>
      <c r="VWF188" s="16"/>
      <c r="VWG188" s="16"/>
      <c r="VWH188" s="16"/>
      <c r="VWI188" s="16"/>
      <c r="VWJ188" s="10"/>
      <c r="VWK188" s="10"/>
      <c r="VWR188" s="3"/>
      <c r="VWT188" s="1"/>
      <c r="VWV188" s="16"/>
      <c r="VWW188" s="16"/>
      <c r="VWX188" s="16"/>
      <c r="VWY188" s="16"/>
      <c r="VWZ188" s="10"/>
      <c r="VXA188" s="10"/>
      <c r="VXH188" s="3"/>
      <c r="VXJ188" s="1"/>
      <c r="VXL188" s="16"/>
      <c r="VXM188" s="16"/>
      <c r="VXN188" s="16"/>
      <c r="VXO188" s="16"/>
      <c r="VXP188" s="10"/>
      <c r="VXQ188" s="10"/>
      <c r="VXX188" s="3"/>
      <c r="VXZ188" s="1"/>
      <c r="VYB188" s="16"/>
      <c r="VYC188" s="16"/>
      <c r="VYD188" s="16"/>
      <c r="VYE188" s="16"/>
      <c r="VYF188" s="10"/>
      <c r="VYG188" s="10"/>
      <c r="VYN188" s="3"/>
      <c r="VYP188" s="1"/>
      <c r="VYR188" s="16"/>
      <c r="VYS188" s="16"/>
      <c r="VYT188" s="16"/>
      <c r="VYU188" s="16"/>
      <c r="VYV188" s="10"/>
      <c r="VYW188" s="10"/>
      <c r="VZD188" s="3"/>
      <c r="VZF188" s="1"/>
      <c r="VZH188" s="16"/>
      <c r="VZI188" s="16"/>
      <c r="VZJ188" s="16"/>
      <c r="VZK188" s="16"/>
      <c r="VZL188" s="10"/>
      <c r="VZM188" s="10"/>
      <c r="VZT188" s="3"/>
      <c r="VZV188" s="1"/>
      <c r="VZX188" s="16"/>
      <c r="VZY188" s="16"/>
      <c r="VZZ188" s="16"/>
      <c r="WAA188" s="16"/>
      <c r="WAB188" s="10"/>
      <c r="WAC188" s="10"/>
      <c r="WAJ188" s="3"/>
      <c r="WAL188" s="1"/>
      <c r="WAN188" s="16"/>
      <c r="WAO188" s="16"/>
      <c r="WAP188" s="16"/>
      <c r="WAQ188" s="16"/>
      <c r="WAR188" s="10"/>
      <c r="WAS188" s="10"/>
      <c r="WAZ188" s="3"/>
      <c r="WBB188" s="1"/>
      <c r="WBD188" s="16"/>
      <c r="WBE188" s="16"/>
      <c r="WBF188" s="16"/>
      <c r="WBG188" s="16"/>
      <c r="WBH188" s="10"/>
      <c r="WBI188" s="10"/>
      <c r="WBP188" s="3"/>
      <c r="WBR188" s="1"/>
      <c r="WBT188" s="16"/>
      <c r="WBU188" s="16"/>
      <c r="WBV188" s="16"/>
      <c r="WBW188" s="16"/>
      <c r="WBX188" s="10"/>
      <c r="WBY188" s="10"/>
      <c r="WCF188" s="3"/>
      <c r="WCH188" s="1"/>
      <c r="WCJ188" s="16"/>
      <c r="WCK188" s="16"/>
      <c r="WCL188" s="16"/>
      <c r="WCM188" s="16"/>
      <c r="WCN188" s="10"/>
      <c r="WCO188" s="10"/>
      <c r="WCV188" s="3"/>
      <c r="WCX188" s="1"/>
      <c r="WCZ188" s="16"/>
      <c r="WDA188" s="16"/>
      <c r="WDB188" s="16"/>
      <c r="WDC188" s="16"/>
      <c r="WDD188" s="10"/>
      <c r="WDE188" s="10"/>
      <c r="WDL188" s="3"/>
      <c r="WDN188" s="1"/>
      <c r="WDP188" s="16"/>
      <c r="WDQ188" s="16"/>
      <c r="WDR188" s="16"/>
      <c r="WDS188" s="16"/>
      <c r="WDT188" s="10"/>
      <c r="WDU188" s="10"/>
      <c r="WEB188" s="3"/>
      <c r="WED188" s="1"/>
      <c r="WEF188" s="16"/>
      <c r="WEG188" s="16"/>
      <c r="WEH188" s="16"/>
      <c r="WEI188" s="16"/>
      <c r="WEJ188" s="10"/>
      <c r="WEK188" s="10"/>
      <c r="WER188" s="3"/>
      <c r="WET188" s="1"/>
      <c r="WEV188" s="16"/>
      <c r="WEW188" s="16"/>
      <c r="WEX188" s="16"/>
      <c r="WEY188" s="16"/>
      <c r="WEZ188" s="10"/>
      <c r="WFA188" s="10"/>
      <c r="WFH188" s="3"/>
      <c r="WFJ188" s="1"/>
      <c r="WFL188" s="16"/>
      <c r="WFM188" s="16"/>
      <c r="WFN188" s="16"/>
      <c r="WFO188" s="16"/>
      <c r="WFP188" s="10"/>
      <c r="WFQ188" s="10"/>
      <c r="WFX188" s="3"/>
      <c r="WFZ188" s="1"/>
      <c r="WGB188" s="16"/>
      <c r="WGC188" s="16"/>
      <c r="WGD188" s="16"/>
      <c r="WGE188" s="16"/>
      <c r="WGF188" s="10"/>
      <c r="WGG188" s="10"/>
      <c r="WGN188" s="3"/>
      <c r="WGP188" s="1"/>
      <c r="WGR188" s="16"/>
      <c r="WGS188" s="16"/>
      <c r="WGT188" s="16"/>
      <c r="WGU188" s="16"/>
      <c r="WGV188" s="10"/>
      <c r="WGW188" s="10"/>
      <c r="WHD188" s="3"/>
      <c r="WHF188" s="1"/>
      <c r="WHH188" s="16"/>
      <c r="WHI188" s="16"/>
      <c r="WHJ188" s="16"/>
      <c r="WHK188" s="16"/>
      <c r="WHL188" s="10"/>
      <c r="WHM188" s="10"/>
      <c r="WHT188" s="3"/>
      <c r="WHV188" s="1"/>
      <c r="WHX188" s="16"/>
      <c r="WHY188" s="16"/>
      <c r="WHZ188" s="16"/>
      <c r="WIA188" s="16"/>
      <c r="WIB188" s="10"/>
      <c r="WIC188" s="10"/>
      <c r="WIJ188" s="3"/>
      <c r="WIL188" s="1"/>
      <c r="WIN188" s="16"/>
      <c r="WIO188" s="16"/>
      <c r="WIP188" s="16"/>
      <c r="WIQ188" s="16"/>
      <c r="WIR188" s="10"/>
      <c r="WIS188" s="10"/>
      <c r="WIZ188" s="3"/>
      <c r="WJB188" s="1"/>
      <c r="WJD188" s="16"/>
      <c r="WJE188" s="16"/>
      <c r="WJF188" s="16"/>
      <c r="WJG188" s="16"/>
      <c r="WJH188" s="10"/>
      <c r="WJI188" s="10"/>
      <c r="WJP188" s="3"/>
      <c r="WJR188" s="1"/>
      <c r="WJT188" s="16"/>
      <c r="WJU188" s="16"/>
      <c r="WJV188" s="16"/>
      <c r="WJW188" s="16"/>
      <c r="WJX188" s="10"/>
      <c r="WJY188" s="10"/>
      <c r="WKF188" s="3"/>
      <c r="WKH188" s="1"/>
      <c r="WKJ188" s="16"/>
      <c r="WKK188" s="16"/>
      <c r="WKL188" s="16"/>
      <c r="WKM188" s="16"/>
      <c r="WKN188" s="10"/>
      <c r="WKO188" s="10"/>
      <c r="WKV188" s="3"/>
      <c r="WKX188" s="1"/>
      <c r="WKZ188" s="16"/>
      <c r="WLA188" s="16"/>
      <c r="WLB188" s="16"/>
      <c r="WLC188" s="16"/>
      <c r="WLD188" s="10"/>
      <c r="WLE188" s="10"/>
      <c r="WLL188" s="3"/>
      <c r="WLN188" s="1"/>
      <c r="WLP188" s="16"/>
      <c r="WLQ188" s="16"/>
      <c r="WLR188" s="16"/>
      <c r="WLS188" s="16"/>
      <c r="WLT188" s="10"/>
      <c r="WLU188" s="10"/>
      <c r="WMB188" s="3"/>
      <c r="WMD188" s="1"/>
      <c r="WMF188" s="16"/>
      <c r="WMG188" s="16"/>
      <c r="WMH188" s="16"/>
      <c r="WMI188" s="16"/>
      <c r="WMJ188" s="10"/>
      <c r="WMK188" s="10"/>
      <c r="WMR188" s="3"/>
      <c r="WMT188" s="1"/>
      <c r="WMV188" s="16"/>
      <c r="WMW188" s="16"/>
      <c r="WMX188" s="16"/>
      <c r="WMY188" s="16"/>
      <c r="WMZ188" s="10"/>
      <c r="WNA188" s="10"/>
      <c r="WNH188" s="3"/>
      <c r="WNJ188" s="1"/>
      <c r="WNL188" s="16"/>
      <c r="WNM188" s="16"/>
      <c r="WNN188" s="16"/>
      <c r="WNO188" s="16"/>
      <c r="WNP188" s="10"/>
      <c r="WNQ188" s="10"/>
      <c r="WNX188" s="3"/>
      <c r="WNZ188" s="1"/>
      <c r="WOB188" s="16"/>
      <c r="WOC188" s="16"/>
      <c r="WOD188" s="16"/>
      <c r="WOE188" s="16"/>
      <c r="WOF188" s="10"/>
      <c r="WOG188" s="10"/>
      <c r="WON188" s="3"/>
      <c r="WOP188" s="1"/>
      <c r="WOR188" s="16"/>
      <c r="WOS188" s="16"/>
      <c r="WOT188" s="16"/>
      <c r="WOU188" s="16"/>
      <c r="WOV188" s="10"/>
      <c r="WOW188" s="10"/>
      <c r="WPD188" s="3"/>
      <c r="WPF188" s="1"/>
      <c r="WPH188" s="16"/>
      <c r="WPI188" s="16"/>
      <c r="WPJ188" s="16"/>
      <c r="WPK188" s="16"/>
      <c r="WPL188" s="10"/>
      <c r="WPM188" s="10"/>
      <c r="WPT188" s="3"/>
      <c r="WPV188" s="1"/>
      <c r="WPX188" s="16"/>
      <c r="WPY188" s="16"/>
      <c r="WPZ188" s="16"/>
      <c r="WQA188" s="16"/>
      <c r="WQB188" s="10"/>
      <c r="WQC188" s="10"/>
      <c r="WQJ188" s="3"/>
      <c r="WQL188" s="1"/>
      <c r="WQN188" s="16"/>
      <c r="WQO188" s="16"/>
      <c r="WQP188" s="16"/>
      <c r="WQQ188" s="16"/>
      <c r="WQR188" s="10"/>
      <c r="WQS188" s="10"/>
      <c r="WQZ188" s="3"/>
      <c r="WRB188" s="1"/>
      <c r="WRD188" s="16"/>
      <c r="WRE188" s="16"/>
      <c r="WRF188" s="16"/>
      <c r="WRG188" s="16"/>
      <c r="WRH188" s="10"/>
      <c r="WRI188" s="10"/>
      <c r="WRP188" s="3"/>
      <c r="WRR188" s="1"/>
      <c r="WRT188" s="16"/>
      <c r="WRU188" s="16"/>
      <c r="WRV188" s="16"/>
      <c r="WRW188" s="16"/>
      <c r="WRX188" s="10"/>
      <c r="WRY188" s="10"/>
      <c r="WSF188" s="3"/>
      <c r="WSH188" s="1"/>
      <c r="WSJ188" s="16"/>
      <c r="WSK188" s="16"/>
      <c r="WSL188" s="16"/>
      <c r="WSM188" s="16"/>
      <c r="WSN188" s="10"/>
      <c r="WSO188" s="10"/>
      <c r="WSV188" s="3"/>
      <c r="WSX188" s="1"/>
      <c r="WSZ188" s="16"/>
      <c r="WTA188" s="16"/>
      <c r="WTB188" s="16"/>
      <c r="WTC188" s="16"/>
      <c r="WTD188" s="10"/>
      <c r="WTE188" s="10"/>
      <c r="WTL188" s="3"/>
      <c r="WTN188" s="1"/>
      <c r="WTP188" s="16"/>
      <c r="WTQ188" s="16"/>
      <c r="WTR188" s="16"/>
      <c r="WTS188" s="16"/>
      <c r="WTT188" s="10"/>
      <c r="WTU188" s="10"/>
      <c r="WUB188" s="3"/>
      <c r="WUD188" s="1"/>
      <c r="WUF188" s="16"/>
      <c r="WUG188" s="16"/>
      <c r="WUH188" s="16"/>
      <c r="WUI188" s="16"/>
      <c r="WUJ188" s="10"/>
      <c r="WUK188" s="10"/>
      <c r="WUR188" s="3"/>
      <c r="WUT188" s="1"/>
      <c r="WUV188" s="16"/>
      <c r="WUW188" s="16"/>
      <c r="WUX188" s="16"/>
      <c r="WUY188" s="16"/>
      <c r="WUZ188" s="10"/>
      <c r="WVA188" s="10"/>
      <c r="WVH188" s="3"/>
      <c r="WVJ188" s="1"/>
      <c r="WVL188" s="16"/>
      <c r="WVM188" s="16"/>
      <c r="WVN188" s="16"/>
      <c r="WVO188" s="16"/>
      <c r="WVP188" s="10"/>
      <c r="WVQ188" s="10"/>
      <c r="WVX188" s="3"/>
      <c r="WVZ188" s="1"/>
      <c r="WWB188" s="16"/>
      <c r="WWC188" s="16"/>
      <c r="WWD188" s="16"/>
      <c r="WWE188" s="16"/>
      <c r="WWF188" s="10"/>
      <c r="WWG188" s="10"/>
      <c r="WWN188" s="3"/>
      <c r="WWP188" s="1"/>
      <c r="WWR188" s="16"/>
      <c r="WWS188" s="16"/>
      <c r="WWT188" s="16"/>
      <c r="WWU188" s="16"/>
      <c r="WWV188" s="10"/>
      <c r="WWW188" s="10"/>
      <c r="WXD188" s="3"/>
      <c r="WXF188" s="1"/>
      <c r="WXH188" s="16"/>
      <c r="WXI188" s="16"/>
      <c r="WXJ188" s="16"/>
      <c r="WXK188" s="16"/>
      <c r="WXL188" s="10"/>
      <c r="WXM188" s="10"/>
      <c r="WXT188" s="3"/>
      <c r="WXV188" s="1"/>
      <c r="WXX188" s="16"/>
      <c r="WXY188" s="16"/>
      <c r="WXZ188" s="16"/>
      <c r="WYA188" s="16"/>
      <c r="WYB188" s="10"/>
      <c r="WYC188" s="10"/>
      <c r="WYJ188" s="3"/>
      <c r="WYL188" s="1"/>
      <c r="WYN188" s="16"/>
      <c r="WYO188" s="16"/>
      <c r="WYP188" s="16"/>
      <c r="WYQ188" s="16"/>
      <c r="WYR188" s="10"/>
      <c r="WYS188" s="10"/>
      <c r="WYZ188" s="3"/>
      <c r="WZB188" s="1"/>
      <c r="WZD188" s="16"/>
      <c r="WZE188" s="16"/>
      <c r="WZF188" s="16"/>
      <c r="WZG188" s="16"/>
      <c r="WZH188" s="10"/>
      <c r="WZI188" s="10"/>
      <c r="WZP188" s="3"/>
      <c r="WZR188" s="1"/>
      <c r="WZT188" s="16"/>
      <c r="WZU188" s="16"/>
      <c r="WZV188" s="16"/>
      <c r="WZW188" s="16"/>
      <c r="WZX188" s="10"/>
      <c r="WZY188" s="10"/>
      <c r="XAF188" s="3"/>
      <c r="XAH188" s="1"/>
      <c r="XAJ188" s="16"/>
      <c r="XAK188" s="16"/>
      <c r="XAL188" s="16"/>
      <c r="XAM188" s="16"/>
      <c r="XAN188" s="10"/>
      <c r="XAO188" s="10"/>
      <c r="XAV188" s="3"/>
      <c r="XAX188" s="1"/>
      <c r="XAZ188" s="16"/>
      <c r="XBA188" s="16"/>
      <c r="XBB188" s="16"/>
      <c r="XBC188" s="16"/>
      <c r="XBD188" s="10"/>
      <c r="XBE188" s="10"/>
      <c r="XBL188" s="3"/>
      <c r="XBN188" s="1"/>
      <c r="XBP188" s="16"/>
      <c r="XBQ188" s="16"/>
      <c r="XBR188" s="16"/>
      <c r="XBS188" s="16"/>
      <c r="XBT188" s="10"/>
      <c r="XBU188" s="10"/>
      <c r="XCB188" s="3"/>
      <c r="XCD188" s="1"/>
      <c r="XCF188" s="16"/>
      <c r="XCG188" s="16"/>
      <c r="XCH188" s="16"/>
      <c r="XCI188" s="16"/>
      <c r="XCJ188" s="10"/>
      <c r="XCK188" s="10"/>
      <c r="XCR188" s="3"/>
      <c r="XCT188" s="1"/>
      <c r="XCV188" s="16"/>
      <c r="XCW188" s="16"/>
      <c r="XCX188" s="16"/>
      <c r="XCY188" s="16"/>
      <c r="XCZ188" s="10"/>
      <c r="XDA188" s="10"/>
      <c r="XDH188" s="3"/>
      <c r="XDJ188" s="1"/>
      <c r="XDL188" s="16"/>
      <c r="XDM188" s="16"/>
      <c r="XDN188" s="16"/>
      <c r="XDO188" s="16"/>
      <c r="XDP188" s="10"/>
      <c r="XDQ188" s="10"/>
      <c r="XDX188" s="3"/>
      <c r="XDZ188" s="1"/>
      <c r="XEB188" s="16"/>
      <c r="XEC188" s="16"/>
      <c r="XED188" s="16"/>
      <c r="XEE188" s="16"/>
      <c r="XEF188" s="10"/>
      <c r="XEG188" s="10"/>
      <c r="XEN188" s="3"/>
      <c r="XEP188" s="1"/>
      <c r="XER188" s="16"/>
      <c r="XES188" s="16"/>
      <c r="XET188" s="16"/>
      <c r="XEU188" s="16"/>
      <c r="XEV188" s="10"/>
      <c r="XEW188" s="10"/>
      <c r="XFD188" s="3"/>
    </row>
    <row r="189" ht="14.4" spans="1:16">
      <c r="A189" s="17" t="str">
        <f>'Ammo Input'!A189</f>
        <v>23x115mm(HV)</v>
      </c>
      <c r="B189" s="1" t="str">
        <f>'Ammo Input'!B189</f>
        <v>AP</v>
      </c>
      <c r="C189">
        <f>(0.579*('Ammo Stats'!G189*IF(OR(B189="HEAT",B189="HEDP"),10,'Ammo Input'!F189)*VLOOKUP(B189,AmmoTypeFactors,7,FALSE))^(0.346))^IF(B189="HEDP",2.1,1)/IF(B189="HEDP",50,1)</f>
        <v>59.879180537138</v>
      </c>
      <c r="D189" s="16">
        <f>IF(VLOOKUP(B189,AmmoTypeFactors,8,FALSE),J189,C189)*VLOOKUP('Ammo Input'!B189,AmmoTypeFactors,2,FALSE)</f>
        <v>47.9033444297104</v>
      </c>
      <c r="E189" s="16">
        <f>IF(OR(VLOOKUP(B189,AmmoTypeFactors,6,FALSE)="Bomb",VLOOKUP(B189,AmmoTypeFactors,6,FALSE)="Thermobaric"),J189*VLOOKUP(B189,AmmoTypeFactors,4,FALSE),IF(VLOOKUP(B189,AmmoTypeFactors,11,FALSE),P189,C189*VLOOKUP(B189,AmmoTypeFactors,4,FALSE)))</f>
        <v>0</v>
      </c>
      <c r="F189" s="16">
        <f>'Ammo Stats'!G189/0.005</f>
        <v>11557600</v>
      </c>
      <c r="G189" s="16">
        <f>(IF(B189="HEAT",10,'Ammo Input'!F189)*VLOOKUP(B189,AmmoTypeFactors,7,FALSE)*0.5)^2*PI()/100</f>
        <v>1.03868907109313</v>
      </c>
      <c r="H189" s="10">
        <f t="shared" si="9"/>
        <v>1155.76</v>
      </c>
      <c r="I189" s="10">
        <f>IF(B189&lt;&gt;"Arrow (Flaming)",39493.49*'Ammo Input'!M189^0.6/1000,0)</f>
        <v>0</v>
      </c>
      <c r="J189">
        <f t="shared" si="10"/>
        <v>0</v>
      </c>
      <c r="K189">
        <f t="shared" si="11"/>
        <v>23</v>
      </c>
      <c r="L189">
        <f>200000/('Ammo Stats'!C189*(MAX('Ammo Input'!D189,'Ammo Input'!F189)*0.5)^2*PI())</f>
        <v>998.032173023839</v>
      </c>
      <c r="M189">
        <f>IF(B189="Frag",1,('Ammo Input'!M189/1.33)/('Ammo Input'!H189/1000))</f>
        <v>0</v>
      </c>
      <c r="N189" t="s">
        <v>353</v>
      </c>
      <c r="O189" t="s">
        <v>353</v>
      </c>
      <c r="P189" s="3">
        <f>(39493.49*(IF((VLOOKUP(B189,AmmoTypeFactors,6,FALSE)="Bomb_Secondary"),1.33,1)*('Ammo Input'!H189*0.35)/1000)^0.6/1000)*10/3*VLOOKUP(B189,AmmoTypeFactors,4,FALSE)</f>
        <v>0</v>
      </c>
    </row>
    <row r="190" ht="14.4" spans="1:16">
      <c r="A190" s="18" t="str">
        <f>'Ammo Input'!A190</f>
        <v>23x115mm(HV)</v>
      </c>
      <c r="B190" s="1" t="str">
        <f>'Ammo Input'!B190</f>
        <v>AP-I</v>
      </c>
      <c r="C190">
        <f>(0.579*('Ammo Stats'!G190*IF(OR(B190="HEAT",B190="HEDP"),10,'Ammo Input'!F190)*VLOOKUP(B190,AmmoTypeFactors,7,FALSE))^(0.346))^IF(B190="HEDP",2.1,1)/IF(B190="HEDP",50,1)</f>
        <v>59.879180537138</v>
      </c>
      <c r="D190" s="16">
        <f>IF(VLOOKUP(B190,AmmoTypeFactors,8,FALSE),J190,C190)*VLOOKUP('Ammo Input'!B190,AmmoTypeFactors,2,FALSE)</f>
        <v>47.9033444297104</v>
      </c>
      <c r="E190" s="16">
        <f>IF(OR(VLOOKUP(B190,AmmoTypeFactors,6,FALSE)="Bomb",VLOOKUP(B190,AmmoTypeFactors,6,FALSE)="Thermobaric"),J190*VLOOKUP(B190,AmmoTypeFactors,4,FALSE),IF(VLOOKUP(B190,AmmoTypeFactors,11,FALSE),P190,C190*VLOOKUP(B190,AmmoTypeFactors,4,FALSE)))</f>
        <v>31.9240503255985</v>
      </c>
      <c r="F190" s="16">
        <f>'Ammo Stats'!G190/0.005</f>
        <v>11557600</v>
      </c>
      <c r="G190" s="16">
        <f>(IF(B190="HEAT",10,'Ammo Input'!F190)*VLOOKUP(B190,AmmoTypeFactors,7,FALSE)*0.5)^2*PI()/100</f>
        <v>1.03868907109313</v>
      </c>
      <c r="H190" s="10">
        <f t="shared" si="9"/>
        <v>1155.76</v>
      </c>
      <c r="I190" s="10">
        <f>IF(B190&lt;&gt;"Arrow (Flaming)",39493.49*'Ammo Input'!M190^0.6/1000,0)</f>
        <v>0</v>
      </c>
      <c r="J190">
        <f t="shared" si="10"/>
        <v>0</v>
      </c>
      <c r="K190">
        <f t="shared" si="11"/>
        <v>23</v>
      </c>
      <c r="L190">
        <f>200000/('Ammo Stats'!C190*(MAX('Ammo Input'!D190,'Ammo Input'!F190)*0.5)^2*PI())</f>
        <v>998.032173023839</v>
      </c>
      <c r="M190">
        <f>IF(B190="Frag",1,('Ammo Input'!M190/1.33)/('Ammo Input'!H190/1000))</f>
        <v>0</v>
      </c>
      <c r="N190" t="s">
        <v>353</v>
      </c>
      <c r="O190" t="s">
        <v>353</v>
      </c>
      <c r="P190" s="3">
        <f>(39493.49*(IF((VLOOKUP(B190,AmmoTypeFactors,6,FALSE)="Bomb_Secondary"),1.33,1)*('Ammo Input'!H190*0.35)/1000)^0.6/1000)*10/3*VLOOKUP(B190,AmmoTypeFactors,4,FALSE)</f>
        <v>31.9240503255985</v>
      </c>
    </row>
    <row r="191" ht="14.4" spans="1:16">
      <c r="A191" s="18" t="str">
        <f>'Ammo Input'!A191</f>
        <v>23x115mm(HV)</v>
      </c>
      <c r="B191" s="1" t="str">
        <f>'Ammo Input'!B191</f>
        <v>AP-HE</v>
      </c>
      <c r="C191">
        <f>(0.579*('Ammo Stats'!G191*IF(OR(B191="HEAT",B191="HEDP"),10,'Ammo Input'!F191)*VLOOKUP(B191,AmmoTypeFactors,7,FALSE))^(0.346))^IF(B191="HEDP",2.1,1)/IF(B191="HEDP",50,1)</f>
        <v>76.1083359923575</v>
      </c>
      <c r="D191" s="16">
        <f>IF(VLOOKUP(B191,AmmoTypeFactors,8,FALSE),J191,C191)*VLOOKUP('Ammo Input'!B191,AmmoTypeFactors,2,FALSE)</f>
        <v>76.1083359923575</v>
      </c>
      <c r="E191" s="16">
        <f>IF(OR(VLOOKUP(B191,AmmoTypeFactors,6,FALSE)="Bomb",VLOOKUP(B191,AmmoTypeFactors,6,FALSE)="Thermobaric"),J191*VLOOKUP(B191,AmmoTypeFactors,4,FALSE),IF(VLOOKUP(B191,AmmoTypeFactors,11,FALSE),P191,C191*VLOOKUP(B191,AmmoTypeFactors,4,FALSE)))</f>
        <v>43.7096046246055</v>
      </c>
      <c r="F191" s="16">
        <f>'Ammo Stats'!G191/0.005</f>
        <v>11557600</v>
      </c>
      <c r="G191" s="16">
        <f>(IF(B191="HEAT",10,'Ammo Input'!F191)*VLOOKUP(B191,AmmoTypeFactors,7,FALSE)*0.5)^2*PI()/100</f>
        <v>4.1547562843725</v>
      </c>
      <c r="H191" s="10">
        <f t="shared" si="9"/>
        <v>1155.76</v>
      </c>
      <c r="I191" s="10">
        <f>IF(B191&lt;&gt;"Arrow (Flaming)",39493.49*'Ammo Input'!M191^0.6/1000,0)</f>
        <v>0</v>
      </c>
      <c r="J191">
        <f t="shared" si="10"/>
        <v>0</v>
      </c>
      <c r="K191">
        <f t="shared" si="11"/>
        <v>23</v>
      </c>
      <c r="L191">
        <f>200000/('Ammo Stats'!C191*(MAX('Ammo Input'!D191,'Ammo Input'!F191)*0.5)^2*PI())</f>
        <v>998.032173023839</v>
      </c>
      <c r="M191">
        <f>IF(B191="Frag",1,('Ammo Input'!M191/1.33)/('Ammo Input'!H191/1000))</f>
        <v>0</v>
      </c>
      <c r="N191" t="s">
        <v>353</v>
      </c>
      <c r="O191" t="s">
        <v>353</v>
      </c>
      <c r="P191" s="3">
        <f>(39493.49*(IF((VLOOKUP(B191,AmmoTypeFactors,6,FALSE)="Bomb_Secondary"),1.33,1)*('Ammo Input'!H191*0.35)/1000)^0.6/1000)*10/3*VLOOKUP(B191,AmmoTypeFactors,4,FALSE)</f>
        <v>43.7096046246055</v>
      </c>
    </row>
    <row r="192" ht="15.15" spans="1:16">
      <c r="A192" s="19" t="str">
        <f>'Ammo Input'!A192</f>
        <v>23x115mm(HV)</v>
      </c>
      <c r="B192" s="1" t="str">
        <f>'Ammo Input'!B192</f>
        <v>Sabot</v>
      </c>
      <c r="C192">
        <f>(0.579*('Ammo Stats'!G192*IF(OR(B192="HEAT",B192="HEDP"),10,'Ammo Input'!F192)*VLOOKUP(B192,AmmoTypeFactors,7,FALSE))^(0.346))^IF(B192="HEDP",2.1,1)/IF(B192="HEDP",50,1)</f>
        <v>65.3008339578726</v>
      </c>
      <c r="D192" s="16">
        <f>IF(VLOOKUP(B192,AmmoTypeFactors,8,FALSE),J192,C192)*VLOOKUP('Ammo Input'!B192,AmmoTypeFactors,2,FALSE)</f>
        <v>45.7105837705108</v>
      </c>
      <c r="E192" s="16">
        <f>IF(OR(VLOOKUP(B192,AmmoTypeFactors,6,FALSE)="Bomb",VLOOKUP(B192,AmmoTypeFactors,6,FALSE)="Thermobaric"),J192*VLOOKUP(B192,AmmoTypeFactors,4,FALSE),IF(VLOOKUP(B192,AmmoTypeFactors,11,FALSE),P192,C192*VLOOKUP(B192,AmmoTypeFactors,4,FALSE)))</f>
        <v>0</v>
      </c>
      <c r="F192" s="16">
        <f>'Ammo Stats'!G192/0.005</f>
        <v>14847800</v>
      </c>
      <c r="G192" s="16">
        <f>(IF(B192="HEAT",10,'Ammo Input'!F192)*VLOOKUP(B192,AmmoTypeFactors,7,FALSE)*0.5)^2*PI()/100</f>
        <v>1.03868907109313</v>
      </c>
      <c r="H192" s="10">
        <f t="shared" si="9"/>
        <v>1484.78</v>
      </c>
      <c r="I192" s="10">
        <f>IF(B192&lt;&gt;"Arrow (Flaming)",39493.49*'Ammo Input'!M192^0.6/1000,0)</f>
        <v>0</v>
      </c>
      <c r="J192">
        <f t="shared" si="10"/>
        <v>0</v>
      </c>
      <c r="K192">
        <f t="shared" si="11"/>
        <v>25</v>
      </c>
      <c r="L192">
        <f>200000/('Ammo Stats'!C192*(MAX('Ammo Input'!D192,'Ammo Input'!F192)*0.5)^2*PI())</f>
        <v>998.032173023839</v>
      </c>
      <c r="M192">
        <f>IF(B192="Frag",1,('Ammo Input'!M192/1.33)/('Ammo Input'!H192/1000))</f>
        <v>0</v>
      </c>
      <c r="N192" t="s">
        <v>353</v>
      </c>
      <c r="O192" t="s">
        <v>353</v>
      </c>
      <c r="P192" s="3">
        <f>(39493.49*(IF((VLOOKUP(B192,AmmoTypeFactors,6,FALSE)="Bomb_Secondary"),1.33,1)*('Ammo Input'!H192*0.35)/1000)^0.6/1000)*10/3*VLOOKUP(B192,AmmoTypeFactors,4,FALSE)</f>
        <v>0</v>
      </c>
    </row>
    <row r="193" ht="14.4" spans="1:16">
      <c r="A193" t="str">
        <f>'Ammo Input'!A193</f>
        <v>30x165mm</v>
      </c>
      <c r="B193" s="1" t="str">
        <f>'Ammo Input'!B193</f>
        <v>AP</v>
      </c>
      <c r="C193">
        <f>(0.579*('Ammo Stats'!G193*IF(OR(B193="HEAT",B193="HEDP"),10,'Ammo Input'!F193)*VLOOKUP(B193,AmmoTypeFactors,7,FALSE))^(0.346))^IF(B193="HEDP",2.1,1)/IF(B193="HEDP",50,1)</f>
        <v>92.9595326005522</v>
      </c>
      <c r="D193" s="16">
        <f>IF(VLOOKUP(B193,AmmoTypeFactors,8,FALSE),J193,C193)*VLOOKUP('Ammo Input'!B193,AmmoTypeFactors,2,FALSE)</f>
        <v>74.3676260804418</v>
      </c>
      <c r="E193" s="16">
        <f>IF(OR(VLOOKUP(B193,AmmoTypeFactors,6,FALSE)="Bomb",VLOOKUP(B193,AmmoTypeFactors,6,FALSE)="Thermobaric"),J193*VLOOKUP(B193,AmmoTypeFactors,4,FALSE),IF(VLOOKUP(B193,AmmoTypeFactors,11,FALSE),P193,C193*VLOOKUP(B193,AmmoTypeFactors,4,FALSE)))</f>
        <v>0</v>
      </c>
      <c r="F193" s="16">
        <f>'Ammo Stats'!G193/0.005</f>
        <v>31590000</v>
      </c>
      <c r="G193" s="16">
        <f>(IF(B193="HEAT",10,'Ammo Input'!F193)*VLOOKUP(B193,AmmoTypeFactors,7,FALSE)*0.5)^2*PI()/100</f>
        <v>1.76714586764426</v>
      </c>
      <c r="H193" s="10">
        <f t="shared" si="9"/>
        <v>3159</v>
      </c>
      <c r="I193" s="10">
        <f>IF(B193&lt;&gt;"Arrow (Flaming)",39493.49*'Ammo Input'!M193^0.6/1000,0)</f>
        <v>0</v>
      </c>
      <c r="J193">
        <f t="shared" si="10"/>
        <v>0</v>
      </c>
      <c r="K193">
        <f t="shared" si="11"/>
        <v>32</v>
      </c>
      <c r="L193">
        <f>200000/('Ammo Stats'!C193*(MAX('Ammo Input'!D193,'Ammo Input'!F193)*0.5)^2*PI())</f>
        <v>360.405215334908</v>
      </c>
      <c r="M193">
        <f>IF(B193="Frag",1,('Ammo Input'!M193/1.33)/('Ammo Input'!H193/1000))</f>
        <v>0</v>
      </c>
      <c r="N193" t="s">
        <v>353</v>
      </c>
      <c r="O193" t="s">
        <v>353</v>
      </c>
      <c r="P193" s="3">
        <f>(39493.49*(IF((VLOOKUP(B193,AmmoTypeFactors,6,FALSE)="Bomb_Secondary"),1.33,1)*('Ammo Input'!H193*0.35)/1000)^0.6/1000)*10/3*VLOOKUP(B193,AmmoTypeFactors,4,FALSE)</f>
        <v>0</v>
      </c>
    </row>
    <row r="194" ht="14.4" spans="1:16">
      <c r="A194" t="str">
        <f>'Ammo Input'!A194</f>
        <v>30x165mm</v>
      </c>
      <c r="B194" s="1" t="str">
        <f>'Ammo Input'!B194</f>
        <v>AP-I</v>
      </c>
      <c r="C194">
        <f>(0.579*('Ammo Stats'!G194*IF(OR(B194="HEAT",B194="HEDP"),10,'Ammo Input'!F194)*VLOOKUP(B194,AmmoTypeFactors,7,FALSE))^(0.346))^IF(B194="HEDP",2.1,1)/IF(B194="HEDP",50,1)</f>
        <v>92.9595326005522</v>
      </c>
      <c r="D194" s="16">
        <f>IF(VLOOKUP(B194,AmmoTypeFactors,8,FALSE),J194,C194)*VLOOKUP('Ammo Input'!B194,AmmoTypeFactors,2,FALSE)</f>
        <v>74.3676260804418</v>
      </c>
      <c r="E194" s="16">
        <f>IF(OR(VLOOKUP(B194,AmmoTypeFactors,6,FALSE)="Bomb",VLOOKUP(B194,AmmoTypeFactors,6,FALSE)="Thermobaric"),J194*VLOOKUP(B194,AmmoTypeFactors,4,FALSE),IF(VLOOKUP(B194,AmmoTypeFactors,11,FALSE),P194,C194*VLOOKUP(B194,AmmoTypeFactors,4,FALSE)))</f>
        <v>51.8116236239195</v>
      </c>
      <c r="F194" s="16">
        <f>'Ammo Stats'!G194/0.005</f>
        <v>31590000</v>
      </c>
      <c r="G194" s="16">
        <f>(IF(B194="HEAT",10,'Ammo Input'!F194)*VLOOKUP(B194,AmmoTypeFactors,7,FALSE)*0.5)^2*PI()/100</f>
        <v>1.76714586764426</v>
      </c>
      <c r="H194" s="10">
        <f t="shared" si="9"/>
        <v>3159</v>
      </c>
      <c r="I194" s="10">
        <f>IF(B194&lt;&gt;"Arrow (Flaming)",39493.49*'Ammo Input'!M194^0.6/1000,0)</f>
        <v>0</v>
      </c>
      <c r="J194">
        <f t="shared" si="10"/>
        <v>0</v>
      </c>
      <c r="K194">
        <f t="shared" si="11"/>
        <v>32</v>
      </c>
      <c r="L194">
        <f>200000/('Ammo Stats'!C194*(MAX('Ammo Input'!D194,'Ammo Input'!F194)*0.5)^2*PI())</f>
        <v>360.405215334908</v>
      </c>
      <c r="M194">
        <f>IF(B194="Frag",1,('Ammo Input'!M194/1.33)/('Ammo Input'!H194/1000))</f>
        <v>0</v>
      </c>
      <c r="N194" t="s">
        <v>353</v>
      </c>
      <c r="O194" t="s">
        <v>353</v>
      </c>
      <c r="P194" s="3">
        <f>(39493.49*(IF((VLOOKUP(B194,AmmoTypeFactors,6,FALSE)="Bomb_Secondary"),1.33,1)*('Ammo Input'!H194*0.35)/1000)^0.6/1000)*10/3*VLOOKUP(B194,AmmoTypeFactors,4,FALSE)</f>
        <v>51.8116236239195</v>
      </c>
    </row>
    <row r="195" ht="14.4" spans="1:16">
      <c r="A195" t="str">
        <f>'Ammo Input'!A195</f>
        <v>30x165mm</v>
      </c>
      <c r="B195" s="1" t="str">
        <f>'Ammo Input'!B195</f>
        <v>AP-HE</v>
      </c>
      <c r="C195">
        <f>(0.579*('Ammo Stats'!G195*IF(OR(B195="HEAT",B195="HEDP"),10,'Ammo Input'!F195)*VLOOKUP(B195,AmmoTypeFactors,7,FALSE))^(0.346))^IF(B195="HEDP",2.1,1)/IF(B195="HEDP",50,1)</f>
        <v>118.154511758345</v>
      </c>
      <c r="D195" s="16">
        <f>IF(VLOOKUP(B195,AmmoTypeFactors,8,FALSE),J195,C195)*VLOOKUP('Ammo Input'!B195,AmmoTypeFactors,2,FALSE)</f>
        <v>118.154511758345</v>
      </c>
      <c r="E195" s="16">
        <f>IF(OR(VLOOKUP(B195,AmmoTypeFactors,6,FALSE)="Bomb",VLOOKUP(B195,AmmoTypeFactors,6,FALSE)="Thermobaric"),J195*VLOOKUP(B195,AmmoTypeFactors,4,FALSE),IF(VLOOKUP(B195,AmmoTypeFactors,11,FALSE),P195,C195*VLOOKUP(B195,AmmoTypeFactors,4,FALSE)))</f>
        <v>70.9391684470706</v>
      </c>
      <c r="F195" s="16">
        <f>'Ammo Stats'!G195/0.005</f>
        <v>31590000</v>
      </c>
      <c r="G195" s="16">
        <f>(IF(B195="HEAT",10,'Ammo Input'!F195)*VLOOKUP(B195,AmmoTypeFactors,7,FALSE)*0.5)^2*PI()/100</f>
        <v>7.06858347057703</v>
      </c>
      <c r="H195" s="10">
        <f t="shared" si="9"/>
        <v>3159</v>
      </c>
      <c r="I195" s="10">
        <f>IF(B195&lt;&gt;"Arrow (Flaming)",39493.49*'Ammo Input'!M195^0.6/1000,0)</f>
        <v>0</v>
      </c>
      <c r="J195">
        <f t="shared" si="10"/>
        <v>0</v>
      </c>
      <c r="K195">
        <f t="shared" si="11"/>
        <v>32</v>
      </c>
      <c r="L195">
        <f>200000/('Ammo Stats'!C195*(MAX('Ammo Input'!D195,'Ammo Input'!F195)*0.5)^2*PI())</f>
        <v>360.405215334908</v>
      </c>
      <c r="M195">
        <f>IF(B195="Frag",1,('Ammo Input'!M195/1.33)/('Ammo Input'!H195/1000))</f>
        <v>0</v>
      </c>
      <c r="N195" t="s">
        <v>353</v>
      </c>
      <c r="O195" t="s">
        <v>353</v>
      </c>
      <c r="P195" s="3">
        <f>(39493.49*(IF((VLOOKUP(B195,AmmoTypeFactors,6,FALSE)="Bomb_Secondary"),1.33,1)*('Ammo Input'!H195*0.35)/1000)^0.6/1000)*10/3*VLOOKUP(B195,AmmoTypeFactors,4,FALSE)</f>
        <v>70.9391684470706</v>
      </c>
    </row>
    <row r="196" ht="14.4" spans="1:16">
      <c r="A196" t="str">
        <f>'Ammo Input'!A196</f>
        <v>30x165mm</v>
      </c>
      <c r="B196" s="1" t="str">
        <f>'Ammo Input'!B196</f>
        <v>Sabot</v>
      </c>
      <c r="C196">
        <f>(0.579*('Ammo Stats'!G196*IF(OR(B196="HEAT",B196="HEDP"),10,'Ammo Input'!F196)*VLOOKUP(B196,AmmoTypeFactors,7,FALSE))^(0.346))^IF(B196="HEDP",2.1,1)/IF(B196="HEDP",50,1)</f>
        <v>89.55416673786</v>
      </c>
      <c r="D196" s="16">
        <f>IF(VLOOKUP(B196,AmmoTypeFactors,8,FALSE),J196,C196)*VLOOKUP('Ammo Input'!B196,AmmoTypeFactors,2,FALSE)</f>
        <v>62.687916716502</v>
      </c>
      <c r="E196" s="16">
        <f>IF(OR(VLOOKUP(B196,AmmoTypeFactors,6,FALSE)="Bomb",VLOOKUP(B196,AmmoTypeFactors,6,FALSE)="Thermobaric"),J196*VLOOKUP(B196,AmmoTypeFactors,4,FALSE),IF(VLOOKUP(B196,AmmoTypeFactors,11,FALSE),P196,C196*VLOOKUP(B196,AmmoTypeFactors,4,FALSE)))</f>
        <v>0</v>
      </c>
      <c r="F196" s="16">
        <f>'Ammo Stats'!G196/0.005</f>
        <v>40514200</v>
      </c>
      <c r="G196" s="16">
        <f>(IF(B196="HEAT",10,'Ammo Input'!F196)*VLOOKUP(B196,AmmoTypeFactors,7,FALSE)*0.5)^2*PI()/100</f>
        <v>0.865901475145687</v>
      </c>
      <c r="H196" s="10">
        <f t="shared" si="9"/>
        <v>4051.42</v>
      </c>
      <c r="I196" s="10">
        <f>IF(B196&lt;&gt;"Arrow (Flaming)",39493.49*'Ammo Input'!M196^0.6/1000,0)</f>
        <v>0</v>
      </c>
      <c r="J196">
        <f t="shared" si="10"/>
        <v>0</v>
      </c>
      <c r="K196">
        <f t="shared" si="11"/>
        <v>34</v>
      </c>
      <c r="L196">
        <f>200000/('Ammo Stats'!C196*(MAX('Ammo Input'!D196,'Ammo Input'!F196)*0.5)^2*PI())</f>
        <v>360.405215334908</v>
      </c>
      <c r="M196">
        <f>IF(B196="Frag",1,('Ammo Input'!M196/1.33)/('Ammo Input'!H196/1000))</f>
        <v>0</v>
      </c>
      <c r="N196" t="s">
        <v>353</v>
      </c>
      <c r="O196" t="s">
        <v>353</v>
      </c>
      <c r="P196" s="3">
        <f>(39493.49*(IF((VLOOKUP(B196,AmmoTypeFactors,6,FALSE)="Bomb_Secondary"),1.33,1)*('Ammo Input'!H196*0.35)/1000)^0.6/1000)*10/3*VLOOKUP(B196,AmmoTypeFactors,4,FALSE)</f>
        <v>0</v>
      </c>
    </row>
    <row r="197" ht="14.4" spans="1:16">
      <c r="A197" t="str">
        <f>'Ammo Input'!A197</f>
        <v>30x173mm NATO</v>
      </c>
      <c r="B197" s="1" t="str">
        <f>'Ammo Input'!B197</f>
        <v>AP</v>
      </c>
      <c r="C197">
        <f>(0.579*('Ammo Stats'!G197*IF(OR(B197="HEAT",B197="HEDP"),10,'Ammo Input'!F197)*VLOOKUP(B197,AmmoTypeFactors,7,FALSE))^(0.346))^IF(B197="HEDP",2.1,1)/IF(B197="HEDP",50,1)</f>
        <v>99.5402841707503</v>
      </c>
      <c r="D197" s="16">
        <f>IF(VLOOKUP(B197,AmmoTypeFactors,8,FALSE),J197,C197)*VLOOKUP('Ammo Input'!B197,AmmoTypeFactors,2,FALSE)</f>
        <v>79.6322273366002</v>
      </c>
      <c r="E197" s="16">
        <f>IF(OR(VLOOKUP(B197,AmmoTypeFactors,6,FALSE)="Bomb",VLOOKUP(B197,AmmoTypeFactors,6,FALSE)="Thermobaric"),J197*VLOOKUP(B197,AmmoTypeFactors,4,FALSE),IF(VLOOKUP(B197,AmmoTypeFactors,11,FALSE),P197,C197*VLOOKUP(B197,AmmoTypeFactors,4,FALSE)))</f>
        <v>0</v>
      </c>
      <c r="F197" s="16">
        <f>'Ammo Stats'!G197/0.005</f>
        <v>38494800</v>
      </c>
      <c r="G197" s="16">
        <f>(IF(B197="HEAT",10,'Ammo Input'!F197)*VLOOKUP(B197,AmmoTypeFactors,7,FALSE)*0.5)^2*PI()/100</f>
        <v>1.76714586764426</v>
      </c>
      <c r="H197" s="10">
        <f t="shared" si="9"/>
        <v>3849.48</v>
      </c>
      <c r="I197" s="10">
        <f>IF(B197&lt;&gt;"Arrow (Flaming)",39493.49*'Ammo Input'!M197^0.6/1000,0)</f>
        <v>0</v>
      </c>
      <c r="J197">
        <f t="shared" si="10"/>
        <v>0</v>
      </c>
      <c r="K197">
        <f t="shared" si="11"/>
        <v>34</v>
      </c>
      <c r="L197">
        <f>200000/('Ammo Stats'!C197*(MAX('Ammo Input'!D197,'Ammo Input'!F197)*0.5)^2*PI())</f>
        <v>117.485731616525</v>
      </c>
      <c r="M197">
        <f>IF(B197="Frag",1,('Ammo Input'!M197/1.33)/('Ammo Input'!H197/1000))</f>
        <v>0</v>
      </c>
      <c r="N197" t="s">
        <v>353</v>
      </c>
      <c r="O197" t="s">
        <v>353</v>
      </c>
      <c r="P197" s="3">
        <f>(39493.49*(IF((VLOOKUP(B197,AmmoTypeFactors,6,FALSE)="Bomb_Secondary"),1.33,1)*('Ammo Input'!H197*0.35)/1000)^0.6/1000)*10/3*VLOOKUP(B197,AmmoTypeFactors,4,FALSE)</f>
        <v>0</v>
      </c>
    </row>
    <row r="198" ht="14.4" spans="1:16">
      <c r="A198" t="str">
        <f>'Ammo Input'!A198</f>
        <v>30x173mm NATO</v>
      </c>
      <c r="B198" s="1" t="str">
        <f>'Ammo Input'!B198</f>
        <v>AP-I</v>
      </c>
      <c r="C198">
        <f>(0.579*('Ammo Stats'!G198*IF(OR(B198="HEAT",B198="HEDP"),10,'Ammo Input'!F198)*VLOOKUP(B198,AmmoTypeFactors,7,FALSE))^(0.346))^IF(B198="HEDP",2.1,1)/IF(B198="HEDP",50,1)</f>
        <v>99.5402841707503</v>
      </c>
      <c r="D198" s="16">
        <f>IF(VLOOKUP(B198,AmmoTypeFactors,8,FALSE),J198,C198)*VLOOKUP('Ammo Input'!B198,AmmoTypeFactors,2,FALSE)</f>
        <v>79.6322273366002</v>
      </c>
      <c r="E198" s="16">
        <f>IF(OR(VLOOKUP(B198,AmmoTypeFactors,6,FALSE)="Bomb",VLOOKUP(B198,AmmoTypeFactors,6,FALSE)="Thermobaric"),J198*VLOOKUP(B198,AmmoTypeFactors,4,FALSE),IF(VLOOKUP(B198,AmmoTypeFactors,11,FALSE),P198,C198*VLOOKUP(B198,AmmoTypeFactors,4,FALSE)))</f>
        <v>50.2006652341268</v>
      </c>
      <c r="F198" s="16">
        <f>'Ammo Stats'!G198/0.005</f>
        <v>38494800</v>
      </c>
      <c r="G198" s="16">
        <f>(IF(B198="HEAT",10,'Ammo Input'!F198)*VLOOKUP(B198,AmmoTypeFactors,7,FALSE)*0.5)^2*PI()/100</f>
        <v>1.76714586764426</v>
      </c>
      <c r="H198" s="10">
        <f t="shared" si="9"/>
        <v>3849.48</v>
      </c>
      <c r="I198" s="10">
        <f>IF(B198&lt;&gt;"Arrow (Flaming)",39493.49*'Ammo Input'!M198^0.6/1000,0)</f>
        <v>0</v>
      </c>
      <c r="J198">
        <f t="shared" si="10"/>
        <v>0</v>
      </c>
      <c r="K198">
        <f t="shared" si="11"/>
        <v>34</v>
      </c>
      <c r="L198">
        <f>200000/('Ammo Stats'!C198*(MAX('Ammo Input'!D198,'Ammo Input'!F198)*0.5)^2*PI())</f>
        <v>117.485731616525</v>
      </c>
      <c r="M198">
        <f>IF(B198="Frag",1,('Ammo Input'!M198/1.33)/('Ammo Input'!H198/1000))</f>
        <v>0</v>
      </c>
      <c r="N198" t="s">
        <v>353</v>
      </c>
      <c r="O198" t="s">
        <v>353</v>
      </c>
      <c r="P198" s="3">
        <f>(39493.49*(IF((VLOOKUP(B198,AmmoTypeFactors,6,FALSE)="Bomb_Secondary"),1.33,1)*('Ammo Input'!H198*0.35)/1000)^0.6/1000)*10/3*VLOOKUP(B198,AmmoTypeFactors,4,FALSE)</f>
        <v>50.2006652341268</v>
      </c>
    </row>
    <row r="199" ht="14.4" spans="1:16">
      <c r="A199" t="str">
        <f>'Ammo Input'!A199</f>
        <v>30x173mm NATO</v>
      </c>
      <c r="B199" s="1" t="str">
        <f>'Ammo Input'!B199</f>
        <v>AP-HE</v>
      </c>
      <c r="C199">
        <f>(0.579*('Ammo Stats'!G199*IF(OR(B199="HEAT",B199="HEDP"),10,'Ammo Input'!F199)*VLOOKUP(B199,AmmoTypeFactors,7,FALSE))^(0.346))^IF(B199="HEDP",2.1,1)/IF(B199="HEDP",50,1)</f>
        <v>126.518855543515</v>
      </c>
      <c r="D199" s="16">
        <f>IF(VLOOKUP(B199,AmmoTypeFactors,8,FALSE),J199,C199)*VLOOKUP('Ammo Input'!B199,AmmoTypeFactors,2,FALSE)</f>
        <v>126.518855543515</v>
      </c>
      <c r="E199" s="16">
        <f>IF(OR(VLOOKUP(B199,AmmoTypeFactors,6,FALSE)="Bomb",VLOOKUP(B199,AmmoTypeFactors,6,FALSE)="Thermobaric"),J199*VLOOKUP(B199,AmmoTypeFactors,4,FALSE),IF(VLOOKUP(B199,AmmoTypeFactors,11,FALSE),P199,C199*VLOOKUP(B199,AmmoTypeFactors,4,FALSE)))</f>
        <v>68.7334848459497</v>
      </c>
      <c r="F199" s="16">
        <f>'Ammo Stats'!G199/0.005</f>
        <v>38494800</v>
      </c>
      <c r="G199" s="16">
        <f>(IF(B199="HEAT",10,'Ammo Input'!F199)*VLOOKUP(B199,AmmoTypeFactors,7,FALSE)*0.5)^2*PI()/100</f>
        <v>7.06858347057703</v>
      </c>
      <c r="H199" s="10">
        <f t="shared" si="9"/>
        <v>3849.48</v>
      </c>
      <c r="I199" s="10">
        <f>IF(B199&lt;&gt;"Arrow (Flaming)",39493.49*'Ammo Input'!M199^0.6/1000,0)</f>
        <v>0</v>
      </c>
      <c r="J199">
        <f t="shared" si="10"/>
        <v>0</v>
      </c>
      <c r="K199">
        <f t="shared" si="11"/>
        <v>34</v>
      </c>
      <c r="L199">
        <f>200000/('Ammo Stats'!C199*(MAX('Ammo Input'!D199,'Ammo Input'!F199)*0.5)^2*PI())</f>
        <v>117.485731616525</v>
      </c>
      <c r="M199">
        <f>IF(B199="Frag",1,('Ammo Input'!M199/1.33)/('Ammo Input'!H199/1000))</f>
        <v>0</v>
      </c>
      <c r="N199" t="s">
        <v>353</v>
      </c>
      <c r="O199" t="s">
        <v>353</v>
      </c>
      <c r="P199" s="3">
        <f>(39493.49*(IF((VLOOKUP(B199,AmmoTypeFactors,6,FALSE)="Bomb_Secondary"),1.33,1)*('Ammo Input'!H199*0.35)/1000)^0.6/1000)*10/3*VLOOKUP(B199,AmmoTypeFactors,4,FALSE)</f>
        <v>68.7334848459497</v>
      </c>
    </row>
    <row r="200" ht="14.4" spans="1:16">
      <c r="A200" t="str">
        <f>'Ammo Input'!A200</f>
        <v>30x173mm NATO</v>
      </c>
      <c r="B200" s="1" t="str">
        <f>'Ammo Input'!B200</f>
        <v>Sabot</v>
      </c>
      <c r="C200">
        <f>(0.579*('Ammo Stats'!G200*IF(OR(B200="HEAT",B200="HEDP"),10,'Ammo Input'!F200)*VLOOKUP(B200,AmmoTypeFactors,7,FALSE))^(0.346))^IF(B200="HEDP",2.1,1)/IF(B200="HEDP",50,1)</f>
        <v>83.3418490477708</v>
      </c>
      <c r="D200" s="16">
        <f>IF(VLOOKUP(B200,AmmoTypeFactors,8,FALSE),J200,C200)*VLOOKUP('Ammo Input'!B200,AmmoTypeFactors,2,FALSE)</f>
        <v>58.3392943334395</v>
      </c>
      <c r="E200" s="16">
        <f>IF(OR(VLOOKUP(B200,AmmoTypeFactors,6,FALSE)="Bomb",VLOOKUP(B200,AmmoTypeFactors,6,FALSE)="Thermobaric"),J200*VLOOKUP(B200,AmmoTypeFactors,4,FALSE),IF(VLOOKUP(B200,AmmoTypeFactors,11,FALSE),P200,C200*VLOOKUP(B200,AmmoTypeFactors,4,FALSE)))</f>
        <v>0</v>
      </c>
      <c r="F200" s="16">
        <f>'Ammo Stats'!G200/0.005</f>
        <v>49369600</v>
      </c>
      <c r="G200" s="16">
        <f>(IF(B200="HEAT",10,'Ammo Input'!F200)*VLOOKUP(B200,AmmoTypeFactors,7,FALSE)*0.5)^2*PI()/100</f>
        <v>0.38484510006475</v>
      </c>
      <c r="H200" s="10">
        <f t="shared" si="9"/>
        <v>4936.96</v>
      </c>
      <c r="I200" s="10">
        <f>IF(B200&lt;&gt;"Arrow (Flaming)",39493.49*'Ammo Input'!M200^0.6/1000,0)</f>
        <v>0</v>
      </c>
      <c r="J200">
        <f t="shared" si="10"/>
        <v>0</v>
      </c>
      <c r="K200">
        <f t="shared" si="11"/>
        <v>37</v>
      </c>
      <c r="L200">
        <f>200000/('Ammo Stats'!C200*(MAX('Ammo Input'!D200,'Ammo Input'!F200)*0.5)^2*PI())</f>
        <v>117.485731616525</v>
      </c>
      <c r="M200">
        <f>IF(B200="Frag",1,('Ammo Input'!M200/1.33)/('Ammo Input'!H200/1000))</f>
        <v>0</v>
      </c>
      <c r="N200" t="s">
        <v>353</v>
      </c>
      <c r="O200" t="s">
        <v>353</v>
      </c>
      <c r="P200" s="3">
        <f>(39493.49*(IF((VLOOKUP(B200,AmmoTypeFactors,6,FALSE)="Bomb_Secondary"),1.33,1)*('Ammo Input'!H200*0.35)/1000)^0.6/1000)*10/3*VLOOKUP(B200,AmmoTypeFactors,4,FALSE)</f>
        <v>0</v>
      </c>
    </row>
    <row r="201" ht="14.4" spans="1:16">
      <c r="A201" t="str">
        <f>'Ammo Input'!A201</f>
        <v>40x311mmR</v>
      </c>
      <c r="B201" s="1" t="str">
        <f>'Ammo Input'!B201</f>
        <v>AP</v>
      </c>
      <c r="C201">
        <f>(0.579*('Ammo Stats'!G201*IF(OR(B201="HEAT",B201="HEDP"),10,'Ammo Input'!F201)*VLOOKUP(B201,AmmoTypeFactors,7,FALSE))^(0.346))^IF(B201="HEDP",2.1,1)/IF(B201="HEDP",50,1)</f>
        <v>131.826999902694</v>
      </c>
      <c r="D201" s="16">
        <f>IF(VLOOKUP(B201,AmmoTypeFactors,8,FALSE),J201,C201)*VLOOKUP('Ammo Input'!B201,AmmoTypeFactors,2,FALSE)</f>
        <v>105.461599922156</v>
      </c>
      <c r="E201" s="16">
        <f>IF(OR(VLOOKUP(B201,AmmoTypeFactors,6,FALSE)="Bomb",VLOOKUP(B201,AmmoTypeFactors,6,FALSE)="Thermobaric"),J201*VLOOKUP(B201,AmmoTypeFactors,4,FALSE),IF(VLOOKUP(B201,AmmoTypeFactors,11,FALSE),P201,C201*VLOOKUP(B201,AmmoTypeFactors,4,FALSE)))</f>
        <v>0</v>
      </c>
      <c r="F201" s="16">
        <f>'Ammo Stats'!G201/0.005</f>
        <v>65025000</v>
      </c>
      <c r="G201" s="16">
        <f>(IF(B201="HEAT",10,'Ammo Input'!F201)*VLOOKUP(B201,AmmoTypeFactors,7,FALSE)*0.5)^2*PI()/100</f>
        <v>3.14159265358979</v>
      </c>
      <c r="H201" s="10">
        <f t="shared" si="9"/>
        <v>6502.5</v>
      </c>
      <c r="I201" s="10">
        <f>IF(B201&lt;&gt;"Arrow (Flaming)",39493.49*'Ammo Input'!M201^0.6/1000,0)</f>
        <v>0</v>
      </c>
      <c r="J201">
        <f t="shared" si="10"/>
        <v>0</v>
      </c>
      <c r="K201">
        <f t="shared" si="11"/>
        <v>40</v>
      </c>
      <c r="L201">
        <f>200000/('Ammo Stats'!C201*(MAX('Ammo Input'!D201,'Ammo Input'!F201)*0.5)^2*PI())</f>
        <v>94.174522539583</v>
      </c>
      <c r="M201">
        <f>IF(B201="Frag",1,('Ammo Input'!M201/1.33)/('Ammo Input'!H201/1000))</f>
        <v>0</v>
      </c>
      <c r="N201" t="s">
        <v>353</v>
      </c>
      <c r="O201" t="s">
        <v>353</v>
      </c>
      <c r="P201" s="3">
        <f>(39493.49*(IF((VLOOKUP(B201,AmmoTypeFactors,6,FALSE)="Bomb_Secondary"),1.33,1)*('Ammo Input'!H201*0.35)/1000)^0.6/1000)*10/3*VLOOKUP(B201,AmmoTypeFactors,4,FALSE)</f>
        <v>0</v>
      </c>
    </row>
    <row r="202" ht="14.4" spans="1:16">
      <c r="A202" t="str">
        <f>'Ammo Input'!A202</f>
        <v>40x311mmR</v>
      </c>
      <c r="B202" s="1" t="str">
        <f>'Ammo Input'!B202</f>
        <v>AP-I</v>
      </c>
      <c r="C202">
        <f>(0.579*('Ammo Stats'!G202*IF(OR(B202="HEAT",B202="HEDP"),10,'Ammo Input'!F202)*VLOOKUP(B202,AmmoTypeFactors,7,FALSE))^(0.346))^IF(B202="HEDP",2.1,1)/IF(B202="HEDP",50,1)</f>
        <v>131.826999902694</v>
      </c>
      <c r="D202" s="16">
        <f>IF(VLOOKUP(B202,AmmoTypeFactors,8,FALSE),J202,C202)*VLOOKUP('Ammo Input'!B202,AmmoTypeFactors,2,FALSE)</f>
        <v>105.461599922156</v>
      </c>
      <c r="E202" s="16">
        <f>IF(OR(VLOOKUP(B202,AmmoTypeFactors,6,FALSE)="Bomb",VLOOKUP(B202,AmmoTypeFactors,6,FALSE)="Thermobaric"),J202*VLOOKUP(B202,AmmoTypeFactors,4,FALSE),IF(VLOOKUP(B202,AmmoTypeFactors,11,FALSE),P202,C202*VLOOKUP(B202,AmmoTypeFactors,4,FALSE)))</f>
        <v>85.5724454943972</v>
      </c>
      <c r="F202" s="16">
        <f>'Ammo Stats'!G202/0.005</f>
        <v>65025000</v>
      </c>
      <c r="G202" s="16">
        <f>(IF(B202="HEAT",10,'Ammo Input'!F202)*VLOOKUP(B202,AmmoTypeFactors,7,FALSE)*0.5)^2*PI()/100</f>
        <v>3.14159265358979</v>
      </c>
      <c r="H202" s="10">
        <f t="shared" si="9"/>
        <v>6502.5</v>
      </c>
      <c r="I202" s="10">
        <f>IF(B202&lt;&gt;"Arrow (Flaming)",39493.49*'Ammo Input'!M202^0.6/1000,0)</f>
        <v>0</v>
      </c>
      <c r="J202">
        <f t="shared" si="10"/>
        <v>0</v>
      </c>
      <c r="K202">
        <f t="shared" si="11"/>
        <v>40</v>
      </c>
      <c r="L202">
        <f>200000/('Ammo Stats'!C202*(MAX('Ammo Input'!D202,'Ammo Input'!F202)*0.5)^2*PI())</f>
        <v>94.174522539583</v>
      </c>
      <c r="M202">
        <f>IF(B202="Frag",1,('Ammo Input'!M202/1.33)/('Ammo Input'!H202/1000))</f>
        <v>0</v>
      </c>
      <c r="N202" t="s">
        <v>353</v>
      </c>
      <c r="O202" t="s">
        <v>353</v>
      </c>
      <c r="P202" s="3">
        <f>(39493.49*(IF((VLOOKUP(B202,AmmoTypeFactors,6,FALSE)="Bomb_Secondary"),1.33,1)*('Ammo Input'!H202*0.35)/1000)^0.6/1000)*10/3*VLOOKUP(B202,AmmoTypeFactors,4,FALSE)</f>
        <v>85.5724454943972</v>
      </c>
    </row>
    <row r="203" ht="14.4" spans="1:16">
      <c r="A203" t="str">
        <f>'Ammo Input'!A203</f>
        <v>40x311mmR</v>
      </c>
      <c r="B203" s="1" t="str">
        <f>'Ammo Input'!B203</f>
        <v>AP-HE</v>
      </c>
      <c r="C203">
        <f>(0.579*('Ammo Stats'!G203*IF(OR(B203="HEAT",B203="HEDP"),10,'Ammo Input'!F203)*VLOOKUP(B203,AmmoTypeFactors,7,FALSE))^(0.346))^IF(B203="HEDP",2.1,1)/IF(B203="HEDP",50,1)</f>
        <v>167.55629438242</v>
      </c>
      <c r="D203" s="16">
        <f>IF(VLOOKUP(B203,AmmoTypeFactors,8,FALSE),J203,C203)*VLOOKUP('Ammo Input'!B203,AmmoTypeFactors,2,FALSE)</f>
        <v>167.55629438242</v>
      </c>
      <c r="E203" s="16">
        <f>IF(OR(VLOOKUP(B203,AmmoTypeFactors,6,FALSE)="Bomb",VLOOKUP(B203,AmmoTypeFactors,6,FALSE)="Thermobaric"),J203*VLOOKUP(B203,AmmoTypeFactors,4,FALSE),IF(VLOOKUP(B203,AmmoTypeFactors,11,FALSE),P203,C203*VLOOKUP(B203,AmmoTypeFactors,4,FALSE)))</f>
        <v>117.16363435004</v>
      </c>
      <c r="F203" s="16">
        <f>'Ammo Stats'!G203/0.005</f>
        <v>65025000</v>
      </c>
      <c r="G203" s="16">
        <f>(IF(B203="HEAT",10,'Ammo Input'!F203)*VLOOKUP(B203,AmmoTypeFactors,7,FALSE)*0.5)^2*PI()/100</f>
        <v>12.5663706143592</v>
      </c>
      <c r="H203" s="10">
        <f t="shared" si="9"/>
        <v>6502.5</v>
      </c>
      <c r="I203" s="10">
        <f>IF(B203&lt;&gt;"Arrow (Flaming)",39493.49*'Ammo Input'!M203^0.6/1000,0)</f>
        <v>0</v>
      </c>
      <c r="J203">
        <f t="shared" si="10"/>
        <v>0</v>
      </c>
      <c r="K203">
        <f t="shared" si="11"/>
        <v>40</v>
      </c>
      <c r="L203">
        <f>200000/('Ammo Stats'!C203*(MAX('Ammo Input'!D203,'Ammo Input'!F203)*0.5)^2*PI())</f>
        <v>94.174522539583</v>
      </c>
      <c r="M203">
        <f>IF(B203="Frag",1,('Ammo Input'!M203/1.33)/('Ammo Input'!H203/1000))</f>
        <v>0</v>
      </c>
      <c r="N203" t="s">
        <v>353</v>
      </c>
      <c r="O203" t="s">
        <v>353</v>
      </c>
      <c r="P203" s="3">
        <f>(39493.49*(IF((VLOOKUP(B203,AmmoTypeFactors,6,FALSE)="Bomb_Secondary"),1.33,1)*('Ammo Input'!H203*0.35)/1000)^0.6/1000)*10/3*VLOOKUP(B203,AmmoTypeFactors,4,FALSE)</f>
        <v>117.16363435004</v>
      </c>
    </row>
    <row r="204" ht="14.4" spans="1:16">
      <c r="A204" t="str">
        <f>'Ammo Input'!A204</f>
        <v>40x311mmR</v>
      </c>
      <c r="B204" s="1" t="str">
        <f>'Ammo Input'!B204</f>
        <v>Sabot</v>
      </c>
      <c r="C204">
        <f>(0.579*('Ammo Stats'!G204*IF(OR(B204="HEAT",B204="HEDP"),10,'Ammo Input'!F204)*VLOOKUP(B204,AmmoTypeFactors,7,FALSE))^(0.346))^IF(B204="HEDP",2.1,1)/IF(B204="HEDP",50,1)</f>
        <v>126.997803407483</v>
      </c>
      <c r="D204" s="16">
        <f>IF(VLOOKUP(B204,AmmoTypeFactors,8,FALSE),J204,C204)*VLOOKUP('Ammo Input'!B204,AmmoTypeFactors,2,FALSE)</f>
        <v>88.8984623852378</v>
      </c>
      <c r="E204" s="16">
        <f>IF(OR(VLOOKUP(B204,AmmoTypeFactors,6,FALSE)="Bomb",VLOOKUP(B204,AmmoTypeFactors,6,FALSE)="Thermobaric"),J204*VLOOKUP(B204,AmmoTypeFactors,4,FALSE),IF(VLOOKUP(B204,AmmoTypeFactors,11,FALSE),P204,C204*VLOOKUP(B204,AmmoTypeFactors,4,FALSE)))</f>
        <v>0</v>
      </c>
      <c r="F204" s="16">
        <f>'Ammo Stats'!G204/0.005</f>
        <v>83394600</v>
      </c>
      <c r="G204" s="16">
        <f>(IF(B204="HEAT",10,'Ammo Input'!F204)*VLOOKUP(B204,AmmoTypeFactors,7,FALSE)*0.5)^2*PI()/100</f>
        <v>1.539380400259</v>
      </c>
      <c r="H204" s="10">
        <f t="shared" si="9"/>
        <v>8339.46</v>
      </c>
      <c r="I204" s="10">
        <f>IF(B204&lt;&gt;"Arrow (Flaming)",39493.49*'Ammo Input'!M204^0.6/1000,0)</f>
        <v>0</v>
      </c>
      <c r="J204">
        <f t="shared" si="10"/>
        <v>0</v>
      </c>
      <c r="K204">
        <f t="shared" si="11"/>
        <v>44</v>
      </c>
      <c r="L204">
        <f>200000/('Ammo Stats'!C204*(MAX('Ammo Input'!D204,'Ammo Input'!F204)*0.5)^2*PI())</f>
        <v>94.174522539583</v>
      </c>
      <c r="M204">
        <f>IF(B204="Frag",1,('Ammo Input'!M204/1.33)/('Ammo Input'!H204/1000))</f>
        <v>0</v>
      </c>
      <c r="N204" t="s">
        <v>353</v>
      </c>
      <c r="O204" t="s">
        <v>353</v>
      </c>
      <c r="P204" s="3">
        <f>(39493.49*(IF((VLOOKUP(B204,AmmoTypeFactors,6,FALSE)="Bomb_Secondary"),1.33,1)*('Ammo Input'!H204*0.35)/1000)^0.6/1000)*10/3*VLOOKUP(B204,AmmoTypeFactors,4,FALSE)</f>
        <v>0</v>
      </c>
    </row>
    <row r="205" ht="14.4" spans="1:16">
      <c r="A205" t="str">
        <f>'Ammo Input'!A205</f>
        <v>.470 NE</v>
      </c>
      <c r="B205" s="1" t="str">
        <f>'Ammo Input'!B205</f>
        <v>FMJ</v>
      </c>
      <c r="C205">
        <f>(0.579*('Ammo Stats'!G205*IF(OR(B205="HEAT",B205="HEDP"),10,'Ammo Input'!F205)*VLOOKUP(B205,AmmoTypeFactors,7,FALSE))^(0.346))^IF(B205="HEDP",2.1,1)/IF(B205="HEDP",50,1)</f>
        <v>29.3143887614854</v>
      </c>
      <c r="D205" s="16">
        <f>IF(VLOOKUP(B205,AmmoTypeFactors,8,FALSE),J205,C205)*VLOOKUP('Ammo Input'!B205,AmmoTypeFactors,2,FALSE)</f>
        <v>29.3143887614854</v>
      </c>
      <c r="E205" s="16">
        <f>IF(OR(VLOOKUP(B205,AmmoTypeFactors,6,FALSE)="Bomb",VLOOKUP(B205,AmmoTypeFactors,6,FALSE)="Thermobaric"),J205*VLOOKUP(B205,AmmoTypeFactors,4,FALSE),IF(VLOOKUP(B205,AmmoTypeFactors,11,FALSE),P205,C205*VLOOKUP(B205,AmmoTypeFactors,4,FALSE)))</f>
        <v>0</v>
      </c>
      <c r="F205" s="16">
        <f>'Ammo Stats'!G205/0.005</f>
        <v>1394000</v>
      </c>
      <c r="G205" s="16">
        <f>(IF(B205="HEAT",10,'Ammo Input'!F205)*VLOOKUP(B205,AmmoTypeFactors,7,FALSE)*0.5)^2*PI()/100</f>
        <v>1.1499014510302</v>
      </c>
      <c r="H205" s="10">
        <f t="shared" si="9"/>
        <v>139.4</v>
      </c>
      <c r="I205" s="10">
        <f>IF(B205&lt;&gt;"Arrow (Flaming)",39493.49*'Ammo Input'!M205^0.6/1000,0)</f>
        <v>0</v>
      </c>
      <c r="J205">
        <f t="shared" si="10"/>
        <v>0</v>
      </c>
      <c r="K205">
        <f t="shared" si="11"/>
        <v>11</v>
      </c>
      <c r="L205">
        <f>200000/('Ammo Stats'!C205*(MAX('Ammo Input'!D205,'Ammo Input'!F205)*0.5)^2*PI())</f>
        <v>20186.1204080089</v>
      </c>
      <c r="M205">
        <f>IF(B205="Frag",1,('Ammo Input'!M205/1.33)/('Ammo Input'!H205/1000))</f>
        <v>0</v>
      </c>
      <c r="N205" t="s">
        <v>353</v>
      </c>
      <c r="O205" t="s">
        <v>353</v>
      </c>
      <c r="P205" s="3">
        <f>(39493.49*(IF((VLOOKUP(B205,AmmoTypeFactors,6,FALSE)="Bomb_Secondary"),1.33,1)*('Ammo Input'!H205*0.35)/1000)^0.6/1000)*10/3*VLOOKUP(B205,AmmoTypeFactors,4,FALSE)</f>
        <v>0</v>
      </c>
    </row>
    <row r="206" ht="14.4" spans="1:16">
      <c r="A206" t="str">
        <f>'Ammo Input'!A206</f>
        <v>.470 NE</v>
      </c>
      <c r="B206" s="1" t="str">
        <f>'Ammo Input'!B206</f>
        <v>AP</v>
      </c>
      <c r="C206">
        <f>(0.579*('Ammo Stats'!G206*IF(OR(B206="HEAT",B206="HEDP"),10,'Ammo Input'!F206)*VLOOKUP(B206,AmmoTypeFactors,7,FALSE))^(0.346))^IF(B206="HEDP",2.1,1)/IF(B206="HEDP",50,1)</f>
        <v>23.0634601860313</v>
      </c>
      <c r="D206" s="16">
        <f>IF(VLOOKUP(B206,AmmoTypeFactors,8,FALSE),J206,C206)*VLOOKUP('Ammo Input'!B206,AmmoTypeFactors,2,FALSE)</f>
        <v>18.4507681488251</v>
      </c>
      <c r="E206" s="16">
        <f>IF(OR(VLOOKUP(B206,AmmoTypeFactors,6,FALSE)="Bomb",VLOOKUP(B206,AmmoTypeFactors,6,FALSE)="Thermobaric"),J206*VLOOKUP(B206,AmmoTypeFactors,4,FALSE),IF(VLOOKUP(B206,AmmoTypeFactors,11,FALSE),P206,C206*VLOOKUP(B206,AmmoTypeFactors,4,FALSE)))</f>
        <v>0</v>
      </c>
      <c r="F206" s="16">
        <f>'Ammo Stats'!G206/0.005</f>
        <v>1394000</v>
      </c>
      <c r="G206" s="16">
        <f>(IF(B206="HEAT",10,'Ammo Input'!F206)*VLOOKUP(B206,AmmoTypeFactors,7,FALSE)*0.5)^2*PI()/100</f>
        <v>0.287475362757551</v>
      </c>
      <c r="H206" s="10">
        <f t="shared" si="9"/>
        <v>139.4</v>
      </c>
      <c r="I206" s="10">
        <f>IF(B206&lt;&gt;"Arrow (Flaming)",39493.49*'Ammo Input'!M206^0.6/1000,0)</f>
        <v>0</v>
      </c>
      <c r="J206">
        <f t="shared" si="10"/>
        <v>0</v>
      </c>
      <c r="K206">
        <f t="shared" si="11"/>
        <v>11</v>
      </c>
      <c r="L206">
        <f>200000/('Ammo Stats'!C206*(MAX('Ammo Input'!D206,'Ammo Input'!F206)*0.5)^2*PI())</f>
        <v>20186.1204080089</v>
      </c>
      <c r="M206">
        <f>IF(B206="Frag",1,('Ammo Input'!M206/1.33)/('Ammo Input'!H206/1000))</f>
        <v>0</v>
      </c>
      <c r="N206" t="s">
        <v>353</v>
      </c>
      <c r="O206" t="s">
        <v>353</v>
      </c>
      <c r="P206" s="3">
        <f>(39493.49*(IF((VLOOKUP(B206,AmmoTypeFactors,6,FALSE)="Bomb_Secondary"),1.33,1)*('Ammo Input'!H206*0.35)/1000)^0.6/1000)*10/3*VLOOKUP(B206,AmmoTypeFactors,4,FALSE)</f>
        <v>0</v>
      </c>
    </row>
    <row r="207" ht="14.4" spans="1:16">
      <c r="A207" t="str">
        <f>'Ammo Input'!A207</f>
        <v>.470 NE</v>
      </c>
      <c r="B207" s="1" t="str">
        <f>'Ammo Input'!B207</f>
        <v>AP-I</v>
      </c>
      <c r="C207">
        <f>(0.579*('Ammo Stats'!G207*IF(OR(B207="HEAT",B207="HEDP"),10,'Ammo Input'!F207)*VLOOKUP(B207,AmmoTypeFactors,7,FALSE))^(0.346))^IF(B207="HEDP",2.1,1)/IF(B207="HEDP",50,1)</f>
        <v>23.0634601860313</v>
      </c>
      <c r="D207" s="16">
        <f>IF(VLOOKUP(B207,AmmoTypeFactors,8,FALSE),J207,C207)*VLOOKUP('Ammo Input'!B207,AmmoTypeFactors,2,FALSE)</f>
        <v>18.4507681488251</v>
      </c>
      <c r="E207" s="16">
        <f>IF(OR(VLOOKUP(B207,AmmoTypeFactors,6,FALSE)="Bomb",VLOOKUP(B207,AmmoTypeFactors,6,FALSE)="Thermobaric"),J207*VLOOKUP(B207,AmmoTypeFactors,4,FALSE),IF(VLOOKUP(B207,AmmoTypeFactors,11,FALSE),P207,C207*VLOOKUP(B207,AmmoTypeFactors,4,FALSE)))</f>
        <v>11.5578864858218</v>
      </c>
      <c r="F207" s="16">
        <f>'Ammo Stats'!G207/0.005</f>
        <v>1394000</v>
      </c>
      <c r="G207" s="16">
        <f>(IF(B207="HEAT",10,'Ammo Input'!F207)*VLOOKUP(B207,AmmoTypeFactors,7,FALSE)*0.5)^2*PI()/100</f>
        <v>0.287475362757551</v>
      </c>
      <c r="H207" s="10">
        <f t="shared" si="9"/>
        <v>139.4</v>
      </c>
      <c r="I207" s="10">
        <f>IF(B207&lt;&gt;"Arrow (Flaming)",39493.49*'Ammo Input'!M207^0.6/1000,0)</f>
        <v>0</v>
      </c>
      <c r="J207">
        <f t="shared" si="10"/>
        <v>0</v>
      </c>
      <c r="K207">
        <f t="shared" si="11"/>
        <v>11</v>
      </c>
      <c r="L207">
        <f>200000/('Ammo Stats'!C207*(MAX('Ammo Input'!D207,'Ammo Input'!F207)*0.5)^2*PI())</f>
        <v>20186.1204080089</v>
      </c>
      <c r="M207">
        <f>IF(B207="Frag",1,('Ammo Input'!M207/1.33)/('Ammo Input'!H207/1000))</f>
        <v>0</v>
      </c>
      <c r="N207" t="s">
        <v>353</v>
      </c>
      <c r="O207" t="s">
        <v>353</v>
      </c>
      <c r="P207" s="3">
        <f>(39493.49*(IF((VLOOKUP(B207,AmmoTypeFactors,6,FALSE)="Bomb_Secondary"),1.33,1)*('Ammo Input'!H207*0.35)/1000)^0.6/1000)*10/3*VLOOKUP(B207,AmmoTypeFactors,4,FALSE)</f>
        <v>11.5578864858218</v>
      </c>
    </row>
    <row r="208" ht="14.4" spans="1:16">
      <c r="A208" t="str">
        <f>'Ammo Input'!A208</f>
        <v>.470 NE</v>
      </c>
      <c r="B208" s="1" t="str">
        <f>'Ammo Input'!B208</f>
        <v>AP-HE</v>
      </c>
      <c r="C208">
        <f>(0.579*('Ammo Stats'!G208*IF(OR(B208="HEAT",B208="HEDP"),10,'Ammo Input'!F208)*VLOOKUP(B208,AmmoTypeFactors,7,FALSE))^(0.346))^IF(B208="HEDP",2.1,1)/IF(B208="HEDP",50,1)</f>
        <v>29.3143887614854</v>
      </c>
      <c r="D208" s="16">
        <f>IF(VLOOKUP(B208,AmmoTypeFactors,8,FALSE),J208,C208)*VLOOKUP('Ammo Input'!B208,AmmoTypeFactors,2,FALSE)</f>
        <v>29.3143887614854</v>
      </c>
      <c r="E208" s="16">
        <f>IF(OR(VLOOKUP(B208,AmmoTypeFactors,6,FALSE)="Bomb",VLOOKUP(B208,AmmoTypeFactors,6,FALSE)="Thermobaric"),J208*VLOOKUP(B208,AmmoTypeFactors,4,FALSE),IF(VLOOKUP(B208,AmmoTypeFactors,11,FALSE),P208,C208*VLOOKUP(B208,AmmoTypeFactors,4,FALSE)))</f>
        <v>15.8247667021829</v>
      </c>
      <c r="F208" s="16">
        <f>'Ammo Stats'!G208/0.005</f>
        <v>1394000</v>
      </c>
      <c r="G208" s="16">
        <f>(IF(B208="HEAT",10,'Ammo Input'!F208)*VLOOKUP(B208,AmmoTypeFactors,7,FALSE)*0.5)^2*PI()/100</f>
        <v>1.1499014510302</v>
      </c>
      <c r="H208" s="10">
        <f t="shared" si="9"/>
        <v>139.4</v>
      </c>
      <c r="I208" s="10">
        <f>IF(B208&lt;&gt;"Arrow (Flaming)",39493.49*'Ammo Input'!M208^0.6/1000,0)</f>
        <v>0</v>
      </c>
      <c r="J208">
        <f t="shared" si="10"/>
        <v>0</v>
      </c>
      <c r="K208">
        <f t="shared" si="11"/>
        <v>11</v>
      </c>
      <c r="L208">
        <f>200000/('Ammo Stats'!C208*(MAX('Ammo Input'!D208,'Ammo Input'!F208)*0.5)^2*PI())</f>
        <v>20186.1204080089</v>
      </c>
      <c r="M208">
        <f>IF(B208="Frag",1,('Ammo Input'!M208/1.33)/('Ammo Input'!H208/1000))</f>
        <v>0</v>
      </c>
      <c r="N208" t="s">
        <v>353</v>
      </c>
      <c r="O208" t="s">
        <v>353</v>
      </c>
      <c r="P208" s="3">
        <f>(39493.49*(IF((VLOOKUP(B208,AmmoTypeFactors,6,FALSE)="Bomb_Secondary"),1.33,1)*('Ammo Input'!H208*0.35)/1000)^0.6/1000)*10/3*VLOOKUP(B208,AmmoTypeFactors,4,FALSE)</f>
        <v>15.8247667021829</v>
      </c>
    </row>
    <row r="209" ht="14.4" spans="1:16">
      <c r="A209" t="str">
        <f>'Ammo Input'!A209</f>
        <v>.470 NE</v>
      </c>
      <c r="B209" s="1" t="str">
        <f>'Ammo Input'!B209</f>
        <v>Sabot</v>
      </c>
      <c r="C209">
        <f>(0.579*('Ammo Stats'!G209*IF(OR(B209="HEAT",B209="HEDP"),10,'Ammo Input'!F209)*VLOOKUP(B209,AmmoTypeFactors,7,FALSE))^(0.346))^IF(B209="HEDP",2.1,1)/IF(B209="HEDP",50,1)</f>
        <v>22.218555339534</v>
      </c>
      <c r="D209" s="16">
        <f>IF(VLOOKUP(B209,AmmoTypeFactors,8,FALSE),J209,C209)*VLOOKUP('Ammo Input'!B209,AmmoTypeFactors,2,FALSE)</f>
        <v>15.5529887376738</v>
      </c>
      <c r="E209" s="16">
        <f>IF(OR(VLOOKUP(B209,AmmoTypeFactors,6,FALSE)="Bomb",VLOOKUP(B209,AmmoTypeFactors,6,FALSE)="Thermobaric"),J209*VLOOKUP(B209,AmmoTypeFactors,4,FALSE),IF(VLOOKUP(B209,AmmoTypeFactors,11,FALSE),P209,C209*VLOOKUP(B209,AmmoTypeFactors,4,FALSE)))</f>
        <v>0</v>
      </c>
      <c r="F209" s="16">
        <f>'Ammo Stats'!G209/0.005</f>
        <v>1787800</v>
      </c>
      <c r="G209" s="16">
        <f>(IF(B209="HEAT",10,'Ammo Input'!F209)*VLOOKUP(B209,AmmoTypeFactors,7,FALSE)*0.5)^2*PI()/100</f>
        <v>0.1408629277512</v>
      </c>
      <c r="H209" s="10">
        <f t="shared" si="9"/>
        <v>178.78</v>
      </c>
      <c r="I209" s="10">
        <f>IF(B209&lt;&gt;"Arrow (Flaming)",39493.49*'Ammo Input'!M209^0.6/1000,0)</f>
        <v>0</v>
      </c>
      <c r="J209">
        <f t="shared" si="10"/>
        <v>0</v>
      </c>
      <c r="K209">
        <f t="shared" si="11"/>
        <v>12</v>
      </c>
      <c r="L209">
        <f>200000/('Ammo Stats'!C209*(MAX('Ammo Input'!D209,'Ammo Input'!F209)*0.5)^2*PI())</f>
        <v>20186.1204080089</v>
      </c>
      <c r="M209">
        <f>IF(B209="Frag",1,('Ammo Input'!M209/1.33)/('Ammo Input'!H209/1000))</f>
        <v>0</v>
      </c>
      <c r="N209" t="s">
        <v>353</v>
      </c>
      <c r="O209" t="s">
        <v>353</v>
      </c>
      <c r="P209" s="3">
        <f>(39493.49*(IF((VLOOKUP(B209,AmmoTypeFactors,6,FALSE)="Bomb_Secondary"),1.33,1)*('Ammo Input'!H209*0.35)/1000)^0.6/1000)*10/3*VLOOKUP(B209,AmmoTypeFactors,4,FALSE)</f>
        <v>0</v>
      </c>
    </row>
    <row r="210" ht="14.4" spans="1:16">
      <c r="A210" t="str">
        <f>'Ammo Input'!A210</f>
        <v>.600 NE</v>
      </c>
      <c r="B210" s="1" t="str">
        <f>'Ammo Input'!B210</f>
        <v>FMJ</v>
      </c>
      <c r="C210">
        <f>(0.579*('Ammo Stats'!G210*IF(OR(B210="HEAT",B210="HEDP"),10,'Ammo Input'!F210)*VLOOKUP(B210,AmmoTypeFactors,7,FALSE))^(0.346))^IF(B210="HEDP",2.1,1)/IF(B210="HEDP",50,1)</f>
        <v>37.7389655449744</v>
      </c>
      <c r="D210" s="16">
        <f>IF(VLOOKUP(B210,AmmoTypeFactors,8,FALSE),J210,C210)*VLOOKUP('Ammo Input'!B210,AmmoTypeFactors,2,FALSE)</f>
        <v>37.7389655449744</v>
      </c>
      <c r="E210" s="16">
        <f>IF(OR(VLOOKUP(B210,AmmoTypeFactors,6,FALSE)="Bomb",VLOOKUP(B210,AmmoTypeFactors,6,FALSE)="Thermobaric"),J210*VLOOKUP(B210,AmmoTypeFactors,4,FALSE),IF(VLOOKUP(B210,AmmoTypeFactors,11,FALSE),P210,C210*VLOOKUP(B210,AmmoTypeFactors,4,FALSE)))</f>
        <v>0</v>
      </c>
      <c r="F210" s="16">
        <f>'Ammo Stats'!G210/0.005</f>
        <v>2229600</v>
      </c>
      <c r="G210" s="16">
        <f>(IF(B210="HEAT",10,'Ammo Input'!F210)*VLOOKUP(B210,AmmoTypeFactors,7,FALSE)*0.5)^2*PI()/100</f>
        <v>1.93592793295837</v>
      </c>
      <c r="H210" s="10">
        <f t="shared" si="9"/>
        <v>222.96</v>
      </c>
      <c r="I210" s="10">
        <f>IF(B210&lt;&gt;"Arrow (Flaming)",39493.49*'Ammo Input'!M210^0.6/1000,0)</f>
        <v>0</v>
      </c>
      <c r="J210">
        <f t="shared" si="10"/>
        <v>0</v>
      </c>
      <c r="K210">
        <f t="shared" si="11"/>
        <v>13</v>
      </c>
      <c r="L210">
        <f>200000/('Ammo Stats'!C210*(MAX('Ammo Input'!D210,'Ammo Input'!F210)*0.5)^2*PI())</f>
        <v>15589.0975786368</v>
      </c>
      <c r="M210">
        <f>IF(B210="Frag",1,('Ammo Input'!M210/1.33)/('Ammo Input'!H210/1000))</f>
        <v>0</v>
      </c>
      <c r="N210" t="s">
        <v>353</v>
      </c>
      <c r="O210" t="s">
        <v>353</v>
      </c>
      <c r="P210" s="3">
        <f>(39493.49*(IF((VLOOKUP(B210,AmmoTypeFactors,6,FALSE)="Bomb_Secondary"),1.33,1)*('Ammo Input'!H210*0.35)/1000)^0.6/1000)*10/3*VLOOKUP(B210,AmmoTypeFactors,4,FALSE)</f>
        <v>0</v>
      </c>
    </row>
    <row r="211" ht="14.4" spans="1:16">
      <c r="A211" t="str">
        <f>'Ammo Input'!A211</f>
        <v>.600 NE</v>
      </c>
      <c r="B211" s="1" t="str">
        <f>'Ammo Input'!B211</f>
        <v>AP</v>
      </c>
      <c r="C211">
        <f>(0.579*('Ammo Stats'!G211*IF(OR(B211="HEAT",B211="HEDP"),10,'Ammo Input'!F211)*VLOOKUP(B211,AmmoTypeFactors,7,FALSE))^(0.346))^IF(B211="HEDP",2.1,1)/IF(B211="HEDP",50,1)</f>
        <v>29.691600817278</v>
      </c>
      <c r="D211" s="16">
        <f>IF(VLOOKUP(B211,AmmoTypeFactors,8,FALSE),J211,C211)*VLOOKUP('Ammo Input'!B211,AmmoTypeFactors,2,FALSE)</f>
        <v>23.7532806538224</v>
      </c>
      <c r="E211" s="16">
        <f>IF(OR(VLOOKUP(B211,AmmoTypeFactors,6,FALSE)="Bomb",VLOOKUP(B211,AmmoTypeFactors,6,FALSE)="Thermobaric"),J211*VLOOKUP(B211,AmmoTypeFactors,4,FALSE),IF(VLOOKUP(B211,AmmoTypeFactors,11,FALSE),P211,C211*VLOOKUP(B211,AmmoTypeFactors,4,FALSE)))</f>
        <v>0</v>
      </c>
      <c r="F211" s="16">
        <f>'Ammo Stats'!G211/0.005</f>
        <v>2229600</v>
      </c>
      <c r="G211" s="16">
        <f>(IF(B211="HEAT",10,'Ammo Input'!F211)*VLOOKUP(B211,AmmoTypeFactors,7,FALSE)*0.5)^2*PI()/100</f>
        <v>0.483981983239593</v>
      </c>
      <c r="H211" s="10">
        <f t="shared" si="9"/>
        <v>222.96</v>
      </c>
      <c r="I211" s="10">
        <f>IF(B211&lt;&gt;"Arrow (Flaming)",39493.49*'Ammo Input'!M211^0.6/1000,0)</f>
        <v>0</v>
      </c>
      <c r="J211">
        <f t="shared" si="10"/>
        <v>0</v>
      </c>
      <c r="K211">
        <f t="shared" si="11"/>
        <v>13</v>
      </c>
      <c r="L211">
        <f>200000/('Ammo Stats'!C211*(MAX('Ammo Input'!D211,'Ammo Input'!F211)*0.5)^2*PI())</f>
        <v>15589.0975786368</v>
      </c>
      <c r="M211">
        <f>IF(B211="Frag",1,('Ammo Input'!M211/1.33)/('Ammo Input'!H211/1000))</f>
        <v>0</v>
      </c>
      <c r="N211" t="s">
        <v>353</v>
      </c>
      <c r="O211" t="s">
        <v>353</v>
      </c>
      <c r="P211" s="3">
        <f>(39493.49*(IF((VLOOKUP(B211,AmmoTypeFactors,6,FALSE)="Bomb_Secondary"),1.33,1)*('Ammo Input'!H211*0.35)/1000)^0.6/1000)*10/3*VLOOKUP(B211,AmmoTypeFactors,4,FALSE)</f>
        <v>0</v>
      </c>
    </row>
    <row r="212" ht="14.4" spans="1:16">
      <c r="A212" t="str">
        <f>'Ammo Input'!A212</f>
        <v>.600 NE</v>
      </c>
      <c r="B212" s="1" t="str">
        <f>'Ammo Input'!B212</f>
        <v>AP-I</v>
      </c>
      <c r="C212">
        <f>(0.579*('Ammo Stats'!G212*IF(OR(B212="HEAT",B212="HEDP"),10,'Ammo Input'!F212)*VLOOKUP(B212,AmmoTypeFactors,7,FALSE))^(0.346))^IF(B212="HEDP",2.1,1)/IF(B212="HEDP",50,1)</f>
        <v>29.691600817278</v>
      </c>
      <c r="D212" s="16">
        <f>IF(VLOOKUP(B212,AmmoTypeFactors,8,FALSE),J212,C212)*VLOOKUP('Ammo Input'!B212,AmmoTypeFactors,2,FALSE)</f>
        <v>23.7532806538224</v>
      </c>
      <c r="E212" s="16">
        <f>IF(OR(VLOOKUP(B212,AmmoTypeFactors,6,FALSE)="Bomb",VLOOKUP(B212,AmmoTypeFactors,6,FALSE)="Thermobaric"),J212*VLOOKUP(B212,AmmoTypeFactors,4,FALSE),IF(VLOOKUP(B212,AmmoTypeFactors,11,FALSE),P212,C212*VLOOKUP(B212,AmmoTypeFactors,4,FALSE)))</f>
        <v>16.5137320664104</v>
      </c>
      <c r="F212" s="16">
        <f>'Ammo Stats'!G212/0.005</f>
        <v>2229600</v>
      </c>
      <c r="G212" s="16">
        <f>(IF(B212="HEAT",10,'Ammo Input'!F212)*VLOOKUP(B212,AmmoTypeFactors,7,FALSE)*0.5)^2*PI()/100</f>
        <v>0.483981983239593</v>
      </c>
      <c r="H212" s="10">
        <f t="shared" si="9"/>
        <v>222.96</v>
      </c>
      <c r="I212" s="10">
        <f>IF(B212&lt;&gt;"Arrow (Flaming)",39493.49*'Ammo Input'!M212^0.6/1000,0)</f>
        <v>0</v>
      </c>
      <c r="J212">
        <f t="shared" si="10"/>
        <v>0</v>
      </c>
      <c r="K212">
        <f t="shared" si="11"/>
        <v>13</v>
      </c>
      <c r="L212">
        <f>200000/('Ammo Stats'!C212*(MAX('Ammo Input'!D212,'Ammo Input'!F212)*0.5)^2*PI())</f>
        <v>15589.0975786368</v>
      </c>
      <c r="M212">
        <f>IF(B212="Frag",1,('Ammo Input'!M212/1.33)/('Ammo Input'!H212/1000))</f>
        <v>0</v>
      </c>
      <c r="N212" t="s">
        <v>353</v>
      </c>
      <c r="O212" t="s">
        <v>353</v>
      </c>
      <c r="P212" s="3">
        <f>(39493.49*(IF((VLOOKUP(B212,AmmoTypeFactors,6,FALSE)="Bomb_Secondary"),1.33,1)*('Ammo Input'!H212*0.35)/1000)^0.6/1000)*10/3*VLOOKUP(B212,AmmoTypeFactors,4,FALSE)</f>
        <v>16.5137320664104</v>
      </c>
    </row>
    <row r="213" ht="14.4" spans="1:16">
      <c r="A213" t="str">
        <f>'Ammo Input'!A213</f>
        <v>.600 NE</v>
      </c>
      <c r="B213" s="1" t="str">
        <f>'Ammo Input'!B213</f>
        <v>AP-HE</v>
      </c>
      <c r="C213">
        <f>(0.579*('Ammo Stats'!G213*IF(OR(B213="HEAT",B213="HEDP"),10,'Ammo Input'!F213)*VLOOKUP(B213,AmmoTypeFactors,7,FALSE))^(0.346))^IF(B213="HEDP",2.1,1)/IF(B213="HEDP",50,1)</f>
        <v>37.7389655449744</v>
      </c>
      <c r="D213" s="16">
        <f>IF(VLOOKUP(B213,AmmoTypeFactors,8,FALSE),J213,C213)*VLOOKUP('Ammo Input'!B213,AmmoTypeFactors,2,FALSE)</f>
        <v>37.7389655449744</v>
      </c>
      <c r="E213" s="16">
        <f>IF(OR(VLOOKUP(B213,AmmoTypeFactors,6,FALSE)="Bomb",VLOOKUP(B213,AmmoTypeFactors,6,FALSE)="Thermobaric"),J213*VLOOKUP(B213,AmmoTypeFactors,4,FALSE),IF(VLOOKUP(B213,AmmoTypeFactors,11,FALSE),P213,C213*VLOOKUP(B213,AmmoTypeFactors,4,FALSE)))</f>
        <v>22.6101854914281</v>
      </c>
      <c r="F213" s="16">
        <f>'Ammo Stats'!G213/0.005</f>
        <v>2229600</v>
      </c>
      <c r="G213" s="16">
        <f>(IF(B213="HEAT",10,'Ammo Input'!F213)*VLOOKUP(B213,AmmoTypeFactors,7,FALSE)*0.5)^2*PI()/100</f>
        <v>1.93592793295837</v>
      </c>
      <c r="H213" s="10">
        <f t="shared" si="9"/>
        <v>222.96</v>
      </c>
      <c r="I213" s="10">
        <f>IF(B213&lt;&gt;"Arrow (Flaming)",39493.49*'Ammo Input'!M213^0.6/1000,0)</f>
        <v>0</v>
      </c>
      <c r="J213">
        <f t="shared" si="10"/>
        <v>0</v>
      </c>
      <c r="K213">
        <f t="shared" si="11"/>
        <v>13</v>
      </c>
      <c r="L213">
        <f>200000/('Ammo Stats'!C213*(MAX('Ammo Input'!D213,'Ammo Input'!F213)*0.5)^2*PI())</f>
        <v>15589.0975786368</v>
      </c>
      <c r="M213">
        <f>IF(B213="Frag",1,('Ammo Input'!M213/1.33)/('Ammo Input'!H213/1000))</f>
        <v>0</v>
      </c>
      <c r="N213" t="s">
        <v>353</v>
      </c>
      <c r="O213" t="s">
        <v>353</v>
      </c>
      <c r="P213" s="3">
        <f>(39493.49*(IF((VLOOKUP(B213,AmmoTypeFactors,6,FALSE)="Bomb_Secondary"),1.33,1)*('Ammo Input'!H213*0.35)/1000)^0.6/1000)*10/3*VLOOKUP(B213,AmmoTypeFactors,4,FALSE)</f>
        <v>22.6101854914281</v>
      </c>
    </row>
    <row r="214" ht="14.4" spans="1:16">
      <c r="A214" t="str">
        <f>'Ammo Input'!A214</f>
        <v>.600 NE</v>
      </c>
      <c r="B214" s="1" t="str">
        <f>'Ammo Input'!B214</f>
        <v>Sabot</v>
      </c>
      <c r="C214">
        <f>(0.579*('Ammo Stats'!G214*IF(OR(B214="HEAT",B214="HEDP"),10,'Ammo Input'!F214)*VLOOKUP(B214,AmmoTypeFactors,7,FALSE))^(0.346))^IF(B214="HEDP",2.1,1)/IF(B214="HEDP",50,1)</f>
        <v>27.1718784947774</v>
      </c>
      <c r="D214" s="16">
        <f>IF(VLOOKUP(B214,AmmoTypeFactors,8,FALSE),J214,C214)*VLOOKUP('Ammo Input'!B214,AmmoTypeFactors,2,FALSE)</f>
        <v>19.0203149463442</v>
      </c>
      <c r="E214" s="16">
        <f>IF(OR(VLOOKUP(B214,AmmoTypeFactors,6,FALSE)="Bomb",VLOOKUP(B214,AmmoTypeFactors,6,FALSE)="Thermobaric"),J214*VLOOKUP(B214,AmmoTypeFactors,4,FALSE),IF(VLOOKUP(B214,AmmoTypeFactors,11,FALSE),P214,C214*VLOOKUP(B214,AmmoTypeFactors,4,FALSE)))</f>
        <v>0</v>
      </c>
      <c r="F214" s="16">
        <f>'Ammo Stats'!G214/0.005</f>
        <v>2465000</v>
      </c>
      <c r="G214" s="16">
        <f>(IF(B214="HEAT",10,'Ammo Input'!F214)*VLOOKUP(B214,AmmoTypeFactors,7,FALSE)*0.5)^2*PI()/100</f>
        <v>0.2371511717874</v>
      </c>
      <c r="H214" s="10">
        <f t="shared" si="9"/>
        <v>246.5</v>
      </c>
      <c r="I214" s="10">
        <f>IF(B214&lt;&gt;"Arrow (Flaming)",39493.49*'Ammo Input'!M214^0.6/1000,0)</f>
        <v>0</v>
      </c>
      <c r="J214">
        <f t="shared" si="10"/>
        <v>0</v>
      </c>
      <c r="K214">
        <f t="shared" si="11"/>
        <v>14</v>
      </c>
      <c r="L214">
        <f>200000/('Ammo Stats'!C214*(MAX('Ammo Input'!D214,'Ammo Input'!F214)*0.5)^2*PI())</f>
        <v>15589.0975786368</v>
      </c>
      <c r="M214">
        <f>IF(B214="Frag",1,('Ammo Input'!M214/1.33)/('Ammo Input'!H214/1000))</f>
        <v>0</v>
      </c>
      <c r="N214" t="s">
        <v>353</v>
      </c>
      <c r="O214" t="s">
        <v>353</v>
      </c>
      <c r="P214" s="3">
        <f>(39493.49*(IF((VLOOKUP(B214,AmmoTypeFactors,6,FALSE)="Bomb_Secondary"),1.33,1)*('Ammo Input'!H214*0.35)/1000)^0.6/1000)*10/3*VLOOKUP(B214,AmmoTypeFactors,4,FALSE)</f>
        <v>0</v>
      </c>
    </row>
    <row r="215" ht="14.4" spans="1:16">
      <c r="A215" t="str">
        <f>'Ammo Input'!A215</f>
        <v>.950 JDJ</v>
      </c>
      <c r="B215" s="1" t="str">
        <f>'Ammo Input'!B215</f>
        <v>FMJ</v>
      </c>
      <c r="C215">
        <f>(0.579*('Ammo Stats'!G215*IF(OR(B215="HEAT",B215="HEDP"),10,'Ammo Input'!F215)*VLOOKUP(B215,AmmoTypeFactors,7,FALSE))^(0.346))^IF(B215="HEDP",2.1,1)/IF(B215="HEDP",50,1)</f>
        <v>74.7221612919295</v>
      </c>
      <c r="D215" s="16">
        <f>IF(VLOOKUP(B215,AmmoTypeFactors,8,FALSE),J215,C215)*VLOOKUP('Ammo Input'!B215,AmmoTypeFactors,2,FALSE)</f>
        <v>74.7221612919295</v>
      </c>
      <c r="E215" s="16">
        <f>IF(OR(VLOOKUP(B215,AmmoTypeFactors,6,FALSE)="Bomb",VLOOKUP(B215,AmmoTypeFactors,6,FALSE)="Thermobaric"),J215*VLOOKUP(B215,AmmoTypeFactors,4,FALSE),IF(VLOOKUP(B215,AmmoTypeFactors,11,FALSE),P215,C215*VLOOKUP(B215,AmmoTypeFactors,4,FALSE)))</f>
        <v>0</v>
      </c>
      <c r="F215" s="16">
        <f>'Ammo Stats'!G215/0.005</f>
        <v>10459400</v>
      </c>
      <c r="G215" s="16">
        <f>(IF(B215="HEAT",10,'Ammo Input'!F215)*VLOOKUP(B215,AmmoTypeFactors,7,FALSE)*0.5)^2*PI()/100</f>
        <v>4.56167107282872</v>
      </c>
      <c r="H215" s="10">
        <f t="shared" si="9"/>
        <v>1045.94</v>
      </c>
      <c r="I215" s="10">
        <f>IF(B215&lt;&gt;"Arrow (Flaming)",39493.49*'Ammo Input'!M215^0.6/1000,0)</f>
        <v>0</v>
      </c>
      <c r="J215">
        <f t="shared" si="10"/>
        <v>0</v>
      </c>
      <c r="K215">
        <f t="shared" si="11"/>
        <v>22</v>
      </c>
      <c r="L215">
        <f>200000/('Ammo Stats'!C215*(MAX('Ammo Input'!D215,'Ammo Input'!F215)*0.5)^2*PI())</f>
        <v>2356.86898002714</v>
      </c>
      <c r="M215">
        <f>IF(B215="Frag",1,('Ammo Input'!M215/1.33)/('Ammo Input'!H215/1000))</f>
        <v>0</v>
      </c>
      <c r="N215" t="s">
        <v>353</v>
      </c>
      <c r="O215" t="s">
        <v>353</v>
      </c>
      <c r="P215" s="3">
        <f>(39493.49*(IF((VLOOKUP(B215,AmmoTypeFactors,6,FALSE)="Bomb_Secondary"),1.33,1)*('Ammo Input'!H215*0.35)/1000)^0.6/1000)*10/3*VLOOKUP(B215,AmmoTypeFactors,4,FALSE)</f>
        <v>0</v>
      </c>
    </row>
    <row r="216" ht="14.4" spans="1:16">
      <c r="A216" t="str">
        <f>'Ammo Input'!A216</f>
        <v>.950 JDJ</v>
      </c>
      <c r="B216" s="1" t="str">
        <f>'Ammo Input'!B216</f>
        <v>AP</v>
      </c>
      <c r="C216">
        <f>(0.579*('Ammo Stats'!G216*IF(OR(B216="HEAT",B216="HEDP"),10,'Ammo Input'!F216)*VLOOKUP(B216,AmmoTypeFactors,7,FALSE))^(0.346))^IF(B216="HEDP",2.1,1)/IF(B216="HEDP",50,1)</f>
        <v>58.788590340142</v>
      </c>
      <c r="D216" s="16">
        <f>IF(VLOOKUP(B216,AmmoTypeFactors,8,FALSE),J216,C216)*VLOOKUP('Ammo Input'!B216,AmmoTypeFactors,2,FALSE)</f>
        <v>47.0308722721136</v>
      </c>
      <c r="E216" s="16">
        <f>IF(OR(VLOOKUP(B216,AmmoTypeFactors,6,FALSE)="Bomb",VLOOKUP(B216,AmmoTypeFactors,6,FALSE)="Thermobaric"),J216*VLOOKUP(B216,AmmoTypeFactors,4,FALSE),IF(VLOOKUP(B216,AmmoTypeFactors,11,FALSE),P216,C216*VLOOKUP(B216,AmmoTypeFactors,4,FALSE)))</f>
        <v>0</v>
      </c>
      <c r="F216" s="16">
        <f>'Ammo Stats'!G216/0.005</f>
        <v>10459400</v>
      </c>
      <c r="G216" s="16">
        <f>(IF(B216="HEAT",10,'Ammo Input'!F216)*VLOOKUP(B216,AmmoTypeFactors,7,FALSE)*0.5)^2*PI()/100</f>
        <v>1.14041776820718</v>
      </c>
      <c r="H216" s="10">
        <f t="shared" si="9"/>
        <v>1045.94</v>
      </c>
      <c r="I216" s="10">
        <f>IF(B216&lt;&gt;"Arrow (Flaming)",39493.49*'Ammo Input'!M216^0.6/1000,0)</f>
        <v>0</v>
      </c>
      <c r="J216">
        <f t="shared" si="10"/>
        <v>0</v>
      </c>
      <c r="K216">
        <f t="shared" si="11"/>
        <v>22</v>
      </c>
      <c r="L216">
        <f>200000/('Ammo Stats'!C216*(MAX('Ammo Input'!D216,'Ammo Input'!F216)*0.5)^2*PI())</f>
        <v>2356.86898002714</v>
      </c>
      <c r="M216">
        <f>IF(B216="Frag",1,('Ammo Input'!M216/1.33)/('Ammo Input'!H216/1000))</f>
        <v>0</v>
      </c>
      <c r="N216" t="s">
        <v>353</v>
      </c>
      <c r="O216" t="s">
        <v>353</v>
      </c>
      <c r="P216" s="3">
        <f>(39493.49*(IF((VLOOKUP(B216,AmmoTypeFactors,6,FALSE)="Bomb_Secondary"),1.33,1)*('Ammo Input'!H216*0.35)/1000)^0.6/1000)*10/3*VLOOKUP(B216,AmmoTypeFactors,4,FALSE)</f>
        <v>0</v>
      </c>
    </row>
    <row r="217" ht="14.4" spans="1:16">
      <c r="A217" t="str">
        <f>'Ammo Input'!A217</f>
        <v>.950 JDJ</v>
      </c>
      <c r="B217" s="1" t="str">
        <f>'Ammo Input'!B217</f>
        <v>AP-I</v>
      </c>
      <c r="C217">
        <f>(0.579*('Ammo Stats'!G217*IF(OR(B217="HEAT",B217="HEDP"),10,'Ammo Input'!F217)*VLOOKUP(B217,AmmoTypeFactors,7,FALSE))^(0.346))^IF(B217="HEDP",2.1,1)/IF(B217="HEDP",50,1)</f>
        <v>58.788590340142</v>
      </c>
      <c r="D217" s="16">
        <f>IF(VLOOKUP(B217,AmmoTypeFactors,8,FALSE),J217,C217)*VLOOKUP('Ammo Input'!B217,AmmoTypeFactors,2,FALSE)</f>
        <v>47.0308722721136</v>
      </c>
      <c r="E217" s="16">
        <f>IF(OR(VLOOKUP(B217,AmmoTypeFactors,6,FALSE)="Bomb",VLOOKUP(B217,AmmoTypeFactors,6,FALSE)="Thermobaric"),J217*VLOOKUP(B217,AmmoTypeFactors,4,FALSE),IF(VLOOKUP(B217,AmmoTypeFactors,11,FALSE),P217,C217*VLOOKUP(B217,AmmoTypeFactors,4,FALSE)))</f>
        <v>38.0366263578513</v>
      </c>
      <c r="F217" s="16">
        <f>'Ammo Stats'!G217/0.005</f>
        <v>10459400</v>
      </c>
      <c r="G217" s="16">
        <f>(IF(B217="HEAT",10,'Ammo Input'!F217)*VLOOKUP(B217,AmmoTypeFactors,7,FALSE)*0.5)^2*PI()/100</f>
        <v>1.14041776820718</v>
      </c>
      <c r="H217" s="10">
        <f t="shared" si="9"/>
        <v>1045.94</v>
      </c>
      <c r="I217" s="10">
        <f>IF(B217&lt;&gt;"Arrow (Flaming)",39493.49*'Ammo Input'!M217^0.6/1000,0)</f>
        <v>0</v>
      </c>
      <c r="J217">
        <f t="shared" si="10"/>
        <v>0</v>
      </c>
      <c r="K217">
        <f t="shared" si="11"/>
        <v>22</v>
      </c>
      <c r="L217">
        <f>200000/('Ammo Stats'!C217*(MAX('Ammo Input'!D217,'Ammo Input'!F217)*0.5)^2*PI())</f>
        <v>2356.86898002714</v>
      </c>
      <c r="M217">
        <f>IF(B217="Frag",1,('Ammo Input'!M217/1.33)/('Ammo Input'!H217/1000))</f>
        <v>0</v>
      </c>
      <c r="N217" t="s">
        <v>353</v>
      </c>
      <c r="O217" t="s">
        <v>353</v>
      </c>
      <c r="P217" s="3">
        <f>(39493.49*(IF((VLOOKUP(B217,AmmoTypeFactors,6,FALSE)="Bomb_Secondary"),1.33,1)*('Ammo Input'!H217*0.35)/1000)^0.6/1000)*10/3*VLOOKUP(B217,AmmoTypeFactors,4,FALSE)</f>
        <v>38.0366263578513</v>
      </c>
    </row>
    <row r="218" ht="14.4" spans="1:16">
      <c r="A218" t="str">
        <f>'Ammo Input'!A218</f>
        <v>.950 JDJ</v>
      </c>
      <c r="B218" s="1" t="str">
        <f>'Ammo Input'!B218</f>
        <v>AP-HE</v>
      </c>
      <c r="C218">
        <f>(0.579*('Ammo Stats'!G218*IF(OR(B218="HEAT",B218="HEDP"),10,'Ammo Input'!F218)*VLOOKUP(B218,AmmoTypeFactors,7,FALSE))^(0.346))^IF(B218="HEDP",2.1,1)/IF(B218="HEDP",50,1)</f>
        <v>74.7221612919295</v>
      </c>
      <c r="D218" s="16">
        <f>IF(VLOOKUP(B218,AmmoTypeFactors,8,FALSE),J218,C218)*VLOOKUP('Ammo Input'!B218,AmmoTypeFactors,2,FALSE)</f>
        <v>74.7221612919295</v>
      </c>
      <c r="E218" s="16">
        <f>IF(OR(VLOOKUP(B218,AmmoTypeFactors,6,FALSE)="Bomb",VLOOKUP(B218,AmmoTypeFactors,6,FALSE)="Thermobaric"),J218*VLOOKUP(B218,AmmoTypeFactors,4,FALSE),IF(VLOOKUP(B218,AmmoTypeFactors,11,FALSE),P218,C218*VLOOKUP(B218,AmmoTypeFactors,4,FALSE)))</f>
        <v>52.078789577098</v>
      </c>
      <c r="F218" s="16">
        <f>'Ammo Stats'!G218/0.005</f>
        <v>10459400</v>
      </c>
      <c r="G218" s="16">
        <f>(IF(B218="HEAT",10,'Ammo Input'!F218)*VLOOKUP(B218,AmmoTypeFactors,7,FALSE)*0.5)^2*PI()/100</f>
        <v>4.56167107282872</v>
      </c>
      <c r="H218" s="10">
        <f t="shared" si="9"/>
        <v>1045.94</v>
      </c>
      <c r="I218" s="10">
        <f>IF(B218&lt;&gt;"Arrow (Flaming)",39493.49*'Ammo Input'!M218^0.6/1000,0)</f>
        <v>0</v>
      </c>
      <c r="J218">
        <f t="shared" si="10"/>
        <v>0</v>
      </c>
      <c r="K218">
        <f t="shared" si="11"/>
        <v>22</v>
      </c>
      <c r="L218">
        <f>200000/('Ammo Stats'!C218*(MAX('Ammo Input'!D218,'Ammo Input'!F218)*0.5)^2*PI())</f>
        <v>2356.86898002714</v>
      </c>
      <c r="M218">
        <f>IF(B218="Frag",1,('Ammo Input'!M218/1.33)/('Ammo Input'!H218/1000))</f>
        <v>0</v>
      </c>
      <c r="N218" t="s">
        <v>353</v>
      </c>
      <c r="O218" t="s">
        <v>353</v>
      </c>
      <c r="P218" s="3">
        <f>(39493.49*(IF((VLOOKUP(B218,AmmoTypeFactors,6,FALSE)="Bomb_Secondary"),1.33,1)*('Ammo Input'!H218*0.35)/1000)^0.6/1000)*10/3*VLOOKUP(B218,AmmoTypeFactors,4,FALSE)</f>
        <v>52.078789577098</v>
      </c>
    </row>
    <row r="219" ht="14.4" spans="1:16">
      <c r="A219" t="str">
        <f>'Ammo Input'!A219</f>
        <v>.950 JDJ</v>
      </c>
      <c r="B219" s="1" t="str">
        <f>'Ammo Input'!B219</f>
        <v>Sabot</v>
      </c>
      <c r="C219">
        <f>(0.579*('Ammo Stats'!G219*IF(OR(B219="HEAT",B219="HEDP"),10,'Ammo Input'!F219)*VLOOKUP(B219,AmmoTypeFactors,7,FALSE))^(0.346))^IF(B219="HEDP",2.1,1)/IF(B219="HEDP",50,1)</f>
        <v>56.635017392089</v>
      </c>
      <c r="D219" s="16">
        <f>IF(VLOOKUP(B219,AmmoTypeFactors,8,FALSE),J219,C219)*VLOOKUP('Ammo Input'!B219,AmmoTypeFactors,2,FALSE)</f>
        <v>39.6445121744623</v>
      </c>
      <c r="E219" s="16">
        <f>IF(OR(VLOOKUP(B219,AmmoTypeFactors,6,FALSE)="Bomb",VLOOKUP(B219,AmmoTypeFactors,6,FALSE)="Thermobaric"),J219*VLOOKUP(B219,AmmoTypeFactors,4,FALSE),IF(VLOOKUP(B219,AmmoTypeFactors,11,FALSE),P219,C219*VLOOKUP(B219,AmmoTypeFactors,4,FALSE)))</f>
        <v>0</v>
      </c>
      <c r="F219" s="16">
        <f>'Ammo Stats'!G219/0.005</f>
        <v>13414200</v>
      </c>
      <c r="G219" s="16">
        <f>(IF(B219="HEAT",10,'Ammo Input'!F219)*VLOOKUP(B219,AmmoTypeFactors,7,FALSE)*0.5)^2*PI()/100</f>
        <v>0.558804706421518</v>
      </c>
      <c r="H219" s="10">
        <f t="shared" si="9"/>
        <v>1341.42</v>
      </c>
      <c r="I219" s="10">
        <f>IF(B219&lt;&gt;"Arrow (Flaming)",39493.49*'Ammo Input'!M219^0.6/1000,0)</f>
        <v>0</v>
      </c>
      <c r="J219">
        <f t="shared" si="10"/>
        <v>0</v>
      </c>
      <c r="K219">
        <f t="shared" si="11"/>
        <v>24</v>
      </c>
      <c r="L219">
        <f>200000/('Ammo Stats'!C219*(MAX('Ammo Input'!D219,'Ammo Input'!F219)*0.5)^2*PI())</f>
        <v>2356.86898002714</v>
      </c>
      <c r="M219">
        <f>IF(B219="Frag",1,('Ammo Input'!M219/1.33)/('Ammo Input'!H219/1000))</f>
        <v>0</v>
      </c>
      <c r="N219" t="s">
        <v>353</v>
      </c>
      <c r="O219" t="s">
        <v>353</v>
      </c>
      <c r="P219" s="3">
        <f>(39493.49*(IF((VLOOKUP(B219,AmmoTypeFactors,6,FALSE)="Bomb_Secondary"),1.33,1)*('Ammo Input'!H219*0.35)/1000)^0.6/1000)*10/3*VLOOKUP(B219,AmmoTypeFactors,4,FALSE)</f>
        <v>0</v>
      </c>
    </row>
    <row r="220" ht="14.4" spans="1:16">
      <c r="A220" s="14" t="s">
        <v>113</v>
      </c>
      <c r="B220" s="15"/>
      <c r="C220" s="15"/>
      <c r="D220" s="15"/>
      <c r="E220" s="15"/>
      <c r="F220" s="15"/>
      <c r="G220" s="15"/>
      <c r="H220" s="15"/>
      <c r="I220" s="15"/>
      <c r="J220" s="15"/>
      <c r="K220" s="15"/>
      <c r="L220" s="15"/>
      <c r="M220" s="15"/>
      <c r="N220" s="15"/>
      <c r="O220" s="15"/>
      <c r="P220" s="15"/>
    </row>
    <row r="221" ht="14.4" spans="1:16">
      <c r="A221" t="str">
        <f>'Ammo Input'!A221</f>
        <v>.41 Rimfire</v>
      </c>
      <c r="B221" s="1" t="str">
        <f>'Ammo Input'!B221</f>
        <v>FMJ</v>
      </c>
      <c r="C221">
        <f>(0.579*('Ammo Stats'!G221*IF(OR(B221="HEAT",B221="HEDP"),10,'Ammo Input'!F221)*VLOOKUP(B221,AmmoTypeFactors,7,FALSE))^(0.346))^IF(B221="HEDP",2.1,1)/IF(B221="HEDP",50,1)</f>
        <v>5.58686692961586</v>
      </c>
      <c r="D221" s="16">
        <f>IF(VLOOKUP(B221,AmmoTypeFactors,8,FALSE),J221,C221)*VLOOKUP('Ammo Input'!B221,AmmoTypeFactors,2,FALSE)</f>
        <v>5.58686692961586</v>
      </c>
      <c r="E221" s="16">
        <f>IF(OR(VLOOKUP(B221,AmmoTypeFactors,6,FALSE)="Bomb",VLOOKUP(B221,AmmoTypeFactors,6,FALSE)="Thermobaric"),J221*VLOOKUP(B221,AmmoTypeFactors,4,FALSE),IF(VLOOKUP(B221,AmmoTypeFactors,11,FALSE),P221,C221*VLOOKUP(B221,AmmoTypeFactors,4,FALSE)))</f>
        <v>0</v>
      </c>
      <c r="F221" s="16">
        <f>'Ammo Stats'!G221/0.005</f>
        <v>13600</v>
      </c>
      <c r="G221" s="16">
        <f>(IF(B221="HEAT",10,'Ammo Input'!F221)*VLOOKUP(B221,AmmoTypeFactors,7,FALSE)*0.5)^2*PI()/100</f>
        <v>0.833228911548353</v>
      </c>
      <c r="H221" s="10">
        <f t="shared" ref="H221:H337" si="12">F221/10000</f>
        <v>1.36</v>
      </c>
      <c r="I221" s="10">
        <f>IF(B221&lt;&gt;"Arrow (Flaming)",39493.49*'Ammo Input'!M221^0.6/1000,0)</f>
        <v>0</v>
      </c>
      <c r="J221">
        <f t="shared" ref="J221:J337" si="13">I221*10/3</f>
        <v>0</v>
      </c>
      <c r="K221">
        <f t="shared" ref="K221:K337" si="14">ROUND(F221^(1/3)/10,0)</f>
        <v>2</v>
      </c>
      <c r="L221">
        <f>200000/('Ammo Stats'!C221*(MAX('Ammo Input'!D221,'Ammo Input'!F221)*0.5)^2*PI())</f>
        <v>240030.077242938</v>
      </c>
      <c r="M221">
        <f>IF(B221="Frag",1,('Ammo Input'!M221/1.33)/('Ammo Input'!H221/1000))</f>
        <v>0</v>
      </c>
      <c r="N221" t="s">
        <v>353</v>
      </c>
      <c r="O221" t="s">
        <v>353</v>
      </c>
      <c r="P221" s="3">
        <f>(39493.49*(IF((VLOOKUP(B221,AmmoTypeFactors,6,FALSE)="Bomb_Secondary"),1.33,1)*('Ammo Input'!H221*0.35)/1000)^0.6/1000)*10/3*VLOOKUP(B221,AmmoTypeFactors,4,FALSE)</f>
        <v>0</v>
      </c>
    </row>
    <row r="222" ht="14.4" spans="1:16">
      <c r="A222" t="str">
        <f>'Ammo Input'!A222</f>
        <v>.41 Rimfire</v>
      </c>
      <c r="B222" s="1" t="str">
        <f>'Ammo Input'!B222</f>
        <v>AP</v>
      </c>
      <c r="C222">
        <f>(0.579*('Ammo Stats'!G222*IF(OR(B222="HEAT",B222="HEDP"),10,'Ammo Input'!F222)*VLOOKUP(B222,AmmoTypeFactors,7,FALSE))^(0.346))^IF(B222="HEDP",2.1,1)/IF(B222="HEDP",50,1)</f>
        <v>4.39553708740954</v>
      </c>
      <c r="D222" s="16">
        <f>IF(VLOOKUP(B222,AmmoTypeFactors,8,FALSE),J222,C222)*VLOOKUP('Ammo Input'!B222,AmmoTypeFactors,2,FALSE)</f>
        <v>3.51642966992764</v>
      </c>
      <c r="E222" s="16">
        <f>IF(OR(VLOOKUP(B222,AmmoTypeFactors,6,FALSE)="Bomb",VLOOKUP(B222,AmmoTypeFactors,6,FALSE)="Thermobaric"),J222*VLOOKUP(B222,AmmoTypeFactors,4,FALSE),IF(VLOOKUP(B222,AmmoTypeFactors,11,FALSE),P222,C222*VLOOKUP(B222,AmmoTypeFactors,4,FALSE)))</f>
        <v>0</v>
      </c>
      <c r="F222" s="16">
        <f>'Ammo Stats'!G222/0.005</f>
        <v>13600</v>
      </c>
      <c r="G222" s="16">
        <f>(IF(B222="HEAT",10,'Ammo Input'!F222)*VLOOKUP(B222,AmmoTypeFactors,7,FALSE)*0.5)^2*PI()/100</f>
        <v>0.208307227887088</v>
      </c>
      <c r="H222" s="10">
        <f t="shared" si="12"/>
        <v>1.36</v>
      </c>
      <c r="I222" s="10">
        <f>IF(B222&lt;&gt;"Arrow (Flaming)",39493.49*'Ammo Input'!M222^0.6/1000,0)</f>
        <v>0</v>
      </c>
      <c r="J222">
        <f t="shared" si="13"/>
        <v>0</v>
      </c>
      <c r="K222">
        <f t="shared" si="14"/>
        <v>2</v>
      </c>
      <c r="L222">
        <f>200000/('Ammo Stats'!C222*(MAX('Ammo Input'!D222,'Ammo Input'!F222)*0.5)^2*PI())</f>
        <v>240030.077242938</v>
      </c>
      <c r="M222">
        <f>IF(B222="Frag",1,('Ammo Input'!M222/1.33)/('Ammo Input'!H222/1000))</f>
        <v>0</v>
      </c>
      <c r="N222" t="s">
        <v>353</v>
      </c>
      <c r="O222" t="s">
        <v>353</v>
      </c>
      <c r="P222" s="3">
        <f>(39493.49*(IF((VLOOKUP(B222,AmmoTypeFactors,6,FALSE)="Bomb_Secondary"),1.33,1)*('Ammo Input'!H222*0.35)/1000)^0.6/1000)*10/3*VLOOKUP(B222,AmmoTypeFactors,4,FALSE)</f>
        <v>0</v>
      </c>
    </row>
    <row r="223" ht="14.4" spans="1:16">
      <c r="A223" t="str">
        <f>'Ammo Input'!A223</f>
        <v>.41 Rimfire</v>
      </c>
      <c r="B223" s="1" t="str">
        <f>'Ammo Input'!B223</f>
        <v>HP</v>
      </c>
      <c r="C223">
        <f>(0.579*('Ammo Stats'!G223*IF(OR(B223="HEAT",B223="HEDP"),10,'Ammo Input'!F223)*VLOOKUP(B223,AmmoTypeFactors,7,FALSE))^(0.346))^IF(B223="HEDP",2.1,1)/IF(B223="HEDP",50,1)</f>
        <v>7.10108491147561</v>
      </c>
      <c r="D223" s="16">
        <f>IF(VLOOKUP(B223,AmmoTypeFactors,8,FALSE),J223,C223)*VLOOKUP('Ammo Input'!B223,AmmoTypeFactors,2,FALSE)</f>
        <v>7.10108491147561</v>
      </c>
      <c r="E223" s="16">
        <f>IF(OR(VLOOKUP(B223,AmmoTypeFactors,6,FALSE)="Bomb",VLOOKUP(B223,AmmoTypeFactors,6,FALSE)="Thermobaric"),J223*VLOOKUP(B223,AmmoTypeFactors,4,FALSE),IF(VLOOKUP(B223,AmmoTypeFactors,11,FALSE),P223,C223*VLOOKUP(B223,AmmoTypeFactors,4,FALSE)))</f>
        <v>0</v>
      </c>
      <c r="F223" s="16">
        <f>'Ammo Stats'!G223/0.005</f>
        <v>13600</v>
      </c>
      <c r="G223" s="16">
        <f>(IF(B223="HEAT",10,'Ammo Input'!F223)*VLOOKUP(B223,AmmoTypeFactors,7,FALSE)*0.5)^2*PI()/100</f>
        <v>3.33291564619341</v>
      </c>
      <c r="H223" s="10">
        <f t="shared" si="12"/>
        <v>1.36</v>
      </c>
      <c r="I223" s="10">
        <f>IF(B223&lt;&gt;"Arrow (Flaming)",39493.49*'Ammo Input'!M223^0.6/1000,0)</f>
        <v>0</v>
      </c>
      <c r="J223">
        <f t="shared" si="13"/>
        <v>0</v>
      </c>
      <c r="K223">
        <f t="shared" si="14"/>
        <v>2</v>
      </c>
      <c r="L223">
        <f>200000/('Ammo Stats'!C223*(MAX('Ammo Input'!D223,'Ammo Input'!F223)*0.5)^2*PI())</f>
        <v>240030.077242938</v>
      </c>
      <c r="M223">
        <f>IF(B223="Frag",1,('Ammo Input'!M223/1.33)/('Ammo Input'!H223/1000))</f>
        <v>0</v>
      </c>
      <c r="N223" t="s">
        <v>353</v>
      </c>
      <c r="O223" t="s">
        <v>353</v>
      </c>
      <c r="P223" s="3">
        <f>(39493.49*(IF((VLOOKUP(B223,AmmoTypeFactors,6,FALSE)="Bomb_Secondary"),1.33,1)*('Ammo Input'!H223*0.35)/1000)^0.6/1000)*10/3*VLOOKUP(B223,AmmoTypeFactors,4,FALSE)</f>
        <v>0</v>
      </c>
    </row>
    <row r="224" ht="14.4" spans="1:16">
      <c r="A224" t="str">
        <f>'Ammo Input'!A224</f>
        <v>.32 ACP</v>
      </c>
      <c r="B224" s="1" t="str">
        <f>'Ammo Input'!B224</f>
        <v>FMJ</v>
      </c>
      <c r="C224">
        <f>(0.579*('Ammo Stats'!G224*IF(OR(B224="HEAT",B224="HEDP"),10,'Ammo Input'!F224)*VLOOKUP(B224,AmmoTypeFactors,7,FALSE))^(0.346))^IF(B224="HEDP",2.1,1)/IF(B224="HEDP",50,1)</f>
        <v>7.78348851330712</v>
      </c>
      <c r="D224" s="16">
        <f>IF(VLOOKUP(B224,AmmoTypeFactors,8,FALSE),J224,C224)*VLOOKUP('Ammo Input'!B224,AmmoTypeFactors,2,FALSE)</f>
        <v>7.78348851330712</v>
      </c>
      <c r="E224" s="16">
        <f>IF(OR(VLOOKUP(B224,AmmoTypeFactors,6,FALSE)="Bomb",VLOOKUP(B224,AmmoTypeFactors,6,FALSE)="Thermobaric"),J224*VLOOKUP(B224,AmmoTypeFactors,4,FALSE),IF(VLOOKUP(B224,AmmoTypeFactors,11,FALSE),P224,C224*VLOOKUP(B224,AmmoTypeFactors,4,FALSE)))</f>
        <v>0</v>
      </c>
      <c r="F224" s="16">
        <f>'Ammo Stats'!G224/0.005</f>
        <v>46000</v>
      </c>
      <c r="G224" s="16">
        <f>(IF(B224="HEAT",10,'Ammo Input'!F224)*VLOOKUP(B224,AmmoTypeFactors,7,FALSE)*0.5)^2*PI()/100</f>
        <v>0.495143276539634</v>
      </c>
      <c r="H224" s="10">
        <f t="shared" si="12"/>
        <v>4.6</v>
      </c>
      <c r="I224" s="10">
        <f>IF(B224&lt;&gt;"Arrow (Flaming)",39493.49*'Ammo Input'!M224^0.6/1000,0)</f>
        <v>0</v>
      </c>
      <c r="J224">
        <f t="shared" si="13"/>
        <v>0</v>
      </c>
      <c r="K224">
        <f t="shared" si="14"/>
        <v>4</v>
      </c>
      <c r="L224">
        <f>200000/('Ammo Stats'!C224*(MAX('Ammo Input'!D224,'Ammo Input'!F224)*0.5)^2*PI())</f>
        <v>344304.906634711</v>
      </c>
      <c r="M224">
        <f>IF(B224="Frag",1,('Ammo Input'!M224/1.33)/('Ammo Input'!H224/1000))</f>
        <v>0</v>
      </c>
      <c r="N224" t="s">
        <v>353</v>
      </c>
      <c r="O224" t="s">
        <v>353</v>
      </c>
      <c r="P224" s="3">
        <f>(39493.49*(IF((VLOOKUP(B224,AmmoTypeFactors,6,FALSE)="Bomb_Secondary"),1.33,1)*('Ammo Input'!H224*0.35)/1000)^0.6/1000)*10/3*VLOOKUP(B224,AmmoTypeFactors,4,FALSE)</f>
        <v>0</v>
      </c>
    </row>
    <row r="225" ht="14.4" spans="1:16">
      <c r="A225" t="str">
        <f>'Ammo Input'!A225</f>
        <v>.32 ACP</v>
      </c>
      <c r="B225" s="1" t="str">
        <f>'Ammo Input'!B225</f>
        <v>AP</v>
      </c>
      <c r="C225">
        <f>(0.579*('Ammo Stats'!G225*IF(OR(B225="HEAT",B225="HEDP"),10,'Ammo Input'!F225)*VLOOKUP(B225,AmmoTypeFactors,7,FALSE))^(0.346))^IF(B225="HEDP",2.1,1)/IF(B225="HEDP",50,1)</f>
        <v>6.1237564561109</v>
      </c>
      <c r="D225" s="16">
        <f>IF(VLOOKUP(B225,AmmoTypeFactors,8,FALSE),J225,C225)*VLOOKUP('Ammo Input'!B225,AmmoTypeFactors,2,FALSE)</f>
        <v>4.89900516488872</v>
      </c>
      <c r="E225" s="16">
        <f>IF(OR(VLOOKUP(B225,AmmoTypeFactors,6,FALSE)="Bomb",VLOOKUP(B225,AmmoTypeFactors,6,FALSE)="Thermobaric"),J225*VLOOKUP(B225,AmmoTypeFactors,4,FALSE),IF(VLOOKUP(B225,AmmoTypeFactors,11,FALSE),P225,C225*VLOOKUP(B225,AmmoTypeFactors,4,FALSE)))</f>
        <v>0</v>
      </c>
      <c r="F225" s="16">
        <f>'Ammo Stats'!G225/0.005</f>
        <v>46000</v>
      </c>
      <c r="G225" s="16">
        <f>(IF(B225="HEAT",10,'Ammo Input'!F225)*VLOOKUP(B225,AmmoTypeFactors,7,FALSE)*0.5)^2*PI()/100</f>
        <v>0.123785819134908</v>
      </c>
      <c r="H225" s="10">
        <f t="shared" si="12"/>
        <v>4.6</v>
      </c>
      <c r="I225" s="10">
        <f>IF(B225&lt;&gt;"Arrow (Flaming)",39493.49*'Ammo Input'!M225^0.6/1000,0)</f>
        <v>0</v>
      </c>
      <c r="J225">
        <f t="shared" si="13"/>
        <v>0</v>
      </c>
      <c r="K225">
        <f t="shared" si="14"/>
        <v>4</v>
      </c>
      <c r="L225">
        <f>200000/('Ammo Stats'!C225*(MAX('Ammo Input'!D225,'Ammo Input'!F225)*0.5)^2*PI())</f>
        <v>344304.906634711</v>
      </c>
      <c r="M225">
        <f>IF(B225="Frag",1,('Ammo Input'!M225/1.33)/('Ammo Input'!H225/1000))</f>
        <v>0</v>
      </c>
      <c r="N225" t="s">
        <v>353</v>
      </c>
      <c r="O225" t="s">
        <v>353</v>
      </c>
      <c r="P225" s="3">
        <f>(39493.49*(IF((VLOOKUP(B225,AmmoTypeFactors,6,FALSE)="Bomb_Secondary"),1.33,1)*('Ammo Input'!H225*0.35)/1000)^0.6/1000)*10/3*VLOOKUP(B225,AmmoTypeFactors,4,FALSE)</f>
        <v>0</v>
      </c>
    </row>
    <row r="226" ht="14.4" spans="1:16">
      <c r="A226" t="str">
        <f>'Ammo Input'!A226</f>
        <v>.32 ACP</v>
      </c>
      <c r="B226" s="1" t="str">
        <f>'Ammo Input'!B226</f>
        <v>HP</v>
      </c>
      <c r="C226">
        <f>(0.579*('Ammo Stats'!G226*IF(OR(B226="HEAT",B226="HEDP"),10,'Ammo Input'!F226)*VLOOKUP(B226,AmmoTypeFactors,7,FALSE))^(0.346))^IF(B226="HEDP",2.1,1)/IF(B226="HEDP",50,1)</f>
        <v>9.89306055375999</v>
      </c>
      <c r="D226" s="16">
        <f>IF(VLOOKUP(B226,AmmoTypeFactors,8,FALSE),J226,C226)*VLOOKUP('Ammo Input'!B226,AmmoTypeFactors,2,FALSE)</f>
        <v>9.89306055375999</v>
      </c>
      <c r="E226" s="16">
        <f>IF(OR(VLOOKUP(B226,AmmoTypeFactors,6,FALSE)="Bomb",VLOOKUP(B226,AmmoTypeFactors,6,FALSE)="Thermobaric"),J226*VLOOKUP(B226,AmmoTypeFactors,4,FALSE),IF(VLOOKUP(B226,AmmoTypeFactors,11,FALSE),P226,C226*VLOOKUP(B226,AmmoTypeFactors,4,FALSE)))</f>
        <v>0</v>
      </c>
      <c r="F226" s="16">
        <f>'Ammo Stats'!G226/0.005</f>
        <v>46000</v>
      </c>
      <c r="G226" s="16">
        <f>(IF(B226="HEAT",10,'Ammo Input'!F226)*VLOOKUP(B226,AmmoTypeFactors,7,FALSE)*0.5)^2*PI()/100</f>
        <v>1.98057310615853</v>
      </c>
      <c r="H226" s="10">
        <f t="shared" si="12"/>
        <v>4.6</v>
      </c>
      <c r="I226" s="10">
        <f>IF(B226&lt;&gt;"Arrow (Flaming)",39493.49*'Ammo Input'!M226^0.6/1000,0)</f>
        <v>0</v>
      </c>
      <c r="J226">
        <f t="shared" si="13"/>
        <v>0</v>
      </c>
      <c r="K226">
        <f t="shared" si="14"/>
        <v>4</v>
      </c>
      <c r="L226">
        <f>200000/('Ammo Stats'!C226*(MAX('Ammo Input'!D226,'Ammo Input'!F226)*0.5)^2*PI())</f>
        <v>344304.906634711</v>
      </c>
      <c r="M226">
        <f>IF(B226="Frag",1,('Ammo Input'!M226/1.33)/('Ammo Input'!H226/1000))</f>
        <v>0</v>
      </c>
      <c r="N226" t="s">
        <v>353</v>
      </c>
      <c r="O226" t="s">
        <v>353</v>
      </c>
      <c r="P226" s="3">
        <f>(39493.49*(IF((VLOOKUP(B226,AmmoTypeFactors,6,FALSE)="Bomb_Secondary"),1.33,1)*('Ammo Input'!H226*0.35)/1000)^0.6/1000)*10/3*VLOOKUP(B226,AmmoTypeFactors,4,FALSE)</f>
        <v>0</v>
      </c>
    </row>
    <row r="227" ht="14.4" spans="1:16">
      <c r="A227" t="str">
        <f>'Ammo Input'!A227</f>
        <v>5.7x28mm FN</v>
      </c>
      <c r="B227" s="1" t="str">
        <f>'Ammo Input'!B227</f>
        <v>FMJ</v>
      </c>
      <c r="C227">
        <f>(0.579*('Ammo Stats'!G227*IF(OR(B227="HEAT",B227="HEDP"),10,'Ammo Input'!F227)*VLOOKUP(B227,AmmoTypeFactors,7,FALSE))^(0.346))^IF(B227="HEDP",2.1,1)/IF(B227="HEDP",50,1)</f>
        <v>9.37785028311854</v>
      </c>
      <c r="D227" s="16">
        <f>IF(VLOOKUP(B227,AmmoTypeFactors,8,FALSE),J227,C227)*VLOOKUP('Ammo Input'!B227,AmmoTypeFactors,2,FALSE)</f>
        <v>9.37785028311854</v>
      </c>
      <c r="E227" s="16">
        <f>IF(OR(VLOOKUP(B227,AmmoTypeFactors,6,FALSE)="Bomb",VLOOKUP(B227,AmmoTypeFactors,6,FALSE)="Thermobaric"),J227*VLOOKUP(B227,AmmoTypeFactors,4,FALSE),IF(VLOOKUP(B227,AmmoTypeFactors,11,FALSE),P227,C227*VLOOKUP(B227,AmmoTypeFactors,4,FALSE)))</f>
        <v>0</v>
      </c>
      <c r="F227" s="16">
        <f>'Ammo Stats'!G227/0.005</f>
        <v>109800</v>
      </c>
      <c r="G227" s="16">
        <f>(IF(B227="HEAT",10,'Ammo Input'!F227)*VLOOKUP(B227,AmmoTypeFactors,7,FALSE)*0.5)^2*PI()/100</f>
        <v>0.255175863287831</v>
      </c>
      <c r="H227" s="10">
        <f t="shared" si="12"/>
        <v>10.98</v>
      </c>
      <c r="I227" s="10">
        <f>IF(B227&lt;&gt;"Arrow (Flaming)",39493.49*'Ammo Input'!M227^0.6/1000,0)</f>
        <v>0</v>
      </c>
      <c r="J227">
        <f t="shared" si="13"/>
        <v>0</v>
      </c>
      <c r="K227">
        <f t="shared" si="14"/>
        <v>5</v>
      </c>
      <c r="L227">
        <f>200000/('Ammo Stats'!C227*(MAX('Ammo Input'!D227,'Ammo Input'!F227)*0.5)^2*PI())</f>
        <v>408024.209176466</v>
      </c>
      <c r="M227">
        <f>IF(B227="Frag",1,('Ammo Input'!M227/1.33)/('Ammo Input'!H227/1000))</f>
        <v>0</v>
      </c>
      <c r="N227" t="s">
        <v>353</v>
      </c>
      <c r="O227" t="s">
        <v>353</v>
      </c>
      <c r="P227" s="3">
        <f>(39493.49*(IF((VLOOKUP(B227,AmmoTypeFactors,6,FALSE)="Bomb_Secondary"),1.33,1)*('Ammo Input'!H227*0.35)/1000)^0.6/1000)*10/3*VLOOKUP(B227,AmmoTypeFactors,4,FALSE)</f>
        <v>0</v>
      </c>
    </row>
    <row r="228" ht="14.4" spans="1:16">
      <c r="A228" t="str">
        <f>'Ammo Input'!A228</f>
        <v>5.7x28mm FN</v>
      </c>
      <c r="B228" s="1" t="str">
        <f>'Ammo Input'!B228</f>
        <v>AP</v>
      </c>
      <c r="C228">
        <f>(0.579*('Ammo Stats'!G228*IF(OR(B228="HEAT",B228="HEDP"),10,'Ammo Input'!F228)*VLOOKUP(B228,AmmoTypeFactors,7,FALSE))^(0.346))^IF(B228="HEDP",2.1,1)/IF(B228="HEDP",50,1)</f>
        <v>7.37814042090597</v>
      </c>
      <c r="D228" s="16">
        <f>IF(VLOOKUP(B228,AmmoTypeFactors,8,FALSE),J228,C228)*VLOOKUP('Ammo Input'!B228,AmmoTypeFactors,2,FALSE)</f>
        <v>5.90251233672478</v>
      </c>
      <c r="E228" s="16">
        <f>IF(OR(VLOOKUP(B228,AmmoTypeFactors,6,FALSE)="Bomb",VLOOKUP(B228,AmmoTypeFactors,6,FALSE)="Thermobaric"),J228*VLOOKUP(B228,AmmoTypeFactors,4,FALSE),IF(VLOOKUP(B228,AmmoTypeFactors,11,FALSE),P228,C228*VLOOKUP(B228,AmmoTypeFactors,4,FALSE)))</f>
        <v>0</v>
      </c>
      <c r="F228" s="16">
        <f>'Ammo Stats'!G228/0.005</f>
        <v>109800</v>
      </c>
      <c r="G228" s="16">
        <f>(IF(B228="HEAT",10,'Ammo Input'!F228)*VLOOKUP(B228,AmmoTypeFactors,7,FALSE)*0.5)^2*PI()/100</f>
        <v>0.0637939658219577</v>
      </c>
      <c r="H228" s="10">
        <f t="shared" si="12"/>
        <v>10.98</v>
      </c>
      <c r="I228" s="10">
        <f>IF(B228&lt;&gt;"Arrow (Flaming)",39493.49*'Ammo Input'!M228^0.6/1000,0)</f>
        <v>0</v>
      </c>
      <c r="J228">
        <f t="shared" si="13"/>
        <v>0</v>
      </c>
      <c r="K228">
        <f t="shared" si="14"/>
        <v>5</v>
      </c>
      <c r="L228">
        <f>200000/('Ammo Stats'!C228*(MAX('Ammo Input'!D228,'Ammo Input'!F228)*0.5)^2*PI())</f>
        <v>408024.209176466</v>
      </c>
      <c r="M228">
        <f>IF(B228="Frag",1,('Ammo Input'!M228/1.33)/('Ammo Input'!H228/1000))</f>
        <v>0</v>
      </c>
      <c r="N228" t="s">
        <v>353</v>
      </c>
      <c r="O228" t="s">
        <v>353</v>
      </c>
      <c r="P228" s="3">
        <f>(39493.49*(IF((VLOOKUP(B228,AmmoTypeFactors,6,FALSE)="Bomb_Secondary"),1.33,1)*('Ammo Input'!H228*0.35)/1000)^0.6/1000)*10/3*VLOOKUP(B228,AmmoTypeFactors,4,FALSE)</f>
        <v>0</v>
      </c>
    </row>
    <row r="229" ht="14.4" spans="1:16">
      <c r="A229" t="str">
        <f>'Ammo Input'!A229</f>
        <v>5.7x28mm FN</v>
      </c>
      <c r="B229" s="1" t="str">
        <f>'Ammo Input'!B229</f>
        <v>HP</v>
      </c>
      <c r="C229">
        <f>(0.579*('Ammo Stats'!G229*IF(OR(B229="HEAT",B229="HEDP"),10,'Ammo Input'!F229)*VLOOKUP(B229,AmmoTypeFactors,7,FALSE))^(0.346))^IF(B229="HEDP",2.1,1)/IF(B229="HEDP",50,1)</f>
        <v>11.9195448874078</v>
      </c>
      <c r="D229" s="16">
        <f>IF(VLOOKUP(B229,AmmoTypeFactors,8,FALSE),J229,C229)*VLOOKUP('Ammo Input'!B229,AmmoTypeFactors,2,FALSE)</f>
        <v>11.9195448874078</v>
      </c>
      <c r="E229" s="16">
        <f>IF(OR(VLOOKUP(B229,AmmoTypeFactors,6,FALSE)="Bomb",VLOOKUP(B229,AmmoTypeFactors,6,FALSE)="Thermobaric"),J229*VLOOKUP(B229,AmmoTypeFactors,4,FALSE),IF(VLOOKUP(B229,AmmoTypeFactors,11,FALSE),P229,C229*VLOOKUP(B229,AmmoTypeFactors,4,FALSE)))</f>
        <v>0</v>
      </c>
      <c r="F229" s="16">
        <f>'Ammo Stats'!G229/0.005</f>
        <v>109800</v>
      </c>
      <c r="G229" s="16">
        <f>(IF(B229="HEAT",10,'Ammo Input'!F229)*VLOOKUP(B229,AmmoTypeFactors,7,FALSE)*0.5)^2*PI()/100</f>
        <v>1.02070345315132</v>
      </c>
      <c r="H229" s="10">
        <f t="shared" si="12"/>
        <v>10.98</v>
      </c>
      <c r="I229" s="10">
        <f>IF(B229&lt;&gt;"Arrow (Flaming)",39493.49*'Ammo Input'!M229^0.6/1000,0)</f>
        <v>0</v>
      </c>
      <c r="J229">
        <f t="shared" si="13"/>
        <v>0</v>
      </c>
      <c r="K229">
        <f t="shared" si="14"/>
        <v>5</v>
      </c>
      <c r="L229">
        <f>200000/('Ammo Stats'!C229*(MAX('Ammo Input'!D229,'Ammo Input'!F229)*0.5)^2*PI())</f>
        <v>408024.209176466</v>
      </c>
      <c r="M229">
        <f>IF(B229="Frag",1,('Ammo Input'!M229/1.33)/('Ammo Input'!H229/1000))</f>
        <v>0</v>
      </c>
      <c r="N229" t="s">
        <v>353</v>
      </c>
      <c r="O229" t="s">
        <v>353</v>
      </c>
      <c r="P229" s="3">
        <f>(39493.49*(IF((VLOOKUP(B229,AmmoTypeFactors,6,FALSE)="Bomb_Secondary"),1.33,1)*('Ammo Input'!H229*0.35)/1000)^0.6/1000)*10/3*VLOOKUP(B229,AmmoTypeFactors,4,FALSE)</f>
        <v>0</v>
      </c>
    </row>
    <row r="230" ht="14.4" spans="1:16">
      <c r="A230" t="str">
        <f>'Ammo Input'!A230</f>
        <v>7.5 FK</v>
      </c>
      <c r="B230" s="1" t="str">
        <f>'Ammo Input'!B230</f>
        <v>FMJ</v>
      </c>
      <c r="C230">
        <f>(0.579*('Ammo Stats'!G230*IF(OR(B230="HEAT",B230="HEDP"),10,'Ammo Input'!F230)*VLOOKUP(B230,AmmoTypeFactors,7,FALSE))^(0.346))^IF(B230="HEDP",2.1,1)/IF(B230="HEDP",50,1)</f>
        <v>13.3023275829869</v>
      </c>
      <c r="D230" s="16">
        <f>IF(VLOOKUP(B230,AmmoTypeFactors,8,FALSE),J230,C230)*VLOOKUP('Ammo Input'!B230,AmmoTypeFactors,2,FALSE)</f>
        <v>13.3023275829869</v>
      </c>
      <c r="E230" s="16">
        <f>IF(OR(VLOOKUP(B230,AmmoTypeFactors,6,FALSE)="Bomb",VLOOKUP(B230,AmmoTypeFactors,6,FALSE)="Thermobaric"),J230*VLOOKUP(B230,AmmoTypeFactors,4,FALSE),IF(VLOOKUP(B230,AmmoTypeFactors,11,FALSE),P230,C230*VLOOKUP(B230,AmmoTypeFactors,4,FALSE)))</f>
        <v>0</v>
      </c>
      <c r="F230" s="16">
        <f>'Ammo Stats'!G230/0.005</f>
        <v>229200</v>
      </c>
      <c r="G230" s="16">
        <f>(IF(B230="HEAT",10,'Ammo Input'!F230)*VLOOKUP(B230,AmmoTypeFactors,7,FALSE)*0.5)^2*PI()/100</f>
        <v>0.441786466911065</v>
      </c>
      <c r="H230" s="10">
        <f t="shared" si="12"/>
        <v>22.92</v>
      </c>
      <c r="I230" s="10">
        <f>IF(B230&lt;&gt;"Arrow (Flaming)",39493.49*'Ammo Input'!M230^0.6/1000,0)</f>
        <v>0</v>
      </c>
      <c r="J230">
        <f t="shared" si="13"/>
        <v>0</v>
      </c>
      <c r="K230">
        <f t="shared" si="14"/>
        <v>6</v>
      </c>
      <c r="L230">
        <f>200000/('Ammo Stats'!C230*(MAX('Ammo Input'!D230,'Ammo Input'!F230)*0.5)^2*PI())</f>
        <v>218319.537848965</v>
      </c>
      <c r="M230">
        <f>IF(B230="Frag",1,('Ammo Input'!M230/1.33)/('Ammo Input'!H230/1000))</f>
        <v>0</v>
      </c>
      <c r="N230" t="s">
        <v>353</v>
      </c>
      <c r="O230" t="s">
        <v>353</v>
      </c>
      <c r="P230" s="3">
        <f>(39493.49*(IF((VLOOKUP(B230,AmmoTypeFactors,6,FALSE)="Bomb_Secondary"),1.33,1)*('Ammo Input'!H230*0.35)/1000)^0.6/1000)*10/3*VLOOKUP(B230,AmmoTypeFactors,4,FALSE)</f>
        <v>0</v>
      </c>
    </row>
    <row r="231" ht="14.4" spans="1:16">
      <c r="A231" t="str">
        <f>'Ammo Input'!A231</f>
        <v>7.5 FK</v>
      </c>
      <c r="B231" s="1" t="str">
        <f>'Ammo Input'!B231</f>
        <v>AP</v>
      </c>
      <c r="C231">
        <f>(0.579*('Ammo Stats'!G231*IF(OR(B231="HEAT",B231="HEDP"),10,'Ammo Input'!F231)*VLOOKUP(B231,AmmoTypeFactors,7,FALSE))^(0.346))^IF(B231="HEDP",2.1,1)/IF(B231="HEDP",50,1)</f>
        <v>10.465771778085</v>
      </c>
      <c r="D231" s="16">
        <f>IF(VLOOKUP(B231,AmmoTypeFactors,8,FALSE),J231,C231)*VLOOKUP('Ammo Input'!B231,AmmoTypeFactors,2,FALSE)</f>
        <v>8.372617422468</v>
      </c>
      <c r="E231" s="16">
        <f>IF(OR(VLOOKUP(B231,AmmoTypeFactors,6,FALSE)="Bomb",VLOOKUP(B231,AmmoTypeFactors,6,FALSE)="Thermobaric"),J231*VLOOKUP(B231,AmmoTypeFactors,4,FALSE),IF(VLOOKUP(B231,AmmoTypeFactors,11,FALSE),P231,C231*VLOOKUP(B231,AmmoTypeFactors,4,FALSE)))</f>
        <v>0</v>
      </c>
      <c r="F231" s="16">
        <f>'Ammo Stats'!G231/0.005</f>
        <v>229200</v>
      </c>
      <c r="G231" s="16">
        <f>(IF(B231="HEAT",10,'Ammo Input'!F231)*VLOOKUP(B231,AmmoTypeFactors,7,FALSE)*0.5)^2*PI()/100</f>
        <v>0.110446616727766</v>
      </c>
      <c r="H231" s="10">
        <f t="shared" si="12"/>
        <v>22.92</v>
      </c>
      <c r="I231" s="10">
        <f>IF(B231&lt;&gt;"Arrow (Flaming)",39493.49*'Ammo Input'!M231^0.6/1000,0)</f>
        <v>0</v>
      </c>
      <c r="J231">
        <f t="shared" si="13"/>
        <v>0</v>
      </c>
      <c r="K231">
        <f t="shared" si="14"/>
        <v>6</v>
      </c>
      <c r="L231">
        <f>200000/('Ammo Stats'!C231*(MAX('Ammo Input'!D231,'Ammo Input'!F231)*0.5)^2*PI())</f>
        <v>218319.537848965</v>
      </c>
      <c r="M231">
        <f>IF(B231="Frag",1,('Ammo Input'!M231/1.33)/('Ammo Input'!H231/1000))</f>
        <v>0</v>
      </c>
      <c r="N231" t="s">
        <v>353</v>
      </c>
      <c r="O231" t="s">
        <v>353</v>
      </c>
      <c r="P231" s="3">
        <f>(39493.49*(IF((VLOOKUP(B231,AmmoTypeFactors,6,FALSE)="Bomb_Secondary"),1.33,1)*('Ammo Input'!H231*0.35)/1000)^0.6/1000)*10/3*VLOOKUP(B231,AmmoTypeFactors,4,FALSE)</f>
        <v>0</v>
      </c>
    </row>
    <row r="232" ht="14.4" spans="1:16">
      <c r="A232" t="str">
        <f>'Ammo Input'!A232</f>
        <v>7.5 FK</v>
      </c>
      <c r="B232" s="1" t="str">
        <f>'Ammo Input'!B232</f>
        <v>HP</v>
      </c>
      <c r="C232">
        <f>(0.579*('Ammo Stats'!G232*IF(OR(B232="HEAT",B232="HEDP"),10,'Ammo Input'!F232)*VLOOKUP(B232,AmmoTypeFactors,7,FALSE))^(0.346))^IF(B232="HEDP",2.1,1)/IF(B232="HEDP",50,1)</f>
        <v>16.9076798995013</v>
      </c>
      <c r="D232" s="16">
        <f>IF(VLOOKUP(B232,AmmoTypeFactors,8,FALSE),J232,C232)*VLOOKUP('Ammo Input'!B232,AmmoTypeFactors,2,FALSE)</f>
        <v>16.9076798995013</v>
      </c>
      <c r="E232" s="16">
        <f>IF(OR(VLOOKUP(B232,AmmoTypeFactors,6,FALSE)="Bomb",VLOOKUP(B232,AmmoTypeFactors,6,FALSE)="Thermobaric"),J232*VLOOKUP(B232,AmmoTypeFactors,4,FALSE),IF(VLOOKUP(B232,AmmoTypeFactors,11,FALSE),P232,C232*VLOOKUP(B232,AmmoTypeFactors,4,FALSE)))</f>
        <v>0</v>
      </c>
      <c r="F232" s="16">
        <f>'Ammo Stats'!G232/0.005</f>
        <v>229200</v>
      </c>
      <c r="G232" s="16">
        <f>(IF(B232="HEAT",10,'Ammo Input'!F232)*VLOOKUP(B232,AmmoTypeFactors,7,FALSE)*0.5)^2*PI()/100</f>
        <v>1.76714586764426</v>
      </c>
      <c r="H232" s="10">
        <f t="shared" si="12"/>
        <v>22.92</v>
      </c>
      <c r="I232" s="10">
        <f>IF(B232&lt;&gt;"Arrow (Flaming)",39493.49*'Ammo Input'!M232^0.6/1000,0)</f>
        <v>0</v>
      </c>
      <c r="J232">
        <f t="shared" si="13"/>
        <v>0</v>
      </c>
      <c r="K232">
        <f t="shared" si="14"/>
        <v>6</v>
      </c>
      <c r="L232">
        <f>200000/('Ammo Stats'!C232*(MAX('Ammo Input'!D232,'Ammo Input'!F232)*0.5)^2*PI())</f>
        <v>218319.537848965</v>
      </c>
      <c r="M232">
        <f>IF(B232="Frag",1,('Ammo Input'!M232/1.33)/('Ammo Input'!H232/1000))</f>
        <v>0</v>
      </c>
      <c r="N232" t="s">
        <v>353</v>
      </c>
      <c r="O232" t="s">
        <v>353</v>
      </c>
      <c r="P232" s="3">
        <f>(39493.49*(IF((VLOOKUP(B232,AmmoTypeFactors,6,FALSE)="Bomb_Secondary"),1.33,1)*('Ammo Input'!H232*0.35)/1000)^0.6/1000)*10/3*VLOOKUP(B232,AmmoTypeFactors,4,FALSE)</f>
        <v>0</v>
      </c>
    </row>
    <row r="233" ht="14.4" spans="1:16">
      <c r="A233" t="str">
        <f>'Ammo Input'!A233</f>
        <v>9x19mm Parabellum</v>
      </c>
      <c r="B233" s="1" t="str">
        <f>'Ammo Input'!B233</f>
        <v>FMJ</v>
      </c>
      <c r="C233">
        <f>(0.579*('Ammo Stats'!G233*IF(OR(B233="HEAT",B233="HEDP"),10,'Ammo Input'!F233)*VLOOKUP(B233,AmmoTypeFactors,7,FALSE))^(0.346))^IF(B233="HEDP",2.1,1)/IF(B233="HEDP",50,1)</f>
        <v>10.511363347312</v>
      </c>
      <c r="D233" s="16">
        <f>IF(VLOOKUP(B233,AmmoTypeFactors,8,FALSE),J233,C233)*VLOOKUP('Ammo Input'!B233,AmmoTypeFactors,2,FALSE)</f>
        <v>10.511363347312</v>
      </c>
      <c r="E233" s="16">
        <f>IF(OR(VLOOKUP(B233,AmmoTypeFactors,6,FALSE)="Bomb",VLOOKUP(B233,AmmoTypeFactors,6,FALSE)="Thermobaric"),J233*VLOOKUP(B233,AmmoTypeFactors,4,FALSE),IF(VLOOKUP(B233,AmmoTypeFactors,11,FALSE),P233,C233*VLOOKUP(B233,AmmoTypeFactors,4,FALSE)))</f>
        <v>0</v>
      </c>
      <c r="F233" s="16">
        <f>'Ammo Stats'!G233/0.005</f>
        <v>96600</v>
      </c>
      <c r="G233" s="16">
        <f>(IF(B233="HEAT",10,'Ammo Input'!F233)*VLOOKUP(B233,AmmoTypeFactors,7,FALSE)*0.5)^2*PI()/100</f>
        <v>0.637587014444212</v>
      </c>
      <c r="H233" s="10">
        <f t="shared" si="12"/>
        <v>9.66</v>
      </c>
      <c r="I233" s="10">
        <f>IF(B233&lt;&gt;"Arrow (Flaming)",39493.49*'Ammo Input'!M233^0.6/1000,0)</f>
        <v>0</v>
      </c>
      <c r="J233">
        <f t="shared" si="13"/>
        <v>0</v>
      </c>
      <c r="K233">
        <f t="shared" si="14"/>
        <v>5</v>
      </c>
      <c r="L233">
        <f>200000/('Ammo Stats'!C233*(MAX('Ammo Input'!D233,'Ammo Input'!F233)*0.5)^2*PI())</f>
        <v>258250.765374776</v>
      </c>
      <c r="M233">
        <f>IF(B233="Frag",1,('Ammo Input'!M233/1.33)/('Ammo Input'!H233/1000))</f>
        <v>0</v>
      </c>
      <c r="N233" t="s">
        <v>353</v>
      </c>
      <c r="O233" t="s">
        <v>353</v>
      </c>
      <c r="P233" s="3">
        <f>(39493.49*(IF((VLOOKUP(B233,AmmoTypeFactors,6,FALSE)="Bomb_Secondary"),1.33,1)*('Ammo Input'!H233*0.35)/1000)^0.6/1000)*10/3*VLOOKUP(B233,AmmoTypeFactors,4,FALSE)</f>
        <v>0</v>
      </c>
    </row>
    <row r="234" ht="14.4" spans="1:16">
      <c r="A234" t="str">
        <f>'Ammo Input'!A234</f>
        <v>9x19mm Parabellum</v>
      </c>
      <c r="B234" s="1" t="str">
        <f>'Ammo Input'!B234</f>
        <v>AP</v>
      </c>
      <c r="C234">
        <f>(0.579*('Ammo Stats'!G234*IF(OR(B234="HEAT",B234="HEDP"),10,'Ammo Input'!F234)*VLOOKUP(B234,AmmoTypeFactors,7,FALSE))^(0.346))^IF(B234="HEDP",2.1,1)/IF(B234="HEDP",50,1)</f>
        <v>8.26994593113105</v>
      </c>
      <c r="D234" s="16">
        <f>IF(VLOOKUP(B234,AmmoTypeFactors,8,FALSE),J234,C234)*VLOOKUP('Ammo Input'!B234,AmmoTypeFactors,2,FALSE)</f>
        <v>6.61595674490484</v>
      </c>
      <c r="E234" s="16">
        <f>IF(OR(VLOOKUP(B234,AmmoTypeFactors,6,FALSE)="Bomb",VLOOKUP(B234,AmmoTypeFactors,6,FALSE)="Thermobaric"),J234*VLOOKUP(B234,AmmoTypeFactors,4,FALSE),IF(VLOOKUP(B234,AmmoTypeFactors,11,FALSE),P234,C234*VLOOKUP(B234,AmmoTypeFactors,4,FALSE)))</f>
        <v>0</v>
      </c>
      <c r="F234" s="16">
        <f>'Ammo Stats'!G234/0.005</f>
        <v>96600</v>
      </c>
      <c r="G234" s="16">
        <f>(IF(B234="HEAT",10,'Ammo Input'!F234)*VLOOKUP(B234,AmmoTypeFactors,7,FALSE)*0.5)^2*PI()/100</f>
        <v>0.159396753611053</v>
      </c>
      <c r="H234" s="10">
        <f t="shared" si="12"/>
        <v>9.66</v>
      </c>
      <c r="I234" s="10">
        <f>IF(B234&lt;&gt;"Arrow (Flaming)",39493.49*'Ammo Input'!M234^0.6/1000,0)</f>
        <v>0</v>
      </c>
      <c r="J234">
        <f t="shared" si="13"/>
        <v>0</v>
      </c>
      <c r="K234">
        <f t="shared" si="14"/>
        <v>5</v>
      </c>
      <c r="L234">
        <f>200000/('Ammo Stats'!C234*(MAX('Ammo Input'!D234,'Ammo Input'!F234)*0.5)^2*PI())</f>
        <v>258250.765374776</v>
      </c>
      <c r="M234">
        <f>IF(B234="Frag",1,('Ammo Input'!M234/1.33)/('Ammo Input'!H234/1000))</f>
        <v>0</v>
      </c>
      <c r="N234" t="s">
        <v>353</v>
      </c>
      <c r="O234" t="s">
        <v>353</v>
      </c>
      <c r="P234" s="3">
        <f>(39493.49*(IF((VLOOKUP(B234,AmmoTypeFactors,6,FALSE)="Bomb_Secondary"),1.33,1)*('Ammo Input'!H234*0.35)/1000)^0.6/1000)*10/3*VLOOKUP(B234,AmmoTypeFactors,4,FALSE)</f>
        <v>0</v>
      </c>
    </row>
    <row r="235" ht="14.4" spans="1:16">
      <c r="A235" t="str">
        <f>'Ammo Input'!A235</f>
        <v>9x19mm Parabellum</v>
      </c>
      <c r="B235" s="1" t="str">
        <f>'Ammo Input'!B235</f>
        <v>HP</v>
      </c>
      <c r="C235">
        <f>(0.579*('Ammo Stats'!G235*IF(OR(B235="HEAT",B235="HEDP"),10,'Ammo Input'!F235)*VLOOKUP(B235,AmmoTypeFactors,7,FALSE))^(0.346))^IF(B235="HEDP",2.1,1)/IF(B235="HEDP",50,1)</f>
        <v>13.3602759122397</v>
      </c>
      <c r="D235" s="16">
        <f>IF(VLOOKUP(B235,AmmoTypeFactors,8,FALSE),J235,C235)*VLOOKUP('Ammo Input'!B235,AmmoTypeFactors,2,FALSE)</f>
        <v>13.3602759122397</v>
      </c>
      <c r="E235" s="16">
        <f>IF(OR(VLOOKUP(B235,AmmoTypeFactors,6,FALSE)="Bomb",VLOOKUP(B235,AmmoTypeFactors,6,FALSE)="Thermobaric"),J235*VLOOKUP(B235,AmmoTypeFactors,4,FALSE),IF(VLOOKUP(B235,AmmoTypeFactors,11,FALSE),P235,C235*VLOOKUP(B235,AmmoTypeFactors,4,FALSE)))</f>
        <v>0</v>
      </c>
      <c r="F235" s="16">
        <f>'Ammo Stats'!G235/0.005</f>
        <v>96600</v>
      </c>
      <c r="G235" s="16">
        <f>(IF(B235="HEAT",10,'Ammo Input'!F235)*VLOOKUP(B235,AmmoTypeFactors,7,FALSE)*0.5)^2*PI()/100</f>
        <v>2.55034805777685</v>
      </c>
      <c r="H235" s="10">
        <f t="shared" si="12"/>
        <v>9.66</v>
      </c>
      <c r="I235" s="10">
        <f>IF(B235&lt;&gt;"Arrow (Flaming)",39493.49*'Ammo Input'!M235^0.6/1000,0)</f>
        <v>0</v>
      </c>
      <c r="J235">
        <f t="shared" si="13"/>
        <v>0</v>
      </c>
      <c r="K235">
        <f t="shared" si="14"/>
        <v>5</v>
      </c>
      <c r="L235">
        <f>200000/('Ammo Stats'!C235*(MAX('Ammo Input'!D235,'Ammo Input'!F235)*0.5)^2*PI())</f>
        <v>258250.765374776</v>
      </c>
      <c r="M235">
        <f>IF(B235="Frag",1,('Ammo Input'!M235/1.33)/('Ammo Input'!H235/1000))</f>
        <v>0</v>
      </c>
      <c r="N235" t="s">
        <v>353</v>
      </c>
      <c r="O235" t="s">
        <v>353</v>
      </c>
      <c r="P235" s="3">
        <f>(39493.49*(IF((VLOOKUP(B235,AmmoTypeFactors,6,FALSE)="Bomb_Secondary"),1.33,1)*('Ammo Input'!H235*0.35)/1000)^0.6/1000)*10/3*VLOOKUP(B235,AmmoTypeFactors,4,FALSE)</f>
        <v>0</v>
      </c>
    </row>
    <row r="236" ht="14.4" spans="1:16">
      <c r="A236" t="str">
        <f>'Ammo Input'!A236</f>
        <v>.455 Webley</v>
      </c>
      <c r="B236" s="1" t="str">
        <f>'Ammo Input'!B236</f>
        <v>FMJ</v>
      </c>
      <c r="C236">
        <f>(0.579*('Ammo Stats'!G236*IF(OR(B236="HEAT",B236="HEDP"),10,'Ammo Input'!F236)*VLOOKUP(B236,AmmoTypeFactors,7,FALSE))^(0.346))^IF(B236="HEDP",2.1,1)/IF(B236="HEDP",50,1)</f>
        <v>9.41215625702567</v>
      </c>
      <c r="D236" s="16">
        <f>IF(VLOOKUP(B236,AmmoTypeFactors,8,FALSE),J236,C236)*VLOOKUP('Ammo Input'!B236,AmmoTypeFactors,2,FALSE)</f>
        <v>9.41215625702567</v>
      </c>
      <c r="E236" s="16">
        <f>IF(OR(VLOOKUP(B236,AmmoTypeFactors,6,FALSE)="Bomb",VLOOKUP(B236,AmmoTypeFactors,6,FALSE)="Thermobaric"),J236*VLOOKUP(B236,AmmoTypeFactors,4,FALSE),IF(VLOOKUP(B236,AmmoTypeFactors,11,FALSE),P236,C236*VLOOKUP(B236,AmmoTypeFactors,4,FALSE)))</f>
        <v>0</v>
      </c>
      <c r="F236" s="16">
        <f>'Ammo Stats'!G236/0.005</f>
        <v>55000</v>
      </c>
      <c r="G236" s="16">
        <f>(IF(B236="HEAT",10,'Ammo Input'!F236)*VLOOKUP(B236,AmmoTypeFactors,7,FALSE)*0.5)^2*PI()/100</f>
        <v>1.03868907109313</v>
      </c>
      <c r="H236" s="10">
        <f t="shared" si="12"/>
        <v>5.5</v>
      </c>
      <c r="I236" s="10">
        <f>IF(B236&lt;&gt;"Arrow (Flaming)",39493.49*'Ammo Input'!M236^0.6/1000,0)</f>
        <v>0</v>
      </c>
      <c r="J236">
        <f t="shared" si="13"/>
        <v>0</v>
      </c>
      <c r="K236">
        <f t="shared" si="14"/>
        <v>4</v>
      </c>
      <c r="L236">
        <f>200000/('Ammo Stats'!C236*(MAX('Ammo Input'!D236,'Ammo Input'!F236)*0.5)^2*PI())</f>
        <v>85544.177958557</v>
      </c>
      <c r="M236">
        <f>IF(B236="Frag",1,('Ammo Input'!M236/1.33)/('Ammo Input'!H236/1000))</f>
        <v>0</v>
      </c>
      <c r="N236" t="s">
        <v>353</v>
      </c>
      <c r="O236" t="s">
        <v>353</v>
      </c>
      <c r="P236" s="3">
        <f>(39493.49*(IF((VLOOKUP(B236,AmmoTypeFactors,6,FALSE)="Bomb_Secondary"),1.33,1)*('Ammo Input'!H236*0.35)/1000)^0.6/1000)*10/3*VLOOKUP(B236,AmmoTypeFactors,4,FALSE)</f>
        <v>0</v>
      </c>
    </row>
    <row r="237" ht="14.4" spans="1:16">
      <c r="A237" t="str">
        <f>'Ammo Input'!A237</f>
        <v>.455 Webley</v>
      </c>
      <c r="B237" s="1" t="str">
        <f>'Ammo Input'!B237</f>
        <v>AP</v>
      </c>
      <c r="C237">
        <f>(0.579*('Ammo Stats'!G237*IF(OR(B237="HEAT",B237="HEDP"),10,'Ammo Input'!F237)*VLOOKUP(B237,AmmoTypeFactors,7,FALSE))^(0.346))^IF(B237="HEDP",2.1,1)/IF(B237="HEDP",50,1)</f>
        <v>7.40513107282738</v>
      </c>
      <c r="D237" s="16">
        <f>IF(VLOOKUP(B237,AmmoTypeFactors,8,FALSE),J237,C237)*VLOOKUP('Ammo Input'!B237,AmmoTypeFactors,2,FALSE)</f>
        <v>5.92410485826191</v>
      </c>
      <c r="E237" s="16">
        <f>IF(OR(VLOOKUP(B237,AmmoTypeFactors,6,FALSE)="Bomb",VLOOKUP(B237,AmmoTypeFactors,6,FALSE)="Thermobaric"),J237*VLOOKUP(B237,AmmoTypeFactors,4,FALSE),IF(VLOOKUP(B237,AmmoTypeFactors,11,FALSE),P237,C237*VLOOKUP(B237,AmmoTypeFactors,4,FALSE)))</f>
        <v>0</v>
      </c>
      <c r="F237" s="16">
        <f>'Ammo Stats'!G237/0.005</f>
        <v>55000</v>
      </c>
      <c r="G237" s="16">
        <f>(IF(B237="HEAT",10,'Ammo Input'!F237)*VLOOKUP(B237,AmmoTypeFactors,7,FALSE)*0.5)^2*PI()/100</f>
        <v>0.259672267773281</v>
      </c>
      <c r="H237" s="10">
        <f t="shared" si="12"/>
        <v>5.5</v>
      </c>
      <c r="I237" s="10">
        <f>IF(B237&lt;&gt;"Arrow (Flaming)",39493.49*'Ammo Input'!M237^0.6/1000,0)</f>
        <v>0</v>
      </c>
      <c r="J237">
        <f t="shared" si="13"/>
        <v>0</v>
      </c>
      <c r="K237">
        <f t="shared" si="14"/>
        <v>4</v>
      </c>
      <c r="L237">
        <f>200000/('Ammo Stats'!C237*(MAX('Ammo Input'!D237,'Ammo Input'!F237)*0.5)^2*PI())</f>
        <v>85544.177958557</v>
      </c>
      <c r="M237">
        <f>IF(B237="Frag",1,('Ammo Input'!M237/1.33)/('Ammo Input'!H237/1000))</f>
        <v>0</v>
      </c>
      <c r="N237" t="s">
        <v>353</v>
      </c>
      <c r="O237" t="s">
        <v>353</v>
      </c>
      <c r="P237" s="3">
        <f>(39493.49*(IF((VLOOKUP(B237,AmmoTypeFactors,6,FALSE)="Bomb_Secondary"),1.33,1)*('Ammo Input'!H237*0.35)/1000)^0.6/1000)*10/3*VLOOKUP(B237,AmmoTypeFactors,4,FALSE)</f>
        <v>0</v>
      </c>
    </row>
    <row r="238" ht="14.4" spans="1:16">
      <c r="A238" t="str">
        <f>'Ammo Input'!A238</f>
        <v>.455 Webley</v>
      </c>
      <c r="B238" s="1" t="str">
        <f>'Ammo Input'!B238</f>
        <v>HP</v>
      </c>
      <c r="C238">
        <f>(0.579*('Ammo Stats'!G238*IF(OR(B238="HEAT",B238="HEDP"),10,'Ammo Input'!F238)*VLOOKUP(B238,AmmoTypeFactors,7,FALSE))^(0.346))^IF(B238="HEDP",2.1,1)/IF(B238="HEDP",50,1)</f>
        <v>11.9631488673762</v>
      </c>
      <c r="D238" s="16">
        <f>IF(VLOOKUP(B238,AmmoTypeFactors,8,FALSE),J238,C238)*VLOOKUP('Ammo Input'!B238,AmmoTypeFactors,2,FALSE)</f>
        <v>11.9631488673762</v>
      </c>
      <c r="E238" s="16">
        <f>IF(OR(VLOOKUP(B238,AmmoTypeFactors,6,FALSE)="Bomb",VLOOKUP(B238,AmmoTypeFactors,6,FALSE)="Thermobaric"),J238*VLOOKUP(B238,AmmoTypeFactors,4,FALSE),IF(VLOOKUP(B238,AmmoTypeFactors,11,FALSE),P238,C238*VLOOKUP(B238,AmmoTypeFactors,4,FALSE)))</f>
        <v>0</v>
      </c>
      <c r="F238" s="16">
        <f>'Ammo Stats'!G238/0.005</f>
        <v>55000</v>
      </c>
      <c r="G238" s="16">
        <f>(IF(B238="HEAT",10,'Ammo Input'!F238)*VLOOKUP(B238,AmmoTypeFactors,7,FALSE)*0.5)^2*PI()/100</f>
        <v>4.1547562843725</v>
      </c>
      <c r="H238" s="10">
        <f t="shared" si="12"/>
        <v>5.5</v>
      </c>
      <c r="I238" s="10">
        <f>IF(B238&lt;&gt;"Arrow (Flaming)",39493.49*'Ammo Input'!M238^0.6/1000,0)</f>
        <v>0</v>
      </c>
      <c r="J238">
        <f t="shared" si="13"/>
        <v>0</v>
      </c>
      <c r="K238">
        <f t="shared" si="14"/>
        <v>4</v>
      </c>
      <c r="L238">
        <f>200000/('Ammo Stats'!C238*(MAX('Ammo Input'!D238,'Ammo Input'!F238)*0.5)^2*PI())</f>
        <v>85544.177958557</v>
      </c>
      <c r="M238">
        <f>IF(B238="Frag",1,('Ammo Input'!M238/1.33)/('Ammo Input'!H238/1000))</f>
        <v>0</v>
      </c>
      <c r="N238" t="s">
        <v>353</v>
      </c>
      <c r="O238" t="s">
        <v>353</v>
      </c>
      <c r="P238" s="3">
        <f>(39493.49*(IF((VLOOKUP(B238,AmmoTypeFactors,6,FALSE)="Bomb_Secondary"),1.33,1)*('Ammo Input'!H238*0.35)/1000)^0.6/1000)*10/3*VLOOKUP(B238,AmmoTypeFactors,4,FALSE)</f>
        <v>0</v>
      </c>
    </row>
    <row r="239" ht="14.4" spans="1:16">
      <c r="A239" t="str">
        <f>'Ammo Input'!A239</f>
        <v>.45 ACP</v>
      </c>
      <c r="B239" s="1" t="str">
        <f>'Ammo Input'!B239</f>
        <v>FMJ</v>
      </c>
      <c r="C239">
        <f>(0.579*('Ammo Stats'!G239*IF(OR(B239="HEAT",B239="HEDP"),10,'Ammo Input'!F239)*VLOOKUP(B239,AmmoTypeFactors,7,FALSE))^(0.346))^IF(B239="HEDP",2.1,1)/IF(B239="HEDP",50,1)</f>
        <v>11.9102467081833</v>
      </c>
      <c r="D239" s="16">
        <f>IF(VLOOKUP(B239,AmmoTypeFactors,8,FALSE),J239,C239)*VLOOKUP('Ammo Input'!B239,AmmoTypeFactors,2,FALSE)</f>
        <v>11.9102467081833</v>
      </c>
      <c r="E239" s="16">
        <f>IF(OR(VLOOKUP(B239,AmmoTypeFactors,6,FALSE)="Bomb",VLOOKUP(B239,AmmoTypeFactors,6,FALSE)="Thermobaric"),J239*VLOOKUP(B239,AmmoTypeFactors,4,FALSE),IF(VLOOKUP(B239,AmmoTypeFactors,11,FALSE),P239,C239*VLOOKUP(B239,AmmoTypeFactors,4,FALSE)))</f>
        <v>0</v>
      </c>
      <c r="F239" s="16">
        <f>'Ammo Stats'!G239/0.005</f>
        <v>108600</v>
      </c>
      <c r="G239" s="16">
        <f>(IF(B239="HEAT",10,'Ammo Input'!F239)*VLOOKUP(B239,AmmoTypeFactors,7,FALSE)*0.5)^2*PI()/100</f>
        <v>1.03868907109313</v>
      </c>
      <c r="H239" s="10">
        <f t="shared" si="12"/>
        <v>10.86</v>
      </c>
      <c r="I239" s="10">
        <f>IF(B239&lt;&gt;"Arrow (Flaming)",39493.49*'Ammo Input'!M239^0.6/1000,0)</f>
        <v>0</v>
      </c>
      <c r="J239">
        <f t="shared" si="13"/>
        <v>0</v>
      </c>
      <c r="K239">
        <f t="shared" si="14"/>
        <v>5</v>
      </c>
      <c r="L239">
        <f>200000/('Ammo Stats'!C239*(MAX('Ammo Input'!D239,'Ammo Input'!F239)*0.5)^2*PI())</f>
        <v>86963.9740957013</v>
      </c>
      <c r="M239">
        <f>IF(B239="Frag",1,('Ammo Input'!M239/1.33)/('Ammo Input'!H239/1000))</f>
        <v>0</v>
      </c>
      <c r="N239" t="s">
        <v>353</v>
      </c>
      <c r="O239" t="s">
        <v>353</v>
      </c>
      <c r="P239" s="3">
        <f>(39493.49*(IF((VLOOKUP(B239,AmmoTypeFactors,6,FALSE)="Bomb_Secondary"),1.33,1)*('Ammo Input'!H239*0.35)/1000)^0.6/1000)*10/3*VLOOKUP(B239,AmmoTypeFactors,4,FALSE)</f>
        <v>0</v>
      </c>
    </row>
    <row r="240" ht="14.4" spans="1:16">
      <c r="A240" t="str">
        <f>'Ammo Input'!A240</f>
        <v>.45 ACP</v>
      </c>
      <c r="B240" s="1" t="str">
        <f>'Ammo Input'!B240</f>
        <v>AP</v>
      </c>
      <c r="C240">
        <f>(0.579*('Ammo Stats'!G240*IF(OR(B240="HEAT",B240="HEDP"),10,'Ammo Input'!F240)*VLOOKUP(B240,AmmoTypeFactors,7,FALSE))^(0.346))^IF(B240="HEDP",2.1,1)/IF(B240="HEDP",50,1)</f>
        <v>9.37053482489457</v>
      </c>
      <c r="D240" s="16">
        <f>IF(VLOOKUP(B240,AmmoTypeFactors,8,FALSE),J240,C240)*VLOOKUP('Ammo Input'!B240,AmmoTypeFactors,2,FALSE)</f>
        <v>7.49642785991566</v>
      </c>
      <c r="E240" s="16">
        <f>IF(OR(VLOOKUP(B240,AmmoTypeFactors,6,FALSE)="Bomb",VLOOKUP(B240,AmmoTypeFactors,6,FALSE)="Thermobaric"),J240*VLOOKUP(B240,AmmoTypeFactors,4,FALSE),IF(VLOOKUP(B240,AmmoTypeFactors,11,FALSE),P240,C240*VLOOKUP(B240,AmmoTypeFactors,4,FALSE)))</f>
        <v>0</v>
      </c>
      <c r="F240" s="16">
        <f>'Ammo Stats'!G240/0.005</f>
        <v>108600</v>
      </c>
      <c r="G240" s="16">
        <f>(IF(B240="HEAT",10,'Ammo Input'!F240)*VLOOKUP(B240,AmmoTypeFactors,7,FALSE)*0.5)^2*PI()/100</f>
        <v>0.259672267773281</v>
      </c>
      <c r="H240" s="10">
        <f t="shared" si="12"/>
        <v>10.86</v>
      </c>
      <c r="I240" s="10">
        <f>IF(B240&lt;&gt;"Arrow (Flaming)",39493.49*'Ammo Input'!M240^0.6/1000,0)</f>
        <v>0</v>
      </c>
      <c r="J240">
        <f t="shared" si="13"/>
        <v>0</v>
      </c>
      <c r="K240">
        <f t="shared" si="14"/>
        <v>5</v>
      </c>
      <c r="L240">
        <f>200000/('Ammo Stats'!C240*(MAX('Ammo Input'!D240,'Ammo Input'!F240)*0.5)^2*PI())</f>
        <v>86963.9740957013</v>
      </c>
      <c r="M240">
        <f>IF(B240="Frag",1,('Ammo Input'!M240/1.33)/('Ammo Input'!H240/1000))</f>
        <v>0</v>
      </c>
      <c r="N240" t="s">
        <v>353</v>
      </c>
      <c r="O240" t="s">
        <v>353</v>
      </c>
      <c r="P240" s="3">
        <f>(39493.49*(IF((VLOOKUP(B240,AmmoTypeFactors,6,FALSE)="Bomb_Secondary"),1.33,1)*('Ammo Input'!H240*0.35)/1000)^0.6/1000)*10/3*VLOOKUP(B240,AmmoTypeFactors,4,FALSE)</f>
        <v>0</v>
      </c>
    </row>
    <row r="241" ht="14.4" spans="1:16">
      <c r="A241" t="str">
        <f>'Ammo Input'!A241</f>
        <v>.45 ACP</v>
      </c>
      <c r="B241" s="1" t="str">
        <f>'Ammo Input'!B241</f>
        <v>HP</v>
      </c>
      <c r="C241">
        <f>(0.579*('Ammo Stats'!G241*IF(OR(B241="HEAT",B241="HEDP"),10,'Ammo Input'!F241)*VLOOKUP(B241,AmmoTypeFactors,7,FALSE))^(0.346))^IF(B241="HEDP",2.1,1)/IF(B241="HEDP",50,1)</f>
        <v>15.1383009935495</v>
      </c>
      <c r="D241" s="16">
        <f>IF(VLOOKUP(B241,AmmoTypeFactors,8,FALSE),J241,C241)*VLOOKUP('Ammo Input'!B241,AmmoTypeFactors,2,FALSE)</f>
        <v>15.1383009935495</v>
      </c>
      <c r="E241" s="16">
        <f>IF(OR(VLOOKUP(B241,AmmoTypeFactors,6,FALSE)="Bomb",VLOOKUP(B241,AmmoTypeFactors,6,FALSE)="Thermobaric"),J241*VLOOKUP(B241,AmmoTypeFactors,4,FALSE),IF(VLOOKUP(B241,AmmoTypeFactors,11,FALSE),P241,C241*VLOOKUP(B241,AmmoTypeFactors,4,FALSE)))</f>
        <v>0</v>
      </c>
      <c r="F241" s="16">
        <f>'Ammo Stats'!G241/0.005</f>
        <v>108600</v>
      </c>
      <c r="G241" s="16">
        <f>(IF(B241="HEAT",10,'Ammo Input'!F241)*VLOOKUP(B241,AmmoTypeFactors,7,FALSE)*0.5)^2*PI()/100</f>
        <v>4.1547562843725</v>
      </c>
      <c r="H241" s="10">
        <f t="shared" si="12"/>
        <v>10.86</v>
      </c>
      <c r="I241" s="10">
        <f>IF(B241&lt;&gt;"Arrow (Flaming)",39493.49*'Ammo Input'!M241^0.6/1000,0)</f>
        <v>0</v>
      </c>
      <c r="J241">
        <f t="shared" si="13"/>
        <v>0</v>
      </c>
      <c r="K241">
        <f t="shared" si="14"/>
        <v>5</v>
      </c>
      <c r="L241">
        <f>200000/('Ammo Stats'!C241*(MAX('Ammo Input'!D241,'Ammo Input'!F241)*0.5)^2*PI())</f>
        <v>86963.9740957013</v>
      </c>
      <c r="M241">
        <f>IF(B241="Frag",1,('Ammo Input'!M241/1.33)/('Ammo Input'!H241/1000))</f>
        <v>0</v>
      </c>
      <c r="N241" t="s">
        <v>353</v>
      </c>
      <c r="O241" t="s">
        <v>353</v>
      </c>
      <c r="P241" s="3">
        <f>(39493.49*(IF((VLOOKUP(B241,AmmoTypeFactors,6,FALSE)="Bomb_Secondary"),1.33,1)*('Ammo Input'!H241*0.35)/1000)^0.6/1000)*10/3*VLOOKUP(B241,AmmoTypeFactors,4,FALSE)</f>
        <v>0</v>
      </c>
    </row>
    <row r="242" ht="14.4" spans="1:16">
      <c r="A242" t="str">
        <f>'Ammo Input'!A242</f>
        <v>.50 AE</v>
      </c>
      <c r="B242" s="1" t="str">
        <f>'Ammo Input'!B242</f>
        <v>FMJ</v>
      </c>
      <c r="C242">
        <f>(0.579*('Ammo Stats'!G242*IF(OR(B242="HEAT",B242="HEDP"),10,'Ammo Input'!F242)*VLOOKUP(B242,AmmoTypeFactors,7,FALSE))^(0.346))^IF(B242="HEDP",2.1,1)/IF(B242="HEDP",50,1)</f>
        <v>19.0954371288163</v>
      </c>
      <c r="D242" s="16">
        <f>IF(VLOOKUP(B242,AmmoTypeFactors,8,FALSE),J242,C242)*VLOOKUP('Ammo Input'!B242,AmmoTypeFactors,2,FALSE)</f>
        <v>19.0954371288163</v>
      </c>
      <c r="E242" s="16">
        <f>IF(OR(VLOOKUP(B242,AmmoTypeFactors,6,FALSE)="Bomb",VLOOKUP(B242,AmmoTypeFactors,6,FALSE)="Thermobaric"),J242*VLOOKUP(B242,AmmoTypeFactors,4,FALSE),IF(VLOOKUP(B242,AmmoTypeFactors,11,FALSE),P242,C242*VLOOKUP(B242,AmmoTypeFactors,4,FALSE)))</f>
        <v>0</v>
      </c>
      <c r="F242" s="16">
        <f>'Ammo Stats'!G242/0.005</f>
        <v>384800</v>
      </c>
      <c r="G242" s="16">
        <f>(IF(B242="HEAT",10,'Ammo Input'!F242)*VLOOKUP(B242,AmmoTypeFactors,7,FALSE)*0.5)^2*PI()/100</f>
        <v>1.26676869774374</v>
      </c>
      <c r="H242" s="10">
        <f t="shared" si="12"/>
        <v>38.48</v>
      </c>
      <c r="I242" s="10">
        <f>IF(B242&lt;&gt;"Arrow (Flaming)",39493.49*'Ammo Input'!M242^0.6/1000,0)</f>
        <v>0</v>
      </c>
      <c r="J242">
        <f t="shared" si="13"/>
        <v>0</v>
      </c>
      <c r="K242">
        <f t="shared" si="14"/>
        <v>7</v>
      </c>
      <c r="L242">
        <f>200000/('Ammo Stats'!C242*(MAX('Ammo Input'!D242,'Ammo Input'!F242)*0.5)^2*PI())</f>
        <v>65899.2570123266</v>
      </c>
      <c r="M242">
        <f>IF(B242="Frag",1,('Ammo Input'!M242/1.33)/('Ammo Input'!H242/1000))</f>
        <v>0</v>
      </c>
      <c r="N242" t="s">
        <v>353</v>
      </c>
      <c r="O242" t="s">
        <v>353</v>
      </c>
      <c r="P242" s="3">
        <f>(39493.49*(IF((VLOOKUP(B242,AmmoTypeFactors,6,FALSE)="Bomb_Secondary"),1.33,1)*('Ammo Input'!H242*0.35)/1000)^0.6/1000)*10/3*VLOOKUP(B242,AmmoTypeFactors,4,FALSE)</f>
        <v>0</v>
      </c>
    </row>
    <row r="243" ht="14.4" spans="1:16">
      <c r="A243" t="str">
        <f>'Ammo Input'!A243</f>
        <v>.50 AE</v>
      </c>
      <c r="B243" s="1" t="str">
        <f>'Ammo Input'!B243</f>
        <v>AP</v>
      </c>
      <c r="C243">
        <f>(0.579*('Ammo Stats'!G243*IF(OR(B243="HEAT",B243="HEDP"),10,'Ammo Input'!F243)*VLOOKUP(B243,AmmoTypeFactors,7,FALSE))^(0.346))^IF(B243="HEDP",2.1,1)/IF(B243="HEDP",50,1)</f>
        <v>15.0235728105628</v>
      </c>
      <c r="D243" s="16">
        <f>IF(VLOOKUP(B243,AmmoTypeFactors,8,FALSE),J243,C243)*VLOOKUP('Ammo Input'!B243,AmmoTypeFactors,2,FALSE)</f>
        <v>12.0188582484502</v>
      </c>
      <c r="E243" s="16">
        <f>IF(OR(VLOOKUP(B243,AmmoTypeFactors,6,FALSE)="Bomb",VLOOKUP(B243,AmmoTypeFactors,6,FALSE)="Thermobaric"),J243*VLOOKUP(B243,AmmoTypeFactors,4,FALSE),IF(VLOOKUP(B243,AmmoTypeFactors,11,FALSE),P243,C243*VLOOKUP(B243,AmmoTypeFactors,4,FALSE)))</f>
        <v>0</v>
      </c>
      <c r="F243" s="16">
        <f>'Ammo Stats'!G243/0.005</f>
        <v>384800</v>
      </c>
      <c r="G243" s="16">
        <f>(IF(B243="HEAT",10,'Ammo Input'!F243)*VLOOKUP(B243,AmmoTypeFactors,7,FALSE)*0.5)^2*PI()/100</f>
        <v>0.316692174435936</v>
      </c>
      <c r="H243" s="10">
        <f t="shared" si="12"/>
        <v>38.48</v>
      </c>
      <c r="I243" s="10">
        <f>IF(B243&lt;&gt;"Arrow (Flaming)",39493.49*'Ammo Input'!M243^0.6/1000,0)</f>
        <v>0</v>
      </c>
      <c r="J243">
        <f t="shared" si="13"/>
        <v>0</v>
      </c>
      <c r="K243">
        <f t="shared" si="14"/>
        <v>7</v>
      </c>
      <c r="L243">
        <f>200000/('Ammo Stats'!C243*(MAX('Ammo Input'!D243,'Ammo Input'!F243)*0.5)^2*PI())</f>
        <v>65899.2570123266</v>
      </c>
      <c r="M243">
        <f>IF(B243="Frag",1,('Ammo Input'!M243/1.33)/('Ammo Input'!H243/1000))</f>
        <v>0</v>
      </c>
      <c r="N243" t="s">
        <v>353</v>
      </c>
      <c r="O243" t="s">
        <v>353</v>
      </c>
      <c r="P243" s="3">
        <f>(39493.49*(IF((VLOOKUP(B243,AmmoTypeFactors,6,FALSE)="Bomb_Secondary"),1.33,1)*('Ammo Input'!H243*0.35)/1000)^0.6/1000)*10/3*VLOOKUP(B243,AmmoTypeFactors,4,FALSE)</f>
        <v>0</v>
      </c>
    </row>
    <row r="244" ht="14.4" spans="1:16">
      <c r="A244" t="str">
        <f>'Ammo Input'!A244</f>
        <v>.50 AE</v>
      </c>
      <c r="B244" s="1" t="str">
        <f>'Ammo Input'!B244</f>
        <v>HP</v>
      </c>
      <c r="C244">
        <f>(0.579*('Ammo Stats'!G244*IF(OR(B244="HEAT",B244="HEDP"),10,'Ammo Input'!F244)*VLOOKUP(B244,AmmoTypeFactors,7,FALSE))^(0.346))^IF(B244="HEDP",2.1,1)/IF(B244="HEDP",50,1)</f>
        <v>24.2709057118695</v>
      </c>
      <c r="D244" s="16">
        <f>IF(VLOOKUP(B244,AmmoTypeFactors,8,FALSE),J244,C244)*VLOOKUP('Ammo Input'!B244,AmmoTypeFactors,2,FALSE)</f>
        <v>24.2709057118695</v>
      </c>
      <c r="E244" s="16">
        <f>IF(OR(VLOOKUP(B244,AmmoTypeFactors,6,FALSE)="Bomb",VLOOKUP(B244,AmmoTypeFactors,6,FALSE)="Thermobaric"),J244*VLOOKUP(B244,AmmoTypeFactors,4,FALSE),IF(VLOOKUP(B244,AmmoTypeFactors,11,FALSE),P244,C244*VLOOKUP(B244,AmmoTypeFactors,4,FALSE)))</f>
        <v>0</v>
      </c>
      <c r="F244" s="16">
        <f>'Ammo Stats'!G244/0.005</f>
        <v>384800</v>
      </c>
      <c r="G244" s="16">
        <f>(IF(B244="HEAT",10,'Ammo Input'!F244)*VLOOKUP(B244,AmmoTypeFactors,7,FALSE)*0.5)^2*PI()/100</f>
        <v>5.06707479097498</v>
      </c>
      <c r="H244" s="10">
        <f t="shared" si="12"/>
        <v>38.48</v>
      </c>
      <c r="I244" s="10">
        <f>IF(B244&lt;&gt;"Arrow (Flaming)",39493.49*'Ammo Input'!M244^0.6/1000,0)</f>
        <v>0</v>
      </c>
      <c r="J244">
        <f t="shared" si="13"/>
        <v>0</v>
      </c>
      <c r="K244">
        <f t="shared" si="14"/>
        <v>7</v>
      </c>
      <c r="L244">
        <f>200000/('Ammo Stats'!C244*(MAX('Ammo Input'!D244,'Ammo Input'!F244)*0.5)^2*PI())</f>
        <v>65899.2570123266</v>
      </c>
      <c r="M244">
        <f>IF(B244="Frag",1,('Ammo Input'!M244/1.33)/('Ammo Input'!H244/1000))</f>
        <v>0</v>
      </c>
      <c r="N244" t="s">
        <v>353</v>
      </c>
      <c r="O244" t="s">
        <v>353</v>
      </c>
      <c r="P244" s="3">
        <f>(39493.49*(IF((VLOOKUP(B244,AmmoTypeFactors,6,FALSE)="Bomb_Secondary"),1.33,1)*('Ammo Input'!H244*0.35)/1000)^0.6/1000)*10/3*VLOOKUP(B244,AmmoTypeFactors,4,FALSE)</f>
        <v>0</v>
      </c>
    </row>
    <row r="245" ht="14.4" spans="1:16">
      <c r="A245" t="str">
        <f>'Ammo Input'!A245</f>
        <v>.500 S&amp;W</v>
      </c>
      <c r="B245" s="1" t="str">
        <f>'Ammo Input'!B245</f>
        <v>FMJ</v>
      </c>
      <c r="C245">
        <f>(0.579*('Ammo Stats'!G245*IF(OR(B245="HEAT",B245="HEDP"),10,'Ammo Input'!F245)*VLOOKUP(B245,AmmoTypeFactors,7,FALSE))^(0.346))^IF(B245="HEDP",2.1,1)/IF(B245="HEDP",50,1)</f>
        <v>21.4459253827006</v>
      </c>
      <c r="D245" s="16">
        <f>IF(VLOOKUP(B245,AmmoTypeFactors,8,FALSE),J245,C245)*VLOOKUP('Ammo Input'!B245,AmmoTypeFactors,2,FALSE)</f>
        <v>21.4459253827006</v>
      </c>
      <c r="E245" s="16">
        <f>IF(OR(VLOOKUP(B245,AmmoTypeFactors,6,FALSE)="Bomb",VLOOKUP(B245,AmmoTypeFactors,6,FALSE)="Thermobaric"),J245*VLOOKUP(B245,AmmoTypeFactors,4,FALSE),IF(VLOOKUP(B245,AmmoTypeFactors,11,FALSE),P245,C245*VLOOKUP(B245,AmmoTypeFactors,4,FALSE)))</f>
        <v>0</v>
      </c>
      <c r="F245" s="16">
        <f>'Ammo Stats'!G245/0.005</f>
        <v>538200</v>
      </c>
      <c r="G245" s="16">
        <f>(IF(B245="HEAT",10,'Ammo Input'!F245)*VLOOKUP(B245,AmmoTypeFactors,7,FALSE)*0.5)^2*PI()/100</f>
        <v>1.26676869774374</v>
      </c>
      <c r="H245" s="10">
        <f t="shared" si="12"/>
        <v>53.82</v>
      </c>
      <c r="I245" s="10">
        <f>IF(B245&lt;&gt;"Arrow (Flaming)",39493.49*'Ammo Input'!M245^0.6/1000,0)</f>
        <v>0</v>
      </c>
      <c r="J245">
        <f t="shared" si="13"/>
        <v>0</v>
      </c>
      <c r="K245">
        <f t="shared" si="14"/>
        <v>8</v>
      </c>
      <c r="L245">
        <f>200000/('Ammo Stats'!C245*(MAX('Ammo Input'!D245,'Ammo Input'!F245)*0.5)^2*PI())</f>
        <v>47272.5753595887</v>
      </c>
      <c r="M245">
        <f>IF(B245="Frag",1,('Ammo Input'!M245/1.33)/('Ammo Input'!H245/1000))</f>
        <v>0</v>
      </c>
      <c r="N245" t="s">
        <v>353</v>
      </c>
      <c r="O245" t="s">
        <v>353</v>
      </c>
      <c r="P245" s="3">
        <f>(39493.49*(IF((VLOOKUP(B245,AmmoTypeFactors,6,FALSE)="Bomb_Secondary"),1.33,1)*('Ammo Input'!H245*0.35)/1000)^0.6/1000)*10/3*VLOOKUP(B245,AmmoTypeFactors,4,FALSE)</f>
        <v>0</v>
      </c>
    </row>
    <row r="246" ht="14.4" spans="1:16">
      <c r="A246" t="str">
        <f>'Ammo Input'!A246</f>
        <v>.500 S&amp;W</v>
      </c>
      <c r="B246" s="1" t="str">
        <f>'Ammo Input'!B246</f>
        <v>AP</v>
      </c>
      <c r="C246">
        <f>(0.579*('Ammo Stats'!G246*IF(OR(B246="HEAT",B246="HEDP"),10,'Ammo Input'!F246)*VLOOKUP(B246,AmmoTypeFactors,7,FALSE))^(0.346))^IF(B246="HEDP",2.1,1)/IF(B246="HEDP",50,1)</f>
        <v>16.8728486969636</v>
      </c>
      <c r="D246" s="16">
        <f>IF(VLOOKUP(B246,AmmoTypeFactors,8,FALSE),J246,C246)*VLOOKUP('Ammo Input'!B246,AmmoTypeFactors,2,FALSE)</f>
        <v>13.4982789575709</v>
      </c>
      <c r="E246" s="16">
        <f>IF(OR(VLOOKUP(B246,AmmoTypeFactors,6,FALSE)="Bomb",VLOOKUP(B246,AmmoTypeFactors,6,FALSE)="Thermobaric"),J246*VLOOKUP(B246,AmmoTypeFactors,4,FALSE),IF(VLOOKUP(B246,AmmoTypeFactors,11,FALSE),P246,C246*VLOOKUP(B246,AmmoTypeFactors,4,FALSE)))</f>
        <v>0</v>
      </c>
      <c r="F246" s="16">
        <f>'Ammo Stats'!G246/0.005</f>
        <v>538200</v>
      </c>
      <c r="G246" s="16">
        <f>(IF(B246="HEAT",10,'Ammo Input'!F246)*VLOOKUP(B246,AmmoTypeFactors,7,FALSE)*0.5)^2*PI()/100</f>
        <v>0.316692174435936</v>
      </c>
      <c r="H246" s="10">
        <f t="shared" si="12"/>
        <v>53.82</v>
      </c>
      <c r="I246" s="10">
        <f>IF(B246&lt;&gt;"Arrow (Flaming)",39493.49*'Ammo Input'!M246^0.6/1000,0)</f>
        <v>0</v>
      </c>
      <c r="J246">
        <f t="shared" si="13"/>
        <v>0</v>
      </c>
      <c r="K246">
        <f t="shared" si="14"/>
        <v>8</v>
      </c>
      <c r="L246">
        <f>200000/('Ammo Stats'!C246*(MAX('Ammo Input'!D246,'Ammo Input'!F246)*0.5)^2*PI())</f>
        <v>47272.5753595887</v>
      </c>
      <c r="M246">
        <f>IF(B246="Frag",1,('Ammo Input'!M246/1.33)/('Ammo Input'!H246/1000))</f>
        <v>0</v>
      </c>
      <c r="N246" t="s">
        <v>353</v>
      </c>
      <c r="O246" t="s">
        <v>353</v>
      </c>
      <c r="P246" s="3">
        <f>(39493.49*(IF((VLOOKUP(B246,AmmoTypeFactors,6,FALSE)="Bomb_Secondary"),1.33,1)*('Ammo Input'!H246*0.35)/1000)^0.6/1000)*10/3*VLOOKUP(B246,AmmoTypeFactors,4,FALSE)</f>
        <v>0</v>
      </c>
    </row>
    <row r="247" ht="14.4" spans="1:16">
      <c r="A247" t="str">
        <f>'Ammo Input'!A247</f>
        <v>.500 S&amp;W</v>
      </c>
      <c r="B247" s="1" t="str">
        <f>'Ammo Input'!B247</f>
        <v>HP</v>
      </c>
      <c r="C247">
        <f>(0.579*('Ammo Stats'!G247*IF(OR(B247="HEAT",B247="HEDP"),10,'Ammo Input'!F247)*VLOOKUP(B247,AmmoTypeFactors,7,FALSE))^(0.346))^IF(B247="HEDP",2.1,1)/IF(B247="HEDP",50,1)</f>
        <v>27.2584507678972</v>
      </c>
      <c r="D247" s="16">
        <f>IF(VLOOKUP(B247,AmmoTypeFactors,8,FALSE),J247,C247)*VLOOKUP('Ammo Input'!B247,AmmoTypeFactors,2,FALSE)</f>
        <v>27.2584507678972</v>
      </c>
      <c r="E247" s="16">
        <f>IF(OR(VLOOKUP(B247,AmmoTypeFactors,6,FALSE)="Bomb",VLOOKUP(B247,AmmoTypeFactors,6,FALSE)="Thermobaric"),J247*VLOOKUP(B247,AmmoTypeFactors,4,FALSE),IF(VLOOKUP(B247,AmmoTypeFactors,11,FALSE),P247,C247*VLOOKUP(B247,AmmoTypeFactors,4,FALSE)))</f>
        <v>0</v>
      </c>
      <c r="F247" s="16">
        <f>'Ammo Stats'!G247/0.005</f>
        <v>538200</v>
      </c>
      <c r="G247" s="16">
        <f>(IF(B247="HEAT",10,'Ammo Input'!F247)*VLOOKUP(B247,AmmoTypeFactors,7,FALSE)*0.5)^2*PI()/100</f>
        <v>5.06707479097498</v>
      </c>
      <c r="H247" s="10">
        <f t="shared" si="12"/>
        <v>53.82</v>
      </c>
      <c r="I247" s="10">
        <f>IF(B247&lt;&gt;"Arrow (Flaming)",39493.49*'Ammo Input'!M247^0.6/1000,0)</f>
        <v>0</v>
      </c>
      <c r="J247">
        <f t="shared" si="13"/>
        <v>0</v>
      </c>
      <c r="K247">
        <f t="shared" si="14"/>
        <v>8</v>
      </c>
      <c r="L247">
        <f>200000/('Ammo Stats'!C247*(MAX('Ammo Input'!D247,'Ammo Input'!F247)*0.5)^2*PI())</f>
        <v>47272.5753595887</v>
      </c>
      <c r="M247">
        <f>IF(B247="Frag",1,('Ammo Input'!M247/1.33)/('Ammo Input'!H247/1000))</f>
        <v>0</v>
      </c>
      <c r="N247" t="s">
        <v>353</v>
      </c>
      <c r="O247" t="s">
        <v>353</v>
      </c>
      <c r="P247" s="3">
        <f>(39493.49*(IF((VLOOKUP(B247,AmmoTypeFactors,6,FALSE)="Bomb_Secondary"),1.33,1)*('Ammo Input'!H247*0.35)/1000)^0.6/1000)*10/3*VLOOKUP(B247,AmmoTypeFactors,4,FALSE)</f>
        <v>0</v>
      </c>
    </row>
    <row r="248" ht="14.4" spans="1:16">
      <c r="A248" t="str">
        <f>'Ammo Input'!A248</f>
        <v>.460 S&amp;W</v>
      </c>
      <c r="B248" s="1" t="str">
        <f>'Ammo Input'!B248</f>
        <v>FMJ</v>
      </c>
      <c r="C248">
        <f>(0.579*('Ammo Stats'!G248*IF(OR(B248="HEAT",B248="HEDP"),10,'Ammo Input'!F248)*VLOOKUP(B248,AmmoTypeFactors,7,FALSE))^(0.346))^IF(B248="HEDP",2.1,1)/IF(B248="HEDP",50,1)</f>
        <v>20.6470704707569</v>
      </c>
      <c r="D248" s="16">
        <f>IF(VLOOKUP(B248,AmmoTypeFactors,8,FALSE),J248,C248)*VLOOKUP('Ammo Input'!B248,AmmoTypeFactors,2,FALSE)</f>
        <v>20.6470704707569</v>
      </c>
      <c r="E248" s="16">
        <f>IF(OR(VLOOKUP(B248,AmmoTypeFactors,6,FALSE)="Bomb",VLOOKUP(B248,AmmoTypeFactors,6,FALSE)="Thermobaric"),J248*VLOOKUP(B248,AmmoTypeFactors,4,FALSE),IF(VLOOKUP(B248,AmmoTypeFactors,11,FALSE),P248,C248*VLOOKUP(B248,AmmoTypeFactors,4,FALSE)))</f>
        <v>0</v>
      </c>
      <c r="F248" s="16">
        <f>'Ammo Stats'!G248/0.005</f>
        <v>532600</v>
      </c>
      <c r="G248" s="16">
        <f>(IF(B248="HEAT",10,'Ammo Input'!F248)*VLOOKUP(B248,AmmoTypeFactors,7,FALSE)*0.5)^2*PI()/100</f>
        <v>1.03868907109313</v>
      </c>
      <c r="H248" s="10">
        <f t="shared" si="12"/>
        <v>53.26</v>
      </c>
      <c r="I248" s="10">
        <f>IF(B248&lt;&gt;"Arrow (Flaming)",39493.49*'Ammo Input'!M248^0.6/1000,0)</f>
        <v>0</v>
      </c>
      <c r="J248">
        <f t="shared" si="13"/>
        <v>0</v>
      </c>
      <c r="K248">
        <f t="shared" si="14"/>
        <v>8</v>
      </c>
      <c r="L248">
        <f>200000/('Ammo Stats'!C248*(MAX('Ammo Input'!D248,'Ammo Input'!F248)*0.5)^2*PI())</f>
        <v>57975.9827304675</v>
      </c>
      <c r="M248">
        <f>IF(B248="Frag",1,('Ammo Input'!M248/1.33)/('Ammo Input'!H248/1000))</f>
        <v>0</v>
      </c>
      <c r="N248" t="s">
        <v>353</v>
      </c>
      <c r="O248" t="s">
        <v>353</v>
      </c>
      <c r="P248" s="3">
        <f>(39493.49*(IF((VLOOKUP(B248,AmmoTypeFactors,6,FALSE)="Bomb_Secondary"),1.33,1)*('Ammo Input'!H248*0.35)/1000)^0.6/1000)*10/3*VLOOKUP(B248,AmmoTypeFactors,4,FALSE)</f>
        <v>0</v>
      </c>
    </row>
    <row r="249" ht="14.4" spans="1:16">
      <c r="A249" t="str">
        <f>'Ammo Input'!A249</f>
        <v>.460 S&amp;W</v>
      </c>
      <c r="B249" s="1" t="str">
        <f>'Ammo Input'!B249</f>
        <v>AP</v>
      </c>
      <c r="C249">
        <f>(0.579*('Ammo Stats'!G249*IF(OR(B249="HEAT",B249="HEDP"),10,'Ammo Input'!F249)*VLOOKUP(B249,AmmoTypeFactors,7,FALSE))^(0.346))^IF(B249="HEDP",2.1,1)/IF(B249="HEDP",50,1)</f>
        <v>16.2443396529601</v>
      </c>
      <c r="D249" s="16">
        <f>IF(VLOOKUP(B249,AmmoTypeFactors,8,FALSE),J249,C249)*VLOOKUP('Ammo Input'!B249,AmmoTypeFactors,2,FALSE)</f>
        <v>12.9954717223681</v>
      </c>
      <c r="E249" s="16">
        <f>IF(OR(VLOOKUP(B249,AmmoTypeFactors,6,FALSE)="Bomb",VLOOKUP(B249,AmmoTypeFactors,6,FALSE)="Thermobaric"),J249*VLOOKUP(B249,AmmoTypeFactors,4,FALSE),IF(VLOOKUP(B249,AmmoTypeFactors,11,FALSE),P249,C249*VLOOKUP(B249,AmmoTypeFactors,4,FALSE)))</f>
        <v>0</v>
      </c>
      <c r="F249" s="16">
        <f>'Ammo Stats'!G249/0.005</f>
        <v>532600</v>
      </c>
      <c r="G249" s="16">
        <f>(IF(B249="HEAT",10,'Ammo Input'!F249)*VLOOKUP(B249,AmmoTypeFactors,7,FALSE)*0.5)^2*PI()/100</f>
        <v>0.259672267773281</v>
      </c>
      <c r="H249" s="10">
        <f t="shared" si="12"/>
        <v>53.26</v>
      </c>
      <c r="I249" s="10">
        <f>IF(B249&lt;&gt;"Arrow (Flaming)",39493.49*'Ammo Input'!M249^0.6/1000,0)</f>
        <v>0</v>
      </c>
      <c r="J249">
        <f t="shared" si="13"/>
        <v>0</v>
      </c>
      <c r="K249">
        <f t="shared" si="14"/>
        <v>8</v>
      </c>
      <c r="L249">
        <f>200000/('Ammo Stats'!C249*(MAX('Ammo Input'!D249,'Ammo Input'!F249)*0.5)^2*PI())</f>
        <v>57975.9827304675</v>
      </c>
      <c r="M249">
        <f>IF(B249="Frag",1,('Ammo Input'!M249/1.33)/('Ammo Input'!H249/1000))</f>
        <v>0</v>
      </c>
      <c r="N249" t="s">
        <v>353</v>
      </c>
      <c r="O249" t="s">
        <v>353</v>
      </c>
      <c r="P249" s="3">
        <f>(39493.49*(IF((VLOOKUP(B249,AmmoTypeFactors,6,FALSE)="Bomb_Secondary"),1.33,1)*('Ammo Input'!H249*0.35)/1000)^0.6/1000)*10/3*VLOOKUP(B249,AmmoTypeFactors,4,FALSE)</f>
        <v>0</v>
      </c>
    </row>
    <row r="250" ht="14.4" spans="1:16">
      <c r="A250" t="str">
        <f>'Ammo Input'!A250</f>
        <v>.460 S&amp;W</v>
      </c>
      <c r="B250" s="1" t="str">
        <f>'Ammo Input'!B250</f>
        <v>HP</v>
      </c>
      <c r="C250">
        <f>(0.579*('Ammo Stats'!G250*IF(OR(B250="HEAT",B250="HEDP"),10,'Ammo Input'!F250)*VLOOKUP(B250,AmmoTypeFactors,7,FALSE))^(0.346))^IF(B250="HEDP",2.1,1)/IF(B250="HEDP",50,1)</f>
        <v>26.2430808596593</v>
      </c>
      <c r="D250" s="16">
        <f>IF(VLOOKUP(B250,AmmoTypeFactors,8,FALSE),J250,C250)*VLOOKUP('Ammo Input'!B250,AmmoTypeFactors,2,FALSE)</f>
        <v>26.2430808596593</v>
      </c>
      <c r="E250" s="16">
        <f>IF(OR(VLOOKUP(B250,AmmoTypeFactors,6,FALSE)="Bomb",VLOOKUP(B250,AmmoTypeFactors,6,FALSE)="Thermobaric"),J250*VLOOKUP(B250,AmmoTypeFactors,4,FALSE),IF(VLOOKUP(B250,AmmoTypeFactors,11,FALSE),P250,C250*VLOOKUP(B250,AmmoTypeFactors,4,FALSE)))</f>
        <v>0</v>
      </c>
      <c r="F250" s="16">
        <f>'Ammo Stats'!G250/0.005</f>
        <v>532600</v>
      </c>
      <c r="G250" s="16">
        <f>(IF(B250="HEAT",10,'Ammo Input'!F250)*VLOOKUP(B250,AmmoTypeFactors,7,FALSE)*0.5)^2*PI()/100</f>
        <v>4.1547562843725</v>
      </c>
      <c r="H250" s="10">
        <f t="shared" si="12"/>
        <v>53.26</v>
      </c>
      <c r="I250" s="10">
        <f>IF(B250&lt;&gt;"Arrow (Flaming)",39493.49*'Ammo Input'!M250^0.6/1000,0)</f>
        <v>0</v>
      </c>
      <c r="J250">
        <f t="shared" si="13"/>
        <v>0</v>
      </c>
      <c r="K250">
        <f t="shared" si="14"/>
        <v>8</v>
      </c>
      <c r="L250">
        <f>200000/('Ammo Stats'!C250*(MAX('Ammo Input'!D250,'Ammo Input'!F250)*0.5)^2*PI())</f>
        <v>57975.9827304675</v>
      </c>
      <c r="M250">
        <f>IF(B250="Frag",1,('Ammo Input'!M250/1.33)/('Ammo Input'!H250/1000))</f>
        <v>0</v>
      </c>
      <c r="N250" t="s">
        <v>353</v>
      </c>
      <c r="O250" t="s">
        <v>353</v>
      </c>
      <c r="P250" s="3">
        <f>(39493.49*(IF((VLOOKUP(B250,AmmoTypeFactors,6,FALSE)="Bomb_Secondary"),1.33,1)*('Ammo Input'!H250*0.35)/1000)^0.6/1000)*10/3*VLOOKUP(B250,AmmoTypeFactors,4,FALSE)</f>
        <v>0</v>
      </c>
    </row>
    <row r="251" ht="14.4" spans="1:16">
      <c r="A251" t="str">
        <f>'Ammo Input'!A251</f>
        <v>.22 LR</v>
      </c>
      <c r="B251" s="1" t="str">
        <f>'Ammo Input'!B251</f>
        <v>FMJ</v>
      </c>
      <c r="C251">
        <f>(0.579*('Ammo Stats'!G251*IF(OR(B251="HEAT",B251="HEDP"),10,'Ammo Input'!F251)*VLOOKUP(B251,AmmoTypeFactors,7,FALSE))^(0.346))^IF(B251="HEDP",2.1,1)/IF(B251="HEDP",50,1)</f>
        <v>6.64668187404835</v>
      </c>
      <c r="D251" s="16">
        <f>IF(VLOOKUP(B251,AmmoTypeFactors,8,FALSE),J251,C251)*VLOOKUP('Ammo Input'!B251,AmmoTypeFactors,2,FALSE)</f>
        <v>6.64668187404835</v>
      </c>
      <c r="E251" s="16">
        <f>IF(OR(VLOOKUP(B251,AmmoTypeFactors,6,FALSE)="Bomb",VLOOKUP(B251,AmmoTypeFactors,6,FALSE)="Thermobaric"),J251*VLOOKUP(B251,AmmoTypeFactors,4,FALSE),IF(VLOOKUP(B251,AmmoTypeFactors,11,FALSE),P251,C251*VLOOKUP(B251,AmmoTypeFactors,4,FALSE)))</f>
        <v>0</v>
      </c>
      <c r="F251" s="16">
        <f>'Ammo Stats'!G251/0.005</f>
        <v>40600</v>
      </c>
      <c r="G251" s="16">
        <f>(IF(B251="HEAT",10,'Ammo Input'!F251)*VLOOKUP(B251,AmmoTypeFactors,7,FALSE)*0.5)^2*PI()/100</f>
        <v>0.255175863287831</v>
      </c>
      <c r="H251" s="10">
        <f t="shared" si="12"/>
        <v>4.06</v>
      </c>
      <c r="I251" s="10">
        <f>IF(B251&lt;&gt;"Arrow (Flaming)",39493.49*'Ammo Input'!M251^0.6/1000,0)</f>
        <v>0</v>
      </c>
      <c r="J251">
        <f t="shared" si="13"/>
        <v>0</v>
      </c>
      <c r="K251">
        <f t="shared" si="14"/>
        <v>3</v>
      </c>
      <c r="L251">
        <f>200000/('Ammo Stats'!C251*(MAX('Ammo Input'!D251,'Ammo Input'!F251)*0.5)^2*PI())</f>
        <v>783773.188510411</v>
      </c>
      <c r="M251">
        <f>IF(B251="Frag",1,('Ammo Input'!M251/1.33)/('Ammo Input'!H251/1000))</f>
        <v>0</v>
      </c>
      <c r="N251" t="s">
        <v>353</v>
      </c>
      <c r="O251" t="s">
        <v>353</v>
      </c>
      <c r="P251" s="3">
        <f>(39493.49*(IF((VLOOKUP(B251,AmmoTypeFactors,6,FALSE)="Bomb_Secondary"),1.33,1)*('Ammo Input'!H251*0.35)/1000)^0.6/1000)*10/3*VLOOKUP(B251,AmmoTypeFactors,4,FALSE)</f>
        <v>0</v>
      </c>
    </row>
    <row r="252" ht="14.4" spans="1:16">
      <c r="A252" t="str">
        <f>'Ammo Input'!A252</f>
        <v>.22 LR</v>
      </c>
      <c r="B252" s="1" t="str">
        <f>'Ammo Input'!B252</f>
        <v>AP</v>
      </c>
      <c r="C252">
        <f>(0.579*('Ammo Stats'!G252*IF(OR(B252="HEAT",B252="HEDP"),10,'Ammo Input'!F252)*VLOOKUP(B252,AmmoTypeFactors,7,FALSE))^(0.346))^IF(B252="HEDP",2.1,1)/IF(B252="HEDP",50,1)</f>
        <v>5.2293596847135</v>
      </c>
      <c r="D252" s="16">
        <f>IF(VLOOKUP(B252,AmmoTypeFactors,8,FALSE),J252,C252)*VLOOKUP('Ammo Input'!B252,AmmoTypeFactors,2,FALSE)</f>
        <v>4.1834877477708</v>
      </c>
      <c r="E252" s="16">
        <f>IF(OR(VLOOKUP(B252,AmmoTypeFactors,6,FALSE)="Bomb",VLOOKUP(B252,AmmoTypeFactors,6,FALSE)="Thermobaric"),J252*VLOOKUP(B252,AmmoTypeFactors,4,FALSE),IF(VLOOKUP(B252,AmmoTypeFactors,11,FALSE),P252,C252*VLOOKUP(B252,AmmoTypeFactors,4,FALSE)))</f>
        <v>0</v>
      </c>
      <c r="F252" s="16">
        <f>'Ammo Stats'!G252/0.005</f>
        <v>40600</v>
      </c>
      <c r="G252" s="16">
        <f>(IF(B252="HEAT",10,'Ammo Input'!F252)*VLOOKUP(B252,AmmoTypeFactors,7,FALSE)*0.5)^2*PI()/100</f>
        <v>0.0637939658219577</v>
      </c>
      <c r="H252" s="10">
        <f t="shared" si="12"/>
        <v>4.06</v>
      </c>
      <c r="I252" s="10">
        <f>IF(B252&lt;&gt;"Arrow (Flaming)",39493.49*'Ammo Input'!M252^0.6/1000,0)</f>
        <v>0</v>
      </c>
      <c r="J252">
        <f t="shared" si="13"/>
        <v>0</v>
      </c>
      <c r="K252">
        <f t="shared" si="14"/>
        <v>3</v>
      </c>
      <c r="L252">
        <f>200000/('Ammo Stats'!C252*(MAX('Ammo Input'!D252,'Ammo Input'!F252)*0.5)^2*PI())</f>
        <v>783773.188510411</v>
      </c>
      <c r="M252">
        <f>IF(B252="Frag",1,('Ammo Input'!M252/1.33)/('Ammo Input'!H252/1000))</f>
        <v>0</v>
      </c>
      <c r="N252" t="s">
        <v>353</v>
      </c>
      <c r="O252" t="s">
        <v>353</v>
      </c>
      <c r="P252" s="3">
        <f>(39493.49*(IF((VLOOKUP(B252,AmmoTypeFactors,6,FALSE)="Bomb_Secondary"),1.33,1)*('Ammo Input'!H252*0.35)/1000)^0.6/1000)*10/3*VLOOKUP(B252,AmmoTypeFactors,4,FALSE)</f>
        <v>0</v>
      </c>
    </row>
    <row r="253" ht="14.4" spans="1:16">
      <c r="A253" t="str">
        <f>'Ammo Input'!A253</f>
        <v>.22 LR</v>
      </c>
      <c r="B253" s="1" t="str">
        <f>'Ammo Input'!B253</f>
        <v>HP</v>
      </c>
      <c r="C253">
        <f>(0.579*('Ammo Stats'!G253*IF(OR(B253="HEAT",B253="HEDP"),10,'Ammo Input'!F253)*VLOOKUP(B253,AmmoTypeFactors,7,FALSE))^(0.346))^IF(B253="HEDP",2.1,1)/IF(B253="HEDP",50,1)</f>
        <v>8.44814329064902</v>
      </c>
      <c r="D253" s="16">
        <f>IF(VLOOKUP(B253,AmmoTypeFactors,8,FALSE),J253,C253)*VLOOKUP('Ammo Input'!B253,AmmoTypeFactors,2,FALSE)</f>
        <v>8.44814329064902</v>
      </c>
      <c r="E253" s="16">
        <f>IF(OR(VLOOKUP(B253,AmmoTypeFactors,6,FALSE)="Bomb",VLOOKUP(B253,AmmoTypeFactors,6,FALSE)="Thermobaric"),J253*VLOOKUP(B253,AmmoTypeFactors,4,FALSE),IF(VLOOKUP(B253,AmmoTypeFactors,11,FALSE),P253,C253*VLOOKUP(B253,AmmoTypeFactors,4,FALSE)))</f>
        <v>0</v>
      </c>
      <c r="F253" s="16">
        <f>'Ammo Stats'!G253/0.005</f>
        <v>40600</v>
      </c>
      <c r="G253" s="16">
        <f>(IF(B253="HEAT",10,'Ammo Input'!F253)*VLOOKUP(B253,AmmoTypeFactors,7,FALSE)*0.5)^2*PI()/100</f>
        <v>1.02070345315132</v>
      </c>
      <c r="H253" s="10">
        <f t="shared" si="12"/>
        <v>4.06</v>
      </c>
      <c r="I253" s="10">
        <f>IF(B253&lt;&gt;"Arrow (Flaming)",39493.49*'Ammo Input'!M253^0.6/1000,0)</f>
        <v>0</v>
      </c>
      <c r="J253">
        <f t="shared" si="13"/>
        <v>0</v>
      </c>
      <c r="K253">
        <f t="shared" si="14"/>
        <v>3</v>
      </c>
      <c r="L253">
        <f>200000/('Ammo Stats'!C253*(MAX('Ammo Input'!D253,'Ammo Input'!F253)*0.5)^2*PI())</f>
        <v>783773.188510411</v>
      </c>
      <c r="M253">
        <f>IF(B253="Frag",1,('Ammo Input'!M253/1.33)/('Ammo Input'!H253/1000))</f>
        <v>0</v>
      </c>
      <c r="N253" t="s">
        <v>353</v>
      </c>
      <c r="O253" t="s">
        <v>353</v>
      </c>
      <c r="P253" s="3">
        <f>(39493.49*(IF((VLOOKUP(B253,AmmoTypeFactors,6,FALSE)="Bomb_Secondary"),1.33,1)*('Ammo Input'!H253*0.35)/1000)^0.6/1000)*10/3*VLOOKUP(B253,AmmoTypeFactors,4,FALSE)</f>
        <v>0</v>
      </c>
    </row>
    <row r="254" ht="14.4" spans="1:16">
      <c r="A254" t="str">
        <f>'Ammo Input'!A254</f>
        <v>.357 Magnum</v>
      </c>
      <c r="B254" s="1" t="str">
        <f>'Ammo Input'!B254</f>
        <v>FMJ</v>
      </c>
      <c r="C254">
        <f>(0.579*('Ammo Stats'!G254*IF(OR(B254="HEAT",B254="HEDP"),10,'Ammo Input'!F254)*VLOOKUP(B254,AmmoTypeFactors,7,FALSE))^(0.346))^IF(B254="HEDP",2.1,1)/IF(B254="HEDP",50,1)</f>
        <v>13.2312838267352</v>
      </c>
      <c r="D254" s="16">
        <f>IF(VLOOKUP(B254,AmmoTypeFactors,8,FALSE),J254,C254)*VLOOKUP('Ammo Input'!B254,AmmoTypeFactors,2,FALSE)</f>
        <v>13.2312838267352</v>
      </c>
      <c r="E254" s="16">
        <f>IF(OR(VLOOKUP(B254,AmmoTypeFactors,6,FALSE)="Bomb",VLOOKUP(B254,AmmoTypeFactors,6,FALSE)="Thermobaric"),J254*VLOOKUP(B254,AmmoTypeFactors,4,FALSE),IF(VLOOKUP(B254,AmmoTypeFactors,11,FALSE),P254,C254*VLOOKUP(B254,AmmoTypeFactors,4,FALSE)))</f>
        <v>0</v>
      </c>
      <c r="F254" s="16">
        <f>'Ammo Stats'!G254/0.005</f>
        <v>186000</v>
      </c>
      <c r="G254" s="16">
        <f>(IF(B254="HEAT",10,'Ammo Input'!F254)*VLOOKUP(B254,AmmoTypeFactors,7,FALSE)*0.5)^2*PI()/100</f>
        <v>0.650388219109427</v>
      </c>
      <c r="H254" s="10">
        <f t="shared" si="12"/>
        <v>18.6</v>
      </c>
      <c r="I254" s="10">
        <f>IF(B254&lt;&gt;"Arrow (Flaming)",39493.49*'Ammo Input'!M254^0.6/1000,0)</f>
        <v>0</v>
      </c>
      <c r="J254">
        <f t="shared" si="13"/>
        <v>0</v>
      </c>
      <c r="K254">
        <f t="shared" si="14"/>
        <v>6</v>
      </c>
      <c r="L254">
        <f>200000/('Ammo Stats'!C254*(MAX('Ammo Input'!D254,'Ammo Input'!F254)*0.5)^2*PI())</f>
        <v>276310.665090096</v>
      </c>
      <c r="M254">
        <f>IF(B254="Frag",1,('Ammo Input'!M254/1.33)/('Ammo Input'!H254/1000))</f>
        <v>0</v>
      </c>
      <c r="N254" t="s">
        <v>353</v>
      </c>
      <c r="O254" t="s">
        <v>353</v>
      </c>
      <c r="P254" s="3">
        <f>(39493.49*(IF((VLOOKUP(B254,AmmoTypeFactors,6,FALSE)="Bomb_Secondary"),1.33,1)*('Ammo Input'!H254*0.35)/1000)^0.6/1000)*10/3*VLOOKUP(B254,AmmoTypeFactors,4,FALSE)</f>
        <v>0</v>
      </c>
    </row>
    <row r="255" ht="14.4" spans="1:16">
      <c r="A255" t="str">
        <f>'Ammo Input'!A255</f>
        <v>.357 Magnum</v>
      </c>
      <c r="B255" s="1" t="str">
        <f>'Ammo Input'!B255</f>
        <v>AP</v>
      </c>
      <c r="C255">
        <f>(0.579*('Ammo Stats'!G255*IF(OR(B255="HEAT",B255="HEDP"),10,'Ammo Input'!F255)*VLOOKUP(B255,AmmoTypeFactors,7,FALSE))^(0.346))^IF(B255="HEDP",2.1,1)/IF(B255="HEDP",50,1)</f>
        <v>10.4098772186892</v>
      </c>
      <c r="D255" s="16">
        <f>IF(VLOOKUP(B255,AmmoTypeFactors,8,FALSE),J255,C255)*VLOOKUP('Ammo Input'!B255,AmmoTypeFactors,2,FALSE)</f>
        <v>8.32790177495139</v>
      </c>
      <c r="E255" s="16">
        <f>IF(OR(VLOOKUP(B255,AmmoTypeFactors,6,FALSE)="Bomb",VLOOKUP(B255,AmmoTypeFactors,6,FALSE)="Thermobaric"),J255*VLOOKUP(B255,AmmoTypeFactors,4,FALSE),IF(VLOOKUP(B255,AmmoTypeFactors,11,FALSE),P255,C255*VLOOKUP(B255,AmmoTypeFactors,4,FALSE)))</f>
        <v>0</v>
      </c>
      <c r="F255" s="16">
        <f>'Ammo Stats'!G255/0.005</f>
        <v>186000</v>
      </c>
      <c r="G255" s="16">
        <f>(IF(B255="HEAT",10,'Ammo Input'!F255)*VLOOKUP(B255,AmmoTypeFactors,7,FALSE)*0.5)^2*PI()/100</f>
        <v>0.162597054777357</v>
      </c>
      <c r="H255" s="10">
        <f t="shared" si="12"/>
        <v>18.6</v>
      </c>
      <c r="I255" s="10">
        <f>IF(B255&lt;&gt;"Arrow (Flaming)",39493.49*'Ammo Input'!M255^0.6/1000,0)</f>
        <v>0</v>
      </c>
      <c r="J255">
        <f t="shared" si="13"/>
        <v>0</v>
      </c>
      <c r="K255">
        <f t="shared" si="14"/>
        <v>6</v>
      </c>
      <c r="L255">
        <f>200000/('Ammo Stats'!C255*(MAX('Ammo Input'!D255,'Ammo Input'!F255)*0.5)^2*PI())</f>
        <v>276310.665090096</v>
      </c>
      <c r="M255">
        <f>IF(B255="Frag",1,('Ammo Input'!M255/1.33)/('Ammo Input'!H255/1000))</f>
        <v>0</v>
      </c>
      <c r="N255" t="s">
        <v>353</v>
      </c>
      <c r="O255" t="s">
        <v>353</v>
      </c>
      <c r="P255" s="3">
        <f>(39493.49*(IF((VLOOKUP(B255,AmmoTypeFactors,6,FALSE)="Bomb_Secondary"),1.33,1)*('Ammo Input'!H255*0.35)/1000)^0.6/1000)*10/3*VLOOKUP(B255,AmmoTypeFactors,4,FALSE)</f>
        <v>0</v>
      </c>
    </row>
    <row r="256" ht="14.4" spans="1:16">
      <c r="A256" t="str">
        <f>'Ammo Input'!A256</f>
        <v>.357 Magnum</v>
      </c>
      <c r="B256" s="1" t="str">
        <f>'Ammo Input'!B256</f>
        <v>HP</v>
      </c>
      <c r="C256">
        <f>(0.579*('Ammo Stats'!G256*IF(OR(B256="HEAT",B256="HEDP"),10,'Ammo Input'!F256)*VLOOKUP(B256,AmmoTypeFactors,7,FALSE))^(0.346))^IF(B256="HEDP",2.1,1)/IF(B256="HEDP",50,1)</f>
        <v>16.8173810339779</v>
      </c>
      <c r="D256" s="16">
        <f>IF(VLOOKUP(B256,AmmoTypeFactors,8,FALSE),J256,C256)*VLOOKUP('Ammo Input'!B256,AmmoTypeFactors,2,FALSE)</f>
        <v>16.8173810339779</v>
      </c>
      <c r="E256" s="16">
        <f>IF(OR(VLOOKUP(B256,AmmoTypeFactors,6,FALSE)="Bomb",VLOOKUP(B256,AmmoTypeFactors,6,FALSE)="Thermobaric"),J256*VLOOKUP(B256,AmmoTypeFactors,4,FALSE),IF(VLOOKUP(B256,AmmoTypeFactors,11,FALSE),P256,C256*VLOOKUP(B256,AmmoTypeFactors,4,FALSE)))</f>
        <v>0</v>
      </c>
      <c r="F256" s="16">
        <f>'Ammo Stats'!G256/0.005</f>
        <v>186000</v>
      </c>
      <c r="G256" s="16">
        <f>(IF(B256="HEAT",10,'Ammo Input'!F256)*VLOOKUP(B256,AmmoTypeFactors,7,FALSE)*0.5)^2*PI()/100</f>
        <v>2.60155287643771</v>
      </c>
      <c r="H256" s="10">
        <f t="shared" si="12"/>
        <v>18.6</v>
      </c>
      <c r="I256" s="10">
        <f>IF(B256&lt;&gt;"Arrow (Flaming)",39493.49*'Ammo Input'!M256^0.6/1000,0)</f>
        <v>0</v>
      </c>
      <c r="J256">
        <f t="shared" si="13"/>
        <v>0</v>
      </c>
      <c r="K256">
        <f t="shared" si="14"/>
        <v>6</v>
      </c>
      <c r="L256">
        <f>200000/('Ammo Stats'!C256*(MAX('Ammo Input'!D256,'Ammo Input'!F256)*0.5)^2*PI())</f>
        <v>276310.665090096</v>
      </c>
      <c r="M256">
        <f>IF(B256="Frag",1,('Ammo Input'!M256/1.33)/('Ammo Input'!H256/1000))</f>
        <v>0</v>
      </c>
      <c r="N256" t="s">
        <v>353</v>
      </c>
      <c r="O256" t="s">
        <v>353</v>
      </c>
      <c r="P256" s="3">
        <f>(39493.49*(IF((VLOOKUP(B256,AmmoTypeFactors,6,FALSE)="Bomb_Secondary"),1.33,1)*('Ammo Input'!H256*0.35)/1000)^0.6/1000)*10/3*VLOOKUP(B256,AmmoTypeFactors,4,FALSE)</f>
        <v>0</v>
      </c>
    </row>
    <row r="257" ht="14.4" spans="1:16">
      <c r="A257" t="str">
        <f>'Ammo Input'!A257</f>
        <v>.44 Magnum</v>
      </c>
      <c r="B257" s="1" t="str">
        <f>'Ammo Input'!B257</f>
        <v>FMJ</v>
      </c>
      <c r="C257">
        <f>(0.579*('Ammo Stats'!G257*IF(OR(B257="HEAT",B257="HEDP"),10,'Ammo Input'!F257)*VLOOKUP(B257,AmmoTypeFactors,7,FALSE))^(0.346))^IF(B257="HEDP",2.1,1)/IF(B257="HEDP",50,1)</f>
        <v>15.2211639273615</v>
      </c>
      <c r="D257" s="16">
        <f>IF(VLOOKUP(B257,AmmoTypeFactors,8,FALSE),J257,C257)*VLOOKUP('Ammo Input'!B257,AmmoTypeFactors,2,FALSE)</f>
        <v>15.2211639273615</v>
      </c>
      <c r="E257" s="16">
        <f>IF(OR(VLOOKUP(B257,AmmoTypeFactors,6,FALSE)="Bomb",VLOOKUP(B257,AmmoTypeFactors,6,FALSE)="Thermobaric"),J257*VLOOKUP(B257,AmmoTypeFactors,4,FALSE),IF(VLOOKUP(B257,AmmoTypeFactors,11,FALSE),P257,C257*VLOOKUP(B257,AmmoTypeFactors,4,FALSE)))</f>
        <v>0</v>
      </c>
      <c r="F257" s="16">
        <f>'Ammo Stats'!G257/0.005</f>
        <v>232800</v>
      </c>
      <c r="G257" s="16">
        <f>(IF(B257="HEAT",10,'Ammo Input'!F257)*VLOOKUP(B257,AmmoTypeFactors,7,FALSE)*0.5)^2*PI()/100</f>
        <v>0.933131557932508</v>
      </c>
      <c r="H257" s="10">
        <f t="shared" si="12"/>
        <v>23.28</v>
      </c>
      <c r="I257" s="10">
        <f>IF(B257&lt;&gt;"Arrow (Flaming)",39493.49*'Ammo Input'!M257^0.6/1000,0)</f>
        <v>0</v>
      </c>
      <c r="J257">
        <f t="shared" si="13"/>
        <v>0</v>
      </c>
      <c r="K257">
        <f t="shared" si="14"/>
        <v>6</v>
      </c>
      <c r="L257">
        <f>200000/('Ammo Stats'!C257*(MAX('Ammo Input'!D257,'Ammo Input'!F257)*0.5)^2*PI())</f>
        <v>94622.4394125418</v>
      </c>
      <c r="M257">
        <f>IF(B257="Frag",1,('Ammo Input'!M257/1.33)/('Ammo Input'!H257/1000))</f>
        <v>0</v>
      </c>
      <c r="N257" t="s">
        <v>353</v>
      </c>
      <c r="O257" t="s">
        <v>353</v>
      </c>
      <c r="P257" s="3">
        <f>(39493.49*(IF((VLOOKUP(B257,AmmoTypeFactors,6,FALSE)="Bomb_Secondary"),1.33,1)*('Ammo Input'!H257*0.35)/1000)^0.6/1000)*10/3*VLOOKUP(B257,AmmoTypeFactors,4,FALSE)</f>
        <v>0</v>
      </c>
    </row>
    <row r="258" ht="14.4" spans="1:16">
      <c r="A258" t="str">
        <f>'Ammo Input'!A258</f>
        <v>.44 Magnum</v>
      </c>
      <c r="B258" s="1" t="str">
        <f>'Ammo Input'!B258</f>
        <v>AP</v>
      </c>
      <c r="C258">
        <f>(0.579*('Ammo Stats'!G258*IF(OR(B258="HEAT",B258="HEDP"),10,'Ammo Input'!F258)*VLOOKUP(B258,AmmoTypeFactors,7,FALSE))^(0.346))^IF(B258="HEDP",2.1,1)/IF(B258="HEDP",50,1)</f>
        <v>11.9754401526184</v>
      </c>
      <c r="D258" s="16">
        <f>IF(VLOOKUP(B258,AmmoTypeFactors,8,FALSE),J258,C258)*VLOOKUP('Ammo Input'!B258,AmmoTypeFactors,2,FALSE)</f>
        <v>9.58035212209473</v>
      </c>
      <c r="E258" s="16">
        <f>IF(OR(VLOOKUP(B258,AmmoTypeFactors,6,FALSE)="Bomb",VLOOKUP(B258,AmmoTypeFactors,6,FALSE)="Thermobaric"),J258*VLOOKUP(B258,AmmoTypeFactors,4,FALSE),IF(VLOOKUP(B258,AmmoTypeFactors,11,FALSE),P258,C258*VLOOKUP(B258,AmmoTypeFactors,4,FALSE)))</f>
        <v>0</v>
      </c>
      <c r="F258" s="16">
        <f>'Ammo Stats'!G258/0.005</f>
        <v>232800</v>
      </c>
      <c r="G258" s="16">
        <f>(IF(B258="HEAT",10,'Ammo Input'!F258)*VLOOKUP(B258,AmmoTypeFactors,7,FALSE)*0.5)^2*PI()/100</f>
        <v>0.233282889483127</v>
      </c>
      <c r="H258" s="10">
        <f t="shared" si="12"/>
        <v>23.28</v>
      </c>
      <c r="I258" s="10">
        <f>IF(B258&lt;&gt;"Arrow (Flaming)",39493.49*'Ammo Input'!M258^0.6/1000,0)</f>
        <v>0</v>
      </c>
      <c r="J258">
        <f t="shared" si="13"/>
        <v>0</v>
      </c>
      <c r="K258">
        <f t="shared" si="14"/>
        <v>6</v>
      </c>
      <c r="L258">
        <f>200000/('Ammo Stats'!C258*(MAX('Ammo Input'!D258,'Ammo Input'!F258)*0.5)^2*PI())</f>
        <v>94622.4394125418</v>
      </c>
      <c r="M258">
        <f>IF(B258="Frag",1,('Ammo Input'!M258/1.33)/('Ammo Input'!H258/1000))</f>
        <v>0</v>
      </c>
      <c r="N258" t="s">
        <v>353</v>
      </c>
      <c r="O258" t="s">
        <v>353</v>
      </c>
      <c r="P258" s="3">
        <f>(39493.49*(IF((VLOOKUP(B258,AmmoTypeFactors,6,FALSE)="Bomb_Secondary"),1.33,1)*('Ammo Input'!H258*0.35)/1000)^0.6/1000)*10/3*VLOOKUP(B258,AmmoTypeFactors,4,FALSE)</f>
        <v>0</v>
      </c>
    </row>
    <row r="259" ht="14.4" spans="1:16">
      <c r="A259" t="str">
        <f>'Ammo Input'!A259</f>
        <v>.44 Magnum</v>
      </c>
      <c r="B259" s="1" t="str">
        <f>'Ammo Input'!B259</f>
        <v>HP</v>
      </c>
      <c r="C259">
        <f>(0.579*('Ammo Stats'!G259*IF(OR(B259="HEAT",B259="HEDP"),10,'Ammo Input'!F259)*VLOOKUP(B259,AmmoTypeFactors,7,FALSE))^(0.346))^IF(B259="HEDP",2.1,1)/IF(B259="HEDP",50,1)</f>
        <v>19.3465816997928</v>
      </c>
      <c r="D259" s="16">
        <f>IF(VLOOKUP(B259,AmmoTypeFactors,8,FALSE),J259,C259)*VLOOKUP('Ammo Input'!B259,AmmoTypeFactors,2,FALSE)</f>
        <v>19.3465816997928</v>
      </c>
      <c r="E259" s="16">
        <f>IF(OR(VLOOKUP(B259,AmmoTypeFactors,6,FALSE)="Bomb",VLOOKUP(B259,AmmoTypeFactors,6,FALSE)="Thermobaric"),J259*VLOOKUP(B259,AmmoTypeFactors,4,FALSE),IF(VLOOKUP(B259,AmmoTypeFactors,11,FALSE),P259,C259*VLOOKUP(B259,AmmoTypeFactors,4,FALSE)))</f>
        <v>0</v>
      </c>
      <c r="F259" s="16">
        <f>'Ammo Stats'!G259/0.005</f>
        <v>232800</v>
      </c>
      <c r="G259" s="16">
        <f>(IF(B259="HEAT",10,'Ammo Input'!F259)*VLOOKUP(B259,AmmoTypeFactors,7,FALSE)*0.5)^2*PI()/100</f>
        <v>3.73252623173003</v>
      </c>
      <c r="H259" s="10">
        <f t="shared" si="12"/>
        <v>23.28</v>
      </c>
      <c r="I259" s="10">
        <f>IF(B259&lt;&gt;"Arrow (Flaming)",39493.49*'Ammo Input'!M259^0.6/1000,0)</f>
        <v>0</v>
      </c>
      <c r="J259">
        <f t="shared" si="13"/>
        <v>0</v>
      </c>
      <c r="K259">
        <f t="shared" si="14"/>
        <v>6</v>
      </c>
      <c r="L259">
        <f>200000/('Ammo Stats'!C259*(MAX('Ammo Input'!D259,'Ammo Input'!F259)*0.5)^2*PI())</f>
        <v>94622.4394125418</v>
      </c>
      <c r="M259">
        <f>IF(B259="Frag",1,('Ammo Input'!M259/1.33)/('Ammo Input'!H259/1000))</f>
        <v>0</v>
      </c>
      <c r="N259" t="s">
        <v>353</v>
      </c>
      <c r="O259" t="s">
        <v>353</v>
      </c>
      <c r="P259" s="3">
        <f>(39493.49*(IF((VLOOKUP(B259,AmmoTypeFactors,6,FALSE)="Bomb_Secondary"),1.33,1)*('Ammo Input'!H259*0.35)/1000)^0.6/1000)*10/3*VLOOKUP(B259,AmmoTypeFactors,4,FALSE)</f>
        <v>0</v>
      </c>
    </row>
    <row r="260" ht="14.4" spans="1:16">
      <c r="A260" t="str">
        <f>'Ammo Input'!A260</f>
        <v>.44 Magnum HV</v>
      </c>
      <c r="B260" s="1" t="str">
        <f>'Ammo Input'!B260</f>
        <v>FMJ</v>
      </c>
      <c r="C260">
        <f>(0.579*('Ammo Stats'!G260*IF(OR(B260="HEAT",B260="HEDP"),10,'Ammo Input'!F260)*VLOOKUP(B260,AmmoTypeFactors,7,FALSE))^(0.346))^IF(B260="HEDP",2.1,1)/IF(B260="HEDP",50,1)</f>
        <v>19.4153598293532</v>
      </c>
      <c r="D260" s="16">
        <f>IF(VLOOKUP(B260,AmmoTypeFactors,8,FALSE),J260,C260)*VLOOKUP('Ammo Input'!B260,AmmoTypeFactors,2,FALSE)</f>
        <v>19.4153598293532</v>
      </c>
      <c r="E260" s="16">
        <f>IF(OR(VLOOKUP(B260,AmmoTypeFactors,6,FALSE)="Bomb",VLOOKUP(B260,AmmoTypeFactors,6,FALSE)="Thermobaric"),J260*VLOOKUP(B260,AmmoTypeFactors,4,FALSE),IF(VLOOKUP(B260,AmmoTypeFactors,11,FALSE),P260,C260*VLOOKUP(B260,AmmoTypeFactors,4,FALSE)))</f>
        <v>0</v>
      </c>
      <c r="F260" s="16">
        <f>'Ammo Stats'!G260/0.005</f>
        <v>470400</v>
      </c>
      <c r="G260" s="16">
        <f>(IF(B260="HEAT",10,'Ammo Input'!F260)*VLOOKUP(B260,AmmoTypeFactors,7,FALSE)*0.5)^2*PI()/100</f>
        <v>0.933131557932508</v>
      </c>
      <c r="H260" s="10">
        <f t="shared" si="12"/>
        <v>47.04</v>
      </c>
      <c r="I260" s="10">
        <f>IF(B260&lt;&gt;"Arrow (Flaming)",39493.49*'Ammo Input'!M260^0.6/1000,0)</f>
        <v>0</v>
      </c>
      <c r="J260">
        <f t="shared" si="13"/>
        <v>0</v>
      </c>
      <c r="K260">
        <f t="shared" si="14"/>
        <v>8</v>
      </c>
      <c r="L260">
        <f>200000/('Ammo Stats'!C260*(MAX('Ammo Input'!D260,'Ammo Input'!F260)*0.5)^2*PI())</f>
        <v>94622.4394125418</v>
      </c>
      <c r="M260">
        <f>IF(B260="Frag",1,('Ammo Input'!M260/1.33)/('Ammo Input'!H260/1000))</f>
        <v>0</v>
      </c>
      <c r="N260" t="s">
        <v>353</v>
      </c>
      <c r="O260" t="s">
        <v>353</v>
      </c>
      <c r="P260" s="3">
        <f>(39493.49*(IF((VLOOKUP(B260,AmmoTypeFactors,6,FALSE)="Bomb_Secondary"),1.33,1)*('Ammo Input'!H260*0.35)/1000)^0.6/1000)*10/3*VLOOKUP(B260,AmmoTypeFactors,4,FALSE)</f>
        <v>0</v>
      </c>
    </row>
    <row r="261" ht="14.4" spans="1:16">
      <c r="A261" t="str">
        <f>'Ammo Input'!A261</f>
        <v>.44 Magnum HV</v>
      </c>
      <c r="B261" s="1" t="str">
        <f>'Ammo Input'!B261</f>
        <v>AP</v>
      </c>
      <c r="C261">
        <f>(0.579*('Ammo Stats'!G261*IF(OR(B261="HEAT",B261="HEDP"),10,'Ammo Input'!F261)*VLOOKUP(B261,AmmoTypeFactors,7,FALSE))^(0.346))^IF(B261="HEDP",2.1,1)/IF(B261="HEDP",50,1)</f>
        <v>15.2752759767613</v>
      </c>
      <c r="D261" s="16">
        <f>IF(VLOOKUP(B261,AmmoTypeFactors,8,FALSE),J261,C261)*VLOOKUP('Ammo Input'!B261,AmmoTypeFactors,2,FALSE)</f>
        <v>12.2202207814091</v>
      </c>
      <c r="E261" s="16">
        <f>IF(OR(VLOOKUP(B261,AmmoTypeFactors,6,FALSE)="Bomb",VLOOKUP(B261,AmmoTypeFactors,6,FALSE)="Thermobaric"),J261*VLOOKUP(B261,AmmoTypeFactors,4,FALSE),IF(VLOOKUP(B261,AmmoTypeFactors,11,FALSE),P261,C261*VLOOKUP(B261,AmmoTypeFactors,4,FALSE)))</f>
        <v>0</v>
      </c>
      <c r="F261" s="16">
        <f>'Ammo Stats'!G261/0.005</f>
        <v>470400</v>
      </c>
      <c r="G261" s="16">
        <f>(IF(B261="HEAT",10,'Ammo Input'!F261)*VLOOKUP(B261,AmmoTypeFactors,7,FALSE)*0.5)^2*PI()/100</f>
        <v>0.233282889483127</v>
      </c>
      <c r="H261" s="10">
        <f t="shared" si="12"/>
        <v>47.04</v>
      </c>
      <c r="I261" s="10">
        <f>IF(B261&lt;&gt;"Arrow (Flaming)",39493.49*'Ammo Input'!M261^0.6/1000,0)</f>
        <v>0</v>
      </c>
      <c r="J261">
        <f t="shared" si="13"/>
        <v>0</v>
      </c>
      <c r="K261">
        <f t="shared" si="14"/>
        <v>8</v>
      </c>
      <c r="L261">
        <f>200000/('Ammo Stats'!C261*(MAX('Ammo Input'!D261,'Ammo Input'!F261)*0.5)^2*PI())</f>
        <v>94622.4394125418</v>
      </c>
      <c r="M261">
        <f>IF(B261="Frag",1,('Ammo Input'!M261/1.33)/('Ammo Input'!H261/1000))</f>
        <v>0</v>
      </c>
      <c r="N261" t="s">
        <v>353</v>
      </c>
      <c r="O261" t="s">
        <v>353</v>
      </c>
      <c r="P261" s="3">
        <f>(39493.49*(IF((VLOOKUP(B261,AmmoTypeFactors,6,FALSE)="Bomb_Secondary"),1.33,1)*('Ammo Input'!H261*0.35)/1000)^0.6/1000)*10/3*VLOOKUP(B261,AmmoTypeFactors,4,FALSE)</f>
        <v>0</v>
      </c>
    </row>
    <row r="262" ht="14.4" spans="1:16">
      <c r="A262" t="str">
        <f>'Ammo Input'!A262</f>
        <v>.44 Magnum HV</v>
      </c>
      <c r="B262" s="1" t="str">
        <f>'Ammo Input'!B262</f>
        <v>HP</v>
      </c>
      <c r="C262">
        <f>(0.579*('Ammo Stats'!G262*IF(OR(B262="HEAT",B262="HEDP"),10,'Ammo Input'!F262)*VLOOKUP(B262,AmmoTypeFactors,7,FALSE))^(0.346))^IF(B262="HEDP",2.1,1)/IF(B262="HEDP",50,1)</f>
        <v>24.6775376023802</v>
      </c>
      <c r="D262" s="16">
        <f>IF(VLOOKUP(B262,AmmoTypeFactors,8,FALSE),J262,C262)*VLOOKUP('Ammo Input'!B262,AmmoTypeFactors,2,FALSE)</f>
        <v>24.6775376023802</v>
      </c>
      <c r="E262" s="16">
        <f>IF(OR(VLOOKUP(B262,AmmoTypeFactors,6,FALSE)="Bomb",VLOOKUP(B262,AmmoTypeFactors,6,FALSE)="Thermobaric"),J262*VLOOKUP(B262,AmmoTypeFactors,4,FALSE),IF(VLOOKUP(B262,AmmoTypeFactors,11,FALSE),P262,C262*VLOOKUP(B262,AmmoTypeFactors,4,FALSE)))</f>
        <v>0</v>
      </c>
      <c r="F262" s="16">
        <f>'Ammo Stats'!G262/0.005</f>
        <v>470400</v>
      </c>
      <c r="G262" s="16">
        <f>(IF(B262="HEAT",10,'Ammo Input'!F262)*VLOOKUP(B262,AmmoTypeFactors,7,FALSE)*0.5)^2*PI()/100</f>
        <v>3.73252623173003</v>
      </c>
      <c r="H262" s="10">
        <f t="shared" si="12"/>
        <v>47.04</v>
      </c>
      <c r="I262" s="10">
        <f>IF(B262&lt;&gt;"Arrow (Flaming)",39493.49*'Ammo Input'!M262^0.6/1000,0)</f>
        <v>0</v>
      </c>
      <c r="J262">
        <f t="shared" si="13"/>
        <v>0</v>
      </c>
      <c r="K262">
        <f t="shared" si="14"/>
        <v>8</v>
      </c>
      <c r="L262">
        <f>200000/('Ammo Stats'!C262*(MAX('Ammo Input'!D262,'Ammo Input'!F262)*0.5)^2*PI())</f>
        <v>94622.4394125418</v>
      </c>
      <c r="M262">
        <f>IF(B262="Frag",1,('Ammo Input'!M262/1.33)/('Ammo Input'!H262/1000))</f>
        <v>0</v>
      </c>
      <c r="N262" t="s">
        <v>353</v>
      </c>
      <c r="O262" t="s">
        <v>353</v>
      </c>
      <c r="P262" s="3">
        <f>(39493.49*(IF((VLOOKUP(B262,AmmoTypeFactors,6,FALSE)="Bomb_Secondary"),1.33,1)*('Ammo Input'!H262*0.35)/1000)^0.6/1000)*10/3*VLOOKUP(B262,AmmoTypeFactors,4,FALSE)</f>
        <v>0</v>
      </c>
    </row>
    <row r="263" ht="14.4" spans="1:16">
      <c r="A263" t="str">
        <f>'Ammo Input'!A263</f>
        <v>.44 S&amp;W Special</v>
      </c>
      <c r="B263" s="1" t="str">
        <f>'Ammo Input'!B263</f>
        <v>FMJ</v>
      </c>
      <c r="C263">
        <f>(0.579*('Ammo Stats'!G263*IF(OR(B263="HEAT",B263="HEDP"),10,'Ammo Input'!F263)*VLOOKUP(B263,AmmoTypeFactors,7,FALSE))^(0.346))^IF(B263="HEDP",2.1,1)/IF(B263="HEDP",50,1)</f>
        <v>11.1544314339692</v>
      </c>
      <c r="D263" s="16">
        <f>IF(VLOOKUP(B263,AmmoTypeFactors,8,FALSE),J263,C263)*VLOOKUP('Ammo Input'!B263,AmmoTypeFactors,2,FALSE)</f>
        <v>11.1544314339692</v>
      </c>
      <c r="E263" s="16">
        <f>IF(OR(VLOOKUP(B263,AmmoTypeFactors,6,FALSE)="Bomb",VLOOKUP(B263,AmmoTypeFactors,6,FALSE)="Thermobaric"),J263*VLOOKUP(B263,AmmoTypeFactors,4,FALSE),IF(VLOOKUP(B263,AmmoTypeFactors,11,FALSE),P263,C263*VLOOKUP(B263,AmmoTypeFactors,4,FALSE)))</f>
        <v>0</v>
      </c>
      <c r="F263" s="16">
        <f>'Ammo Stats'!G263/0.005</f>
        <v>94800</v>
      </c>
      <c r="G263" s="16">
        <f>(IF(B263="HEAT",10,'Ammo Input'!F263)*VLOOKUP(B263,AmmoTypeFactors,7,FALSE)*0.5)^2*PI()/100</f>
        <v>0.933131557932508</v>
      </c>
      <c r="H263" s="10">
        <f t="shared" si="12"/>
        <v>9.48</v>
      </c>
      <c r="I263" s="10">
        <f>IF(B263&lt;&gt;"Arrow (Flaming)",39493.49*'Ammo Input'!M263^0.6/1000,0)</f>
        <v>0</v>
      </c>
      <c r="J263">
        <f t="shared" si="13"/>
        <v>0</v>
      </c>
      <c r="K263">
        <f t="shared" si="14"/>
        <v>5</v>
      </c>
      <c r="L263">
        <f>200000/('Ammo Stats'!C263*(MAX('Ammo Input'!D263,'Ammo Input'!F263)*0.5)^2*PI())</f>
        <v>94622.4394125418</v>
      </c>
      <c r="M263">
        <f>IF(B263="Frag",1,('Ammo Input'!M263/1.33)/('Ammo Input'!H263/1000))</f>
        <v>0</v>
      </c>
      <c r="N263" t="s">
        <v>353</v>
      </c>
      <c r="O263" t="s">
        <v>353</v>
      </c>
      <c r="P263" s="3">
        <f>(39493.49*(IF((VLOOKUP(B263,AmmoTypeFactors,6,FALSE)="Bomb_Secondary"),1.33,1)*('Ammo Input'!H263*0.35)/1000)^0.6/1000)*10/3*VLOOKUP(B263,AmmoTypeFactors,4,FALSE)</f>
        <v>0</v>
      </c>
    </row>
    <row r="264" ht="14.4" spans="1:16">
      <c r="A264" t="str">
        <f>'Ammo Input'!A264</f>
        <v>.44 S&amp;W Special</v>
      </c>
      <c r="B264" s="1" t="str">
        <f>'Ammo Input'!B264</f>
        <v>AP</v>
      </c>
      <c r="C264">
        <f>(0.579*('Ammo Stats'!G264*IF(OR(B264="HEAT",B264="HEDP"),10,'Ammo Input'!F264)*VLOOKUP(B264,AmmoTypeFactors,7,FALSE))^(0.346))^IF(B264="HEDP",2.1,1)/IF(B264="HEDP",50,1)</f>
        <v>8.77588775151828</v>
      </c>
      <c r="D264" s="16">
        <f>IF(VLOOKUP(B264,AmmoTypeFactors,8,FALSE),J264,C264)*VLOOKUP('Ammo Input'!B264,AmmoTypeFactors,2,FALSE)</f>
        <v>7.02071020121462</v>
      </c>
      <c r="E264" s="16">
        <f>IF(OR(VLOOKUP(B264,AmmoTypeFactors,6,FALSE)="Bomb",VLOOKUP(B264,AmmoTypeFactors,6,FALSE)="Thermobaric"),J264*VLOOKUP(B264,AmmoTypeFactors,4,FALSE),IF(VLOOKUP(B264,AmmoTypeFactors,11,FALSE),P264,C264*VLOOKUP(B264,AmmoTypeFactors,4,FALSE)))</f>
        <v>0</v>
      </c>
      <c r="F264" s="16">
        <f>'Ammo Stats'!G264/0.005</f>
        <v>94800</v>
      </c>
      <c r="G264" s="16">
        <f>(IF(B264="HEAT",10,'Ammo Input'!F264)*VLOOKUP(B264,AmmoTypeFactors,7,FALSE)*0.5)^2*PI()/100</f>
        <v>0.233282889483127</v>
      </c>
      <c r="H264" s="10">
        <f t="shared" si="12"/>
        <v>9.48</v>
      </c>
      <c r="I264" s="10">
        <f>IF(B264&lt;&gt;"Arrow (Flaming)",39493.49*'Ammo Input'!M264^0.6/1000,0)</f>
        <v>0</v>
      </c>
      <c r="J264">
        <f t="shared" si="13"/>
        <v>0</v>
      </c>
      <c r="K264">
        <f t="shared" si="14"/>
        <v>5</v>
      </c>
      <c r="L264">
        <f>200000/('Ammo Stats'!C264*(MAX('Ammo Input'!D264,'Ammo Input'!F264)*0.5)^2*PI())</f>
        <v>94622.4394125418</v>
      </c>
      <c r="M264">
        <f>IF(B264="Frag",1,('Ammo Input'!M264/1.33)/('Ammo Input'!H264/1000))</f>
        <v>0</v>
      </c>
      <c r="N264" t="s">
        <v>353</v>
      </c>
      <c r="O264" t="s">
        <v>353</v>
      </c>
      <c r="P264" s="3">
        <f>(39493.49*(IF((VLOOKUP(B264,AmmoTypeFactors,6,FALSE)="Bomb_Secondary"),1.33,1)*('Ammo Input'!H264*0.35)/1000)^0.6/1000)*10/3*VLOOKUP(B264,AmmoTypeFactors,4,FALSE)</f>
        <v>0</v>
      </c>
    </row>
    <row r="265" ht="14.4" spans="1:16">
      <c r="A265" t="str">
        <f>'Ammo Input'!A265</f>
        <v>.44 S&amp;W Special</v>
      </c>
      <c r="B265" s="1" t="str">
        <f>'Ammo Input'!B265</f>
        <v>HP</v>
      </c>
      <c r="C265">
        <f>(0.579*('Ammo Stats'!G265*IF(OR(B265="HEAT",B265="HEDP"),10,'Ammo Input'!F265)*VLOOKUP(B265,AmmoTypeFactors,7,FALSE))^(0.346))^IF(B265="HEDP",2.1,1)/IF(B265="HEDP",50,1)</f>
        <v>14.1776358287621</v>
      </c>
      <c r="D265" s="16">
        <f>IF(VLOOKUP(B265,AmmoTypeFactors,8,FALSE),J265,C265)*VLOOKUP('Ammo Input'!B265,AmmoTypeFactors,2,FALSE)</f>
        <v>14.1776358287621</v>
      </c>
      <c r="E265" s="16">
        <f>IF(OR(VLOOKUP(B265,AmmoTypeFactors,6,FALSE)="Bomb",VLOOKUP(B265,AmmoTypeFactors,6,FALSE)="Thermobaric"),J265*VLOOKUP(B265,AmmoTypeFactors,4,FALSE),IF(VLOOKUP(B265,AmmoTypeFactors,11,FALSE),P265,C265*VLOOKUP(B265,AmmoTypeFactors,4,FALSE)))</f>
        <v>0</v>
      </c>
      <c r="F265" s="16">
        <f>'Ammo Stats'!G265/0.005</f>
        <v>94800</v>
      </c>
      <c r="G265" s="16">
        <f>(IF(B265="HEAT",10,'Ammo Input'!F265)*VLOOKUP(B265,AmmoTypeFactors,7,FALSE)*0.5)^2*PI()/100</f>
        <v>3.73252623173003</v>
      </c>
      <c r="H265" s="10">
        <f t="shared" si="12"/>
        <v>9.48</v>
      </c>
      <c r="I265" s="10">
        <f>IF(B265&lt;&gt;"Arrow (Flaming)",39493.49*'Ammo Input'!M265^0.6/1000,0)</f>
        <v>0</v>
      </c>
      <c r="J265">
        <f t="shared" si="13"/>
        <v>0</v>
      </c>
      <c r="K265">
        <f t="shared" si="14"/>
        <v>5</v>
      </c>
      <c r="L265">
        <f>200000/('Ammo Stats'!C265*(MAX('Ammo Input'!D265,'Ammo Input'!F265)*0.5)^2*PI())</f>
        <v>94622.4394125418</v>
      </c>
      <c r="M265">
        <f>IF(B265="Frag",1,('Ammo Input'!M265/1.33)/('Ammo Input'!H265/1000))</f>
        <v>0</v>
      </c>
      <c r="N265" t="s">
        <v>353</v>
      </c>
      <c r="O265" t="s">
        <v>353</v>
      </c>
      <c r="P265" s="3">
        <f>(39493.49*(IF((VLOOKUP(B265,AmmoTypeFactors,6,FALSE)="Bomb_Secondary"),1.33,1)*('Ammo Input'!H265*0.35)/1000)^0.6/1000)*10/3*VLOOKUP(B265,AmmoTypeFactors,4,FALSE)</f>
        <v>0</v>
      </c>
    </row>
    <row r="266" ht="14.4" spans="1:16">
      <c r="A266" t="str">
        <f>'Ammo Input'!A266</f>
        <v>.45 Colt</v>
      </c>
      <c r="B266" s="1" t="str">
        <f>'Ammo Input'!B266</f>
        <v>FMJ</v>
      </c>
      <c r="C266">
        <f>(0.579*('Ammo Stats'!G266*IF(OR(B266="HEAT",B266="HEDP"),10,'Ammo Input'!F266)*VLOOKUP(B266,AmmoTypeFactors,7,FALSE))^(0.346))^IF(B266="HEDP",2.1,1)/IF(B266="HEDP",50,1)</f>
        <v>12.1192985173133</v>
      </c>
      <c r="D266" s="16">
        <f>IF(VLOOKUP(B266,AmmoTypeFactors,8,FALSE),J266,C266)*VLOOKUP('Ammo Input'!B266,AmmoTypeFactors,2,FALSE)</f>
        <v>12.1192985173133</v>
      </c>
      <c r="E266" s="16">
        <f>IF(OR(VLOOKUP(B266,AmmoTypeFactors,6,FALSE)="Bomb",VLOOKUP(B266,AmmoTypeFactors,6,FALSE)="Thermobaric"),J266*VLOOKUP(B266,AmmoTypeFactors,4,FALSE),IF(VLOOKUP(B266,AmmoTypeFactors,11,FALSE),P266,C266*VLOOKUP(B266,AmmoTypeFactors,4,FALSE)))</f>
        <v>0</v>
      </c>
      <c r="F266" s="16">
        <f>'Ammo Stats'!G266/0.005</f>
        <v>114400</v>
      </c>
      <c r="G266" s="16">
        <f>(IF(B266="HEAT",10,'Ammo Input'!F266)*VLOOKUP(B266,AmmoTypeFactors,7,FALSE)*0.5)^2*PI()/100</f>
        <v>1.03507938113415</v>
      </c>
      <c r="H266" s="10">
        <f t="shared" si="12"/>
        <v>11.44</v>
      </c>
      <c r="I266" s="10">
        <f>IF(B266&lt;&gt;"Arrow (Flaming)",39493.49*'Ammo Input'!M266^0.6/1000,0)</f>
        <v>0</v>
      </c>
      <c r="J266">
        <f t="shared" si="13"/>
        <v>0</v>
      </c>
      <c r="K266">
        <f t="shared" si="14"/>
        <v>5</v>
      </c>
      <c r="L266">
        <f>200000/('Ammo Stats'!C266*(MAX('Ammo Input'!D266,'Ammo Input'!F266)*0.5)^2*PI())</f>
        <v>85544.177958557</v>
      </c>
      <c r="M266">
        <f>IF(B266="Frag",1,('Ammo Input'!M266/1.33)/('Ammo Input'!H266/1000))</f>
        <v>0</v>
      </c>
      <c r="N266" t="s">
        <v>353</v>
      </c>
      <c r="O266" t="s">
        <v>353</v>
      </c>
      <c r="P266" s="3">
        <f>(39493.49*(IF((VLOOKUP(B266,AmmoTypeFactors,6,FALSE)="Bomb_Secondary"),1.33,1)*('Ammo Input'!H266*0.35)/1000)^0.6/1000)*10/3*VLOOKUP(B266,AmmoTypeFactors,4,FALSE)</f>
        <v>0</v>
      </c>
    </row>
    <row r="267" ht="14.4" spans="1:16">
      <c r="A267" t="str">
        <f>'Ammo Input'!A267</f>
        <v>.45 Colt</v>
      </c>
      <c r="B267" s="1" t="str">
        <f>'Ammo Input'!B267</f>
        <v>AP</v>
      </c>
      <c r="C267">
        <f>(0.579*('Ammo Stats'!G267*IF(OR(B267="HEAT",B267="HEDP"),10,'Ammo Input'!F267)*VLOOKUP(B267,AmmoTypeFactors,7,FALSE))^(0.346))^IF(B267="HEDP",2.1,1)/IF(B267="HEDP",50,1)</f>
        <v>9.53500893745123</v>
      </c>
      <c r="D267" s="16">
        <f>IF(VLOOKUP(B267,AmmoTypeFactors,8,FALSE),J267,C267)*VLOOKUP('Ammo Input'!B267,AmmoTypeFactors,2,FALSE)</f>
        <v>7.62800714996099</v>
      </c>
      <c r="E267" s="16">
        <f>IF(OR(VLOOKUP(B267,AmmoTypeFactors,6,FALSE)="Bomb",VLOOKUP(B267,AmmoTypeFactors,6,FALSE)="Thermobaric"),J267*VLOOKUP(B267,AmmoTypeFactors,4,FALSE),IF(VLOOKUP(B267,AmmoTypeFactors,11,FALSE),P267,C267*VLOOKUP(B267,AmmoTypeFactors,4,FALSE)))</f>
        <v>0</v>
      </c>
      <c r="F267" s="16">
        <f>'Ammo Stats'!G267/0.005</f>
        <v>114400</v>
      </c>
      <c r="G267" s="16">
        <f>(IF(B267="HEAT",10,'Ammo Input'!F267)*VLOOKUP(B267,AmmoTypeFactors,7,FALSE)*0.5)^2*PI()/100</f>
        <v>0.258769845283538</v>
      </c>
      <c r="H267" s="10">
        <f t="shared" si="12"/>
        <v>11.44</v>
      </c>
      <c r="I267" s="10">
        <f>IF(B267&lt;&gt;"Arrow (Flaming)",39493.49*'Ammo Input'!M267^0.6/1000,0)</f>
        <v>0</v>
      </c>
      <c r="J267">
        <f t="shared" si="13"/>
        <v>0</v>
      </c>
      <c r="K267">
        <f t="shared" si="14"/>
        <v>5</v>
      </c>
      <c r="L267">
        <f>200000/('Ammo Stats'!C267*(MAX('Ammo Input'!D267,'Ammo Input'!F267)*0.5)^2*PI())</f>
        <v>85544.177958557</v>
      </c>
      <c r="M267">
        <f>IF(B267="Frag",1,('Ammo Input'!M267/1.33)/('Ammo Input'!H267/1000))</f>
        <v>0</v>
      </c>
      <c r="N267" t="s">
        <v>353</v>
      </c>
      <c r="O267" t="s">
        <v>353</v>
      </c>
      <c r="P267" s="3">
        <f>(39493.49*(IF((VLOOKUP(B267,AmmoTypeFactors,6,FALSE)="Bomb_Secondary"),1.33,1)*('Ammo Input'!H267*0.35)/1000)^0.6/1000)*10/3*VLOOKUP(B267,AmmoTypeFactors,4,FALSE)</f>
        <v>0</v>
      </c>
    </row>
    <row r="268" ht="14.4" spans="1:16">
      <c r="A268" t="str">
        <f>'Ammo Input'!A268</f>
        <v>.45 Colt</v>
      </c>
      <c r="B268" s="1" t="str">
        <f>'Ammo Input'!B268</f>
        <v>HP</v>
      </c>
      <c r="C268">
        <f>(0.579*('Ammo Stats'!G268*IF(OR(B268="HEAT",B268="HEDP"),10,'Ammo Input'!F268)*VLOOKUP(B268,AmmoTypeFactors,7,FALSE))^(0.346))^IF(B268="HEDP",2.1,1)/IF(B268="HEDP",50,1)</f>
        <v>15.4040124676603</v>
      </c>
      <c r="D268" s="16">
        <f>IF(VLOOKUP(B268,AmmoTypeFactors,8,FALSE),J268,C268)*VLOOKUP('Ammo Input'!B268,AmmoTypeFactors,2,FALSE)</f>
        <v>15.4040124676603</v>
      </c>
      <c r="E268" s="16">
        <f>IF(OR(VLOOKUP(B268,AmmoTypeFactors,6,FALSE)="Bomb",VLOOKUP(B268,AmmoTypeFactors,6,FALSE)="Thermobaric"),J268*VLOOKUP(B268,AmmoTypeFactors,4,FALSE),IF(VLOOKUP(B268,AmmoTypeFactors,11,FALSE),P268,C268*VLOOKUP(B268,AmmoTypeFactors,4,FALSE)))</f>
        <v>0</v>
      </c>
      <c r="F268" s="16">
        <f>'Ammo Stats'!G268/0.005</f>
        <v>114400</v>
      </c>
      <c r="G268" s="16">
        <f>(IF(B268="HEAT",10,'Ammo Input'!F268)*VLOOKUP(B268,AmmoTypeFactors,7,FALSE)*0.5)^2*PI()/100</f>
        <v>4.1403175245366</v>
      </c>
      <c r="H268" s="10">
        <f t="shared" si="12"/>
        <v>11.44</v>
      </c>
      <c r="I268" s="10">
        <f>IF(B268&lt;&gt;"Arrow (Flaming)",39493.49*'Ammo Input'!M268^0.6/1000,0)</f>
        <v>0</v>
      </c>
      <c r="J268">
        <f t="shared" si="13"/>
        <v>0</v>
      </c>
      <c r="K268">
        <f t="shared" si="14"/>
        <v>5</v>
      </c>
      <c r="L268">
        <f>200000/('Ammo Stats'!C268*(MAX('Ammo Input'!D268,'Ammo Input'!F268)*0.5)^2*PI())</f>
        <v>85544.177958557</v>
      </c>
      <c r="M268">
        <f>IF(B268="Frag",1,('Ammo Input'!M268/1.33)/('Ammo Input'!H268/1000))</f>
        <v>0</v>
      </c>
      <c r="N268" t="s">
        <v>353</v>
      </c>
      <c r="O268" t="s">
        <v>353</v>
      </c>
      <c r="P268" s="3">
        <f>(39493.49*(IF((VLOOKUP(B268,AmmoTypeFactors,6,FALSE)="Bomb_Secondary"),1.33,1)*('Ammo Input'!H268*0.35)/1000)^0.6/1000)*10/3*VLOOKUP(B268,AmmoTypeFactors,4,FALSE)</f>
        <v>0</v>
      </c>
    </row>
    <row r="269" ht="14.4" spans="1:16">
      <c r="A269" t="str">
        <f>'Ammo Input'!A269</f>
        <v>.45 Colt HV</v>
      </c>
      <c r="B269" s="1" t="str">
        <f>'Ammo Input'!B269</f>
        <v>FMJ</v>
      </c>
      <c r="C269">
        <f>(0.579*('Ammo Stats'!G269*IF(OR(B269="HEAT",B269="HEDP"),10,'Ammo Input'!F269)*VLOOKUP(B269,AmmoTypeFactors,7,FALSE))^(0.346))^IF(B269="HEDP",2.1,1)/IF(B269="HEDP",50,1)</f>
        <v>16.2240060798689</v>
      </c>
      <c r="D269" s="16">
        <f>IF(VLOOKUP(B269,AmmoTypeFactors,8,FALSE),J269,C269)*VLOOKUP('Ammo Input'!B269,AmmoTypeFactors,2,FALSE)</f>
        <v>16.2240060798689</v>
      </c>
      <c r="E269" s="16">
        <f>IF(OR(VLOOKUP(B269,AmmoTypeFactors,6,FALSE)="Bomb",VLOOKUP(B269,AmmoTypeFactors,6,FALSE)="Thermobaric"),J269*VLOOKUP(B269,AmmoTypeFactors,4,FALSE),IF(VLOOKUP(B269,AmmoTypeFactors,11,FALSE),P269,C269*VLOOKUP(B269,AmmoTypeFactors,4,FALSE)))</f>
        <v>0</v>
      </c>
      <c r="F269" s="16">
        <f>'Ammo Stats'!G269/0.005</f>
        <v>265800</v>
      </c>
      <c r="G269" s="16">
        <f>(IF(B269="HEAT",10,'Ammo Input'!F269)*VLOOKUP(B269,AmmoTypeFactors,7,FALSE)*0.5)^2*PI()/100</f>
        <v>1.03507938113415</v>
      </c>
      <c r="H269" s="10">
        <f t="shared" si="12"/>
        <v>26.58</v>
      </c>
      <c r="I269" s="10">
        <f>IF(B269&lt;&gt;"Arrow (Flaming)",39493.49*'Ammo Input'!M269^0.6/1000,0)</f>
        <v>0</v>
      </c>
      <c r="J269">
        <f t="shared" si="13"/>
        <v>0</v>
      </c>
      <c r="K269">
        <f t="shared" si="14"/>
        <v>6</v>
      </c>
      <c r="L269">
        <f>200000/('Ammo Stats'!C269*(MAX('Ammo Input'!D269,'Ammo Input'!F269)*0.5)^2*PI())</f>
        <v>85544.177958557</v>
      </c>
      <c r="M269">
        <f>IF(B269="Frag",1,('Ammo Input'!M269/1.33)/('Ammo Input'!H269/1000))</f>
        <v>0</v>
      </c>
      <c r="N269" t="s">
        <v>353</v>
      </c>
      <c r="O269" t="s">
        <v>353</v>
      </c>
      <c r="P269" s="3">
        <f>(39493.49*(IF((VLOOKUP(B269,AmmoTypeFactors,6,FALSE)="Bomb_Secondary"),1.33,1)*('Ammo Input'!H269*0.35)/1000)^0.6/1000)*10/3*VLOOKUP(B269,AmmoTypeFactors,4,FALSE)</f>
        <v>0</v>
      </c>
    </row>
    <row r="270" ht="14.4" spans="1:16">
      <c r="A270" t="str">
        <f>'Ammo Input'!A270</f>
        <v>.45 Colt HV</v>
      </c>
      <c r="B270" s="1" t="str">
        <f>'Ammo Input'!B270</f>
        <v>AP</v>
      </c>
      <c r="C270">
        <f>(0.579*('Ammo Stats'!G270*IF(OR(B270="HEAT",B270="HEDP"),10,'Ammo Input'!F270)*VLOOKUP(B270,AmmoTypeFactors,7,FALSE))^(0.346))^IF(B270="HEDP",2.1,1)/IF(B270="HEDP",50,1)</f>
        <v>12.7644386968288</v>
      </c>
      <c r="D270" s="16">
        <f>IF(VLOOKUP(B270,AmmoTypeFactors,8,FALSE),J270,C270)*VLOOKUP('Ammo Input'!B270,AmmoTypeFactors,2,FALSE)</f>
        <v>10.211550957463</v>
      </c>
      <c r="E270" s="16">
        <f>IF(OR(VLOOKUP(B270,AmmoTypeFactors,6,FALSE)="Bomb",VLOOKUP(B270,AmmoTypeFactors,6,FALSE)="Thermobaric"),J270*VLOOKUP(B270,AmmoTypeFactors,4,FALSE),IF(VLOOKUP(B270,AmmoTypeFactors,11,FALSE),P270,C270*VLOOKUP(B270,AmmoTypeFactors,4,FALSE)))</f>
        <v>0</v>
      </c>
      <c r="F270" s="16">
        <f>'Ammo Stats'!G270/0.005</f>
        <v>265800</v>
      </c>
      <c r="G270" s="16">
        <f>(IF(B270="HEAT",10,'Ammo Input'!F270)*VLOOKUP(B270,AmmoTypeFactors,7,FALSE)*0.5)^2*PI()/100</f>
        <v>0.258769845283538</v>
      </c>
      <c r="H270" s="10">
        <f t="shared" si="12"/>
        <v>26.58</v>
      </c>
      <c r="I270" s="10">
        <f>IF(B270&lt;&gt;"Arrow (Flaming)",39493.49*'Ammo Input'!M270^0.6/1000,0)</f>
        <v>0</v>
      </c>
      <c r="J270">
        <f t="shared" si="13"/>
        <v>0</v>
      </c>
      <c r="K270">
        <f t="shared" si="14"/>
        <v>6</v>
      </c>
      <c r="L270">
        <f>200000/('Ammo Stats'!C270*(MAX('Ammo Input'!D270,'Ammo Input'!F270)*0.5)^2*PI())</f>
        <v>85544.177958557</v>
      </c>
      <c r="M270">
        <f>IF(B270="Frag",1,('Ammo Input'!M270/1.33)/('Ammo Input'!H270/1000))</f>
        <v>0</v>
      </c>
      <c r="N270" t="s">
        <v>353</v>
      </c>
      <c r="O270" t="s">
        <v>353</v>
      </c>
      <c r="P270" s="3">
        <f>(39493.49*(IF((VLOOKUP(B270,AmmoTypeFactors,6,FALSE)="Bomb_Secondary"),1.33,1)*('Ammo Input'!H270*0.35)/1000)^0.6/1000)*10/3*VLOOKUP(B270,AmmoTypeFactors,4,FALSE)</f>
        <v>0</v>
      </c>
    </row>
    <row r="271" ht="14.4" spans="1:16">
      <c r="A271" t="str">
        <f>'Ammo Input'!A271</f>
        <v>.45 Colt HV</v>
      </c>
      <c r="B271" s="1" t="str">
        <f>'Ammo Input'!B271</f>
        <v>HP</v>
      </c>
      <c r="C271">
        <f>(0.579*('Ammo Stats'!G271*IF(OR(B271="HEAT",B271="HEDP"),10,'Ammo Input'!F271)*VLOOKUP(B271,AmmoTypeFactors,7,FALSE))^(0.346))^IF(B271="HEDP",2.1,1)/IF(B271="HEDP",50,1)</f>
        <v>20.6212258550011</v>
      </c>
      <c r="D271" s="16">
        <f>IF(VLOOKUP(B271,AmmoTypeFactors,8,FALSE),J271,C271)*VLOOKUP('Ammo Input'!B271,AmmoTypeFactors,2,FALSE)</f>
        <v>20.6212258550011</v>
      </c>
      <c r="E271" s="16">
        <f>IF(OR(VLOOKUP(B271,AmmoTypeFactors,6,FALSE)="Bomb",VLOOKUP(B271,AmmoTypeFactors,6,FALSE)="Thermobaric"),J271*VLOOKUP(B271,AmmoTypeFactors,4,FALSE),IF(VLOOKUP(B271,AmmoTypeFactors,11,FALSE),P271,C271*VLOOKUP(B271,AmmoTypeFactors,4,FALSE)))</f>
        <v>0</v>
      </c>
      <c r="F271" s="16">
        <f>'Ammo Stats'!G271/0.005</f>
        <v>265800</v>
      </c>
      <c r="G271" s="16">
        <f>(IF(B271="HEAT",10,'Ammo Input'!F271)*VLOOKUP(B271,AmmoTypeFactors,7,FALSE)*0.5)^2*PI()/100</f>
        <v>4.1403175245366</v>
      </c>
      <c r="H271" s="10">
        <f t="shared" si="12"/>
        <v>26.58</v>
      </c>
      <c r="I271" s="10">
        <f>IF(B271&lt;&gt;"Arrow (Flaming)",39493.49*'Ammo Input'!M271^0.6/1000,0)</f>
        <v>0</v>
      </c>
      <c r="J271">
        <f t="shared" si="13"/>
        <v>0</v>
      </c>
      <c r="K271">
        <f t="shared" si="14"/>
        <v>6</v>
      </c>
      <c r="L271">
        <f>200000/('Ammo Stats'!C271*(MAX('Ammo Input'!D271,'Ammo Input'!F271)*0.5)^2*PI())</f>
        <v>85544.177958557</v>
      </c>
      <c r="M271">
        <f>IF(B271="Frag",1,('Ammo Input'!M271/1.33)/('Ammo Input'!H271/1000))</f>
        <v>0</v>
      </c>
      <c r="N271" t="s">
        <v>353</v>
      </c>
      <c r="O271" t="s">
        <v>353</v>
      </c>
      <c r="P271" s="3">
        <f>(39493.49*(IF((VLOOKUP(B271,AmmoTypeFactors,6,FALSE)="Bomb_Secondary"),1.33,1)*('Ammo Input'!H271*0.35)/1000)^0.6/1000)*10/3*VLOOKUP(B271,AmmoTypeFactors,4,FALSE)</f>
        <v>0</v>
      </c>
    </row>
    <row r="272" ht="14.4" spans="1:16">
      <c r="A272" t="str">
        <f>'Ammo Input'!A272</f>
        <v>.45 Schofield</v>
      </c>
      <c r="B272" s="1" t="str">
        <f>'Ammo Input'!B272</f>
        <v>FMJ</v>
      </c>
      <c r="C272">
        <f>(0.579*('Ammo Stats'!G272*IF(OR(B272="HEAT",B272="HEDP"),10,'Ammo Input'!F272)*VLOOKUP(B272,AmmoTypeFactors,7,FALSE))^(0.346))^IF(B272="HEDP",2.1,1)/IF(B272="HEDP",50,1)</f>
        <v>10.3611439796801</v>
      </c>
      <c r="D272" s="16">
        <f>IF(VLOOKUP(B272,AmmoTypeFactors,8,FALSE),J272,C272)*VLOOKUP('Ammo Input'!B272,AmmoTypeFactors,2,FALSE)</f>
        <v>10.3611439796801</v>
      </c>
      <c r="E272" s="16">
        <f>IF(OR(VLOOKUP(B272,AmmoTypeFactors,6,FALSE)="Bomb",VLOOKUP(B272,AmmoTypeFactors,6,FALSE)="Thermobaric"),J272*VLOOKUP(B272,AmmoTypeFactors,4,FALSE),IF(VLOOKUP(B272,AmmoTypeFactors,11,FALSE),P272,C272*VLOOKUP(B272,AmmoTypeFactors,4,FALSE)))</f>
        <v>0</v>
      </c>
      <c r="F272" s="16">
        <f>'Ammo Stats'!G272/0.005</f>
        <v>72600</v>
      </c>
      <c r="G272" s="16">
        <f>(IF(B272="HEAT",10,'Ammo Input'!F272)*VLOOKUP(B272,AmmoTypeFactors,7,FALSE)*0.5)^2*PI()/100</f>
        <v>1.03868907109313</v>
      </c>
      <c r="H272" s="10">
        <f t="shared" si="12"/>
        <v>7.26</v>
      </c>
      <c r="I272" s="10">
        <f>IF(B272&lt;&gt;"Arrow (Flaming)",39493.49*'Ammo Input'!M272^0.6/1000,0)</f>
        <v>0</v>
      </c>
      <c r="J272">
        <f t="shared" si="13"/>
        <v>0</v>
      </c>
      <c r="K272">
        <f t="shared" si="14"/>
        <v>4</v>
      </c>
      <c r="L272">
        <f>200000/('Ammo Stats'!C272*(MAX('Ammo Input'!D272,'Ammo Input'!F272)*0.5)^2*PI())</f>
        <v>85544.177958557</v>
      </c>
      <c r="M272">
        <f>IF(B272="Frag",1,('Ammo Input'!M272/1.33)/('Ammo Input'!H272/1000))</f>
        <v>0</v>
      </c>
      <c r="N272" t="s">
        <v>353</v>
      </c>
      <c r="O272" t="s">
        <v>353</v>
      </c>
      <c r="P272" s="3">
        <f>(39493.49*(IF((VLOOKUP(B272,AmmoTypeFactors,6,FALSE)="Bomb_Secondary"),1.33,1)*('Ammo Input'!H272*0.35)/1000)^0.6/1000)*10/3*VLOOKUP(B272,AmmoTypeFactors,4,FALSE)</f>
        <v>0</v>
      </c>
    </row>
    <row r="273" ht="14.4" spans="1:16">
      <c r="A273" t="str">
        <f>'Ammo Input'!A273</f>
        <v>.45 Schofield</v>
      </c>
      <c r="B273" s="1" t="str">
        <f>'Ammo Input'!B273</f>
        <v>AP</v>
      </c>
      <c r="C273">
        <f>(0.579*('Ammo Stats'!G273*IF(OR(B273="HEAT",B273="HEDP"),10,'Ammo Input'!F273)*VLOOKUP(B273,AmmoTypeFactors,7,FALSE))^(0.346))^IF(B273="HEDP",2.1,1)/IF(B273="HEDP",50,1)</f>
        <v>8.15175897411351</v>
      </c>
      <c r="D273" s="16">
        <f>IF(VLOOKUP(B273,AmmoTypeFactors,8,FALSE),J273,C273)*VLOOKUP('Ammo Input'!B273,AmmoTypeFactors,2,FALSE)</f>
        <v>6.52140717929081</v>
      </c>
      <c r="E273" s="16">
        <f>IF(OR(VLOOKUP(B273,AmmoTypeFactors,6,FALSE)="Bomb",VLOOKUP(B273,AmmoTypeFactors,6,FALSE)="Thermobaric"),J273*VLOOKUP(B273,AmmoTypeFactors,4,FALSE),IF(VLOOKUP(B273,AmmoTypeFactors,11,FALSE),P273,C273*VLOOKUP(B273,AmmoTypeFactors,4,FALSE)))</f>
        <v>0</v>
      </c>
      <c r="F273" s="16">
        <f>'Ammo Stats'!G273/0.005</f>
        <v>72600</v>
      </c>
      <c r="G273" s="16">
        <f>(IF(B273="HEAT",10,'Ammo Input'!F273)*VLOOKUP(B273,AmmoTypeFactors,7,FALSE)*0.5)^2*PI()/100</f>
        <v>0.259672267773281</v>
      </c>
      <c r="H273" s="10">
        <f t="shared" si="12"/>
        <v>7.26</v>
      </c>
      <c r="I273" s="10">
        <f>IF(B273&lt;&gt;"Arrow (Flaming)",39493.49*'Ammo Input'!M273^0.6/1000,0)</f>
        <v>0</v>
      </c>
      <c r="J273">
        <f t="shared" si="13"/>
        <v>0</v>
      </c>
      <c r="K273">
        <f t="shared" si="14"/>
        <v>4</v>
      </c>
      <c r="L273">
        <f>200000/('Ammo Stats'!C273*(MAX('Ammo Input'!D273,'Ammo Input'!F273)*0.5)^2*PI())</f>
        <v>85544.177958557</v>
      </c>
      <c r="M273">
        <f>IF(B273="Frag",1,('Ammo Input'!M273/1.33)/('Ammo Input'!H273/1000))</f>
        <v>0</v>
      </c>
      <c r="N273" t="s">
        <v>353</v>
      </c>
      <c r="O273" t="s">
        <v>353</v>
      </c>
      <c r="P273" s="3">
        <f>(39493.49*(IF((VLOOKUP(B273,AmmoTypeFactors,6,FALSE)="Bomb_Secondary"),1.33,1)*('Ammo Input'!H273*0.35)/1000)^0.6/1000)*10/3*VLOOKUP(B273,AmmoTypeFactors,4,FALSE)</f>
        <v>0</v>
      </c>
    </row>
    <row r="274" ht="14.4" spans="1:16">
      <c r="A274" t="str">
        <f>'Ammo Input'!A274</f>
        <v>.45 Schofield</v>
      </c>
      <c r="B274" s="1" t="str">
        <f>'Ammo Input'!B274</f>
        <v>HP</v>
      </c>
      <c r="C274">
        <f>(0.579*('Ammo Stats'!G274*IF(OR(B274="HEAT",B274="HEDP"),10,'Ammo Input'!F274)*VLOOKUP(B274,AmmoTypeFactors,7,FALSE))^(0.346))^IF(B274="HEDP",2.1,1)/IF(B274="HEDP",50,1)</f>
        <v>13.1693423356321</v>
      </c>
      <c r="D274" s="16">
        <f>IF(VLOOKUP(B274,AmmoTypeFactors,8,FALSE),J274,C274)*VLOOKUP('Ammo Input'!B274,AmmoTypeFactors,2,FALSE)</f>
        <v>13.1693423356321</v>
      </c>
      <c r="E274" s="16">
        <f>IF(OR(VLOOKUP(B274,AmmoTypeFactors,6,FALSE)="Bomb",VLOOKUP(B274,AmmoTypeFactors,6,FALSE)="Thermobaric"),J274*VLOOKUP(B274,AmmoTypeFactors,4,FALSE),IF(VLOOKUP(B274,AmmoTypeFactors,11,FALSE),P274,C274*VLOOKUP(B274,AmmoTypeFactors,4,FALSE)))</f>
        <v>0</v>
      </c>
      <c r="F274" s="16">
        <f>'Ammo Stats'!G274/0.005</f>
        <v>72600</v>
      </c>
      <c r="G274" s="16">
        <f>(IF(B274="HEAT",10,'Ammo Input'!F274)*VLOOKUP(B274,AmmoTypeFactors,7,FALSE)*0.5)^2*PI()/100</f>
        <v>4.1547562843725</v>
      </c>
      <c r="H274" s="10">
        <f t="shared" si="12"/>
        <v>7.26</v>
      </c>
      <c r="I274" s="10">
        <f>IF(B274&lt;&gt;"Arrow (Flaming)",39493.49*'Ammo Input'!M274^0.6/1000,0)</f>
        <v>0</v>
      </c>
      <c r="J274">
        <f t="shared" si="13"/>
        <v>0</v>
      </c>
      <c r="K274">
        <f t="shared" si="14"/>
        <v>4</v>
      </c>
      <c r="L274">
        <f>200000/('Ammo Stats'!C274*(MAX('Ammo Input'!D274,'Ammo Input'!F274)*0.5)^2*PI())</f>
        <v>85544.177958557</v>
      </c>
      <c r="M274">
        <f>IF(B274="Frag",1,('Ammo Input'!M274/1.33)/('Ammo Input'!H274/1000))</f>
        <v>0</v>
      </c>
      <c r="N274" t="s">
        <v>353</v>
      </c>
      <c r="O274" t="s">
        <v>353</v>
      </c>
      <c r="P274" s="3">
        <f>(39493.49*(IF((VLOOKUP(B274,AmmoTypeFactors,6,FALSE)="Bomb_Secondary"),1.33,1)*('Ammo Input'!H274*0.35)/1000)^0.6/1000)*10/3*VLOOKUP(B274,AmmoTypeFactors,4,FALSE)</f>
        <v>0</v>
      </c>
    </row>
    <row r="275" ht="14.4" spans="1:16">
      <c r="A275" t="str">
        <f>'Ammo Input'!A275</f>
        <v>10mm Auto</v>
      </c>
      <c r="B275" s="1" t="str">
        <f>'Ammo Input'!B275</f>
        <v>FMJ</v>
      </c>
      <c r="C275">
        <f>(0.579*('Ammo Stats'!G275*IF(OR(B275="HEAT",B275="HEDP"),10,'Ammo Input'!F275)*VLOOKUP(B275,AmmoTypeFactors,7,FALSE))^(0.346))^IF(B275="HEDP",2.1,1)/IF(B275="HEDP",50,1)</f>
        <v>13.9020056305516</v>
      </c>
      <c r="D275" s="16">
        <f>IF(VLOOKUP(B275,AmmoTypeFactors,8,FALSE),J275,C275)*VLOOKUP('Ammo Input'!B275,AmmoTypeFactors,2,FALSE)</f>
        <v>13.9020056305516</v>
      </c>
      <c r="E275" s="16">
        <f>IF(OR(VLOOKUP(B275,AmmoTypeFactors,6,FALSE)="Bomb",VLOOKUP(B275,AmmoTypeFactors,6,FALSE)="Thermobaric"),J275*VLOOKUP(B275,AmmoTypeFactors,4,FALSE),IF(VLOOKUP(B275,AmmoTypeFactors,11,FALSE),P275,C275*VLOOKUP(B275,AmmoTypeFactors,4,FALSE)))</f>
        <v>0</v>
      </c>
      <c r="F275" s="16">
        <f>'Ammo Stats'!G275/0.005</f>
        <v>192000</v>
      </c>
      <c r="G275" s="16">
        <f>(IF(B275="HEAT",10,'Ammo Input'!F275)*VLOOKUP(B275,AmmoTypeFactors,7,FALSE)*0.5)^2*PI()/100</f>
        <v>0.812328681022183</v>
      </c>
      <c r="H275" s="10">
        <f t="shared" si="12"/>
        <v>19.2</v>
      </c>
      <c r="I275" s="10">
        <f>IF(B275&lt;&gt;"Arrow (Flaming)",39493.49*'Ammo Input'!M275^0.6/1000,0)</f>
        <v>0</v>
      </c>
      <c r="J275">
        <f t="shared" si="13"/>
        <v>0</v>
      </c>
      <c r="K275">
        <f t="shared" si="14"/>
        <v>6</v>
      </c>
      <c r="L275">
        <f>200000/('Ammo Stats'!C275*(MAX('Ammo Input'!D275,'Ammo Input'!F275)*0.5)^2*PI())</f>
        <v>218319.537848965</v>
      </c>
      <c r="M275">
        <f>IF(B275="Frag",1,('Ammo Input'!M275/1.33)/('Ammo Input'!H275/1000))</f>
        <v>0</v>
      </c>
      <c r="N275" t="s">
        <v>353</v>
      </c>
      <c r="O275" t="s">
        <v>353</v>
      </c>
      <c r="P275" s="3">
        <f>(39493.49*(IF((VLOOKUP(B275,AmmoTypeFactors,6,FALSE)="Bomb_Secondary"),1.33,1)*('Ammo Input'!H275*0.35)/1000)^0.6/1000)*10/3*VLOOKUP(B275,AmmoTypeFactors,4,FALSE)</f>
        <v>0</v>
      </c>
    </row>
    <row r="276" ht="14.4" spans="1:16">
      <c r="A276" t="str">
        <f>'Ammo Input'!A276</f>
        <v>10mm Auto</v>
      </c>
      <c r="B276" s="1" t="str">
        <f>'Ammo Input'!B276</f>
        <v>AP</v>
      </c>
      <c r="C276">
        <f>(0.579*('Ammo Stats'!G276*IF(OR(B276="HEAT",B276="HEDP"),10,'Ammo Input'!F276)*VLOOKUP(B276,AmmoTypeFactors,7,FALSE))^(0.346))^IF(B276="HEDP",2.1,1)/IF(B276="HEDP",50,1)</f>
        <v>10.9375759452118</v>
      </c>
      <c r="D276" s="16">
        <f>IF(VLOOKUP(B276,AmmoTypeFactors,8,FALSE),J276,C276)*VLOOKUP('Ammo Input'!B276,AmmoTypeFactors,2,FALSE)</f>
        <v>8.75006075616946</v>
      </c>
      <c r="E276" s="16">
        <f>IF(OR(VLOOKUP(B276,AmmoTypeFactors,6,FALSE)="Bomb",VLOOKUP(B276,AmmoTypeFactors,6,FALSE)="Thermobaric"),J276*VLOOKUP(B276,AmmoTypeFactors,4,FALSE),IF(VLOOKUP(B276,AmmoTypeFactors,11,FALSE),P276,C276*VLOOKUP(B276,AmmoTypeFactors,4,FALSE)))</f>
        <v>0</v>
      </c>
      <c r="F276" s="16">
        <f>'Ammo Stats'!G276/0.005</f>
        <v>192000</v>
      </c>
      <c r="G276" s="16">
        <f>(IF(B276="HEAT",10,'Ammo Input'!F276)*VLOOKUP(B276,AmmoTypeFactors,7,FALSE)*0.5)^2*PI()/100</f>
        <v>0.203082170255546</v>
      </c>
      <c r="H276" s="10">
        <f t="shared" si="12"/>
        <v>19.2</v>
      </c>
      <c r="I276" s="10">
        <f>IF(B276&lt;&gt;"Arrow (Flaming)",39493.49*'Ammo Input'!M276^0.6/1000,0)</f>
        <v>0</v>
      </c>
      <c r="J276">
        <f t="shared" si="13"/>
        <v>0</v>
      </c>
      <c r="K276">
        <f t="shared" si="14"/>
        <v>6</v>
      </c>
      <c r="L276">
        <f>200000/('Ammo Stats'!C276*(MAX('Ammo Input'!D276,'Ammo Input'!F276)*0.5)^2*PI())</f>
        <v>218319.537848965</v>
      </c>
      <c r="M276">
        <f>IF(B276="Frag",1,('Ammo Input'!M276/1.33)/('Ammo Input'!H276/1000))</f>
        <v>0</v>
      </c>
      <c r="N276" t="s">
        <v>353</v>
      </c>
      <c r="O276" t="s">
        <v>353</v>
      </c>
      <c r="P276" s="3">
        <f>(39493.49*(IF((VLOOKUP(B276,AmmoTypeFactors,6,FALSE)="Bomb_Secondary"),1.33,1)*('Ammo Input'!H276*0.35)/1000)^0.6/1000)*10/3*VLOOKUP(B276,AmmoTypeFactors,4,FALSE)</f>
        <v>0</v>
      </c>
    </row>
    <row r="277" ht="14.4" spans="1:16">
      <c r="A277" t="str">
        <f>'Ammo Input'!A277</f>
        <v>10mm Auto</v>
      </c>
      <c r="B277" s="1" t="str">
        <f>'Ammo Input'!B277</f>
        <v>HP</v>
      </c>
      <c r="C277">
        <f>(0.579*('Ammo Stats'!G277*IF(OR(B277="HEAT",B277="HEDP"),10,'Ammo Input'!F277)*VLOOKUP(B277,AmmoTypeFactors,7,FALSE))^(0.346))^IF(B277="HEDP",2.1,1)/IF(B277="HEDP",50,1)</f>
        <v>17.6698897013369</v>
      </c>
      <c r="D277" s="16">
        <f>IF(VLOOKUP(B277,AmmoTypeFactors,8,FALSE),J277,C277)*VLOOKUP('Ammo Input'!B277,AmmoTypeFactors,2,FALSE)</f>
        <v>17.6698897013369</v>
      </c>
      <c r="E277" s="16">
        <f>IF(OR(VLOOKUP(B277,AmmoTypeFactors,6,FALSE)="Bomb",VLOOKUP(B277,AmmoTypeFactors,6,FALSE)="Thermobaric"),J277*VLOOKUP(B277,AmmoTypeFactors,4,FALSE),IF(VLOOKUP(B277,AmmoTypeFactors,11,FALSE),P277,C277*VLOOKUP(B277,AmmoTypeFactors,4,FALSE)))</f>
        <v>0</v>
      </c>
      <c r="F277" s="16">
        <f>'Ammo Stats'!G277/0.005</f>
        <v>192000</v>
      </c>
      <c r="G277" s="16">
        <f>(IF(B277="HEAT",10,'Ammo Input'!F277)*VLOOKUP(B277,AmmoTypeFactors,7,FALSE)*0.5)^2*PI()/100</f>
        <v>3.24931472408873</v>
      </c>
      <c r="H277" s="10">
        <f t="shared" si="12"/>
        <v>19.2</v>
      </c>
      <c r="I277" s="10">
        <f>IF(B277&lt;&gt;"Arrow (Flaming)",39493.49*'Ammo Input'!M277^0.6/1000,0)</f>
        <v>0</v>
      </c>
      <c r="J277">
        <f t="shared" si="13"/>
        <v>0</v>
      </c>
      <c r="K277">
        <f t="shared" si="14"/>
        <v>6</v>
      </c>
      <c r="L277">
        <f>200000/('Ammo Stats'!C277*(MAX('Ammo Input'!D277,'Ammo Input'!F277)*0.5)^2*PI())</f>
        <v>218319.537848965</v>
      </c>
      <c r="M277">
        <f>IF(B277="Frag",1,('Ammo Input'!M277/1.33)/('Ammo Input'!H277/1000))</f>
        <v>0</v>
      </c>
      <c r="N277" t="s">
        <v>353</v>
      </c>
      <c r="O277" t="s">
        <v>353</v>
      </c>
      <c r="P277" s="3">
        <f>(39493.49*(IF((VLOOKUP(B277,AmmoTypeFactors,6,FALSE)="Bomb_Secondary"),1.33,1)*('Ammo Input'!H277*0.35)/1000)^0.6/1000)*10/3*VLOOKUP(B277,AmmoTypeFactors,4,FALSE)</f>
        <v>0</v>
      </c>
    </row>
    <row r="278" ht="14.4" spans="1:16">
      <c r="A278" t="str">
        <f>'Ammo Input'!A278</f>
        <v>13mm Gyrojet</v>
      </c>
      <c r="B278" s="1" t="str">
        <f>'Ammo Input'!B278</f>
        <v>FMJ</v>
      </c>
      <c r="C278">
        <f>(0.579*('Ammo Stats'!G278*IF(OR(B278="HEAT",B278="HEDP"),10,'Ammo Input'!F278)*VLOOKUP(B278,AmmoTypeFactors,7,FALSE))^(0.346))^IF(B278="HEDP",2.1,1)/IF(B278="HEDP",50,1)</f>
        <v>12.1596827598686</v>
      </c>
      <c r="D278" s="16">
        <f>IF(VLOOKUP(B278,AmmoTypeFactors,8,FALSE),J278,C278)*VLOOKUP('Ammo Input'!B278,AmmoTypeFactors,2,FALSE)</f>
        <v>12.1596827598686</v>
      </c>
      <c r="E278" s="16">
        <f>IF(OR(VLOOKUP(B278,AmmoTypeFactors,6,FALSE)="Bomb",VLOOKUP(B278,AmmoTypeFactors,6,FALSE)="Thermobaric"),J278*VLOOKUP(B278,AmmoTypeFactors,4,FALSE),IF(VLOOKUP(B278,AmmoTypeFactors,11,FALSE),P278,C278*VLOOKUP(B278,AmmoTypeFactors,4,FALSE)))</f>
        <v>0</v>
      </c>
      <c r="F278" s="16">
        <f>'Ammo Stats'!G278/0.005</f>
        <v>102000</v>
      </c>
      <c r="G278" s="16">
        <f>(IF(B278="HEAT",10,'Ammo Input'!F278)*VLOOKUP(B278,AmmoTypeFactors,7,FALSE)*0.5)^2*PI()/100</f>
        <v>1.32732289614169</v>
      </c>
      <c r="H278" s="10">
        <f t="shared" si="12"/>
        <v>10.2</v>
      </c>
      <c r="I278" s="10">
        <f>IF(B278&lt;&gt;"Arrow (Flaming)",39493.49*'Ammo Input'!M278^0.6/1000,0)</f>
        <v>0</v>
      </c>
      <c r="J278">
        <f t="shared" si="13"/>
        <v>0</v>
      </c>
      <c r="K278">
        <f t="shared" si="14"/>
        <v>5</v>
      </c>
      <c r="L278">
        <f>200000/('Ammo Stats'!C278*(MAX('Ammo Input'!D278,'Ammo Input'!F278)*0.5)^2*PI())</f>
        <v>75339.6180316664</v>
      </c>
      <c r="M278">
        <f>IF(B278="Frag",1,('Ammo Input'!M278/1.33)/('Ammo Input'!H278/1000))</f>
        <v>0</v>
      </c>
      <c r="N278" t="s">
        <v>353</v>
      </c>
      <c r="O278" t="s">
        <v>353</v>
      </c>
      <c r="P278" s="3">
        <f>(39493.49*(IF((VLOOKUP(B278,AmmoTypeFactors,6,FALSE)="Bomb_Secondary"),1.33,1)*('Ammo Input'!H278*0.35)/1000)^0.6/1000)*10/3*VLOOKUP(B278,AmmoTypeFactors,4,FALSE)</f>
        <v>0</v>
      </c>
    </row>
    <row r="279" ht="14.4" spans="1:16">
      <c r="A279" t="str">
        <f>'Ammo Input'!A279</f>
        <v>13mm Gyrojet</v>
      </c>
      <c r="B279" s="1" t="str">
        <f>'Ammo Input'!B279</f>
        <v>AP</v>
      </c>
      <c r="C279">
        <f>(0.579*('Ammo Stats'!G279*IF(OR(B279="HEAT",B279="HEDP"),10,'Ammo Input'!F279)*VLOOKUP(B279,AmmoTypeFactors,7,FALSE))^(0.346))^IF(B279="HEDP",2.1,1)/IF(B279="HEDP",50,1)</f>
        <v>9.56678174287782</v>
      </c>
      <c r="D279" s="16">
        <f>IF(VLOOKUP(B279,AmmoTypeFactors,8,FALSE),J279,C279)*VLOOKUP('Ammo Input'!B279,AmmoTypeFactors,2,FALSE)</f>
        <v>7.65342539430225</v>
      </c>
      <c r="E279" s="16">
        <f>IF(OR(VLOOKUP(B279,AmmoTypeFactors,6,FALSE)="Bomb",VLOOKUP(B279,AmmoTypeFactors,6,FALSE)="Thermobaric"),J279*VLOOKUP(B279,AmmoTypeFactors,4,FALSE),IF(VLOOKUP(B279,AmmoTypeFactors,11,FALSE),P279,C279*VLOOKUP(B279,AmmoTypeFactors,4,FALSE)))</f>
        <v>0</v>
      </c>
      <c r="F279" s="16">
        <f>'Ammo Stats'!G279/0.005</f>
        <v>102000</v>
      </c>
      <c r="G279" s="16">
        <f>(IF(B279="HEAT",10,'Ammo Input'!F279)*VLOOKUP(B279,AmmoTypeFactors,7,FALSE)*0.5)^2*PI()/100</f>
        <v>0.331830724035422</v>
      </c>
      <c r="H279" s="10">
        <f t="shared" si="12"/>
        <v>10.2</v>
      </c>
      <c r="I279" s="10">
        <f>IF(B279&lt;&gt;"Arrow (Flaming)",39493.49*'Ammo Input'!M279^0.6/1000,0)</f>
        <v>0</v>
      </c>
      <c r="J279">
        <f t="shared" si="13"/>
        <v>0</v>
      </c>
      <c r="K279">
        <f t="shared" si="14"/>
        <v>5</v>
      </c>
      <c r="L279">
        <f>200000/('Ammo Stats'!C279*(MAX('Ammo Input'!D279,'Ammo Input'!F279)*0.5)^2*PI())</f>
        <v>75339.6180316664</v>
      </c>
      <c r="M279">
        <f>IF(B279="Frag",1,('Ammo Input'!M279/1.33)/('Ammo Input'!H279/1000))</f>
        <v>0</v>
      </c>
      <c r="N279" t="s">
        <v>353</v>
      </c>
      <c r="O279" t="s">
        <v>353</v>
      </c>
      <c r="P279" s="3">
        <f>(39493.49*(IF((VLOOKUP(B279,AmmoTypeFactors,6,FALSE)="Bomb_Secondary"),1.33,1)*('Ammo Input'!H279*0.35)/1000)^0.6/1000)*10/3*VLOOKUP(B279,AmmoTypeFactors,4,FALSE)</f>
        <v>0</v>
      </c>
    </row>
    <row r="280" ht="14.4" spans="1:16">
      <c r="A280" t="str">
        <f>'Ammo Input'!A280</f>
        <v>13mm Gyrojet</v>
      </c>
      <c r="B280" s="1" t="str">
        <f>'Ammo Input'!B280</f>
        <v>HP</v>
      </c>
      <c r="C280">
        <f>(0.579*('Ammo Stats'!G280*IF(OR(B280="HEAT",B280="HEDP"),10,'Ammo Input'!F280)*VLOOKUP(B280,AmmoTypeFactors,7,FALSE))^(0.346))^IF(B280="HEDP",2.1,1)/IF(B280="HEDP",50,1)</f>
        <v>15.4553421196968</v>
      </c>
      <c r="D280" s="16">
        <f>IF(VLOOKUP(B280,AmmoTypeFactors,8,FALSE),J280,C280)*VLOOKUP('Ammo Input'!B280,AmmoTypeFactors,2,FALSE)</f>
        <v>15.4553421196968</v>
      </c>
      <c r="E280" s="16">
        <f>IF(OR(VLOOKUP(B280,AmmoTypeFactors,6,FALSE)="Bomb",VLOOKUP(B280,AmmoTypeFactors,6,FALSE)="Thermobaric"),J280*VLOOKUP(B280,AmmoTypeFactors,4,FALSE),IF(VLOOKUP(B280,AmmoTypeFactors,11,FALSE),P280,C280*VLOOKUP(B280,AmmoTypeFactors,4,FALSE)))</f>
        <v>0</v>
      </c>
      <c r="F280" s="16">
        <f>'Ammo Stats'!G280/0.005</f>
        <v>102000</v>
      </c>
      <c r="G280" s="16">
        <f>(IF(B280="HEAT",10,'Ammo Input'!F280)*VLOOKUP(B280,AmmoTypeFactors,7,FALSE)*0.5)^2*PI()/100</f>
        <v>5.30929158456675</v>
      </c>
      <c r="H280" s="10">
        <f t="shared" si="12"/>
        <v>10.2</v>
      </c>
      <c r="I280" s="10">
        <f>IF(B280&lt;&gt;"Arrow (Flaming)",39493.49*'Ammo Input'!M280^0.6/1000,0)</f>
        <v>0</v>
      </c>
      <c r="J280">
        <f t="shared" si="13"/>
        <v>0</v>
      </c>
      <c r="K280">
        <f t="shared" si="14"/>
        <v>5</v>
      </c>
      <c r="L280">
        <f>200000/('Ammo Stats'!C280*(MAX('Ammo Input'!D280,'Ammo Input'!F280)*0.5)^2*PI())</f>
        <v>75339.6180316664</v>
      </c>
      <c r="M280">
        <f>IF(B280="Frag",1,('Ammo Input'!M280/1.33)/('Ammo Input'!H280/1000))</f>
        <v>0</v>
      </c>
      <c r="N280" t="s">
        <v>353</v>
      </c>
      <c r="O280" t="s">
        <v>353</v>
      </c>
      <c r="P280" s="3">
        <f>(39493.49*(IF((VLOOKUP(B280,AmmoTypeFactors,6,FALSE)="Bomb_Secondary"),1.33,1)*('Ammo Input'!H280*0.35)/1000)^0.6/1000)*10/3*VLOOKUP(B280,AmmoTypeFactors,4,FALSE)</f>
        <v>0</v>
      </c>
    </row>
    <row r="281" ht="14.4" spans="1:16">
      <c r="A281" t="str">
        <f>'Ammo Input'!A281</f>
        <v>.22 Short</v>
      </c>
      <c r="B281" s="1" t="str">
        <f>'Ammo Input'!B281</f>
        <v>FMJ</v>
      </c>
      <c r="C281">
        <f>(0.579*('Ammo Stats'!G281*IF(OR(B281="HEAT",B281="HEDP"),10,'Ammo Input'!F281)*VLOOKUP(B281,AmmoTypeFactors,7,FALSE))^(0.346))^IF(B281="HEDP",2.1,1)/IF(B281="HEDP",50,1)</f>
        <v>4.30790797222264</v>
      </c>
      <c r="D281" s="16">
        <f>IF(VLOOKUP(B281,AmmoTypeFactors,8,FALSE),J281,C281)*VLOOKUP('Ammo Input'!B281,AmmoTypeFactors,2,FALSE)</f>
        <v>4.30790797222264</v>
      </c>
      <c r="E281" s="16">
        <f>IF(OR(VLOOKUP(B281,AmmoTypeFactors,6,FALSE)="Bomb",VLOOKUP(B281,AmmoTypeFactors,6,FALSE)="Thermobaric"),J281*VLOOKUP(B281,AmmoTypeFactors,4,FALSE),IF(VLOOKUP(B281,AmmoTypeFactors,11,FALSE),P281,C281*VLOOKUP(B281,AmmoTypeFactors,4,FALSE)))</f>
        <v>0</v>
      </c>
      <c r="F281" s="16">
        <f>'Ammo Stats'!G281/0.005</f>
        <v>11800</v>
      </c>
      <c r="G281" s="16">
        <f>(IF(B281="HEAT",10,'Ammo Input'!F281)*VLOOKUP(B281,AmmoTypeFactors,7,FALSE)*0.5)^2*PI()/100</f>
        <v>0.24630086404144</v>
      </c>
      <c r="H281" s="10">
        <f t="shared" si="12"/>
        <v>1.18</v>
      </c>
      <c r="I281" s="10">
        <f>IF(B281&lt;&gt;"Arrow (Flaming)",39493.49*'Ammo Input'!M281^0.6/1000,0)</f>
        <v>0</v>
      </c>
      <c r="J281">
        <f t="shared" si="13"/>
        <v>0</v>
      </c>
      <c r="K281">
        <f t="shared" si="14"/>
        <v>2</v>
      </c>
      <c r="L281">
        <f>200000/('Ammo Stats'!C281*(MAX('Ammo Input'!D281,'Ammo Input'!F281)*0.5)^2*PI())</f>
        <v>783773.188510411</v>
      </c>
      <c r="M281">
        <f>IF(B281="Frag",1,('Ammo Input'!M281/1.33)/('Ammo Input'!H281/1000))</f>
        <v>0</v>
      </c>
      <c r="N281" t="s">
        <v>353</v>
      </c>
      <c r="O281" t="s">
        <v>353</v>
      </c>
      <c r="P281" s="3">
        <f>(39493.49*(IF((VLOOKUP(B281,AmmoTypeFactors,6,FALSE)="Bomb_Secondary"),1.33,1)*('Ammo Input'!H281*0.35)/1000)^0.6/1000)*10/3*VLOOKUP(B281,AmmoTypeFactors,4,FALSE)</f>
        <v>0</v>
      </c>
    </row>
    <row r="282" ht="14.4" spans="1:16">
      <c r="A282" t="str">
        <f>'Ammo Input'!A282</f>
        <v>.22 Short</v>
      </c>
      <c r="B282" s="1" t="str">
        <f>'Ammo Input'!B282</f>
        <v>AP</v>
      </c>
      <c r="C282">
        <f>(0.579*('Ammo Stats'!G282*IF(OR(B282="HEAT",B282="HEDP"),10,'Ammo Input'!F282)*VLOOKUP(B282,AmmoTypeFactors,7,FALSE))^(0.346))^IF(B282="HEDP",2.1,1)/IF(B282="HEDP",50,1)</f>
        <v>3.38930021058401</v>
      </c>
      <c r="D282" s="16">
        <f>IF(VLOOKUP(B282,AmmoTypeFactors,8,FALSE),J282,C282)*VLOOKUP('Ammo Input'!B282,AmmoTypeFactors,2,FALSE)</f>
        <v>2.7114401684672</v>
      </c>
      <c r="E282" s="16">
        <f>IF(OR(VLOOKUP(B282,AmmoTypeFactors,6,FALSE)="Bomb",VLOOKUP(B282,AmmoTypeFactors,6,FALSE)="Thermobaric"),J282*VLOOKUP(B282,AmmoTypeFactors,4,FALSE),IF(VLOOKUP(B282,AmmoTypeFactors,11,FALSE),P282,C282*VLOOKUP(B282,AmmoTypeFactors,4,FALSE)))</f>
        <v>0</v>
      </c>
      <c r="F282" s="16">
        <f>'Ammo Stats'!G282/0.005</f>
        <v>11800</v>
      </c>
      <c r="G282" s="16">
        <f>(IF(B282="HEAT",10,'Ammo Input'!F282)*VLOOKUP(B282,AmmoTypeFactors,7,FALSE)*0.5)^2*PI()/100</f>
        <v>0.0615752160103599</v>
      </c>
      <c r="H282" s="10">
        <f t="shared" si="12"/>
        <v>1.18</v>
      </c>
      <c r="I282" s="10">
        <f>IF(B282&lt;&gt;"Arrow (Flaming)",39493.49*'Ammo Input'!M282^0.6/1000,0)</f>
        <v>0</v>
      </c>
      <c r="J282">
        <f t="shared" si="13"/>
        <v>0</v>
      </c>
      <c r="K282">
        <f t="shared" si="14"/>
        <v>2</v>
      </c>
      <c r="L282">
        <f>200000/('Ammo Stats'!C282*(MAX('Ammo Input'!D282,'Ammo Input'!F282)*0.5)^2*PI())</f>
        <v>783773.188510411</v>
      </c>
      <c r="M282">
        <f>IF(B282="Frag",1,('Ammo Input'!M282/1.33)/('Ammo Input'!H282/1000))</f>
        <v>0</v>
      </c>
      <c r="N282" t="s">
        <v>353</v>
      </c>
      <c r="O282" t="s">
        <v>353</v>
      </c>
      <c r="P282" s="3">
        <f>(39493.49*(IF((VLOOKUP(B282,AmmoTypeFactors,6,FALSE)="Bomb_Secondary"),1.33,1)*('Ammo Input'!H282*0.35)/1000)^0.6/1000)*10/3*VLOOKUP(B282,AmmoTypeFactors,4,FALSE)</f>
        <v>0</v>
      </c>
    </row>
    <row r="283" ht="14.4" spans="1:16">
      <c r="A283" t="str">
        <f>'Ammo Input'!A283</f>
        <v>.22 Short</v>
      </c>
      <c r="B283" s="1" t="str">
        <f>'Ammo Input'!B283</f>
        <v>HP</v>
      </c>
      <c r="C283">
        <f>(0.579*('Ammo Stats'!G283*IF(OR(B283="HEAT",B283="HEDP"),10,'Ammo Input'!F283)*VLOOKUP(B283,AmmoTypeFactors,7,FALSE))^(0.346))^IF(B283="HEDP",2.1,1)/IF(B283="HEDP",50,1)</f>
        <v>5.47548754730749</v>
      </c>
      <c r="D283" s="16">
        <f>IF(VLOOKUP(B283,AmmoTypeFactors,8,FALSE),J283,C283)*VLOOKUP('Ammo Input'!B283,AmmoTypeFactors,2,FALSE)</f>
        <v>5.47548754730749</v>
      </c>
      <c r="E283" s="16">
        <f>IF(OR(VLOOKUP(B283,AmmoTypeFactors,6,FALSE)="Bomb",VLOOKUP(B283,AmmoTypeFactors,6,FALSE)="Thermobaric"),J283*VLOOKUP(B283,AmmoTypeFactors,4,FALSE),IF(VLOOKUP(B283,AmmoTypeFactors,11,FALSE),P283,C283*VLOOKUP(B283,AmmoTypeFactors,4,FALSE)))</f>
        <v>0</v>
      </c>
      <c r="F283" s="16">
        <f>'Ammo Stats'!G283/0.005</f>
        <v>11800</v>
      </c>
      <c r="G283" s="16">
        <f>(IF(B283="HEAT",10,'Ammo Input'!F283)*VLOOKUP(B283,AmmoTypeFactors,7,FALSE)*0.5)^2*PI()/100</f>
        <v>0.985203456165759</v>
      </c>
      <c r="H283" s="10">
        <f t="shared" si="12"/>
        <v>1.18</v>
      </c>
      <c r="I283" s="10">
        <f>IF(B283&lt;&gt;"Arrow (Flaming)",39493.49*'Ammo Input'!M283^0.6/1000,0)</f>
        <v>0</v>
      </c>
      <c r="J283">
        <f t="shared" si="13"/>
        <v>0</v>
      </c>
      <c r="K283">
        <f t="shared" si="14"/>
        <v>2</v>
      </c>
      <c r="L283">
        <f>200000/('Ammo Stats'!C283*(MAX('Ammo Input'!D283,'Ammo Input'!F283)*0.5)^2*PI())</f>
        <v>783773.188510411</v>
      </c>
      <c r="M283">
        <f>IF(B283="Frag",1,('Ammo Input'!M283/1.33)/('Ammo Input'!H283/1000))</f>
        <v>0</v>
      </c>
      <c r="N283" t="s">
        <v>353</v>
      </c>
      <c r="O283" t="s">
        <v>353</v>
      </c>
      <c r="P283" s="3">
        <f>(39493.49*(IF((VLOOKUP(B283,AmmoTypeFactors,6,FALSE)="Bomb_Secondary"),1.33,1)*('Ammo Input'!H283*0.35)/1000)^0.6/1000)*10/3*VLOOKUP(B283,AmmoTypeFactors,4,FALSE)</f>
        <v>0</v>
      </c>
    </row>
    <row r="284" ht="14.4" spans="1:16">
      <c r="A284" t="str">
        <f>'Ammo Input'!A284</f>
        <v>.40 SW</v>
      </c>
      <c r="B284" s="1" t="str">
        <f>'Ammo Input'!B284</f>
        <v>FMJ</v>
      </c>
      <c r="C284">
        <f>(0.579*('Ammo Stats'!G284*IF(OR(B284="HEAT",B284="HEDP"),10,'Ammo Input'!F284)*VLOOKUP(B284,AmmoTypeFactors,7,FALSE))^(0.346))^IF(B284="HEDP",2.1,1)/IF(B284="HEDP",50,1)</f>
        <v>11.9491286104559</v>
      </c>
      <c r="D284" s="16">
        <f>IF(VLOOKUP(B284,AmmoTypeFactors,8,FALSE),J284,C284)*VLOOKUP('Ammo Input'!B284,AmmoTypeFactors,2,FALSE)</f>
        <v>11.9491286104559</v>
      </c>
      <c r="E284" s="16">
        <f>IF(OR(VLOOKUP(B284,AmmoTypeFactors,6,FALSE)="Bomb",VLOOKUP(B284,AmmoTypeFactors,6,FALSE)="Thermobaric"),J284*VLOOKUP(B284,AmmoTypeFactors,4,FALSE),IF(VLOOKUP(B284,AmmoTypeFactors,11,FALSE),P284,C284*VLOOKUP(B284,AmmoTypeFactors,4,FALSE)))</f>
        <v>0</v>
      </c>
      <c r="F284" s="16">
        <f>'Ammo Stats'!G284/0.005</f>
        <v>123600</v>
      </c>
      <c r="G284" s="16">
        <f>(IF(B284="HEAT",10,'Ammo Input'!F284)*VLOOKUP(B284,AmmoTypeFactors,7,FALSE)*0.5)^2*PI()/100</f>
        <v>0.817128249198705</v>
      </c>
      <c r="H284" s="10">
        <f t="shared" si="12"/>
        <v>12.36</v>
      </c>
      <c r="I284" s="10">
        <f>IF(B284&lt;&gt;"Arrow (Flaming)",39493.49*'Ammo Input'!M284^0.6/1000,0)</f>
        <v>0</v>
      </c>
      <c r="J284">
        <f t="shared" si="13"/>
        <v>0</v>
      </c>
      <c r="K284">
        <f t="shared" si="14"/>
        <v>5</v>
      </c>
      <c r="L284">
        <f>200000/('Ammo Stats'!C284*(MAX('Ammo Input'!D284,'Ammo Input'!F284)*0.5)^2*PI())</f>
        <v>218319.537848965</v>
      </c>
      <c r="M284">
        <f>IF(B284="Frag",1,('Ammo Input'!M284/1.33)/('Ammo Input'!H284/1000))</f>
        <v>0</v>
      </c>
      <c r="N284" t="s">
        <v>353</v>
      </c>
      <c r="O284" t="s">
        <v>353</v>
      </c>
      <c r="P284" s="3">
        <f>(39493.49*(IF((VLOOKUP(B284,AmmoTypeFactors,6,FALSE)="Bomb_Secondary"),1.33,1)*('Ammo Input'!H284*0.35)/1000)^0.6/1000)*10/3*VLOOKUP(B284,AmmoTypeFactors,4,FALSE)</f>
        <v>0</v>
      </c>
    </row>
    <row r="285" ht="14.4" spans="1:16">
      <c r="A285" t="str">
        <f>'Ammo Input'!A285</f>
        <v>.40 SW</v>
      </c>
      <c r="B285" s="1" t="str">
        <f>'Ammo Input'!B285</f>
        <v>AP</v>
      </c>
      <c r="C285">
        <f>(0.579*('Ammo Stats'!G285*IF(OR(B285="HEAT",B285="HEDP"),10,'Ammo Input'!F285)*VLOOKUP(B285,AmmoTypeFactors,7,FALSE))^(0.346))^IF(B285="HEDP",2.1,1)/IF(B285="HEDP",50,1)</f>
        <v>9.40112564540658</v>
      </c>
      <c r="D285" s="16">
        <f>IF(VLOOKUP(B285,AmmoTypeFactors,8,FALSE),J285,C285)*VLOOKUP('Ammo Input'!B285,AmmoTypeFactors,2,FALSE)</f>
        <v>7.52090051632526</v>
      </c>
      <c r="E285" s="16">
        <f>IF(OR(VLOOKUP(B285,AmmoTypeFactors,6,FALSE)="Bomb",VLOOKUP(B285,AmmoTypeFactors,6,FALSE)="Thermobaric"),J285*VLOOKUP(B285,AmmoTypeFactors,4,FALSE),IF(VLOOKUP(B285,AmmoTypeFactors,11,FALSE),P285,C285*VLOOKUP(B285,AmmoTypeFactors,4,FALSE)))</f>
        <v>0</v>
      </c>
      <c r="F285" s="16">
        <f>'Ammo Stats'!G285/0.005</f>
        <v>123600</v>
      </c>
      <c r="G285" s="16">
        <f>(IF(B285="HEAT",10,'Ammo Input'!F285)*VLOOKUP(B285,AmmoTypeFactors,7,FALSE)*0.5)^2*PI()/100</f>
        <v>0.204282062299676</v>
      </c>
      <c r="H285" s="10">
        <f t="shared" si="12"/>
        <v>12.36</v>
      </c>
      <c r="I285" s="10">
        <f>IF(B285&lt;&gt;"Arrow (Flaming)",39493.49*'Ammo Input'!M285^0.6/1000,0)</f>
        <v>0</v>
      </c>
      <c r="J285">
        <f t="shared" si="13"/>
        <v>0</v>
      </c>
      <c r="K285">
        <f t="shared" si="14"/>
        <v>5</v>
      </c>
      <c r="L285">
        <f>200000/('Ammo Stats'!C285*(MAX('Ammo Input'!D285,'Ammo Input'!F285)*0.5)^2*PI())</f>
        <v>218319.537848965</v>
      </c>
      <c r="M285">
        <f>IF(B285="Frag",1,('Ammo Input'!M285/1.33)/('Ammo Input'!H285/1000))</f>
        <v>0</v>
      </c>
      <c r="N285" t="s">
        <v>353</v>
      </c>
      <c r="O285" t="s">
        <v>353</v>
      </c>
      <c r="P285" s="3">
        <f>(39493.49*(IF((VLOOKUP(B285,AmmoTypeFactors,6,FALSE)="Bomb_Secondary"),1.33,1)*('Ammo Input'!H285*0.35)/1000)^0.6/1000)*10/3*VLOOKUP(B285,AmmoTypeFactors,4,FALSE)</f>
        <v>0</v>
      </c>
    </row>
    <row r="286" ht="14.4" spans="1:16">
      <c r="A286" t="str">
        <f>'Ammo Input'!A286</f>
        <v>.40 SW</v>
      </c>
      <c r="B286" s="1" t="str">
        <f>'Ammo Input'!B286</f>
        <v>HP</v>
      </c>
      <c r="C286">
        <f>(0.579*('Ammo Stats'!G286*IF(OR(B286="HEAT",B286="HEDP"),10,'Ammo Input'!F286)*VLOOKUP(B286,AmmoTypeFactors,7,FALSE))^(0.346))^IF(B286="HEDP",2.1,1)/IF(B286="HEDP",50,1)</f>
        <v>15.1877211234785</v>
      </c>
      <c r="D286" s="16">
        <f>IF(VLOOKUP(B286,AmmoTypeFactors,8,FALSE),J286,C286)*VLOOKUP('Ammo Input'!B286,AmmoTypeFactors,2,FALSE)</f>
        <v>15.1877211234785</v>
      </c>
      <c r="E286" s="16">
        <f>IF(OR(VLOOKUP(B286,AmmoTypeFactors,6,FALSE)="Bomb",VLOOKUP(B286,AmmoTypeFactors,6,FALSE)="Thermobaric"),J286*VLOOKUP(B286,AmmoTypeFactors,4,FALSE),IF(VLOOKUP(B286,AmmoTypeFactors,11,FALSE),P286,C286*VLOOKUP(B286,AmmoTypeFactors,4,FALSE)))</f>
        <v>0</v>
      </c>
      <c r="F286" s="16">
        <f>'Ammo Stats'!G286/0.005</f>
        <v>123600</v>
      </c>
      <c r="G286" s="16">
        <f>(IF(B286="HEAT",10,'Ammo Input'!F286)*VLOOKUP(B286,AmmoTypeFactors,7,FALSE)*0.5)^2*PI()/100</f>
        <v>3.26851299679482</v>
      </c>
      <c r="H286" s="10">
        <f t="shared" si="12"/>
        <v>12.36</v>
      </c>
      <c r="I286" s="10">
        <f>IF(B286&lt;&gt;"Arrow (Flaming)",39493.49*'Ammo Input'!M286^0.6/1000,0)</f>
        <v>0</v>
      </c>
      <c r="J286">
        <f t="shared" si="13"/>
        <v>0</v>
      </c>
      <c r="K286">
        <f t="shared" si="14"/>
        <v>5</v>
      </c>
      <c r="L286">
        <f>200000/('Ammo Stats'!C286*(MAX('Ammo Input'!D286,'Ammo Input'!F286)*0.5)^2*PI())</f>
        <v>218319.537848965</v>
      </c>
      <c r="M286">
        <f>IF(B286="Frag",1,('Ammo Input'!M286/1.33)/('Ammo Input'!H286/1000))</f>
        <v>0</v>
      </c>
      <c r="N286" t="s">
        <v>353</v>
      </c>
      <c r="O286" t="s">
        <v>353</v>
      </c>
      <c r="P286" s="3">
        <f>(39493.49*(IF((VLOOKUP(B286,AmmoTypeFactors,6,FALSE)="Bomb_Secondary"),1.33,1)*('Ammo Input'!H286*0.35)/1000)^0.6/1000)*10/3*VLOOKUP(B286,AmmoTypeFactors,4,FALSE)</f>
        <v>0</v>
      </c>
    </row>
    <row r="287" ht="14.4" spans="1:16">
      <c r="A287" t="str">
        <f>'Ammo Input'!A287</f>
        <v>9x21mm Gyurza</v>
      </c>
      <c r="B287" s="1" t="str">
        <f>'Ammo Input'!B287</f>
        <v>FMJ</v>
      </c>
      <c r="C287">
        <f>(0.579*('Ammo Stats'!G287*IF(OR(B287="HEAT",B287="HEDP"),10,'Ammo Input'!F287)*VLOOKUP(B287,AmmoTypeFactors,7,FALSE))^(0.346))^IF(B287="HEDP",2.1,1)/IF(B287="HEDP",50,1)</f>
        <v>11.1008153002675</v>
      </c>
      <c r="D287" s="16">
        <f>IF(VLOOKUP(B287,AmmoTypeFactors,8,FALSE),J287,C287)*VLOOKUP('Ammo Input'!B287,AmmoTypeFactors,2,FALSE)</f>
        <v>11.1008153002675</v>
      </c>
      <c r="E287" s="16">
        <f>IF(OR(VLOOKUP(B287,AmmoTypeFactors,6,FALSE)="Bomb",VLOOKUP(B287,AmmoTypeFactors,6,FALSE)="Thermobaric"),J287*VLOOKUP(B287,AmmoTypeFactors,4,FALSE),IF(VLOOKUP(B287,AmmoTypeFactors,11,FALSE),P287,C287*VLOOKUP(B287,AmmoTypeFactors,4,FALSE)))</f>
        <v>0</v>
      </c>
      <c r="F287" s="16">
        <f>'Ammo Stats'!G287/0.005</f>
        <v>112600</v>
      </c>
      <c r="G287" s="16">
        <f>(IF(B287="HEAT",10,'Ammo Input'!F287)*VLOOKUP(B287,AmmoTypeFactors,7,FALSE)*0.5)^2*PI()/100</f>
        <v>0.643260730776595</v>
      </c>
      <c r="H287" s="10">
        <f t="shared" si="12"/>
        <v>11.26</v>
      </c>
      <c r="I287" s="10">
        <f>IF(B287&lt;&gt;"Arrow (Flaming)",39493.49*'Ammo Input'!M287^0.6/1000,0)</f>
        <v>0</v>
      </c>
      <c r="J287">
        <f t="shared" si="13"/>
        <v>0</v>
      </c>
      <c r="K287">
        <f t="shared" si="14"/>
        <v>5</v>
      </c>
      <c r="L287">
        <f>200000/('Ammo Stats'!C287*(MAX('Ammo Input'!D287,'Ammo Input'!F287)*0.5)^2*PI())</f>
        <v>259818.29297728</v>
      </c>
      <c r="M287">
        <f>IF(B287="Frag",1,('Ammo Input'!M287/1.33)/('Ammo Input'!H287/1000))</f>
        <v>0</v>
      </c>
      <c r="N287" t="s">
        <v>353</v>
      </c>
      <c r="O287" t="s">
        <v>353</v>
      </c>
      <c r="P287" s="3">
        <f>(39493.49*(IF((VLOOKUP(B287,AmmoTypeFactors,6,FALSE)="Bomb_Secondary"),1.33,1)*('Ammo Input'!H287*0.35)/1000)^0.6/1000)*10/3*VLOOKUP(B287,AmmoTypeFactors,4,FALSE)</f>
        <v>0</v>
      </c>
    </row>
    <row r="288" ht="14.4" spans="1:16">
      <c r="A288" t="str">
        <f>'Ammo Input'!A288</f>
        <v>9x21mm Gyurza</v>
      </c>
      <c r="B288" s="1" t="str">
        <f>'Ammo Input'!B288</f>
        <v>AP</v>
      </c>
      <c r="C288">
        <f>(0.579*('Ammo Stats'!G288*IF(OR(B288="HEAT",B288="HEDP"),10,'Ammo Input'!F288)*VLOOKUP(B288,AmmoTypeFactors,7,FALSE))^(0.346))^IF(B288="HEDP",2.1,1)/IF(B288="HEDP",50,1)</f>
        <v>8.73370459105675</v>
      </c>
      <c r="D288" s="16">
        <f>IF(VLOOKUP(B288,AmmoTypeFactors,8,FALSE),J288,C288)*VLOOKUP('Ammo Input'!B288,AmmoTypeFactors,2,FALSE)</f>
        <v>6.9869636728454</v>
      </c>
      <c r="E288" s="16">
        <f>IF(OR(VLOOKUP(B288,AmmoTypeFactors,6,FALSE)="Bomb",VLOOKUP(B288,AmmoTypeFactors,6,FALSE)="Thermobaric"),J288*VLOOKUP(B288,AmmoTypeFactors,4,FALSE),IF(VLOOKUP(B288,AmmoTypeFactors,11,FALSE),P288,C288*VLOOKUP(B288,AmmoTypeFactors,4,FALSE)))</f>
        <v>0</v>
      </c>
      <c r="F288" s="16">
        <f>'Ammo Stats'!G288/0.005</f>
        <v>112600</v>
      </c>
      <c r="G288" s="16">
        <f>(IF(B288="HEAT",10,'Ammo Input'!F288)*VLOOKUP(B288,AmmoTypeFactors,7,FALSE)*0.5)^2*PI()/100</f>
        <v>0.160815182694149</v>
      </c>
      <c r="H288" s="10">
        <f t="shared" si="12"/>
        <v>11.26</v>
      </c>
      <c r="I288" s="10">
        <f>IF(B288&lt;&gt;"Arrow (Flaming)",39493.49*'Ammo Input'!M288^0.6/1000,0)</f>
        <v>0</v>
      </c>
      <c r="J288">
        <f t="shared" si="13"/>
        <v>0</v>
      </c>
      <c r="K288">
        <f t="shared" si="14"/>
        <v>5</v>
      </c>
      <c r="L288">
        <f>200000/('Ammo Stats'!C288*(MAX('Ammo Input'!D288,'Ammo Input'!F288)*0.5)^2*PI())</f>
        <v>259818.29297728</v>
      </c>
      <c r="M288">
        <f>IF(B288="Frag",1,('Ammo Input'!M288/1.33)/('Ammo Input'!H288/1000))</f>
        <v>0</v>
      </c>
      <c r="N288" t="s">
        <v>353</v>
      </c>
      <c r="O288" t="s">
        <v>353</v>
      </c>
      <c r="P288" s="3">
        <f>(39493.49*(IF((VLOOKUP(B288,AmmoTypeFactors,6,FALSE)="Bomb_Secondary"),1.33,1)*('Ammo Input'!H288*0.35)/1000)^0.6/1000)*10/3*VLOOKUP(B288,AmmoTypeFactors,4,FALSE)</f>
        <v>0</v>
      </c>
    </row>
    <row r="289" ht="14.4" spans="1:16">
      <c r="A289" t="str">
        <f>'Ammo Input'!A289</f>
        <v>9x21mm Gyurza</v>
      </c>
      <c r="B289" s="1" t="str">
        <f>'Ammo Input'!B289</f>
        <v>HP</v>
      </c>
      <c r="C289">
        <f>(0.579*('Ammo Stats'!G289*IF(OR(B289="HEAT",B289="HEDP"),10,'Ammo Input'!F289)*VLOOKUP(B289,AmmoTypeFactors,7,FALSE))^(0.346))^IF(B289="HEDP",2.1,1)/IF(B289="HEDP",50,1)</f>
        <v>14.1094880237692</v>
      </c>
      <c r="D289" s="16">
        <f>IF(VLOOKUP(B289,AmmoTypeFactors,8,FALSE),J289,C289)*VLOOKUP('Ammo Input'!B289,AmmoTypeFactors,2,FALSE)</f>
        <v>14.1094880237692</v>
      </c>
      <c r="E289" s="16">
        <f>IF(OR(VLOOKUP(B289,AmmoTypeFactors,6,FALSE)="Bomb",VLOOKUP(B289,AmmoTypeFactors,6,FALSE)="Thermobaric"),J289*VLOOKUP(B289,AmmoTypeFactors,4,FALSE),IF(VLOOKUP(B289,AmmoTypeFactors,11,FALSE),P289,C289*VLOOKUP(B289,AmmoTypeFactors,4,FALSE)))</f>
        <v>0</v>
      </c>
      <c r="F289" s="16">
        <f>'Ammo Stats'!G289/0.005</f>
        <v>112600</v>
      </c>
      <c r="G289" s="16">
        <f>(IF(B289="HEAT",10,'Ammo Input'!F289)*VLOOKUP(B289,AmmoTypeFactors,7,FALSE)*0.5)^2*PI()/100</f>
        <v>2.57304292310638</v>
      </c>
      <c r="H289" s="10">
        <f t="shared" si="12"/>
        <v>11.26</v>
      </c>
      <c r="I289" s="10">
        <f>IF(B289&lt;&gt;"Arrow (Flaming)",39493.49*'Ammo Input'!M289^0.6/1000,0)</f>
        <v>0</v>
      </c>
      <c r="J289">
        <f t="shared" si="13"/>
        <v>0</v>
      </c>
      <c r="K289">
        <f t="shared" si="14"/>
        <v>5</v>
      </c>
      <c r="L289">
        <f>200000/('Ammo Stats'!C289*(MAX('Ammo Input'!D289,'Ammo Input'!F289)*0.5)^2*PI())</f>
        <v>259818.29297728</v>
      </c>
      <c r="M289">
        <f>IF(B289="Frag",1,('Ammo Input'!M289/1.33)/('Ammo Input'!H289/1000))</f>
        <v>0</v>
      </c>
      <c r="N289" t="s">
        <v>353</v>
      </c>
      <c r="O289" t="s">
        <v>353</v>
      </c>
      <c r="P289" s="3">
        <f>(39493.49*(IF((VLOOKUP(B289,AmmoTypeFactors,6,FALSE)="Bomb_Secondary"),1.33,1)*('Ammo Input'!H289*0.35)/1000)^0.6/1000)*10/3*VLOOKUP(B289,AmmoTypeFactors,4,FALSE)</f>
        <v>0</v>
      </c>
    </row>
    <row r="290" ht="14.4" spans="1:16">
      <c r="A290" t="str">
        <f>'Ammo Input'!A290</f>
        <v>9mm Makarov</v>
      </c>
      <c r="B290" s="1" t="str">
        <f>'Ammo Input'!B290</f>
        <v>FMJ</v>
      </c>
      <c r="C290">
        <f>(0.579*('Ammo Stats'!G290*IF(OR(B290="HEAT",B290="HEDP"),10,'Ammo Input'!F290)*VLOOKUP(B290,AmmoTypeFactors,7,FALSE))^(0.346))^IF(B290="HEDP",2.1,1)/IF(B290="HEDP",50,1)</f>
        <v>9.05432118382653</v>
      </c>
      <c r="D290" s="16">
        <f>IF(VLOOKUP(B290,AmmoTypeFactors,8,FALSE),J290,C290)*VLOOKUP('Ammo Input'!B290,AmmoTypeFactors,2,FALSE)</f>
        <v>9.05432118382653</v>
      </c>
      <c r="E290" s="16">
        <f>IF(OR(VLOOKUP(B290,AmmoTypeFactors,6,FALSE)="Bomb",VLOOKUP(B290,AmmoTypeFactors,6,FALSE)="Thermobaric"),J290*VLOOKUP(B290,AmmoTypeFactors,4,FALSE),IF(VLOOKUP(B290,AmmoTypeFactors,11,FALSE),P290,C290*VLOOKUP(B290,AmmoTypeFactors,4,FALSE)))</f>
        <v>0</v>
      </c>
      <c r="F290" s="16">
        <f>'Ammo Stats'!G290/0.005</f>
        <v>61000</v>
      </c>
      <c r="G290" s="16">
        <f>(IF(B290="HEAT",10,'Ammo Input'!F290)*VLOOKUP(B290,AmmoTypeFactors,7,FALSE)*0.5)^2*PI()/100</f>
        <v>0.674915418354166</v>
      </c>
      <c r="H290" s="10">
        <f t="shared" si="12"/>
        <v>6.1</v>
      </c>
      <c r="I290" s="10">
        <f>IF(B290&lt;&gt;"Arrow (Flaming)",39493.49*'Ammo Input'!M290^0.6/1000,0)</f>
        <v>0</v>
      </c>
      <c r="J290">
        <f t="shared" si="13"/>
        <v>0</v>
      </c>
      <c r="K290">
        <f t="shared" si="14"/>
        <v>4</v>
      </c>
      <c r="L290">
        <f>200000/('Ammo Stats'!C290*(MAX('Ammo Input'!D290,'Ammo Input'!F290)*0.5)^2*PI())</f>
        <v>257213.614754206</v>
      </c>
      <c r="M290">
        <f>IF(B290="Frag",1,('Ammo Input'!M290/1.33)/('Ammo Input'!H290/1000))</f>
        <v>0</v>
      </c>
      <c r="N290" t="s">
        <v>353</v>
      </c>
      <c r="O290" t="s">
        <v>353</v>
      </c>
      <c r="P290" s="3">
        <f>(39493.49*(IF((VLOOKUP(B290,AmmoTypeFactors,6,FALSE)="Bomb_Secondary"),1.33,1)*('Ammo Input'!H290*0.35)/1000)^0.6/1000)*10/3*VLOOKUP(B290,AmmoTypeFactors,4,FALSE)</f>
        <v>0</v>
      </c>
    </row>
    <row r="291" ht="14.4" spans="1:16">
      <c r="A291" t="str">
        <f>'Ammo Input'!A291</f>
        <v>9mm Makarov</v>
      </c>
      <c r="B291" s="1" t="str">
        <f>'Ammo Input'!B291</f>
        <v>AP</v>
      </c>
      <c r="C291">
        <f>(0.579*('Ammo Stats'!G291*IF(OR(B291="HEAT",B291="HEDP"),10,'Ammo Input'!F291)*VLOOKUP(B291,AmmoTypeFactors,7,FALSE))^(0.346))^IF(B291="HEDP",2.1,1)/IF(B291="HEDP",50,1)</f>
        <v>7.12359987560395</v>
      </c>
      <c r="D291" s="16">
        <f>IF(VLOOKUP(B291,AmmoTypeFactors,8,FALSE),J291,C291)*VLOOKUP('Ammo Input'!B291,AmmoTypeFactors,2,FALSE)</f>
        <v>5.69887990048316</v>
      </c>
      <c r="E291" s="16">
        <f>IF(OR(VLOOKUP(B291,AmmoTypeFactors,6,FALSE)="Bomb",VLOOKUP(B291,AmmoTypeFactors,6,FALSE)="Thermobaric"),J291*VLOOKUP(B291,AmmoTypeFactors,4,FALSE),IF(VLOOKUP(B291,AmmoTypeFactors,11,FALSE),P291,C291*VLOOKUP(B291,AmmoTypeFactors,4,FALSE)))</f>
        <v>0</v>
      </c>
      <c r="F291" s="16">
        <f>'Ammo Stats'!G291/0.005</f>
        <v>61000</v>
      </c>
      <c r="G291" s="16">
        <f>(IF(B291="HEAT",10,'Ammo Input'!F291)*VLOOKUP(B291,AmmoTypeFactors,7,FALSE)*0.5)^2*PI()/100</f>
        <v>0.168728854588541</v>
      </c>
      <c r="H291" s="10">
        <f t="shared" si="12"/>
        <v>6.1</v>
      </c>
      <c r="I291" s="10">
        <f>IF(B291&lt;&gt;"Arrow (Flaming)",39493.49*'Ammo Input'!M291^0.6/1000,0)</f>
        <v>0</v>
      </c>
      <c r="J291">
        <f t="shared" si="13"/>
        <v>0</v>
      </c>
      <c r="K291">
        <f t="shared" si="14"/>
        <v>4</v>
      </c>
      <c r="L291">
        <f>200000/('Ammo Stats'!C291*(MAX('Ammo Input'!D291,'Ammo Input'!F291)*0.5)^2*PI())</f>
        <v>257213.614754206</v>
      </c>
      <c r="M291">
        <f>IF(B291="Frag",1,('Ammo Input'!M291/1.33)/('Ammo Input'!H291/1000))</f>
        <v>0</v>
      </c>
      <c r="N291" t="s">
        <v>353</v>
      </c>
      <c r="O291" t="s">
        <v>353</v>
      </c>
      <c r="P291" s="3">
        <f>(39493.49*(IF((VLOOKUP(B291,AmmoTypeFactors,6,FALSE)="Bomb_Secondary"),1.33,1)*('Ammo Input'!H291*0.35)/1000)^0.6/1000)*10/3*VLOOKUP(B291,AmmoTypeFactors,4,FALSE)</f>
        <v>0</v>
      </c>
    </row>
    <row r="292" ht="14.4" spans="1:16">
      <c r="A292" t="str">
        <f>'Ammo Input'!A292</f>
        <v>9mm Makarov</v>
      </c>
      <c r="B292" s="1" t="str">
        <f>'Ammo Input'!B292</f>
        <v>HP</v>
      </c>
      <c r="C292">
        <f>(0.579*('Ammo Stats'!G292*IF(OR(B292="HEAT",B292="HEDP"),10,'Ammo Input'!F292)*VLOOKUP(B292,AmmoTypeFactors,7,FALSE))^(0.346))^IF(B292="HEDP",2.1,1)/IF(B292="HEDP",50,1)</f>
        <v>11.5083291497951</v>
      </c>
      <c r="D292" s="16">
        <f>IF(VLOOKUP(B292,AmmoTypeFactors,8,FALSE),J292,C292)*VLOOKUP('Ammo Input'!B292,AmmoTypeFactors,2,FALSE)</f>
        <v>11.5083291497951</v>
      </c>
      <c r="E292" s="16">
        <f>IF(OR(VLOOKUP(B292,AmmoTypeFactors,6,FALSE)="Bomb",VLOOKUP(B292,AmmoTypeFactors,6,FALSE)="Thermobaric"),J292*VLOOKUP(B292,AmmoTypeFactors,4,FALSE),IF(VLOOKUP(B292,AmmoTypeFactors,11,FALSE),P292,C292*VLOOKUP(B292,AmmoTypeFactors,4,FALSE)))</f>
        <v>0</v>
      </c>
      <c r="F292" s="16">
        <f>'Ammo Stats'!G292/0.005</f>
        <v>61000</v>
      </c>
      <c r="G292" s="16">
        <f>(IF(B292="HEAT",10,'Ammo Input'!F292)*VLOOKUP(B292,AmmoTypeFactors,7,FALSE)*0.5)^2*PI()/100</f>
        <v>2.69966167341666</v>
      </c>
      <c r="H292" s="10">
        <f t="shared" si="12"/>
        <v>6.1</v>
      </c>
      <c r="I292" s="10">
        <f>IF(B292&lt;&gt;"Arrow (Flaming)",39493.49*'Ammo Input'!M292^0.6/1000,0)</f>
        <v>0</v>
      </c>
      <c r="J292">
        <f t="shared" si="13"/>
        <v>0</v>
      </c>
      <c r="K292">
        <f t="shared" si="14"/>
        <v>4</v>
      </c>
      <c r="L292">
        <f>200000/('Ammo Stats'!C292*(MAX('Ammo Input'!D292,'Ammo Input'!F292)*0.5)^2*PI())</f>
        <v>257213.614754206</v>
      </c>
      <c r="M292">
        <f>IF(B292="Frag",1,('Ammo Input'!M292/1.33)/('Ammo Input'!H292/1000))</f>
        <v>0</v>
      </c>
      <c r="N292" t="s">
        <v>353</v>
      </c>
      <c r="O292" t="s">
        <v>353</v>
      </c>
      <c r="P292" s="3">
        <f>(39493.49*(IF((VLOOKUP(B292,AmmoTypeFactors,6,FALSE)="Bomb_Secondary"),1.33,1)*('Ammo Input'!H292*0.35)/1000)^0.6/1000)*10/3*VLOOKUP(B292,AmmoTypeFactors,4,FALSE)</f>
        <v>0</v>
      </c>
    </row>
    <row r="293" ht="14.4" spans="1:16">
      <c r="A293" t="str">
        <f>'Ammo Input'!A293</f>
        <v>.25 ACP</v>
      </c>
      <c r="B293" s="1" t="str">
        <f>'Ammo Input'!B293</f>
        <v>FMJ</v>
      </c>
      <c r="C293">
        <f>(0.579*('Ammo Stats'!G293*IF(OR(B293="HEAT",B293="HEDP"),10,'Ammo Input'!F293)*VLOOKUP(B293,AmmoTypeFactors,7,FALSE))^(0.346))^IF(B293="HEDP",2.1,1)/IF(B293="HEDP",50,1)</f>
        <v>5.1191255733108</v>
      </c>
      <c r="D293" s="16">
        <f>IF(VLOOKUP(B293,AmmoTypeFactors,8,FALSE),J293,C293)*VLOOKUP('Ammo Input'!B293,AmmoTypeFactors,2,FALSE)</f>
        <v>5.1191255733108</v>
      </c>
      <c r="E293" s="16">
        <f>IF(OR(VLOOKUP(B293,AmmoTypeFactors,6,FALSE)="Bomb",VLOOKUP(B293,AmmoTypeFactors,6,FALSE)="Thermobaric"),J293*VLOOKUP(B293,AmmoTypeFactors,4,FALSE),IF(VLOOKUP(B293,AmmoTypeFactors,11,FALSE),P293,C293*VLOOKUP(B293,AmmoTypeFactors,4,FALSE)))</f>
        <v>0</v>
      </c>
      <c r="F293" s="16">
        <f>'Ammo Stats'!G293/0.005</f>
        <v>17000</v>
      </c>
      <c r="G293" s="16">
        <f>(IF(B293="HEAT",10,'Ammo Input'!F293)*VLOOKUP(B293,AmmoTypeFactors,7,FALSE)*0.5)^2*PI()/100</f>
        <v>0.321699087727595</v>
      </c>
      <c r="H293" s="10">
        <f t="shared" si="12"/>
        <v>1.7</v>
      </c>
      <c r="I293" s="10">
        <f>IF(B293&lt;&gt;"Arrow (Flaming)",39493.49*'Ammo Input'!M293^0.6/1000,0)</f>
        <v>0</v>
      </c>
      <c r="J293">
        <f t="shared" si="13"/>
        <v>0</v>
      </c>
      <c r="K293">
        <f t="shared" si="14"/>
        <v>3</v>
      </c>
      <c r="L293">
        <f>200000/('Ammo Stats'!C293*(MAX('Ammo Input'!D293,'Ammo Input'!F293)*0.5)^2*PI())</f>
        <v>505153.558712622</v>
      </c>
      <c r="M293">
        <f>IF(B293="Frag",1,('Ammo Input'!M293/1.33)/('Ammo Input'!H293/1000))</f>
        <v>0</v>
      </c>
      <c r="N293" t="s">
        <v>353</v>
      </c>
      <c r="O293" t="s">
        <v>353</v>
      </c>
      <c r="P293" s="3">
        <f>(39493.49*(IF((VLOOKUP(B293,AmmoTypeFactors,6,FALSE)="Bomb_Secondary"),1.33,1)*('Ammo Input'!H293*0.35)/1000)^0.6/1000)*10/3*VLOOKUP(B293,AmmoTypeFactors,4,FALSE)</f>
        <v>0</v>
      </c>
    </row>
    <row r="294" ht="14.4" spans="1:16">
      <c r="A294" t="str">
        <f>'Ammo Input'!A294</f>
        <v>.25 ACP</v>
      </c>
      <c r="B294" s="1" t="str">
        <f>'Ammo Input'!B294</f>
        <v>AP</v>
      </c>
      <c r="C294">
        <f>(0.579*('Ammo Stats'!G294*IF(OR(B294="HEAT",B294="HEDP"),10,'Ammo Input'!F294)*VLOOKUP(B294,AmmoTypeFactors,7,FALSE))^(0.346))^IF(B294="HEDP",2.1,1)/IF(B294="HEDP",50,1)</f>
        <v>4.02753575412998</v>
      </c>
      <c r="D294" s="16">
        <f>IF(VLOOKUP(B294,AmmoTypeFactors,8,FALSE),J294,C294)*VLOOKUP('Ammo Input'!B294,AmmoTypeFactors,2,FALSE)</f>
        <v>3.22202860330399</v>
      </c>
      <c r="E294" s="16">
        <f>IF(OR(VLOOKUP(B294,AmmoTypeFactors,6,FALSE)="Bomb",VLOOKUP(B294,AmmoTypeFactors,6,FALSE)="Thermobaric"),J294*VLOOKUP(B294,AmmoTypeFactors,4,FALSE),IF(VLOOKUP(B294,AmmoTypeFactors,11,FALSE),P294,C294*VLOOKUP(B294,AmmoTypeFactors,4,FALSE)))</f>
        <v>0</v>
      </c>
      <c r="F294" s="16">
        <f>'Ammo Stats'!G294/0.005</f>
        <v>17000</v>
      </c>
      <c r="G294" s="16">
        <f>(IF(B294="HEAT",10,'Ammo Input'!F294)*VLOOKUP(B294,AmmoTypeFactors,7,FALSE)*0.5)^2*PI()/100</f>
        <v>0.0804247719318987</v>
      </c>
      <c r="H294" s="10">
        <f t="shared" si="12"/>
        <v>1.7</v>
      </c>
      <c r="I294" s="10">
        <f>IF(B294&lt;&gt;"Arrow (Flaming)",39493.49*'Ammo Input'!M294^0.6/1000,0)</f>
        <v>0</v>
      </c>
      <c r="J294">
        <f t="shared" si="13"/>
        <v>0</v>
      </c>
      <c r="K294">
        <f t="shared" si="14"/>
        <v>3</v>
      </c>
      <c r="L294">
        <f>200000/('Ammo Stats'!C294*(MAX('Ammo Input'!D294,'Ammo Input'!F294)*0.5)^2*PI())</f>
        <v>505153.558712622</v>
      </c>
      <c r="M294">
        <f>IF(B294="Frag",1,('Ammo Input'!M294/1.33)/('Ammo Input'!H294/1000))</f>
        <v>0</v>
      </c>
      <c r="N294" t="s">
        <v>353</v>
      </c>
      <c r="O294" t="s">
        <v>353</v>
      </c>
      <c r="P294" s="3">
        <f>(39493.49*(IF((VLOOKUP(B294,AmmoTypeFactors,6,FALSE)="Bomb_Secondary"),1.33,1)*('Ammo Input'!H294*0.35)/1000)^0.6/1000)*10/3*VLOOKUP(B294,AmmoTypeFactors,4,FALSE)</f>
        <v>0</v>
      </c>
    </row>
    <row r="295" ht="14.4" spans="1:16">
      <c r="A295" t="str">
        <f>'Ammo Input'!A295</f>
        <v>.25 ACP</v>
      </c>
      <c r="B295" s="1" t="str">
        <f>'Ammo Input'!B295</f>
        <v>HP</v>
      </c>
      <c r="C295">
        <f>(0.579*('Ammo Stats'!G295*IF(OR(B295="HEAT",B295="HEDP"),10,'Ammo Input'!F295)*VLOOKUP(B295,AmmoTypeFactors,7,FALSE))^(0.346))^IF(B295="HEDP",2.1,1)/IF(B295="HEDP",50,1)</f>
        <v>6.50657082521307</v>
      </c>
      <c r="D295" s="16">
        <f>IF(VLOOKUP(B295,AmmoTypeFactors,8,FALSE),J295,C295)*VLOOKUP('Ammo Input'!B295,AmmoTypeFactors,2,FALSE)</f>
        <v>6.50657082521307</v>
      </c>
      <c r="E295" s="16">
        <f>IF(OR(VLOOKUP(B295,AmmoTypeFactors,6,FALSE)="Bomb",VLOOKUP(B295,AmmoTypeFactors,6,FALSE)="Thermobaric"),J295*VLOOKUP(B295,AmmoTypeFactors,4,FALSE),IF(VLOOKUP(B295,AmmoTypeFactors,11,FALSE),P295,C295*VLOOKUP(B295,AmmoTypeFactors,4,FALSE)))</f>
        <v>0</v>
      </c>
      <c r="F295" s="16">
        <f>'Ammo Stats'!G295/0.005</f>
        <v>17000</v>
      </c>
      <c r="G295" s="16">
        <f>(IF(B295="HEAT",10,'Ammo Input'!F295)*VLOOKUP(B295,AmmoTypeFactors,7,FALSE)*0.5)^2*PI()/100</f>
        <v>1.28679635091038</v>
      </c>
      <c r="H295" s="10">
        <f t="shared" si="12"/>
        <v>1.7</v>
      </c>
      <c r="I295" s="10">
        <f>IF(B295&lt;&gt;"Arrow (Flaming)",39493.49*'Ammo Input'!M295^0.6/1000,0)</f>
        <v>0</v>
      </c>
      <c r="J295">
        <f t="shared" si="13"/>
        <v>0</v>
      </c>
      <c r="K295">
        <f t="shared" si="14"/>
        <v>3</v>
      </c>
      <c r="L295">
        <f>200000/('Ammo Stats'!C295*(MAX('Ammo Input'!D295,'Ammo Input'!F295)*0.5)^2*PI())</f>
        <v>505153.558712622</v>
      </c>
      <c r="M295">
        <f>IF(B295="Frag",1,('Ammo Input'!M295/1.33)/('Ammo Input'!H295/1000))</f>
        <v>0</v>
      </c>
      <c r="N295" t="s">
        <v>353</v>
      </c>
      <c r="O295" t="s">
        <v>353</v>
      </c>
      <c r="P295" s="3">
        <f>(39493.49*(IF((VLOOKUP(B295,AmmoTypeFactors,6,FALSE)="Bomb_Secondary"),1.33,1)*('Ammo Input'!H295*0.35)/1000)^0.6/1000)*10/3*VLOOKUP(B295,AmmoTypeFactors,4,FALSE)</f>
        <v>0</v>
      </c>
    </row>
    <row r="296" ht="14.4" spans="1:16">
      <c r="A296" t="str">
        <f>'Ammo Input'!A296</f>
        <v>4.6x30mm</v>
      </c>
      <c r="B296" s="1" t="str">
        <f>'Ammo Input'!B296</f>
        <v>FMJ</v>
      </c>
      <c r="C296">
        <f>(0.579*('Ammo Stats'!G296*IF(OR(B296="HEAT",B296="HEDP"),10,'Ammo Input'!F296)*VLOOKUP(B296,AmmoTypeFactors,7,FALSE))^(0.346))^IF(B296="HEDP",2.1,1)/IF(B296="HEDP",50,1)</f>
        <v>8.37902400428261</v>
      </c>
      <c r="D296" s="16">
        <f>IF(VLOOKUP(B296,AmmoTypeFactors,8,FALSE),J296,C296)*VLOOKUP('Ammo Input'!B296,AmmoTypeFactors,2,FALSE)</f>
        <v>8.37902400428261</v>
      </c>
      <c r="E296" s="16">
        <f>IF(OR(VLOOKUP(B296,AmmoTypeFactors,6,FALSE)="Bomb",VLOOKUP(B296,AmmoTypeFactors,6,FALSE)="Thermobaric"),J296*VLOOKUP(B296,AmmoTypeFactors,4,FALSE),IF(VLOOKUP(B296,AmmoTypeFactors,11,FALSE),P296,C296*VLOOKUP(B296,AmmoTypeFactors,4,FALSE)))</f>
        <v>0</v>
      </c>
      <c r="F296" s="16">
        <f>'Ammo Stats'!G296/0.005</f>
        <v>97200</v>
      </c>
      <c r="G296" s="16">
        <f>(IF(B296="HEAT",10,'Ammo Input'!F296)*VLOOKUP(B296,AmmoTypeFactors,7,FALSE)*0.5)^2*PI()/100</f>
        <v>0.169822717880613</v>
      </c>
      <c r="H296" s="10">
        <f t="shared" si="12"/>
        <v>9.72</v>
      </c>
      <c r="I296" s="10">
        <f>IF(B296&lt;&gt;"Arrow (Flaming)",39493.49*'Ammo Input'!M296^0.6/1000,0)</f>
        <v>0</v>
      </c>
      <c r="J296">
        <f t="shared" si="13"/>
        <v>0</v>
      </c>
      <c r="K296">
        <f t="shared" si="14"/>
        <v>5</v>
      </c>
      <c r="L296">
        <f>200000/('Ammo Stats'!C296*(MAX('Ammo Input'!D296,'Ammo Input'!F296)*0.5)^2*PI())</f>
        <v>395905.356538567</v>
      </c>
      <c r="M296">
        <f>IF(B296="Frag",1,('Ammo Input'!M296/1.33)/('Ammo Input'!H296/1000))</f>
        <v>0</v>
      </c>
      <c r="N296" t="s">
        <v>353</v>
      </c>
      <c r="O296" t="s">
        <v>353</v>
      </c>
      <c r="P296" s="3">
        <f>(39493.49*(IF((VLOOKUP(B296,AmmoTypeFactors,6,FALSE)="Bomb_Secondary"),1.33,1)*('Ammo Input'!H296*0.35)/1000)^0.6/1000)*10/3*VLOOKUP(B296,AmmoTypeFactors,4,FALSE)</f>
        <v>0</v>
      </c>
    </row>
    <row r="297" ht="14.4" spans="1:16">
      <c r="A297" t="str">
        <f>'Ammo Input'!A297</f>
        <v>4.6x30mm</v>
      </c>
      <c r="B297" s="1" t="str">
        <f>'Ammo Input'!B297</f>
        <v>AP</v>
      </c>
      <c r="C297">
        <f>(0.579*('Ammo Stats'!G297*IF(OR(B297="HEAT",B297="HEDP"),10,'Ammo Input'!F297)*VLOOKUP(B297,AmmoTypeFactors,7,FALSE))^(0.346))^IF(B297="HEDP",2.1,1)/IF(B297="HEDP",50,1)</f>
        <v>6.59230141528561</v>
      </c>
      <c r="D297" s="16">
        <f>IF(VLOOKUP(B297,AmmoTypeFactors,8,FALSE),J297,C297)*VLOOKUP('Ammo Input'!B297,AmmoTypeFactors,2,FALSE)</f>
        <v>5.27384113222849</v>
      </c>
      <c r="E297" s="16">
        <f>IF(OR(VLOOKUP(B297,AmmoTypeFactors,6,FALSE)="Bomb",VLOOKUP(B297,AmmoTypeFactors,6,FALSE)="Thermobaric"),J297*VLOOKUP(B297,AmmoTypeFactors,4,FALSE),IF(VLOOKUP(B297,AmmoTypeFactors,11,FALSE),P297,C297*VLOOKUP(B297,AmmoTypeFactors,4,FALSE)))</f>
        <v>0</v>
      </c>
      <c r="F297" s="16">
        <f>'Ammo Stats'!G297/0.005</f>
        <v>97200</v>
      </c>
      <c r="G297" s="16">
        <f>(IF(B297="HEAT",10,'Ammo Input'!F297)*VLOOKUP(B297,AmmoTypeFactors,7,FALSE)*0.5)^2*PI()/100</f>
        <v>0.0424556794701533</v>
      </c>
      <c r="H297" s="10">
        <f t="shared" si="12"/>
        <v>9.72</v>
      </c>
      <c r="I297" s="10">
        <f>IF(B297&lt;&gt;"Arrow (Flaming)",39493.49*'Ammo Input'!M297^0.6/1000,0)</f>
        <v>0</v>
      </c>
      <c r="J297">
        <f t="shared" si="13"/>
        <v>0</v>
      </c>
      <c r="K297">
        <f t="shared" si="14"/>
        <v>5</v>
      </c>
      <c r="L297">
        <f>200000/('Ammo Stats'!C297*(MAX('Ammo Input'!D297,'Ammo Input'!F297)*0.5)^2*PI())</f>
        <v>395905.356538567</v>
      </c>
      <c r="M297">
        <f>IF(B297="Frag",1,('Ammo Input'!M297/1.33)/('Ammo Input'!H297/1000))</f>
        <v>0</v>
      </c>
      <c r="N297" t="s">
        <v>353</v>
      </c>
      <c r="O297" t="s">
        <v>353</v>
      </c>
      <c r="P297" s="3">
        <f>(39493.49*(IF((VLOOKUP(B297,AmmoTypeFactors,6,FALSE)="Bomb_Secondary"),1.33,1)*('Ammo Input'!H297*0.35)/1000)^0.6/1000)*10/3*VLOOKUP(B297,AmmoTypeFactors,4,FALSE)</f>
        <v>0</v>
      </c>
    </row>
    <row r="298" ht="14.4" spans="1:16">
      <c r="A298" t="str">
        <f>'Ammo Input'!A298</f>
        <v>4.6x30mm</v>
      </c>
      <c r="B298" s="1" t="str">
        <f>'Ammo Input'!B298</f>
        <v>HP</v>
      </c>
      <c r="C298">
        <f>(0.579*('Ammo Stats'!G298*IF(OR(B298="HEAT",B298="HEDP"),10,'Ammo Input'!F298)*VLOOKUP(B298,AmmoTypeFactors,7,FALSE))^(0.346))^IF(B298="HEDP",2.1,1)/IF(B298="HEDP",50,1)</f>
        <v>10.6500050348961</v>
      </c>
      <c r="D298" s="16">
        <f>IF(VLOOKUP(B298,AmmoTypeFactors,8,FALSE),J298,C298)*VLOOKUP('Ammo Input'!B298,AmmoTypeFactors,2,FALSE)</f>
        <v>10.6500050348961</v>
      </c>
      <c r="E298" s="16">
        <f>IF(OR(VLOOKUP(B298,AmmoTypeFactors,6,FALSE)="Bomb",VLOOKUP(B298,AmmoTypeFactors,6,FALSE)="Thermobaric"),J298*VLOOKUP(B298,AmmoTypeFactors,4,FALSE),IF(VLOOKUP(B298,AmmoTypeFactors,11,FALSE),P298,C298*VLOOKUP(B298,AmmoTypeFactors,4,FALSE)))</f>
        <v>0</v>
      </c>
      <c r="F298" s="16">
        <f>'Ammo Stats'!G298/0.005</f>
        <v>97200</v>
      </c>
      <c r="G298" s="16">
        <f>(IF(B298="HEAT",10,'Ammo Input'!F298)*VLOOKUP(B298,AmmoTypeFactors,7,FALSE)*0.5)^2*PI()/100</f>
        <v>0.679290871522453</v>
      </c>
      <c r="H298" s="10">
        <f t="shared" si="12"/>
        <v>9.72</v>
      </c>
      <c r="I298" s="10">
        <f>IF(B298&lt;&gt;"Arrow (Flaming)",39493.49*'Ammo Input'!M298^0.6/1000,0)</f>
        <v>0</v>
      </c>
      <c r="J298">
        <f t="shared" si="13"/>
        <v>0</v>
      </c>
      <c r="K298">
        <f t="shared" si="14"/>
        <v>5</v>
      </c>
      <c r="L298">
        <f>200000/('Ammo Stats'!C298*(MAX('Ammo Input'!D298,'Ammo Input'!F298)*0.5)^2*PI())</f>
        <v>395905.356538567</v>
      </c>
      <c r="M298">
        <f>IF(B298="Frag",1,('Ammo Input'!M298/1.33)/('Ammo Input'!H298/1000))</f>
        <v>0</v>
      </c>
      <c r="N298" t="s">
        <v>353</v>
      </c>
      <c r="O298" t="s">
        <v>353</v>
      </c>
      <c r="P298" s="3">
        <f>(39493.49*(IF((VLOOKUP(B298,AmmoTypeFactors,6,FALSE)="Bomb_Secondary"),1.33,1)*('Ammo Input'!H298*0.35)/1000)^0.6/1000)*10/3*VLOOKUP(B298,AmmoTypeFactors,4,FALSE)</f>
        <v>0</v>
      </c>
    </row>
    <row r="299" ht="14.4" spans="1:16">
      <c r="A299" t="str">
        <f>'Ammo Input'!A299</f>
        <v>7.62x25mm Tokarev</v>
      </c>
      <c r="B299" s="1" t="str">
        <f>'Ammo Input'!B299</f>
        <v>FMJ</v>
      </c>
      <c r="C299">
        <f>(0.579*('Ammo Stats'!G299*IF(OR(B299="HEAT",B299="HEDP"),10,'Ammo Input'!F299)*VLOOKUP(B299,AmmoTypeFactors,7,FALSE))^(0.346))^IF(B299="HEDP",2.1,1)/IF(B299="HEDP",50,1)</f>
        <v>11.3001570460677</v>
      </c>
      <c r="D299" s="16">
        <f>IF(VLOOKUP(B299,AmmoTypeFactors,8,FALSE),J299,C299)*VLOOKUP('Ammo Input'!B299,AmmoTypeFactors,2,FALSE)</f>
        <v>11.3001570460677</v>
      </c>
      <c r="E299" s="16">
        <f>IF(OR(VLOOKUP(B299,AmmoTypeFactors,6,FALSE)="Bomb",VLOOKUP(B299,AmmoTypeFactors,6,FALSE)="Thermobaric"),J299*VLOOKUP(B299,AmmoTypeFactors,4,FALSE),IF(VLOOKUP(B299,AmmoTypeFactors,11,FALSE),P299,C299*VLOOKUP(B299,AmmoTypeFactors,4,FALSE)))</f>
        <v>0</v>
      </c>
      <c r="F299" s="16">
        <f>'Ammo Stats'!G299/0.005</f>
        <v>135800</v>
      </c>
      <c r="G299" s="16">
        <f>(IF(B299="HEAT",10,'Ammo Input'!F299)*VLOOKUP(B299,AmmoTypeFactors,7,FALSE)*0.5)^2*PI()/100</f>
        <v>0.490166993776348</v>
      </c>
      <c r="H299" s="10">
        <f t="shared" si="12"/>
        <v>13.58</v>
      </c>
      <c r="I299" s="10">
        <f>IF(B299&lt;&gt;"Arrow (Flaming)",39493.49*'Ammo Input'!M299^0.6/1000,0)</f>
        <v>0</v>
      </c>
      <c r="J299">
        <f t="shared" si="13"/>
        <v>0</v>
      </c>
      <c r="K299">
        <f t="shared" si="14"/>
        <v>5</v>
      </c>
      <c r="L299">
        <f>200000/('Ammo Stats'!C299*(MAX('Ammo Input'!D299,'Ammo Input'!F299)*0.5)^2*PI())</f>
        <v>263531.830484495</v>
      </c>
      <c r="M299">
        <f>IF(B299="Frag",1,('Ammo Input'!M299/1.33)/('Ammo Input'!H299/1000))</f>
        <v>0</v>
      </c>
      <c r="N299" t="s">
        <v>353</v>
      </c>
      <c r="O299" t="s">
        <v>353</v>
      </c>
      <c r="P299" s="3">
        <f>(39493.49*(IF((VLOOKUP(B299,AmmoTypeFactors,6,FALSE)="Bomb_Secondary"),1.33,1)*('Ammo Input'!H299*0.35)/1000)^0.6/1000)*10/3*VLOOKUP(B299,AmmoTypeFactors,4,FALSE)</f>
        <v>0</v>
      </c>
    </row>
    <row r="300" ht="14.4" spans="1:16">
      <c r="A300" t="str">
        <f>'Ammo Input'!A300</f>
        <v>7.62x25mm Tokarev</v>
      </c>
      <c r="B300" s="1" t="str">
        <f>'Ammo Input'!B300</f>
        <v>AP</v>
      </c>
      <c r="C300">
        <f>(0.579*('Ammo Stats'!G300*IF(OR(B300="HEAT",B300="HEDP"),10,'Ammo Input'!F300)*VLOOKUP(B300,AmmoTypeFactors,7,FALSE))^(0.346))^IF(B300="HEDP",2.1,1)/IF(B300="HEDP",50,1)</f>
        <v>8.89053919044354</v>
      </c>
      <c r="D300" s="16">
        <f>IF(VLOOKUP(B300,AmmoTypeFactors,8,FALSE),J300,C300)*VLOOKUP('Ammo Input'!B300,AmmoTypeFactors,2,FALSE)</f>
        <v>7.11243135235483</v>
      </c>
      <c r="E300" s="16">
        <f>IF(OR(VLOOKUP(B300,AmmoTypeFactors,6,FALSE)="Bomb",VLOOKUP(B300,AmmoTypeFactors,6,FALSE)="Thermobaric"),J300*VLOOKUP(B300,AmmoTypeFactors,4,FALSE),IF(VLOOKUP(B300,AmmoTypeFactors,11,FALSE),P300,C300*VLOOKUP(B300,AmmoTypeFactors,4,FALSE)))</f>
        <v>0</v>
      </c>
      <c r="F300" s="16">
        <f>'Ammo Stats'!G300/0.005</f>
        <v>135800</v>
      </c>
      <c r="G300" s="16">
        <f>(IF(B300="HEAT",10,'Ammo Input'!F300)*VLOOKUP(B300,AmmoTypeFactors,7,FALSE)*0.5)^2*PI()/100</f>
        <v>0.122541748444087</v>
      </c>
      <c r="H300" s="10">
        <f t="shared" si="12"/>
        <v>13.58</v>
      </c>
      <c r="I300" s="10">
        <f>IF(B300&lt;&gt;"Arrow (Flaming)",39493.49*'Ammo Input'!M300^0.6/1000,0)</f>
        <v>0</v>
      </c>
      <c r="J300">
        <f t="shared" si="13"/>
        <v>0</v>
      </c>
      <c r="K300">
        <f t="shared" si="14"/>
        <v>5</v>
      </c>
      <c r="L300">
        <f>200000/('Ammo Stats'!C300*(MAX('Ammo Input'!D300,'Ammo Input'!F300)*0.5)^2*PI())</f>
        <v>263531.830484495</v>
      </c>
      <c r="M300">
        <f>IF(B300="Frag",1,('Ammo Input'!M300/1.33)/('Ammo Input'!H300/1000))</f>
        <v>0</v>
      </c>
      <c r="N300" t="s">
        <v>353</v>
      </c>
      <c r="O300" t="s">
        <v>353</v>
      </c>
      <c r="P300" s="3">
        <f>(39493.49*(IF((VLOOKUP(B300,AmmoTypeFactors,6,FALSE)="Bomb_Secondary"),1.33,1)*('Ammo Input'!H300*0.35)/1000)^0.6/1000)*10/3*VLOOKUP(B300,AmmoTypeFactors,4,FALSE)</f>
        <v>0</v>
      </c>
    </row>
    <row r="301" ht="14.4" spans="1:16">
      <c r="A301" t="str">
        <f>'Ammo Input'!A301</f>
        <v>7.62x25mm Tokarev</v>
      </c>
      <c r="B301" s="1" t="str">
        <f>'Ammo Input'!B301</f>
        <v>HP</v>
      </c>
      <c r="C301">
        <f>(0.579*('Ammo Stats'!G301*IF(OR(B301="HEAT",B301="HEDP"),10,'Ammo Input'!F301)*VLOOKUP(B301,AmmoTypeFactors,7,FALSE))^(0.346))^IF(B301="HEDP",2.1,1)/IF(B301="HEDP",50,1)</f>
        <v>14.3628576996827</v>
      </c>
      <c r="D301" s="16">
        <f>IF(VLOOKUP(B301,AmmoTypeFactors,8,FALSE),J301,C301)*VLOOKUP('Ammo Input'!B301,AmmoTypeFactors,2,FALSE)</f>
        <v>14.3628576996827</v>
      </c>
      <c r="E301" s="16">
        <f>IF(OR(VLOOKUP(B301,AmmoTypeFactors,6,FALSE)="Bomb",VLOOKUP(B301,AmmoTypeFactors,6,FALSE)="Thermobaric"),J301*VLOOKUP(B301,AmmoTypeFactors,4,FALSE),IF(VLOOKUP(B301,AmmoTypeFactors,11,FALSE),P301,C301*VLOOKUP(B301,AmmoTypeFactors,4,FALSE)))</f>
        <v>0</v>
      </c>
      <c r="F301" s="16">
        <f>'Ammo Stats'!G301/0.005</f>
        <v>135800</v>
      </c>
      <c r="G301" s="16">
        <f>(IF(B301="HEAT",10,'Ammo Input'!F301)*VLOOKUP(B301,AmmoTypeFactors,7,FALSE)*0.5)^2*PI()/100</f>
        <v>1.96066797510539</v>
      </c>
      <c r="H301" s="10">
        <f t="shared" si="12"/>
        <v>13.58</v>
      </c>
      <c r="I301" s="10">
        <f>IF(B301&lt;&gt;"Arrow (Flaming)",39493.49*'Ammo Input'!M301^0.6/1000,0)</f>
        <v>0</v>
      </c>
      <c r="J301">
        <f t="shared" si="13"/>
        <v>0</v>
      </c>
      <c r="K301">
        <f t="shared" si="14"/>
        <v>5</v>
      </c>
      <c r="L301">
        <f>200000/('Ammo Stats'!C301*(MAX('Ammo Input'!D301,'Ammo Input'!F301)*0.5)^2*PI())</f>
        <v>263531.830484495</v>
      </c>
      <c r="M301">
        <f>IF(B301="Frag",1,('Ammo Input'!M301/1.33)/('Ammo Input'!H301/1000))</f>
        <v>0</v>
      </c>
      <c r="N301" t="s">
        <v>353</v>
      </c>
      <c r="O301" t="s">
        <v>353</v>
      </c>
      <c r="P301" s="3">
        <f>(39493.49*(IF((VLOOKUP(B301,AmmoTypeFactors,6,FALSE)="Bomb_Secondary"),1.33,1)*('Ammo Input'!H301*0.35)/1000)^0.6/1000)*10/3*VLOOKUP(B301,AmmoTypeFactors,4,FALSE)</f>
        <v>0</v>
      </c>
    </row>
    <row r="302" ht="14.4" spans="1:16">
      <c r="A302" t="str">
        <f>'Ammo Input'!A302</f>
        <v>7.62x38mmR</v>
      </c>
      <c r="B302" s="1" t="str">
        <f>'Ammo Input'!B302</f>
        <v>FMJ</v>
      </c>
      <c r="C302">
        <f>(0.579*('Ammo Stats'!G302*IF(OR(B302="HEAT",B302="HEDP"),10,'Ammo Input'!F302)*VLOOKUP(B302,AmmoTypeFactors,7,FALSE))^(0.346))^IF(B302="HEDP",2.1,1)/IF(B302="HEDP",50,1)</f>
        <v>8.87171481361526</v>
      </c>
      <c r="D302" s="16">
        <f>IF(VLOOKUP(B302,AmmoTypeFactors,8,FALSE),J302,C302)*VLOOKUP('Ammo Input'!B302,AmmoTypeFactors,2,FALSE)</f>
        <v>8.87171481361526</v>
      </c>
      <c r="E302" s="16">
        <f>IF(OR(VLOOKUP(B302,AmmoTypeFactors,6,FALSE)="Bomb",VLOOKUP(B302,AmmoTypeFactors,6,FALSE)="Thermobaric"),J302*VLOOKUP(B302,AmmoTypeFactors,4,FALSE),IF(VLOOKUP(B302,AmmoTypeFactors,11,FALSE),P302,C302*VLOOKUP(B302,AmmoTypeFactors,4,FALSE)))</f>
        <v>0</v>
      </c>
      <c r="F302" s="16">
        <f>'Ammo Stats'!G302/0.005</f>
        <v>67400</v>
      </c>
      <c r="G302" s="16">
        <f>(IF(B302="HEAT",10,'Ammo Input'!F302)*VLOOKUP(B302,AmmoTypeFactors,7,FALSE)*0.5)^2*PI()/100</f>
        <v>0.491408708272679</v>
      </c>
      <c r="H302" s="10">
        <f t="shared" si="12"/>
        <v>6.74</v>
      </c>
      <c r="I302" s="10">
        <f>IF(B302&lt;&gt;"Arrow (Flaming)",39493.49*'Ammo Input'!M302^0.6/1000,0)</f>
        <v>0</v>
      </c>
      <c r="J302">
        <f t="shared" si="13"/>
        <v>0</v>
      </c>
      <c r="K302">
        <f t="shared" si="14"/>
        <v>4</v>
      </c>
      <c r="L302">
        <f>200000/('Ammo Stats'!C302*(MAX('Ammo Input'!D302,'Ammo Input'!F302)*0.5)^2*PI())</f>
        <v>318614.162709178</v>
      </c>
      <c r="M302">
        <f>IF(B302="Frag",1,('Ammo Input'!M302/1.33)/('Ammo Input'!H302/1000))</f>
        <v>0</v>
      </c>
      <c r="N302" t="s">
        <v>353</v>
      </c>
      <c r="O302" t="s">
        <v>353</v>
      </c>
      <c r="P302" s="3">
        <f>(39493.49*(IF((VLOOKUP(B302,AmmoTypeFactors,6,FALSE)="Bomb_Secondary"),1.33,1)*('Ammo Input'!H302*0.35)/1000)^0.6/1000)*10/3*VLOOKUP(B302,AmmoTypeFactors,4,FALSE)</f>
        <v>0</v>
      </c>
    </row>
    <row r="303" ht="14.4" spans="1:16">
      <c r="A303" t="str">
        <f>'Ammo Input'!A303</f>
        <v>7.62x38mmR</v>
      </c>
      <c r="B303" s="1" t="str">
        <f>'Ammo Input'!B303</f>
        <v>AP</v>
      </c>
      <c r="C303">
        <f>(0.579*('Ammo Stats'!G303*IF(OR(B303="HEAT",B303="HEDP"),10,'Ammo Input'!F303)*VLOOKUP(B303,AmmoTypeFactors,7,FALSE))^(0.346))^IF(B303="HEDP",2.1,1)/IF(B303="HEDP",50,1)</f>
        <v>6.97993204123939</v>
      </c>
      <c r="D303" s="16">
        <f>IF(VLOOKUP(B303,AmmoTypeFactors,8,FALSE),J303,C303)*VLOOKUP('Ammo Input'!B303,AmmoTypeFactors,2,FALSE)</f>
        <v>5.58394563299152</v>
      </c>
      <c r="E303" s="16">
        <f>IF(OR(VLOOKUP(B303,AmmoTypeFactors,6,FALSE)="Bomb",VLOOKUP(B303,AmmoTypeFactors,6,FALSE)="Thermobaric"),J303*VLOOKUP(B303,AmmoTypeFactors,4,FALSE),IF(VLOOKUP(B303,AmmoTypeFactors,11,FALSE),P303,C303*VLOOKUP(B303,AmmoTypeFactors,4,FALSE)))</f>
        <v>0</v>
      </c>
      <c r="F303" s="16">
        <f>'Ammo Stats'!G303/0.005</f>
        <v>67400</v>
      </c>
      <c r="G303" s="16">
        <f>(IF(B303="HEAT",10,'Ammo Input'!F303)*VLOOKUP(B303,AmmoTypeFactors,7,FALSE)*0.5)^2*PI()/100</f>
        <v>0.12285217706817</v>
      </c>
      <c r="H303" s="10">
        <f t="shared" si="12"/>
        <v>6.74</v>
      </c>
      <c r="I303" s="10">
        <f>IF(B303&lt;&gt;"Arrow (Flaming)",39493.49*'Ammo Input'!M303^0.6/1000,0)</f>
        <v>0</v>
      </c>
      <c r="J303">
        <f t="shared" si="13"/>
        <v>0</v>
      </c>
      <c r="K303">
        <f t="shared" si="14"/>
        <v>4</v>
      </c>
      <c r="L303">
        <f>200000/('Ammo Stats'!C303*(MAX('Ammo Input'!D303,'Ammo Input'!F303)*0.5)^2*PI())</f>
        <v>318614.162709178</v>
      </c>
      <c r="M303">
        <f>IF(B303="Frag",1,('Ammo Input'!M303/1.33)/('Ammo Input'!H303/1000))</f>
        <v>0</v>
      </c>
      <c r="N303" t="s">
        <v>353</v>
      </c>
      <c r="O303" t="s">
        <v>353</v>
      </c>
      <c r="P303" s="3">
        <f>(39493.49*(IF((VLOOKUP(B303,AmmoTypeFactors,6,FALSE)="Bomb_Secondary"),1.33,1)*('Ammo Input'!H303*0.35)/1000)^0.6/1000)*10/3*VLOOKUP(B303,AmmoTypeFactors,4,FALSE)</f>
        <v>0</v>
      </c>
    </row>
    <row r="304" ht="14.4" spans="1:16">
      <c r="A304" t="str">
        <f>'Ammo Input'!A304</f>
        <v>7.62x38mmR</v>
      </c>
      <c r="B304" s="1" t="str">
        <f>'Ammo Input'!B304</f>
        <v>HP</v>
      </c>
      <c r="C304">
        <f>(0.579*('Ammo Stats'!G304*IF(OR(B304="HEAT",B304="HEDP"),10,'Ammo Input'!F304)*VLOOKUP(B304,AmmoTypeFactors,7,FALSE))^(0.346))^IF(B304="HEDP",2.1,1)/IF(B304="HEDP",50,1)</f>
        <v>11.2762306665875</v>
      </c>
      <c r="D304" s="16">
        <f>IF(VLOOKUP(B304,AmmoTypeFactors,8,FALSE),J304,C304)*VLOOKUP('Ammo Input'!B304,AmmoTypeFactors,2,FALSE)</f>
        <v>11.2762306665875</v>
      </c>
      <c r="E304" s="16">
        <f>IF(OR(VLOOKUP(B304,AmmoTypeFactors,6,FALSE)="Bomb",VLOOKUP(B304,AmmoTypeFactors,6,FALSE)="Thermobaric"),J304*VLOOKUP(B304,AmmoTypeFactors,4,FALSE),IF(VLOOKUP(B304,AmmoTypeFactors,11,FALSE),P304,C304*VLOOKUP(B304,AmmoTypeFactors,4,FALSE)))</f>
        <v>0</v>
      </c>
      <c r="F304" s="16">
        <f>'Ammo Stats'!G304/0.005</f>
        <v>67400</v>
      </c>
      <c r="G304" s="16">
        <f>(IF(B304="HEAT",10,'Ammo Input'!F304)*VLOOKUP(B304,AmmoTypeFactors,7,FALSE)*0.5)^2*PI()/100</f>
        <v>1.96563483309072</v>
      </c>
      <c r="H304" s="10">
        <f t="shared" si="12"/>
        <v>6.74</v>
      </c>
      <c r="I304" s="10">
        <f>IF(B304&lt;&gt;"Arrow (Flaming)",39493.49*'Ammo Input'!M304^0.6/1000,0)</f>
        <v>0</v>
      </c>
      <c r="J304">
        <f t="shared" si="13"/>
        <v>0</v>
      </c>
      <c r="K304">
        <f t="shared" si="14"/>
        <v>4</v>
      </c>
      <c r="L304">
        <f>200000/('Ammo Stats'!C304*(MAX('Ammo Input'!D304,'Ammo Input'!F304)*0.5)^2*PI())</f>
        <v>318614.162709178</v>
      </c>
      <c r="M304">
        <f>IF(B304="Frag",1,('Ammo Input'!M304/1.33)/('Ammo Input'!H304/1000))</f>
        <v>0</v>
      </c>
      <c r="N304" t="s">
        <v>353</v>
      </c>
      <c r="O304" t="s">
        <v>353</v>
      </c>
      <c r="P304" s="3">
        <f>(39493.49*(IF((VLOOKUP(B304,AmmoTypeFactors,6,FALSE)="Bomb_Secondary"),1.33,1)*('Ammo Input'!H304*0.35)/1000)^0.6/1000)*10/3*VLOOKUP(B304,AmmoTypeFactors,4,FALSE)</f>
        <v>0</v>
      </c>
    </row>
    <row r="305" ht="14.4" spans="1:16">
      <c r="A305" t="str">
        <f>'Ammo Input'!A305</f>
        <v>7.63x25mm Mauser</v>
      </c>
      <c r="B305" s="1" t="str">
        <f>'Ammo Input'!B305</f>
        <v>FMJ</v>
      </c>
      <c r="C305">
        <f>(0.579*('Ammo Stats'!G305*IF(OR(B305="HEAT",B305="HEDP"),10,'Ammo Input'!F305)*VLOOKUP(B305,AmmoTypeFactors,7,FALSE))^(0.346))^IF(B305="HEDP",2.1,1)/IF(B305="HEDP",50,1)</f>
        <v>10.4541313980115</v>
      </c>
      <c r="D305" s="16">
        <f>IF(VLOOKUP(B305,AmmoTypeFactors,8,FALSE),J305,C305)*VLOOKUP('Ammo Input'!B305,AmmoTypeFactors,2,FALSE)</f>
        <v>10.4541313980115</v>
      </c>
      <c r="E305" s="16">
        <f>IF(OR(VLOOKUP(B305,AmmoTypeFactors,6,FALSE)="Bomb",VLOOKUP(B305,AmmoTypeFactors,6,FALSE)="Thermobaric"),J305*VLOOKUP(B305,AmmoTypeFactors,4,FALSE),IF(VLOOKUP(B305,AmmoTypeFactors,11,FALSE),P305,C305*VLOOKUP(B305,AmmoTypeFactors,4,FALSE)))</f>
        <v>0</v>
      </c>
      <c r="F305" s="16">
        <f>'Ammo Stats'!G305/0.005</f>
        <v>109000</v>
      </c>
      <c r="G305" s="16">
        <f>(IF(B305="HEAT",10,'Ammo Input'!F305)*VLOOKUP(B305,AmmoTypeFactors,7,FALSE)*0.5)^2*PI()/100</f>
        <v>0.48521584375429</v>
      </c>
      <c r="H305" s="10">
        <f t="shared" si="12"/>
        <v>10.9</v>
      </c>
      <c r="I305" s="10">
        <f>IF(B305&lt;&gt;"Arrow (Flaming)",39493.49*'Ammo Input'!M305^0.6/1000,0)</f>
        <v>0</v>
      </c>
      <c r="J305">
        <f t="shared" si="13"/>
        <v>0</v>
      </c>
      <c r="K305">
        <f t="shared" si="14"/>
        <v>5</v>
      </c>
      <c r="L305">
        <f>200000/('Ammo Stats'!C305*(MAX('Ammo Input'!D305,'Ammo Input'!F305)*0.5)^2*PI())</f>
        <v>261930.628131604</v>
      </c>
      <c r="M305">
        <f>IF(B305="Frag",1,('Ammo Input'!M305/1.33)/('Ammo Input'!H305/1000))</f>
        <v>0</v>
      </c>
      <c r="N305" t="s">
        <v>353</v>
      </c>
      <c r="O305" t="s">
        <v>353</v>
      </c>
      <c r="P305" s="3">
        <f>(39493.49*(IF((VLOOKUP(B305,AmmoTypeFactors,6,FALSE)="Bomb_Secondary"),1.33,1)*('Ammo Input'!H305*0.35)/1000)^0.6/1000)*10/3*VLOOKUP(B305,AmmoTypeFactors,4,FALSE)</f>
        <v>0</v>
      </c>
    </row>
    <row r="306" ht="14.4" spans="1:16">
      <c r="A306" t="str">
        <f>'Ammo Input'!A306</f>
        <v>7.63x25mm Mauser</v>
      </c>
      <c r="B306" s="1" t="str">
        <f>'Ammo Input'!B306</f>
        <v>AP</v>
      </c>
      <c r="C306">
        <f>(0.579*('Ammo Stats'!G306*IF(OR(B306="HEAT",B306="HEDP"),10,'Ammo Input'!F306)*VLOOKUP(B306,AmmoTypeFactors,7,FALSE))^(0.346))^IF(B306="HEDP",2.1,1)/IF(B306="HEDP",50,1)</f>
        <v>8.224917982747</v>
      </c>
      <c r="D306" s="16">
        <f>IF(VLOOKUP(B306,AmmoTypeFactors,8,FALSE),J306,C306)*VLOOKUP('Ammo Input'!B306,AmmoTypeFactors,2,FALSE)</f>
        <v>6.5799343861976</v>
      </c>
      <c r="E306" s="16">
        <f>IF(OR(VLOOKUP(B306,AmmoTypeFactors,6,FALSE)="Bomb",VLOOKUP(B306,AmmoTypeFactors,6,FALSE)="Thermobaric"),J306*VLOOKUP(B306,AmmoTypeFactors,4,FALSE),IF(VLOOKUP(B306,AmmoTypeFactors,11,FALSE),P306,C306*VLOOKUP(B306,AmmoTypeFactors,4,FALSE)))</f>
        <v>0</v>
      </c>
      <c r="F306" s="16">
        <f>'Ammo Stats'!G306/0.005</f>
        <v>109000</v>
      </c>
      <c r="G306" s="16">
        <f>(IF(B306="HEAT",10,'Ammo Input'!F306)*VLOOKUP(B306,AmmoTypeFactors,7,FALSE)*0.5)^2*PI()/100</f>
        <v>0.121303960938572</v>
      </c>
      <c r="H306" s="10">
        <f t="shared" si="12"/>
        <v>10.9</v>
      </c>
      <c r="I306" s="10">
        <f>IF(B306&lt;&gt;"Arrow (Flaming)",39493.49*'Ammo Input'!M306^0.6/1000,0)</f>
        <v>0</v>
      </c>
      <c r="J306">
        <f t="shared" si="13"/>
        <v>0</v>
      </c>
      <c r="K306">
        <f t="shared" si="14"/>
        <v>5</v>
      </c>
      <c r="L306">
        <f>200000/('Ammo Stats'!C306*(MAX('Ammo Input'!D306,'Ammo Input'!F306)*0.5)^2*PI())</f>
        <v>261930.628131604</v>
      </c>
      <c r="M306">
        <f>IF(B306="Frag",1,('Ammo Input'!M306/1.33)/('Ammo Input'!H306/1000))</f>
        <v>0</v>
      </c>
      <c r="N306" t="s">
        <v>353</v>
      </c>
      <c r="O306" t="s">
        <v>353</v>
      </c>
      <c r="P306" s="3">
        <f>(39493.49*(IF((VLOOKUP(B306,AmmoTypeFactors,6,FALSE)="Bomb_Secondary"),1.33,1)*('Ammo Input'!H306*0.35)/1000)^0.6/1000)*10/3*VLOOKUP(B306,AmmoTypeFactors,4,FALSE)</f>
        <v>0</v>
      </c>
    </row>
    <row r="307" ht="14.4" spans="1:16">
      <c r="A307" t="str">
        <f>'Ammo Input'!A307</f>
        <v>7.63x25mm Mauser</v>
      </c>
      <c r="B307" s="1" t="str">
        <f>'Ammo Input'!B307</f>
        <v>HP</v>
      </c>
      <c r="C307">
        <f>(0.579*('Ammo Stats'!G307*IF(OR(B307="HEAT",B307="HEDP"),10,'Ammo Input'!F307)*VLOOKUP(B307,AmmoTypeFactors,7,FALSE))^(0.346))^IF(B307="HEDP",2.1,1)/IF(B307="HEDP",50,1)</f>
        <v>13.2875322910379</v>
      </c>
      <c r="D307" s="16">
        <f>IF(VLOOKUP(B307,AmmoTypeFactors,8,FALSE),J307,C307)*VLOOKUP('Ammo Input'!B307,AmmoTypeFactors,2,FALSE)</f>
        <v>13.2875322910379</v>
      </c>
      <c r="E307" s="16">
        <f>IF(OR(VLOOKUP(B307,AmmoTypeFactors,6,FALSE)="Bomb",VLOOKUP(B307,AmmoTypeFactors,6,FALSE)="Thermobaric"),J307*VLOOKUP(B307,AmmoTypeFactors,4,FALSE),IF(VLOOKUP(B307,AmmoTypeFactors,11,FALSE),P307,C307*VLOOKUP(B307,AmmoTypeFactors,4,FALSE)))</f>
        <v>0</v>
      </c>
      <c r="F307" s="16">
        <f>'Ammo Stats'!G307/0.005</f>
        <v>109000</v>
      </c>
      <c r="G307" s="16">
        <f>(IF(B307="HEAT",10,'Ammo Input'!F307)*VLOOKUP(B307,AmmoTypeFactors,7,FALSE)*0.5)^2*PI()/100</f>
        <v>1.94086337501716</v>
      </c>
      <c r="H307" s="10">
        <f t="shared" si="12"/>
        <v>10.9</v>
      </c>
      <c r="I307" s="10">
        <f>IF(B307&lt;&gt;"Arrow (Flaming)",39493.49*'Ammo Input'!M307^0.6/1000,0)</f>
        <v>0</v>
      </c>
      <c r="J307">
        <f t="shared" si="13"/>
        <v>0</v>
      </c>
      <c r="K307">
        <f t="shared" si="14"/>
        <v>5</v>
      </c>
      <c r="L307">
        <f>200000/('Ammo Stats'!C307*(MAX('Ammo Input'!D307,'Ammo Input'!F307)*0.5)^2*PI())</f>
        <v>261930.628131604</v>
      </c>
      <c r="M307">
        <f>IF(B307="Frag",1,('Ammo Input'!M307/1.33)/('Ammo Input'!H307/1000))</f>
        <v>0</v>
      </c>
      <c r="N307" t="s">
        <v>353</v>
      </c>
      <c r="O307" t="s">
        <v>353</v>
      </c>
      <c r="P307" s="3">
        <f>(39493.49*(IF((VLOOKUP(B307,AmmoTypeFactors,6,FALSE)="Bomb_Secondary"),1.33,1)*('Ammo Input'!H307*0.35)/1000)^0.6/1000)*10/3*VLOOKUP(B307,AmmoTypeFactors,4,FALSE)</f>
        <v>0</v>
      </c>
    </row>
    <row r="308" ht="14.4" spans="1:16">
      <c r="A308" t="str">
        <f>'Ammo Input'!A308</f>
        <v>7.65x20mm Longue</v>
      </c>
      <c r="B308" s="1" t="str">
        <f>'Ammo Input'!B308</f>
        <v>FMJ</v>
      </c>
      <c r="C308">
        <f>(0.579*('Ammo Stats'!G308*IF(OR(B308="HEAT",B308="HEDP"),10,'Ammo Input'!F308)*VLOOKUP(B308,AmmoTypeFactors,7,FALSE))^(0.346))^IF(B308="HEDP",2.1,1)/IF(B308="HEDP",50,1)</f>
        <v>8.4797352341004</v>
      </c>
      <c r="D308" s="16">
        <f>IF(VLOOKUP(B308,AmmoTypeFactors,8,FALSE),J308,C308)*VLOOKUP('Ammo Input'!B308,AmmoTypeFactors,2,FALSE)</f>
        <v>8.4797352341004</v>
      </c>
      <c r="E308" s="16">
        <f>IF(OR(VLOOKUP(B308,AmmoTypeFactors,6,FALSE)="Bomb",VLOOKUP(B308,AmmoTypeFactors,6,FALSE)="Thermobaric"),J308*VLOOKUP(B308,AmmoTypeFactors,4,FALSE),IF(VLOOKUP(B308,AmmoTypeFactors,11,FALSE),P308,C308*VLOOKUP(B308,AmmoTypeFactors,4,FALSE)))</f>
        <v>0</v>
      </c>
      <c r="F308" s="16">
        <f>'Ammo Stats'!G308/0.005</f>
        <v>59600</v>
      </c>
      <c r="G308" s="16">
        <f>(IF(B308="HEAT",10,'Ammo Input'!F308)*VLOOKUP(B308,AmmoTypeFactors,7,FALSE)*0.5)^2*PI()/100</f>
        <v>0.483981983239593</v>
      </c>
      <c r="H308" s="10">
        <f t="shared" si="12"/>
        <v>5.96</v>
      </c>
      <c r="I308" s="10">
        <f>IF(B308&lt;&gt;"Arrow (Flaming)",39493.49*'Ammo Input'!M308^0.6/1000,0)</f>
        <v>0</v>
      </c>
      <c r="J308">
        <f t="shared" si="13"/>
        <v>0</v>
      </c>
      <c r="K308">
        <f t="shared" si="14"/>
        <v>4</v>
      </c>
      <c r="L308">
        <f>200000/('Ammo Stats'!C308*(MAX('Ammo Input'!D308,'Ammo Input'!F308)*0.5)^2*PI())</f>
        <v>349979.053237429</v>
      </c>
      <c r="M308">
        <f>IF(B308="Frag",1,('Ammo Input'!M308/1.33)/('Ammo Input'!H308/1000))</f>
        <v>0</v>
      </c>
      <c r="N308" t="s">
        <v>353</v>
      </c>
      <c r="O308" t="s">
        <v>353</v>
      </c>
      <c r="P308" s="3">
        <f>(39493.49*(IF((VLOOKUP(B308,AmmoTypeFactors,6,FALSE)="Bomb_Secondary"),1.33,1)*('Ammo Input'!H308*0.35)/1000)^0.6/1000)*10/3*VLOOKUP(B308,AmmoTypeFactors,4,FALSE)</f>
        <v>0</v>
      </c>
    </row>
    <row r="309" ht="14.4" spans="1:16">
      <c r="A309" t="str">
        <f>'Ammo Input'!A309</f>
        <v>7.65x20mm Longue</v>
      </c>
      <c r="B309" s="1" t="str">
        <f>'Ammo Input'!B309</f>
        <v>AP</v>
      </c>
      <c r="C309">
        <f>(0.579*('Ammo Stats'!G309*IF(OR(B309="HEAT",B309="HEDP"),10,'Ammo Input'!F309)*VLOOKUP(B309,AmmoTypeFactors,7,FALSE))^(0.346))^IF(B309="HEDP",2.1,1)/IF(B309="HEDP",50,1)</f>
        <v>6.67153722873162</v>
      </c>
      <c r="D309" s="16">
        <f>IF(VLOOKUP(B309,AmmoTypeFactors,8,FALSE),J309,C309)*VLOOKUP('Ammo Input'!B309,AmmoTypeFactors,2,FALSE)</f>
        <v>5.3372297829853</v>
      </c>
      <c r="E309" s="16">
        <f>IF(OR(VLOOKUP(B309,AmmoTypeFactors,6,FALSE)="Bomb",VLOOKUP(B309,AmmoTypeFactors,6,FALSE)="Thermobaric"),J309*VLOOKUP(B309,AmmoTypeFactors,4,FALSE),IF(VLOOKUP(B309,AmmoTypeFactors,11,FALSE),P309,C309*VLOOKUP(B309,AmmoTypeFactors,4,FALSE)))</f>
        <v>0</v>
      </c>
      <c r="F309" s="16">
        <f>'Ammo Stats'!G309/0.005</f>
        <v>59600</v>
      </c>
      <c r="G309" s="16">
        <f>(IF(B309="HEAT",10,'Ammo Input'!F309)*VLOOKUP(B309,AmmoTypeFactors,7,FALSE)*0.5)^2*PI()/100</f>
        <v>0.120995495809898</v>
      </c>
      <c r="H309" s="10">
        <f t="shared" si="12"/>
        <v>5.96</v>
      </c>
      <c r="I309" s="10">
        <f>IF(B309&lt;&gt;"Arrow (Flaming)",39493.49*'Ammo Input'!M309^0.6/1000,0)</f>
        <v>0</v>
      </c>
      <c r="J309">
        <f t="shared" si="13"/>
        <v>0</v>
      </c>
      <c r="K309">
        <f t="shared" si="14"/>
        <v>4</v>
      </c>
      <c r="L309">
        <f>200000/('Ammo Stats'!C309*(MAX('Ammo Input'!D309,'Ammo Input'!F309)*0.5)^2*PI())</f>
        <v>349979.053237429</v>
      </c>
      <c r="M309">
        <f>IF(B309="Frag",1,('Ammo Input'!M309/1.33)/('Ammo Input'!H309/1000))</f>
        <v>0</v>
      </c>
      <c r="N309" t="s">
        <v>353</v>
      </c>
      <c r="O309" t="s">
        <v>353</v>
      </c>
      <c r="P309" s="3">
        <f>(39493.49*(IF((VLOOKUP(B309,AmmoTypeFactors,6,FALSE)="Bomb_Secondary"),1.33,1)*('Ammo Input'!H309*0.35)/1000)^0.6/1000)*10/3*VLOOKUP(B309,AmmoTypeFactors,4,FALSE)</f>
        <v>0</v>
      </c>
    </row>
    <row r="310" ht="14.4" spans="1:16">
      <c r="A310" t="str">
        <f>'Ammo Input'!A310</f>
        <v>7.65x20mm Longue</v>
      </c>
      <c r="B310" s="1" t="str">
        <f>'Ammo Input'!B310</f>
        <v>HP</v>
      </c>
      <c r="C310">
        <f>(0.579*('Ammo Stats'!G310*IF(OR(B310="HEAT",B310="HEDP"),10,'Ammo Input'!F310)*VLOOKUP(B310,AmmoTypeFactors,7,FALSE))^(0.346))^IF(B310="HEDP",2.1,1)/IF(B310="HEDP",50,1)</f>
        <v>10.7780121994634</v>
      </c>
      <c r="D310" s="16">
        <f>IF(VLOOKUP(B310,AmmoTypeFactors,8,FALSE),J310,C310)*VLOOKUP('Ammo Input'!B310,AmmoTypeFactors,2,FALSE)</f>
        <v>10.7780121994634</v>
      </c>
      <c r="E310" s="16">
        <f>IF(OR(VLOOKUP(B310,AmmoTypeFactors,6,FALSE)="Bomb",VLOOKUP(B310,AmmoTypeFactors,6,FALSE)="Thermobaric"),J310*VLOOKUP(B310,AmmoTypeFactors,4,FALSE),IF(VLOOKUP(B310,AmmoTypeFactors,11,FALSE),P310,C310*VLOOKUP(B310,AmmoTypeFactors,4,FALSE)))</f>
        <v>0</v>
      </c>
      <c r="F310" s="16">
        <f>'Ammo Stats'!G310/0.005</f>
        <v>59600</v>
      </c>
      <c r="G310" s="16">
        <f>(IF(B310="HEAT",10,'Ammo Input'!F310)*VLOOKUP(B310,AmmoTypeFactors,7,FALSE)*0.5)^2*PI()/100</f>
        <v>1.93592793295837</v>
      </c>
      <c r="H310" s="10">
        <f t="shared" si="12"/>
        <v>5.96</v>
      </c>
      <c r="I310" s="10">
        <f>IF(B310&lt;&gt;"Arrow (Flaming)",39493.49*'Ammo Input'!M310^0.6/1000,0)</f>
        <v>0</v>
      </c>
      <c r="J310">
        <f t="shared" si="13"/>
        <v>0</v>
      </c>
      <c r="K310">
        <f t="shared" si="14"/>
        <v>4</v>
      </c>
      <c r="L310">
        <f>200000/('Ammo Stats'!C310*(MAX('Ammo Input'!D310,'Ammo Input'!F310)*0.5)^2*PI())</f>
        <v>349979.053237429</v>
      </c>
      <c r="M310">
        <f>IF(B310="Frag",1,('Ammo Input'!M310/1.33)/('Ammo Input'!H310/1000))</f>
        <v>0</v>
      </c>
      <c r="N310" t="s">
        <v>353</v>
      </c>
      <c r="O310" t="s">
        <v>353</v>
      </c>
      <c r="P310" s="3">
        <f>(39493.49*(IF((VLOOKUP(B310,AmmoTypeFactors,6,FALSE)="Bomb_Secondary"),1.33,1)*('Ammo Input'!H310*0.35)/1000)^0.6/1000)*10/3*VLOOKUP(B310,AmmoTypeFactors,4,FALSE)</f>
        <v>0</v>
      </c>
    </row>
    <row r="311" ht="14.4" spans="1:16">
      <c r="A311" t="str">
        <f>'Ammo Input'!A311</f>
        <v>.357 SIG</v>
      </c>
      <c r="B311" s="1" t="str">
        <f>'Ammo Input'!B311</f>
        <v>FMJ</v>
      </c>
      <c r="C311">
        <f>(0.579*('Ammo Stats'!G311*IF(OR(B311="HEAT",B311="HEDP"),10,'Ammo Input'!F311)*VLOOKUP(B311,AmmoTypeFactors,7,FALSE))^(0.346))^IF(B311="HEDP",2.1,1)/IF(B311="HEDP",50,1)</f>
        <v>11.8426508778763</v>
      </c>
      <c r="D311" s="16">
        <f>IF(VLOOKUP(B311,AmmoTypeFactors,8,FALSE),J311,C311)*VLOOKUP('Ammo Input'!B311,AmmoTypeFactors,2,FALSE)</f>
        <v>11.8426508778763</v>
      </c>
      <c r="E311" s="16">
        <f>IF(OR(VLOOKUP(B311,AmmoTypeFactors,6,FALSE)="Bomb",VLOOKUP(B311,AmmoTypeFactors,6,FALSE)="Thermobaric"),J311*VLOOKUP(B311,AmmoTypeFactors,4,FALSE),IF(VLOOKUP(B311,AmmoTypeFactors,11,FALSE),P311,C311*VLOOKUP(B311,AmmoTypeFactors,4,FALSE)))</f>
        <v>0</v>
      </c>
      <c r="F311" s="16">
        <f>'Ammo Stats'!G311/0.005</f>
        <v>136200</v>
      </c>
      <c r="G311" s="16">
        <f>(IF(B311="HEAT",10,'Ammo Input'!F311)*VLOOKUP(B311,AmmoTypeFactors,7,FALSE)*0.5)^2*PI()/100</f>
        <v>0.639003087332818</v>
      </c>
      <c r="H311" s="10">
        <f t="shared" si="12"/>
        <v>13.62</v>
      </c>
      <c r="I311" s="10">
        <f>IF(B311&lt;&gt;"Arrow (Flaming)",39493.49*'Ammo Input'!M311^0.6/1000,0)</f>
        <v>0</v>
      </c>
      <c r="J311">
        <f t="shared" si="13"/>
        <v>0</v>
      </c>
      <c r="K311">
        <f t="shared" si="14"/>
        <v>5</v>
      </c>
      <c r="L311">
        <f>200000/('Ammo Stats'!C311*(MAX('Ammo Input'!D311,'Ammo Input'!F311)*0.5)^2*PI())</f>
        <v>219537.496645943</v>
      </c>
      <c r="M311">
        <f>IF(B311="Frag",1,('Ammo Input'!M311/1.33)/('Ammo Input'!H311/1000))</f>
        <v>0</v>
      </c>
      <c r="N311" t="s">
        <v>353</v>
      </c>
      <c r="O311" t="s">
        <v>353</v>
      </c>
      <c r="P311" s="3">
        <f>(39493.49*(IF((VLOOKUP(B311,AmmoTypeFactors,6,FALSE)="Bomb_Secondary"),1.33,1)*('Ammo Input'!H311*0.35)/1000)^0.6/1000)*10/3*VLOOKUP(B311,AmmoTypeFactors,4,FALSE)</f>
        <v>0</v>
      </c>
    </row>
    <row r="312" ht="14.4" spans="1:16">
      <c r="A312" t="str">
        <f>'Ammo Input'!A312</f>
        <v>.357 SIG</v>
      </c>
      <c r="B312" s="1" t="str">
        <f>'Ammo Input'!B312</f>
        <v>AP</v>
      </c>
      <c r="C312">
        <f>(0.579*('Ammo Stats'!G312*IF(OR(B312="HEAT",B312="HEDP"),10,'Ammo Input'!F312)*VLOOKUP(B312,AmmoTypeFactors,7,FALSE))^(0.346))^IF(B312="HEDP",2.1,1)/IF(B312="HEDP",50,1)</f>
        <v>9.31735296414652</v>
      </c>
      <c r="D312" s="16">
        <f>IF(VLOOKUP(B312,AmmoTypeFactors,8,FALSE),J312,C312)*VLOOKUP('Ammo Input'!B312,AmmoTypeFactors,2,FALSE)</f>
        <v>7.45388237131722</v>
      </c>
      <c r="E312" s="16">
        <f>IF(OR(VLOOKUP(B312,AmmoTypeFactors,6,FALSE)="Bomb",VLOOKUP(B312,AmmoTypeFactors,6,FALSE)="Thermobaric"),J312*VLOOKUP(B312,AmmoTypeFactors,4,FALSE),IF(VLOOKUP(B312,AmmoTypeFactors,11,FALSE),P312,C312*VLOOKUP(B312,AmmoTypeFactors,4,FALSE)))</f>
        <v>0</v>
      </c>
      <c r="F312" s="16">
        <f>'Ammo Stats'!G312/0.005</f>
        <v>136200</v>
      </c>
      <c r="G312" s="16">
        <f>(IF(B312="HEAT",10,'Ammo Input'!F312)*VLOOKUP(B312,AmmoTypeFactors,7,FALSE)*0.5)^2*PI()/100</f>
        <v>0.159750771833204</v>
      </c>
      <c r="H312" s="10">
        <f t="shared" si="12"/>
        <v>13.62</v>
      </c>
      <c r="I312" s="10">
        <f>IF(B312&lt;&gt;"Arrow (Flaming)",39493.49*'Ammo Input'!M312^0.6/1000,0)</f>
        <v>0</v>
      </c>
      <c r="J312">
        <f t="shared" si="13"/>
        <v>0</v>
      </c>
      <c r="K312">
        <f t="shared" si="14"/>
        <v>5</v>
      </c>
      <c r="L312">
        <f>200000/('Ammo Stats'!C312*(MAX('Ammo Input'!D312,'Ammo Input'!F312)*0.5)^2*PI())</f>
        <v>219537.496645943</v>
      </c>
      <c r="M312">
        <f>IF(B312="Frag",1,('Ammo Input'!M312/1.33)/('Ammo Input'!H312/1000))</f>
        <v>0</v>
      </c>
      <c r="N312" t="s">
        <v>353</v>
      </c>
      <c r="O312" t="s">
        <v>353</v>
      </c>
      <c r="P312" s="3">
        <f>(39493.49*(IF((VLOOKUP(B312,AmmoTypeFactors,6,FALSE)="Bomb_Secondary"),1.33,1)*('Ammo Input'!H312*0.35)/1000)^0.6/1000)*10/3*VLOOKUP(B312,AmmoTypeFactors,4,FALSE)</f>
        <v>0</v>
      </c>
    </row>
    <row r="313" ht="14.4" spans="1:16">
      <c r="A313" t="str">
        <f>'Ammo Input'!A313</f>
        <v>.357 SIG</v>
      </c>
      <c r="B313" s="1" t="str">
        <f>'Ammo Input'!B313</f>
        <v>HP</v>
      </c>
      <c r="C313">
        <f>(0.579*('Ammo Stats'!G313*IF(OR(B313="HEAT",B313="HEDP"),10,'Ammo Input'!F313)*VLOOKUP(B313,AmmoTypeFactors,7,FALSE))^(0.346))^IF(B313="HEDP",2.1,1)/IF(B313="HEDP",50,1)</f>
        <v>15.0523845511644</v>
      </c>
      <c r="D313" s="16">
        <f>IF(VLOOKUP(B313,AmmoTypeFactors,8,FALSE),J313,C313)*VLOOKUP('Ammo Input'!B313,AmmoTypeFactors,2,FALSE)</f>
        <v>15.0523845511644</v>
      </c>
      <c r="E313" s="16">
        <f>IF(OR(VLOOKUP(B313,AmmoTypeFactors,6,FALSE)="Bomb",VLOOKUP(B313,AmmoTypeFactors,6,FALSE)="Thermobaric"),J313*VLOOKUP(B313,AmmoTypeFactors,4,FALSE),IF(VLOOKUP(B313,AmmoTypeFactors,11,FALSE),P313,C313*VLOOKUP(B313,AmmoTypeFactors,4,FALSE)))</f>
        <v>0</v>
      </c>
      <c r="F313" s="16">
        <f>'Ammo Stats'!G313/0.005</f>
        <v>136200</v>
      </c>
      <c r="G313" s="16">
        <f>(IF(B313="HEAT",10,'Ammo Input'!F313)*VLOOKUP(B313,AmmoTypeFactors,7,FALSE)*0.5)^2*PI()/100</f>
        <v>2.55601234933127</v>
      </c>
      <c r="H313" s="10">
        <f t="shared" si="12"/>
        <v>13.62</v>
      </c>
      <c r="I313" s="10">
        <f>IF(B313&lt;&gt;"Arrow (Flaming)",39493.49*'Ammo Input'!M313^0.6/1000,0)</f>
        <v>0</v>
      </c>
      <c r="J313">
        <f t="shared" si="13"/>
        <v>0</v>
      </c>
      <c r="K313">
        <f t="shared" si="14"/>
        <v>5</v>
      </c>
      <c r="L313">
        <f>200000/('Ammo Stats'!C313*(MAX('Ammo Input'!D313,'Ammo Input'!F313)*0.5)^2*PI())</f>
        <v>219537.496645943</v>
      </c>
      <c r="M313">
        <f>IF(B313="Frag",1,('Ammo Input'!M313/1.33)/('Ammo Input'!H313/1000))</f>
        <v>0</v>
      </c>
      <c r="N313" t="s">
        <v>353</v>
      </c>
      <c r="O313" t="s">
        <v>353</v>
      </c>
      <c r="P313" s="3">
        <f>(39493.49*(IF((VLOOKUP(B313,AmmoTypeFactors,6,FALSE)="Bomb_Secondary"),1.33,1)*('Ammo Input'!H313*0.35)/1000)^0.6/1000)*10/3*VLOOKUP(B313,AmmoTypeFactors,4,FALSE)</f>
        <v>0</v>
      </c>
    </row>
    <row r="314" ht="14.4" spans="1:16">
      <c r="A314" t="str">
        <f>'Ammo Input'!A314</f>
        <v>.38 S&amp;W</v>
      </c>
      <c r="B314" s="1" t="str">
        <f>'Ammo Input'!B314</f>
        <v>FMJ</v>
      </c>
      <c r="C314">
        <f>(0.579*('Ammo Stats'!G314*IF(OR(B314="HEAT",B314="HEDP"),10,'Ammo Input'!F314)*VLOOKUP(B314,AmmoTypeFactors,7,FALSE))^(0.346))^IF(B314="HEDP",2.1,1)/IF(B314="HEDP",50,1)</f>
        <v>8.75645270498837</v>
      </c>
      <c r="D314" s="16">
        <f>IF(VLOOKUP(B314,AmmoTypeFactors,8,FALSE),J314,C314)*VLOOKUP('Ammo Input'!B314,AmmoTypeFactors,2,FALSE)</f>
        <v>8.75645270498837</v>
      </c>
      <c r="E314" s="16">
        <f>IF(OR(VLOOKUP(B314,AmmoTypeFactors,6,FALSE)="Bomb",VLOOKUP(B314,AmmoTypeFactors,6,FALSE)="Thermobaric"),J314*VLOOKUP(B314,AmmoTypeFactors,4,FALSE),IF(VLOOKUP(B314,AmmoTypeFactors,11,FALSE),P314,C314*VLOOKUP(B314,AmmoTypeFactors,4,FALSE)))</f>
        <v>0</v>
      </c>
      <c r="F314" s="16">
        <f>'Ammo Stats'!G314/0.005</f>
        <v>55800</v>
      </c>
      <c r="G314" s="16">
        <f>(IF(B314="HEAT",10,'Ammo Input'!F314)*VLOOKUP(B314,AmmoTypeFactors,7,FALSE)*0.5)^2*PI()/100</f>
        <v>0.6647610054996</v>
      </c>
      <c r="H314" s="10">
        <f t="shared" si="12"/>
        <v>5.58</v>
      </c>
      <c r="I314" s="10">
        <f>IF(B314&lt;&gt;"Arrow (Flaming)",39493.49*'Ammo Input'!M314^0.6/1000,0)</f>
        <v>0</v>
      </c>
      <c r="J314">
        <f t="shared" si="13"/>
        <v>0</v>
      </c>
      <c r="K314">
        <f t="shared" si="14"/>
        <v>4</v>
      </c>
      <c r="L314">
        <f>200000/('Ammo Stats'!C314*(MAX('Ammo Input'!D314,'Ammo Input'!F314)*0.5)^2*PI())</f>
        <v>264068.828471585</v>
      </c>
      <c r="M314">
        <f>IF(B314="Frag",1,('Ammo Input'!M314/1.33)/('Ammo Input'!H314/1000))</f>
        <v>0</v>
      </c>
      <c r="N314" t="s">
        <v>353</v>
      </c>
      <c r="O314" t="s">
        <v>353</v>
      </c>
      <c r="P314" s="3">
        <f>(39493.49*(IF((VLOOKUP(B314,AmmoTypeFactors,6,FALSE)="Bomb_Secondary"),1.33,1)*('Ammo Input'!H314*0.35)/1000)^0.6/1000)*10/3*VLOOKUP(B314,AmmoTypeFactors,4,FALSE)</f>
        <v>0</v>
      </c>
    </row>
    <row r="315" ht="14.4" spans="1:16">
      <c r="A315" t="str">
        <f>'Ammo Input'!A315</f>
        <v>.38 S&amp;W</v>
      </c>
      <c r="B315" s="1" t="str">
        <f>'Ammo Input'!B315</f>
        <v>AP</v>
      </c>
      <c r="C315">
        <f>(0.579*('Ammo Stats'!G315*IF(OR(B315="HEAT",B315="HEDP"),10,'Ammo Input'!F315)*VLOOKUP(B315,AmmoTypeFactors,7,FALSE))^(0.346))^IF(B315="HEDP",2.1,1)/IF(B315="HEDP",50,1)</f>
        <v>6.88924814279949</v>
      </c>
      <c r="D315" s="16">
        <f>IF(VLOOKUP(B315,AmmoTypeFactors,8,FALSE),J315,C315)*VLOOKUP('Ammo Input'!B315,AmmoTypeFactors,2,FALSE)</f>
        <v>5.51139851423959</v>
      </c>
      <c r="E315" s="16">
        <f>IF(OR(VLOOKUP(B315,AmmoTypeFactors,6,FALSE)="Bomb",VLOOKUP(B315,AmmoTypeFactors,6,FALSE)="Thermobaric"),J315*VLOOKUP(B315,AmmoTypeFactors,4,FALSE),IF(VLOOKUP(B315,AmmoTypeFactors,11,FALSE),P315,C315*VLOOKUP(B315,AmmoTypeFactors,4,FALSE)))</f>
        <v>0</v>
      </c>
      <c r="F315" s="16">
        <f>'Ammo Stats'!G315/0.005</f>
        <v>55800</v>
      </c>
      <c r="G315" s="16">
        <f>(IF(B315="HEAT",10,'Ammo Input'!F315)*VLOOKUP(B315,AmmoTypeFactors,7,FALSE)*0.5)^2*PI()/100</f>
        <v>0.1661902513749</v>
      </c>
      <c r="H315" s="10">
        <f t="shared" si="12"/>
        <v>5.58</v>
      </c>
      <c r="I315" s="10">
        <f>IF(B315&lt;&gt;"Arrow (Flaming)",39493.49*'Ammo Input'!M315^0.6/1000,0)</f>
        <v>0</v>
      </c>
      <c r="J315">
        <f t="shared" si="13"/>
        <v>0</v>
      </c>
      <c r="K315">
        <f t="shared" si="14"/>
        <v>4</v>
      </c>
      <c r="L315">
        <f>200000/('Ammo Stats'!C315*(MAX('Ammo Input'!D315,'Ammo Input'!F315)*0.5)^2*PI())</f>
        <v>264068.828471585</v>
      </c>
      <c r="M315">
        <f>IF(B315="Frag",1,('Ammo Input'!M315/1.33)/('Ammo Input'!H315/1000))</f>
        <v>0</v>
      </c>
      <c r="N315" t="s">
        <v>353</v>
      </c>
      <c r="O315" t="s">
        <v>353</v>
      </c>
      <c r="P315" s="3">
        <f>(39493.49*(IF((VLOOKUP(B315,AmmoTypeFactors,6,FALSE)="Bomb_Secondary"),1.33,1)*('Ammo Input'!H315*0.35)/1000)^0.6/1000)*10/3*VLOOKUP(B315,AmmoTypeFactors,4,FALSE)</f>
        <v>0</v>
      </c>
    </row>
    <row r="316" ht="14.4" spans="1:16">
      <c r="A316" t="str">
        <f>'Ammo Input'!A316</f>
        <v>.38 S&amp;W</v>
      </c>
      <c r="B316" s="1" t="str">
        <f>'Ammo Input'!B316</f>
        <v>HP</v>
      </c>
      <c r="C316">
        <f>(0.579*('Ammo Stats'!G316*IF(OR(B316="HEAT",B316="HEDP"),10,'Ammo Input'!F316)*VLOOKUP(B316,AmmoTypeFactors,7,FALSE))^(0.346))^IF(B316="HEDP",2.1,1)/IF(B316="HEDP",50,1)</f>
        <v>11.1297288739465</v>
      </c>
      <c r="D316" s="16">
        <f>IF(VLOOKUP(B316,AmmoTypeFactors,8,FALSE),J316,C316)*VLOOKUP('Ammo Input'!B316,AmmoTypeFactors,2,FALSE)</f>
        <v>11.1297288739465</v>
      </c>
      <c r="E316" s="16">
        <f>IF(OR(VLOOKUP(B316,AmmoTypeFactors,6,FALSE)="Bomb",VLOOKUP(B316,AmmoTypeFactors,6,FALSE)="Thermobaric"),J316*VLOOKUP(B316,AmmoTypeFactors,4,FALSE),IF(VLOOKUP(B316,AmmoTypeFactors,11,FALSE),P316,C316*VLOOKUP(B316,AmmoTypeFactors,4,FALSE)))</f>
        <v>0</v>
      </c>
      <c r="F316" s="16">
        <f>'Ammo Stats'!G316/0.005</f>
        <v>55800</v>
      </c>
      <c r="G316" s="16">
        <f>(IF(B316="HEAT",10,'Ammo Input'!F316)*VLOOKUP(B316,AmmoTypeFactors,7,FALSE)*0.5)^2*PI()/100</f>
        <v>2.6590440219984</v>
      </c>
      <c r="H316" s="10">
        <f t="shared" si="12"/>
        <v>5.58</v>
      </c>
      <c r="I316" s="10">
        <f>IF(B316&lt;&gt;"Arrow (Flaming)",39493.49*'Ammo Input'!M316^0.6/1000,0)</f>
        <v>0</v>
      </c>
      <c r="J316">
        <f t="shared" si="13"/>
        <v>0</v>
      </c>
      <c r="K316">
        <f t="shared" si="14"/>
        <v>4</v>
      </c>
      <c r="L316">
        <f>200000/('Ammo Stats'!C316*(MAX('Ammo Input'!D316,'Ammo Input'!F316)*0.5)^2*PI())</f>
        <v>264068.828471585</v>
      </c>
      <c r="M316">
        <f>IF(B316="Frag",1,('Ammo Input'!M316/1.33)/('Ammo Input'!H316/1000))</f>
        <v>0</v>
      </c>
      <c r="N316" t="s">
        <v>353</v>
      </c>
      <c r="O316" t="s">
        <v>353</v>
      </c>
      <c r="P316" s="3">
        <f>(39493.49*(IF((VLOOKUP(B316,AmmoTypeFactors,6,FALSE)="Bomb_Secondary"),1.33,1)*('Ammo Input'!H316*0.35)/1000)^0.6/1000)*10/3*VLOOKUP(B316,AmmoTypeFactors,4,FALSE)</f>
        <v>0</v>
      </c>
    </row>
    <row r="317" ht="14.4" spans="1:16">
      <c r="A317" t="str">
        <f>'Ammo Input'!A317</f>
        <v>.38 ACP</v>
      </c>
      <c r="B317" s="1" t="str">
        <f>'Ammo Input'!B317</f>
        <v>FMJ</v>
      </c>
      <c r="C317">
        <f>(0.579*('Ammo Stats'!G317*IF(OR(B317="HEAT",B317="HEDP"),10,'Ammo Input'!F317)*VLOOKUP(B317,AmmoTypeFactors,7,FALSE))^(0.346))^IF(B317="HEDP",2.1,1)/IF(B317="HEDP",50,1)</f>
        <v>10.0850184040537</v>
      </c>
      <c r="D317" s="16">
        <f>IF(VLOOKUP(B317,AmmoTypeFactors,8,FALSE),J317,C317)*VLOOKUP('Ammo Input'!B317,AmmoTypeFactors,2,FALSE)</f>
        <v>10.0850184040537</v>
      </c>
      <c r="E317" s="16">
        <f>IF(OR(VLOOKUP(B317,AmmoTypeFactors,6,FALSE)="Bomb",VLOOKUP(B317,AmmoTypeFactors,6,FALSE)="Thermobaric"),J317*VLOOKUP(B317,AmmoTypeFactors,4,FALSE),IF(VLOOKUP(B317,AmmoTypeFactors,11,FALSE),P317,C317*VLOOKUP(B317,AmmoTypeFactors,4,FALSE)))</f>
        <v>0</v>
      </c>
      <c r="F317" s="16">
        <f>'Ammo Stats'!G317/0.005</f>
        <v>85800</v>
      </c>
      <c r="G317" s="16">
        <f>(IF(B317="HEAT",10,'Ammo Input'!F317)*VLOOKUP(B317,AmmoTypeFactors,7,FALSE)*0.5)^2*PI()/100</f>
        <v>0.636172512351933</v>
      </c>
      <c r="H317" s="10">
        <f t="shared" si="12"/>
        <v>8.58</v>
      </c>
      <c r="I317" s="10">
        <f>IF(B317&lt;&gt;"Arrow (Flaming)",39493.49*'Ammo Input'!M317^0.6/1000,0)</f>
        <v>0</v>
      </c>
      <c r="J317">
        <f t="shared" si="13"/>
        <v>0</v>
      </c>
      <c r="K317">
        <f t="shared" si="14"/>
        <v>4</v>
      </c>
      <c r="L317">
        <f>200000/('Ammo Stats'!C317*(MAX('Ammo Input'!D317,'Ammo Input'!F317)*0.5)^2*PI())</f>
        <v>265147.760253053</v>
      </c>
      <c r="M317">
        <f>IF(B317="Frag",1,('Ammo Input'!M317/1.33)/('Ammo Input'!H317/1000))</f>
        <v>0</v>
      </c>
      <c r="N317" t="s">
        <v>353</v>
      </c>
      <c r="O317" t="s">
        <v>353</v>
      </c>
      <c r="P317" s="3">
        <f>(39493.49*(IF((VLOOKUP(B317,AmmoTypeFactors,6,FALSE)="Bomb_Secondary"),1.33,1)*('Ammo Input'!H317*0.35)/1000)^0.6/1000)*10/3*VLOOKUP(B317,AmmoTypeFactors,4,FALSE)</f>
        <v>0</v>
      </c>
    </row>
    <row r="318" ht="14.4" spans="1:16">
      <c r="A318" t="str">
        <f>'Ammo Input'!A318</f>
        <v>.38 ACP</v>
      </c>
      <c r="B318" s="1" t="str">
        <f>'Ammo Input'!B318</f>
        <v>AP</v>
      </c>
      <c r="C318">
        <f>(0.579*('Ammo Stats'!G318*IF(OR(B318="HEAT",B318="HEDP"),10,'Ammo Input'!F318)*VLOOKUP(B318,AmmoTypeFactors,7,FALSE))^(0.346))^IF(B318="HEDP",2.1,1)/IF(B318="HEDP",50,1)</f>
        <v>7.93451374100901</v>
      </c>
      <c r="D318" s="16">
        <f>IF(VLOOKUP(B318,AmmoTypeFactors,8,FALSE),J318,C318)*VLOOKUP('Ammo Input'!B318,AmmoTypeFactors,2,FALSE)</f>
        <v>6.34761099280721</v>
      </c>
      <c r="E318" s="16">
        <f>IF(OR(VLOOKUP(B318,AmmoTypeFactors,6,FALSE)="Bomb",VLOOKUP(B318,AmmoTypeFactors,6,FALSE)="Thermobaric"),J318*VLOOKUP(B318,AmmoTypeFactors,4,FALSE),IF(VLOOKUP(B318,AmmoTypeFactors,11,FALSE),P318,C318*VLOOKUP(B318,AmmoTypeFactors,4,FALSE)))</f>
        <v>0</v>
      </c>
      <c r="F318" s="16">
        <f>'Ammo Stats'!G318/0.005</f>
        <v>85800</v>
      </c>
      <c r="G318" s="16">
        <f>(IF(B318="HEAT",10,'Ammo Input'!F318)*VLOOKUP(B318,AmmoTypeFactors,7,FALSE)*0.5)^2*PI()/100</f>
        <v>0.159043128087983</v>
      </c>
      <c r="H318" s="10">
        <f t="shared" si="12"/>
        <v>8.58</v>
      </c>
      <c r="I318" s="10">
        <f>IF(B318&lt;&gt;"Arrow (Flaming)",39493.49*'Ammo Input'!M318^0.6/1000,0)</f>
        <v>0</v>
      </c>
      <c r="J318">
        <f t="shared" si="13"/>
        <v>0</v>
      </c>
      <c r="K318">
        <f t="shared" si="14"/>
        <v>4</v>
      </c>
      <c r="L318">
        <f>200000/('Ammo Stats'!C318*(MAX('Ammo Input'!D318,'Ammo Input'!F318)*0.5)^2*PI())</f>
        <v>265147.760253053</v>
      </c>
      <c r="M318">
        <f>IF(B318="Frag",1,('Ammo Input'!M318/1.33)/('Ammo Input'!H318/1000))</f>
        <v>0</v>
      </c>
      <c r="N318" t="s">
        <v>353</v>
      </c>
      <c r="O318" t="s">
        <v>353</v>
      </c>
      <c r="P318" s="3">
        <f>(39493.49*(IF((VLOOKUP(B318,AmmoTypeFactors,6,FALSE)="Bomb_Secondary"),1.33,1)*('Ammo Input'!H318*0.35)/1000)^0.6/1000)*10/3*VLOOKUP(B318,AmmoTypeFactors,4,FALSE)</f>
        <v>0</v>
      </c>
    </row>
    <row r="319" ht="14.4" spans="1:16">
      <c r="A319" t="str">
        <f>'Ammo Input'!A319</f>
        <v>.38 ACP</v>
      </c>
      <c r="B319" s="1" t="str">
        <f>'Ammo Input'!B319</f>
        <v>HP</v>
      </c>
      <c r="C319">
        <f>(0.579*('Ammo Stats'!G319*IF(OR(B319="HEAT",B319="HEDP"),10,'Ammo Input'!F319)*VLOOKUP(B319,AmmoTypeFactors,7,FALSE))^(0.346))^IF(B319="HEDP",2.1,1)/IF(B319="HEDP",50,1)</f>
        <v>12.8183779787831</v>
      </c>
      <c r="D319" s="16">
        <f>IF(VLOOKUP(B319,AmmoTypeFactors,8,FALSE),J319,C319)*VLOOKUP('Ammo Input'!B319,AmmoTypeFactors,2,FALSE)</f>
        <v>12.8183779787831</v>
      </c>
      <c r="E319" s="16">
        <f>IF(OR(VLOOKUP(B319,AmmoTypeFactors,6,FALSE)="Bomb",VLOOKUP(B319,AmmoTypeFactors,6,FALSE)="Thermobaric"),J319*VLOOKUP(B319,AmmoTypeFactors,4,FALSE),IF(VLOOKUP(B319,AmmoTypeFactors,11,FALSE),P319,C319*VLOOKUP(B319,AmmoTypeFactors,4,FALSE)))</f>
        <v>0</v>
      </c>
      <c r="F319" s="16">
        <f>'Ammo Stats'!G319/0.005</f>
        <v>85800</v>
      </c>
      <c r="G319" s="16">
        <f>(IF(B319="HEAT",10,'Ammo Input'!F319)*VLOOKUP(B319,AmmoTypeFactors,7,FALSE)*0.5)^2*PI()/100</f>
        <v>2.54469004940773</v>
      </c>
      <c r="H319" s="10">
        <f t="shared" si="12"/>
        <v>8.58</v>
      </c>
      <c r="I319" s="10">
        <f>IF(B319&lt;&gt;"Arrow (Flaming)",39493.49*'Ammo Input'!M319^0.6/1000,0)</f>
        <v>0</v>
      </c>
      <c r="J319">
        <f t="shared" si="13"/>
        <v>0</v>
      </c>
      <c r="K319">
        <f t="shared" si="14"/>
        <v>4</v>
      </c>
      <c r="L319">
        <f>200000/('Ammo Stats'!C319*(MAX('Ammo Input'!D319,'Ammo Input'!F319)*0.5)^2*PI())</f>
        <v>265147.760253053</v>
      </c>
      <c r="M319">
        <f>IF(B319="Frag",1,('Ammo Input'!M319/1.33)/('Ammo Input'!H319/1000))</f>
        <v>0</v>
      </c>
      <c r="N319" t="s">
        <v>353</v>
      </c>
      <c r="O319" t="s">
        <v>353</v>
      </c>
      <c r="P319" s="3">
        <f>(39493.49*(IF((VLOOKUP(B319,AmmoTypeFactors,6,FALSE)="Bomb_Secondary"),1.33,1)*('Ammo Input'!H319*0.35)/1000)^0.6/1000)*10/3*VLOOKUP(B319,AmmoTypeFactors,4,FALSE)</f>
        <v>0</v>
      </c>
    </row>
    <row r="320" ht="14.4" spans="1:16">
      <c r="A320" t="str">
        <f>'Ammo Input'!A320</f>
        <v>.38 Special</v>
      </c>
      <c r="B320" s="1" t="str">
        <f>'Ammo Input'!B320</f>
        <v>FMJ</v>
      </c>
      <c r="C320">
        <f>(0.579*('Ammo Stats'!G320*IF(OR(B320="HEAT",B320="HEDP"),10,'Ammo Input'!F320)*VLOOKUP(B320,AmmoTypeFactors,7,FALSE))^(0.346))^IF(B320="HEDP",2.1,1)/IF(B320="HEDP",50,1)</f>
        <v>9.40721096884197</v>
      </c>
      <c r="D320" s="16">
        <f>IF(VLOOKUP(B320,AmmoTypeFactors,8,FALSE),J320,C320)*VLOOKUP('Ammo Input'!B320,AmmoTypeFactors,2,FALSE)</f>
        <v>9.40721096884197</v>
      </c>
      <c r="E320" s="16">
        <f>IF(OR(VLOOKUP(B320,AmmoTypeFactors,6,FALSE)="Bomb",VLOOKUP(B320,AmmoTypeFactors,6,FALSE)="Thermobaric"),J320*VLOOKUP(B320,AmmoTypeFactors,4,FALSE),IF(VLOOKUP(B320,AmmoTypeFactors,11,FALSE),P320,C320*VLOOKUP(B320,AmmoTypeFactors,4,FALSE)))</f>
        <v>0</v>
      </c>
      <c r="F320" s="16">
        <f>'Ammo Stats'!G320/0.005</f>
        <v>69400</v>
      </c>
      <c r="G320" s="16">
        <f>(IF(B320="HEAT",10,'Ammo Input'!F320)*VLOOKUP(B320,AmmoTypeFactors,7,FALSE)*0.5)^2*PI()/100</f>
        <v>0.650388219109427</v>
      </c>
      <c r="H320" s="10">
        <f t="shared" si="12"/>
        <v>6.94</v>
      </c>
      <c r="I320" s="10">
        <f>IF(B320&lt;&gt;"Arrow (Flaming)",39493.49*'Ammo Input'!M320^0.6/1000,0)</f>
        <v>0</v>
      </c>
      <c r="J320">
        <f t="shared" si="13"/>
        <v>0</v>
      </c>
      <c r="K320">
        <f t="shared" si="14"/>
        <v>4</v>
      </c>
      <c r="L320">
        <f>200000/('Ammo Stats'!C320*(MAX('Ammo Input'!D320,'Ammo Input'!F320)*0.5)^2*PI())</f>
        <v>276310.665090096</v>
      </c>
      <c r="M320">
        <f>IF(B320="Frag",1,('Ammo Input'!M320/1.33)/('Ammo Input'!H320/1000))</f>
        <v>0</v>
      </c>
      <c r="N320" t="s">
        <v>353</v>
      </c>
      <c r="O320" t="s">
        <v>353</v>
      </c>
      <c r="P320" s="3">
        <f>(39493.49*(IF((VLOOKUP(B320,AmmoTypeFactors,6,FALSE)="Bomb_Secondary"),1.33,1)*('Ammo Input'!H320*0.35)/1000)^0.6/1000)*10/3*VLOOKUP(B320,AmmoTypeFactors,4,FALSE)</f>
        <v>0</v>
      </c>
    </row>
    <row r="321" ht="14.4" spans="1:16">
      <c r="A321" t="str">
        <f>'Ammo Input'!A321</f>
        <v>.38 Special</v>
      </c>
      <c r="B321" s="1" t="str">
        <f>'Ammo Input'!B321</f>
        <v>AP</v>
      </c>
      <c r="C321">
        <f>(0.579*('Ammo Stats'!G321*IF(OR(B321="HEAT",B321="HEDP"),10,'Ammo Input'!F321)*VLOOKUP(B321,AmmoTypeFactors,7,FALSE))^(0.346))^IF(B321="HEDP",2.1,1)/IF(B321="HEDP",50,1)</f>
        <v>7.401240305803</v>
      </c>
      <c r="D321" s="16">
        <f>IF(VLOOKUP(B321,AmmoTypeFactors,8,FALSE),J321,C321)*VLOOKUP('Ammo Input'!B321,AmmoTypeFactors,2,FALSE)</f>
        <v>5.9209922446424</v>
      </c>
      <c r="E321" s="16">
        <f>IF(OR(VLOOKUP(B321,AmmoTypeFactors,6,FALSE)="Bomb",VLOOKUP(B321,AmmoTypeFactors,6,FALSE)="Thermobaric"),J321*VLOOKUP(B321,AmmoTypeFactors,4,FALSE),IF(VLOOKUP(B321,AmmoTypeFactors,11,FALSE),P321,C321*VLOOKUP(B321,AmmoTypeFactors,4,FALSE)))</f>
        <v>0</v>
      </c>
      <c r="F321" s="16">
        <f>'Ammo Stats'!G321/0.005</f>
        <v>69400</v>
      </c>
      <c r="G321" s="16">
        <f>(IF(B321="HEAT",10,'Ammo Input'!F321)*VLOOKUP(B321,AmmoTypeFactors,7,FALSE)*0.5)^2*PI()/100</f>
        <v>0.162597054777357</v>
      </c>
      <c r="H321" s="10">
        <f t="shared" si="12"/>
        <v>6.94</v>
      </c>
      <c r="I321" s="10">
        <f>IF(B321&lt;&gt;"Arrow (Flaming)",39493.49*'Ammo Input'!M321^0.6/1000,0)</f>
        <v>0</v>
      </c>
      <c r="J321">
        <f t="shared" si="13"/>
        <v>0</v>
      </c>
      <c r="K321">
        <f t="shared" si="14"/>
        <v>4</v>
      </c>
      <c r="L321">
        <f>200000/('Ammo Stats'!C321*(MAX('Ammo Input'!D321,'Ammo Input'!F321)*0.5)^2*PI())</f>
        <v>276310.665090096</v>
      </c>
      <c r="M321">
        <f>IF(B321="Frag",1,('Ammo Input'!M321/1.33)/('Ammo Input'!H321/1000))</f>
        <v>0</v>
      </c>
      <c r="N321" t="s">
        <v>353</v>
      </c>
      <c r="O321" t="s">
        <v>353</v>
      </c>
      <c r="P321" s="3">
        <f>(39493.49*(IF((VLOOKUP(B321,AmmoTypeFactors,6,FALSE)="Bomb_Secondary"),1.33,1)*('Ammo Input'!H321*0.35)/1000)^0.6/1000)*10/3*VLOOKUP(B321,AmmoTypeFactors,4,FALSE)</f>
        <v>0</v>
      </c>
    </row>
    <row r="322" ht="14.4" spans="1:16">
      <c r="A322" t="str">
        <f>'Ammo Input'!A322</f>
        <v>.38 Special</v>
      </c>
      <c r="B322" s="1" t="str">
        <f>'Ammo Input'!B322</f>
        <v>HP</v>
      </c>
      <c r="C322">
        <f>(0.579*('Ammo Stats'!G322*IF(OR(B322="HEAT",B322="HEDP"),10,'Ammo Input'!F322)*VLOOKUP(B322,AmmoTypeFactors,7,FALSE))^(0.346))^IF(B322="HEDP",2.1,1)/IF(B322="HEDP",50,1)</f>
        <v>11.956863249382</v>
      </c>
      <c r="D322" s="16">
        <f>IF(VLOOKUP(B322,AmmoTypeFactors,8,FALSE),J322,C322)*VLOOKUP('Ammo Input'!B322,AmmoTypeFactors,2,FALSE)</f>
        <v>11.956863249382</v>
      </c>
      <c r="E322" s="16">
        <f>IF(OR(VLOOKUP(B322,AmmoTypeFactors,6,FALSE)="Bomb",VLOOKUP(B322,AmmoTypeFactors,6,FALSE)="Thermobaric"),J322*VLOOKUP(B322,AmmoTypeFactors,4,FALSE),IF(VLOOKUP(B322,AmmoTypeFactors,11,FALSE),P322,C322*VLOOKUP(B322,AmmoTypeFactors,4,FALSE)))</f>
        <v>0</v>
      </c>
      <c r="F322" s="16">
        <f>'Ammo Stats'!G322/0.005</f>
        <v>69400</v>
      </c>
      <c r="G322" s="16">
        <f>(IF(B322="HEAT",10,'Ammo Input'!F322)*VLOOKUP(B322,AmmoTypeFactors,7,FALSE)*0.5)^2*PI()/100</f>
        <v>2.60155287643771</v>
      </c>
      <c r="H322" s="10">
        <f t="shared" si="12"/>
        <v>6.94</v>
      </c>
      <c r="I322" s="10">
        <f>IF(B322&lt;&gt;"Arrow (Flaming)",39493.49*'Ammo Input'!M322^0.6/1000,0)</f>
        <v>0</v>
      </c>
      <c r="J322">
        <f t="shared" si="13"/>
        <v>0</v>
      </c>
      <c r="K322">
        <f t="shared" si="14"/>
        <v>4</v>
      </c>
      <c r="L322">
        <f>200000/('Ammo Stats'!C322*(MAX('Ammo Input'!D322,'Ammo Input'!F322)*0.5)^2*PI())</f>
        <v>276310.665090096</v>
      </c>
      <c r="M322">
        <f>IF(B322="Frag",1,('Ammo Input'!M322/1.33)/('Ammo Input'!H322/1000))</f>
        <v>0</v>
      </c>
      <c r="N322" t="s">
        <v>353</v>
      </c>
      <c r="O322" t="s">
        <v>353</v>
      </c>
      <c r="P322" s="3">
        <f>(39493.49*(IF((VLOOKUP(B322,AmmoTypeFactors,6,FALSE)="Bomb_Secondary"),1.33,1)*('Ammo Input'!H322*0.35)/1000)^0.6/1000)*10/3*VLOOKUP(B322,AmmoTypeFactors,4,FALSE)</f>
        <v>0</v>
      </c>
    </row>
    <row r="323" ht="14.4" spans="1:16">
      <c r="A323" t="str">
        <f>'Ammo Input'!A323</f>
        <v>.380 ACP</v>
      </c>
      <c r="B323" s="1" t="str">
        <f>'Ammo Input'!B323</f>
        <v>FMJ</v>
      </c>
      <c r="C323">
        <f>(0.579*('Ammo Stats'!G323*IF(OR(B323="HEAT",B323="HEDP"),10,'Ammo Input'!F323)*VLOOKUP(B323,AmmoTypeFactors,7,FALSE))^(0.346))^IF(B323="HEDP",2.1,1)/IF(B323="HEDP",50,1)</f>
        <v>8.59208044208402</v>
      </c>
      <c r="D323" s="16">
        <f>IF(VLOOKUP(B323,AmmoTypeFactors,8,FALSE),J323,C323)*VLOOKUP('Ammo Input'!B323,AmmoTypeFactors,2,FALSE)</f>
        <v>8.59208044208402</v>
      </c>
      <c r="E323" s="16">
        <f>IF(OR(VLOOKUP(B323,AmmoTypeFactors,6,FALSE)="Bomb",VLOOKUP(B323,AmmoTypeFactors,6,FALSE)="Thermobaric"),J323*VLOOKUP(B323,AmmoTypeFactors,4,FALSE),IF(VLOOKUP(B323,AmmoTypeFactors,11,FALSE),P323,C323*VLOOKUP(B323,AmmoTypeFactors,4,FALSE)))</f>
        <v>0</v>
      </c>
      <c r="F323" s="16">
        <f>'Ammo Stats'!G323/0.005</f>
        <v>54000</v>
      </c>
      <c r="G323" s="16">
        <f>(IF(B323="HEAT",10,'Ammo Input'!F323)*VLOOKUP(B323,AmmoTypeFactors,7,FALSE)*0.5)^2*PI()/100</f>
        <v>0.636172512351933</v>
      </c>
      <c r="H323" s="10">
        <f t="shared" si="12"/>
        <v>5.4</v>
      </c>
      <c r="I323" s="10">
        <f>IF(B323&lt;&gt;"Arrow (Flaming)",39493.49*'Ammo Input'!M323^0.6/1000,0)</f>
        <v>0</v>
      </c>
      <c r="J323">
        <f t="shared" si="13"/>
        <v>0</v>
      </c>
      <c r="K323">
        <f t="shared" si="14"/>
        <v>4</v>
      </c>
      <c r="L323">
        <f>200000/('Ammo Stats'!C323*(MAX('Ammo Input'!D323,'Ammo Input'!F323)*0.5)^2*PI())</f>
        <v>282158.347863748</v>
      </c>
      <c r="M323">
        <f>IF(B323="Frag",1,('Ammo Input'!M323/1.33)/('Ammo Input'!H323/1000))</f>
        <v>0</v>
      </c>
      <c r="N323" t="s">
        <v>353</v>
      </c>
      <c r="O323" t="s">
        <v>353</v>
      </c>
      <c r="P323" s="3">
        <f>(39493.49*(IF((VLOOKUP(B323,AmmoTypeFactors,6,FALSE)="Bomb_Secondary"),1.33,1)*('Ammo Input'!H323*0.35)/1000)^0.6/1000)*10/3*VLOOKUP(B323,AmmoTypeFactors,4,FALSE)</f>
        <v>0</v>
      </c>
    </row>
    <row r="324" ht="14.4" spans="1:16">
      <c r="A324" t="str">
        <f>'Ammo Input'!A324</f>
        <v>.380 ACP</v>
      </c>
      <c r="B324" s="1" t="str">
        <f>'Ammo Input'!B324</f>
        <v>AP</v>
      </c>
      <c r="C324">
        <f>(0.579*('Ammo Stats'!G324*IF(OR(B324="HEAT",B324="HEDP"),10,'Ammo Input'!F324)*VLOOKUP(B324,AmmoTypeFactors,7,FALSE))^(0.346))^IF(B324="HEDP",2.1,1)/IF(B324="HEDP",50,1)</f>
        <v>6.75992621928857</v>
      </c>
      <c r="D324" s="16">
        <f>IF(VLOOKUP(B324,AmmoTypeFactors,8,FALSE),J324,C324)*VLOOKUP('Ammo Input'!B324,AmmoTypeFactors,2,FALSE)</f>
        <v>5.40794097543085</v>
      </c>
      <c r="E324" s="16">
        <f>IF(OR(VLOOKUP(B324,AmmoTypeFactors,6,FALSE)="Bomb",VLOOKUP(B324,AmmoTypeFactors,6,FALSE)="Thermobaric"),J324*VLOOKUP(B324,AmmoTypeFactors,4,FALSE),IF(VLOOKUP(B324,AmmoTypeFactors,11,FALSE),P324,C324*VLOOKUP(B324,AmmoTypeFactors,4,FALSE)))</f>
        <v>0</v>
      </c>
      <c r="F324" s="16">
        <f>'Ammo Stats'!G324/0.005</f>
        <v>54000</v>
      </c>
      <c r="G324" s="16">
        <f>(IF(B324="HEAT",10,'Ammo Input'!F324)*VLOOKUP(B324,AmmoTypeFactors,7,FALSE)*0.5)^2*PI()/100</f>
        <v>0.159043128087983</v>
      </c>
      <c r="H324" s="10">
        <f t="shared" si="12"/>
        <v>5.4</v>
      </c>
      <c r="I324" s="10">
        <f>IF(B324&lt;&gt;"Arrow (Flaming)",39493.49*'Ammo Input'!M324^0.6/1000,0)</f>
        <v>0</v>
      </c>
      <c r="J324">
        <f t="shared" si="13"/>
        <v>0</v>
      </c>
      <c r="K324">
        <f t="shared" si="14"/>
        <v>4</v>
      </c>
      <c r="L324">
        <f>200000/('Ammo Stats'!C324*(MAX('Ammo Input'!D324,'Ammo Input'!F324)*0.5)^2*PI())</f>
        <v>282158.347863748</v>
      </c>
      <c r="M324">
        <f>IF(B324="Frag",1,('Ammo Input'!M324/1.33)/('Ammo Input'!H324/1000))</f>
        <v>0</v>
      </c>
      <c r="N324" t="s">
        <v>353</v>
      </c>
      <c r="O324" t="s">
        <v>353</v>
      </c>
      <c r="P324" s="3">
        <f>(39493.49*(IF((VLOOKUP(B324,AmmoTypeFactors,6,FALSE)="Bomb_Secondary"),1.33,1)*('Ammo Input'!H324*0.35)/1000)^0.6/1000)*10/3*VLOOKUP(B324,AmmoTypeFactors,4,FALSE)</f>
        <v>0</v>
      </c>
    </row>
    <row r="325" ht="14.4" spans="1:16">
      <c r="A325" t="str">
        <f>'Ammo Input'!A325</f>
        <v>.380 ACP</v>
      </c>
      <c r="B325" s="1" t="str">
        <f>'Ammo Input'!B325</f>
        <v>HP</v>
      </c>
      <c r="C325">
        <f>(0.579*('Ammo Stats'!G325*IF(OR(B325="HEAT",B325="HEDP"),10,'Ammo Input'!F325)*VLOOKUP(B325,AmmoTypeFactors,7,FALSE))^(0.346))^IF(B325="HEDP",2.1,1)/IF(B325="HEDP",50,1)</f>
        <v>10.9208065189522</v>
      </c>
      <c r="D325" s="16">
        <f>IF(VLOOKUP(B325,AmmoTypeFactors,8,FALSE),J325,C325)*VLOOKUP('Ammo Input'!B325,AmmoTypeFactors,2,FALSE)</f>
        <v>10.9208065189522</v>
      </c>
      <c r="E325" s="16">
        <f>IF(OR(VLOOKUP(B325,AmmoTypeFactors,6,FALSE)="Bomb",VLOOKUP(B325,AmmoTypeFactors,6,FALSE)="Thermobaric"),J325*VLOOKUP(B325,AmmoTypeFactors,4,FALSE),IF(VLOOKUP(B325,AmmoTypeFactors,11,FALSE),P325,C325*VLOOKUP(B325,AmmoTypeFactors,4,FALSE)))</f>
        <v>0</v>
      </c>
      <c r="F325" s="16">
        <f>'Ammo Stats'!G325/0.005</f>
        <v>54000</v>
      </c>
      <c r="G325" s="16">
        <f>(IF(B325="HEAT",10,'Ammo Input'!F325)*VLOOKUP(B325,AmmoTypeFactors,7,FALSE)*0.5)^2*PI()/100</f>
        <v>2.54469004940773</v>
      </c>
      <c r="H325" s="10">
        <f t="shared" si="12"/>
        <v>5.4</v>
      </c>
      <c r="I325" s="10">
        <f>IF(B325&lt;&gt;"Arrow (Flaming)",39493.49*'Ammo Input'!M325^0.6/1000,0)</f>
        <v>0</v>
      </c>
      <c r="J325">
        <f t="shared" si="13"/>
        <v>0</v>
      </c>
      <c r="K325">
        <f t="shared" si="14"/>
        <v>4</v>
      </c>
      <c r="L325">
        <f>200000/('Ammo Stats'!C325*(MAX('Ammo Input'!D325,'Ammo Input'!F325)*0.5)^2*PI())</f>
        <v>282158.347863748</v>
      </c>
      <c r="M325">
        <f>IF(B325="Frag",1,('Ammo Input'!M325/1.33)/('Ammo Input'!H325/1000))</f>
        <v>0</v>
      </c>
      <c r="N325" t="s">
        <v>353</v>
      </c>
      <c r="O325" t="s">
        <v>353</v>
      </c>
      <c r="P325" s="3">
        <f>(39493.49*(IF((VLOOKUP(B325,AmmoTypeFactors,6,FALSE)="Bomb_Secondary"),1.33,1)*('Ammo Input'!H325*0.35)/1000)^0.6/1000)*10/3*VLOOKUP(B325,AmmoTypeFactors,4,FALSE)</f>
        <v>0</v>
      </c>
    </row>
    <row r="326" ht="14.4" spans="1:16">
      <c r="A326" t="str">
        <f>'Ammo Input'!A326</f>
        <v>.38 Super</v>
      </c>
      <c r="B326" s="1" t="str">
        <f>'Ammo Input'!B326</f>
        <v>FMJ</v>
      </c>
      <c r="C326">
        <f>(0.579*('Ammo Stats'!G326*IF(OR(B326="HEAT",B326="HEDP"),10,'Ammo Input'!F326)*VLOOKUP(B326,AmmoTypeFactors,7,FALSE))^(0.346))^IF(B326="HEDP",2.1,1)/IF(B326="HEDP",50,1)</f>
        <v>12.1900706655364</v>
      </c>
      <c r="D326" s="16">
        <f>IF(VLOOKUP(B326,AmmoTypeFactors,8,FALSE),J326,C326)*VLOOKUP('Ammo Input'!B326,AmmoTypeFactors,2,FALSE)</f>
        <v>12.1900706655364</v>
      </c>
      <c r="E326" s="16">
        <f>IF(OR(VLOOKUP(B326,AmmoTypeFactors,6,FALSE)="Bomb",VLOOKUP(B326,AmmoTypeFactors,6,FALSE)="Thermobaric"),J326*VLOOKUP(B326,AmmoTypeFactors,4,FALSE),IF(VLOOKUP(B326,AmmoTypeFactors,11,FALSE),P326,C326*VLOOKUP(B326,AmmoTypeFactors,4,FALSE)))</f>
        <v>0</v>
      </c>
      <c r="F326" s="16">
        <f>'Ammo Stats'!G326/0.005</f>
        <v>148400</v>
      </c>
      <c r="G326" s="16">
        <f>(IF(B326="HEAT",10,'Ammo Input'!F326)*VLOOKUP(B326,AmmoTypeFactors,7,FALSE)*0.5)^2*PI()/100</f>
        <v>0.636172512351933</v>
      </c>
      <c r="H326" s="10">
        <f t="shared" si="12"/>
        <v>14.84</v>
      </c>
      <c r="I326" s="10">
        <f>IF(B326&lt;&gt;"Arrow (Flaming)",39493.49*'Ammo Input'!M326^0.6/1000,0)</f>
        <v>0</v>
      </c>
      <c r="J326">
        <f t="shared" si="13"/>
        <v>0</v>
      </c>
      <c r="K326">
        <f t="shared" si="14"/>
        <v>5</v>
      </c>
      <c r="L326">
        <f>200000/('Ammo Stats'!C326*(MAX('Ammo Input'!D326,'Ammo Input'!F326)*0.5)^2*PI())</f>
        <v>276310.665090096</v>
      </c>
      <c r="M326">
        <f>IF(B326="Frag",1,('Ammo Input'!M326/1.33)/('Ammo Input'!H326/1000))</f>
        <v>0</v>
      </c>
      <c r="N326" t="s">
        <v>353</v>
      </c>
      <c r="O326" t="s">
        <v>353</v>
      </c>
      <c r="P326" s="3">
        <f>(39493.49*(IF((VLOOKUP(B326,AmmoTypeFactors,6,FALSE)="Bomb_Secondary"),1.33,1)*('Ammo Input'!H326*0.35)/1000)^0.6/1000)*10/3*VLOOKUP(B326,AmmoTypeFactors,4,FALSE)</f>
        <v>0</v>
      </c>
    </row>
    <row r="327" ht="14.4" spans="1:16">
      <c r="A327" t="str">
        <f>'Ammo Input'!A327</f>
        <v>.38 Super</v>
      </c>
      <c r="B327" s="1" t="str">
        <f>'Ammo Input'!B327</f>
        <v>AP</v>
      </c>
      <c r="C327">
        <f>(0.579*('Ammo Stats'!G327*IF(OR(B327="HEAT",B327="HEDP"),10,'Ammo Input'!F327)*VLOOKUP(B327,AmmoTypeFactors,7,FALSE))^(0.346))^IF(B327="HEDP",2.1,1)/IF(B327="HEDP",50,1)</f>
        <v>9.59068980585016</v>
      </c>
      <c r="D327" s="16">
        <f>IF(VLOOKUP(B327,AmmoTypeFactors,8,FALSE),J327,C327)*VLOOKUP('Ammo Input'!B327,AmmoTypeFactors,2,FALSE)</f>
        <v>7.67255184468013</v>
      </c>
      <c r="E327" s="16">
        <f>IF(OR(VLOOKUP(B327,AmmoTypeFactors,6,FALSE)="Bomb",VLOOKUP(B327,AmmoTypeFactors,6,FALSE)="Thermobaric"),J327*VLOOKUP(B327,AmmoTypeFactors,4,FALSE),IF(VLOOKUP(B327,AmmoTypeFactors,11,FALSE),P327,C327*VLOOKUP(B327,AmmoTypeFactors,4,FALSE)))</f>
        <v>0</v>
      </c>
      <c r="F327" s="16">
        <f>'Ammo Stats'!G327/0.005</f>
        <v>148400</v>
      </c>
      <c r="G327" s="16">
        <f>(IF(B327="HEAT",10,'Ammo Input'!F327)*VLOOKUP(B327,AmmoTypeFactors,7,FALSE)*0.5)^2*PI()/100</f>
        <v>0.159043128087983</v>
      </c>
      <c r="H327" s="10">
        <f t="shared" si="12"/>
        <v>14.84</v>
      </c>
      <c r="I327" s="10">
        <f>IF(B327&lt;&gt;"Arrow (Flaming)",39493.49*'Ammo Input'!M327^0.6/1000,0)</f>
        <v>0</v>
      </c>
      <c r="J327">
        <f t="shared" si="13"/>
        <v>0</v>
      </c>
      <c r="K327">
        <f t="shared" si="14"/>
        <v>5</v>
      </c>
      <c r="L327">
        <f>200000/('Ammo Stats'!C327*(MAX('Ammo Input'!D327,'Ammo Input'!F327)*0.5)^2*PI())</f>
        <v>276310.665090096</v>
      </c>
      <c r="M327">
        <f>IF(B327="Frag",1,('Ammo Input'!M327/1.33)/('Ammo Input'!H327/1000))</f>
        <v>0</v>
      </c>
      <c r="N327" t="s">
        <v>353</v>
      </c>
      <c r="O327" t="s">
        <v>353</v>
      </c>
      <c r="P327" s="3">
        <f>(39493.49*(IF((VLOOKUP(B327,AmmoTypeFactors,6,FALSE)="Bomb_Secondary"),1.33,1)*('Ammo Input'!H327*0.35)/1000)^0.6/1000)*10/3*VLOOKUP(B327,AmmoTypeFactors,4,FALSE)</f>
        <v>0</v>
      </c>
    </row>
    <row r="328" ht="14.4" spans="1:16">
      <c r="A328" t="str">
        <f>'Ammo Input'!A328</f>
        <v>.38 Super</v>
      </c>
      <c r="B328" s="1" t="str">
        <f>'Ammo Input'!B328</f>
        <v>HP</v>
      </c>
      <c r="C328">
        <f>(0.579*('Ammo Stats'!G328*IF(OR(B328="HEAT",B328="HEDP"),10,'Ammo Input'!F328)*VLOOKUP(B328,AmmoTypeFactors,7,FALSE))^(0.346))^IF(B328="HEDP",2.1,1)/IF(B328="HEDP",50,1)</f>
        <v>15.4939661107721</v>
      </c>
      <c r="D328" s="16">
        <f>IF(VLOOKUP(B328,AmmoTypeFactors,8,FALSE),J328,C328)*VLOOKUP('Ammo Input'!B328,AmmoTypeFactors,2,FALSE)</f>
        <v>15.4939661107721</v>
      </c>
      <c r="E328" s="16">
        <f>IF(OR(VLOOKUP(B328,AmmoTypeFactors,6,FALSE)="Bomb",VLOOKUP(B328,AmmoTypeFactors,6,FALSE)="Thermobaric"),J328*VLOOKUP(B328,AmmoTypeFactors,4,FALSE),IF(VLOOKUP(B328,AmmoTypeFactors,11,FALSE),P328,C328*VLOOKUP(B328,AmmoTypeFactors,4,FALSE)))</f>
        <v>0</v>
      </c>
      <c r="F328" s="16">
        <f>'Ammo Stats'!G328/0.005</f>
        <v>148400</v>
      </c>
      <c r="G328" s="16">
        <f>(IF(B328="HEAT",10,'Ammo Input'!F328)*VLOOKUP(B328,AmmoTypeFactors,7,FALSE)*0.5)^2*PI()/100</f>
        <v>2.54469004940773</v>
      </c>
      <c r="H328" s="10">
        <f t="shared" si="12"/>
        <v>14.84</v>
      </c>
      <c r="I328" s="10">
        <f>IF(B328&lt;&gt;"Arrow (Flaming)",39493.49*'Ammo Input'!M328^0.6/1000,0)</f>
        <v>0</v>
      </c>
      <c r="J328">
        <f t="shared" si="13"/>
        <v>0</v>
      </c>
      <c r="K328">
        <f t="shared" si="14"/>
        <v>5</v>
      </c>
      <c r="L328">
        <f>200000/('Ammo Stats'!C328*(MAX('Ammo Input'!D328,'Ammo Input'!F328)*0.5)^2*PI())</f>
        <v>276310.665090096</v>
      </c>
      <c r="M328">
        <f>IF(B328="Frag",1,('Ammo Input'!M328/1.33)/('Ammo Input'!H328/1000))</f>
        <v>0</v>
      </c>
      <c r="N328" t="s">
        <v>353</v>
      </c>
      <c r="O328" t="s">
        <v>353</v>
      </c>
      <c r="P328" s="3">
        <f>(39493.49*(IF((VLOOKUP(B328,AmmoTypeFactors,6,FALSE)="Bomb_Secondary"),1.33,1)*('Ammo Input'!H328*0.35)/1000)^0.6/1000)*10/3*VLOOKUP(B328,AmmoTypeFactors,4,FALSE)</f>
        <v>0</v>
      </c>
    </row>
    <row r="329" ht="14.4" spans="1:16">
      <c r="A329" t="str">
        <f>'Ammo Input'!A329</f>
        <v>.454 Casull</v>
      </c>
      <c r="B329" s="1" t="str">
        <f>'Ammo Input'!B329</f>
        <v>FMJ</v>
      </c>
      <c r="C329">
        <f>(0.579*('Ammo Stats'!G329*IF(OR(B329="HEAT",B329="HEDP"),10,'Ammo Input'!F329)*VLOOKUP(B329,AmmoTypeFactors,7,FALSE))^(0.346))^IF(B329="HEDP",2.1,1)/IF(B329="HEDP",50,1)</f>
        <v>20.0117554109432</v>
      </c>
      <c r="D329" s="16">
        <f>IF(VLOOKUP(B329,AmmoTypeFactors,8,FALSE),J329,C329)*VLOOKUP('Ammo Input'!B329,AmmoTypeFactors,2,FALSE)</f>
        <v>20.0117554109432</v>
      </c>
      <c r="E329" s="16">
        <f>IF(OR(VLOOKUP(B329,AmmoTypeFactors,6,FALSE)="Bomb",VLOOKUP(B329,AmmoTypeFactors,6,FALSE)="Thermobaric"),J329*VLOOKUP(B329,AmmoTypeFactors,4,FALSE),IF(VLOOKUP(B329,AmmoTypeFactors,11,FALSE),P329,C329*VLOOKUP(B329,AmmoTypeFactors,4,FALSE)))</f>
        <v>0</v>
      </c>
      <c r="F329" s="16">
        <f>'Ammo Stats'!G329/0.005</f>
        <v>486600</v>
      </c>
      <c r="G329" s="16">
        <f>(IF(B329="HEAT",10,'Ammo Input'!F329)*VLOOKUP(B329,AmmoTypeFactors,7,FALSE)*0.5)^2*PI()/100</f>
        <v>1.03868907109313</v>
      </c>
      <c r="H329" s="10">
        <f t="shared" si="12"/>
        <v>48.66</v>
      </c>
      <c r="I329" s="10">
        <f>IF(B329&lt;&gt;"Arrow (Flaming)",39493.49*'Ammo Input'!M329^0.6/1000,0)</f>
        <v>0</v>
      </c>
      <c r="J329">
        <f t="shared" si="13"/>
        <v>0</v>
      </c>
      <c r="K329">
        <f t="shared" si="14"/>
        <v>8</v>
      </c>
      <c r="L329">
        <f>200000/('Ammo Stats'!C329*(MAX('Ammo Input'!D329,'Ammo Input'!F329)*0.5)^2*PI())</f>
        <v>85544.177958557</v>
      </c>
      <c r="M329">
        <f>IF(B329="Frag",1,('Ammo Input'!M329/1.33)/('Ammo Input'!H329/1000))</f>
        <v>0</v>
      </c>
      <c r="N329" t="s">
        <v>353</v>
      </c>
      <c r="O329" t="s">
        <v>353</v>
      </c>
      <c r="P329" s="3">
        <f>(39493.49*(IF((VLOOKUP(B329,AmmoTypeFactors,6,FALSE)="Bomb_Secondary"),1.33,1)*('Ammo Input'!H329*0.35)/1000)^0.6/1000)*10/3*VLOOKUP(B329,AmmoTypeFactors,4,FALSE)</f>
        <v>0</v>
      </c>
    </row>
    <row r="330" ht="14.4" spans="1:16">
      <c r="A330" t="str">
        <f>'Ammo Input'!A330</f>
        <v>.454 Casull</v>
      </c>
      <c r="B330" s="1" t="str">
        <f>'Ammo Input'!B330</f>
        <v>AP</v>
      </c>
      <c r="C330">
        <f>(0.579*('Ammo Stats'!G330*IF(OR(B330="HEAT",B330="HEDP"),10,'Ammo Input'!F330)*VLOOKUP(B330,AmmoTypeFactors,7,FALSE))^(0.346))^IF(B330="HEDP",2.1,1)/IF(B330="HEDP",50,1)</f>
        <v>15.7444976229312</v>
      </c>
      <c r="D330" s="16">
        <f>IF(VLOOKUP(B330,AmmoTypeFactors,8,FALSE),J330,C330)*VLOOKUP('Ammo Input'!B330,AmmoTypeFactors,2,FALSE)</f>
        <v>12.5955980983449</v>
      </c>
      <c r="E330" s="16">
        <f>IF(OR(VLOOKUP(B330,AmmoTypeFactors,6,FALSE)="Bomb",VLOOKUP(B330,AmmoTypeFactors,6,FALSE)="Thermobaric"),J330*VLOOKUP(B330,AmmoTypeFactors,4,FALSE),IF(VLOOKUP(B330,AmmoTypeFactors,11,FALSE),P330,C330*VLOOKUP(B330,AmmoTypeFactors,4,FALSE)))</f>
        <v>0</v>
      </c>
      <c r="F330" s="16">
        <f>'Ammo Stats'!G330/0.005</f>
        <v>486600</v>
      </c>
      <c r="G330" s="16">
        <f>(IF(B330="HEAT",10,'Ammo Input'!F330)*VLOOKUP(B330,AmmoTypeFactors,7,FALSE)*0.5)^2*PI()/100</f>
        <v>0.259672267773281</v>
      </c>
      <c r="H330" s="10">
        <f t="shared" si="12"/>
        <v>48.66</v>
      </c>
      <c r="I330" s="10">
        <f>IF(B330&lt;&gt;"Arrow (Flaming)",39493.49*'Ammo Input'!M330^0.6/1000,0)</f>
        <v>0</v>
      </c>
      <c r="J330">
        <f t="shared" si="13"/>
        <v>0</v>
      </c>
      <c r="K330">
        <f t="shared" si="14"/>
        <v>8</v>
      </c>
      <c r="L330">
        <f>200000/('Ammo Stats'!C330*(MAX('Ammo Input'!D330,'Ammo Input'!F330)*0.5)^2*PI())</f>
        <v>85544.177958557</v>
      </c>
      <c r="M330">
        <f>IF(B330="Frag",1,('Ammo Input'!M330/1.33)/('Ammo Input'!H330/1000))</f>
        <v>0</v>
      </c>
      <c r="N330" t="s">
        <v>353</v>
      </c>
      <c r="O330" t="s">
        <v>353</v>
      </c>
      <c r="P330" s="3">
        <f>(39493.49*(IF((VLOOKUP(B330,AmmoTypeFactors,6,FALSE)="Bomb_Secondary"),1.33,1)*('Ammo Input'!H330*0.35)/1000)^0.6/1000)*10/3*VLOOKUP(B330,AmmoTypeFactors,4,FALSE)</f>
        <v>0</v>
      </c>
    </row>
    <row r="331" ht="14.4" spans="1:16">
      <c r="A331" t="str">
        <f>'Ammo Input'!A331</f>
        <v>.454 Casull</v>
      </c>
      <c r="B331" s="1" t="str">
        <f>'Ammo Input'!B331</f>
        <v>HP</v>
      </c>
      <c r="C331">
        <f>(0.579*('Ammo Stats'!G331*IF(OR(B331="HEAT",B331="HEDP"),10,'Ammo Input'!F331)*VLOOKUP(B331,AmmoTypeFactors,7,FALSE))^(0.346))^IF(B331="HEDP",2.1,1)/IF(B331="HEDP",50,1)</f>
        <v>25.435575285943</v>
      </c>
      <c r="D331" s="16">
        <f>IF(VLOOKUP(B331,AmmoTypeFactors,8,FALSE),J331,C331)*VLOOKUP('Ammo Input'!B331,AmmoTypeFactors,2,FALSE)</f>
        <v>25.435575285943</v>
      </c>
      <c r="E331" s="16">
        <f>IF(OR(VLOOKUP(B331,AmmoTypeFactors,6,FALSE)="Bomb",VLOOKUP(B331,AmmoTypeFactors,6,FALSE)="Thermobaric"),J331*VLOOKUP(B331,AmmoTypeFactors,4,FALSE),IF(VLOOKUP(B331,AmmoTypeFactors,11,FALSE),P331,C331*VLOOKUP(B331,AmmoTypeFactors,4,FALSE)))</f>
        <v>0</v>
      </c>
      <c r="F331" s="16">
        <f>'Ammo Stats'!G331/0.005</f>
        <v>486600</v>
      </c>
      <c r="G331" s="16">
        <f>(IF(B331="HEAT",10,'Ammo Input'!F331)*VLOOKUP(B331,AmmoTypeFactors,7,FALSE)*0.5)^2*PI()/100</f>
        <v>4.1547562843725</v>
      </c>
      <c r="H331" s="10">
        <f t="shared" si="12"/>
        <v>48.66</v>
      </c>
      <c r="I331" s="10">
        <f>IF(B331&lt;&gt;"Arrow (Flaming)",39493.49*'Ammo Input'!M331^0.6/1000,0)</f>
        <v>0</v>
      </c>
      <c r="J331">
        <f t="shared" si="13"/>
        <v>0</v>
      </c>
      <c r="K331">
        <f t="shared" si="14"/>
        <v>8</v>
      </c>
      <c r="L331">
        <f>200000/('Ammo Stats'!C331*(MAX('Ammo Input'!D331,'Ammo Input'!F331)*0.5)^2*PI())</f>
        <v>85544.177958557</v>
      </c>
      <c r="M331">
        <f>IF(B331="Frag",1,('Ammo Input'!M331/1.33)/('Ammo Input'!H331/1000))</f>
        <v>0</v>
      </c>
      <c r="N331" t="s">
        <v>353</v>
      </c>
      <c r="O331" t="s">
        <v>353</v>
      </c>
      <c r="P331" s="3">
        <f>(39493.49*(IF((VLOOKUP(B331,AmmoTypeFactors,6,FALSE)="Bomb_Secondary"),1.33,1)*('Ammo Input'!H331*0.35)/1000)^0.6/1000)*10/3*VLOOKUP(B331,AmmoTypeFactors,4,FALSE)</f>
        <v>0</v>
      </c>
    </row>
    <row r="332" ht="14.4" spans="1:16">
      <c r="A332" t="str">
        <f>'Ammo Input'!A332</f>
        <v>8×22mm Nambu</v>
      </c>
      <c r="B332" s="1" t="str">
        <f>'Ammo Input'!B332</f>
        <v>FMJ</v>
      </c>
      <c r="C332">
        <f>(0.579*('Ammo Stats'!G332*IF(OR(B332="HEAT",B332="HEDP"),10,'Ammo Input'!F332)*VLOOKUP(B332,AmmoTypeFactors,7,FALSE))^(0.346))^IF(B332="HEDP",2.1,1)/IF(B332="HEDP",50,1)</f>
        <v>8.54315072951289</v>
      </c>
      <c r="D332" s="16">
        <f>IF(VLOOKUP(B332,AmmoTypeFactors,8,FALSE),J332,C332)*VLOOKUP('Ammo Input'!B332,AmmoTypeFactors,2,FALSE)</f>
        <v>8.54315072951289</v>
      </c>
      <c r="E332" s="16">
        <f>IF(OR(VLOOKUP(B332,AmmoTypeFactors,6,FALSE)="Bomb",VLOOKUP(B332,AmmoTypeFactors,6,FALSE)="Thermobaric"),J332*VLOOKUP(B332,AmmoTypeFactors,4,FALSE),IF(VLOOKUP(B332,AmmoTypeFactors,11,FALSE),P332,C332*VLOOKUP(B332,AmmoTypeFactors,4,FALSE)))</f>
        <v>0</v>
      </c>
      <c r="F332" s="16">
        <f>'Ammo Stats'!G332/0.005</f>
        <v>58800</v>
      </c>
      <c r="G332" s="16">
        <f>(IF(B332="HEAT",10,'Ammo Input'!F332)*VLOOKUP(B332,AmmoTypeFactors,7,FALSE)*0.5)^2*PI()/100</f>
        <v>0.519123838662648</v>
      </c>
      <c r="H332" s="10">
        <f t="shared" si="12"/>
        <v>5.88</v>
      </c>
      <c r="I332" s="10">
        <f>IF(B332&lt;&gt;"Arrow (Flaming)",39493.49*'Ammo Input'!M332^0.6/1000,0)</f>
        <v>0</v>
      </c>
      <c r="J332">
        <f t="shared" si="13"/>
        <v>0</v>
      </c>
      <c r="K332">
        <f t="shared" si="14"/>
        <v>4</v>
      </c>
      <c r="L332">
        <f>200000/('Ammo Stats'!C332*(MAX('Ammo Input'!D332,'Ammo Input'!F332)*0.5)^2*PI())</f>
        <v>243326.184890273</v>
      </c>
      <c r="M332">
        <f>IF(B332="Frag",1,('Ammo Input'!M332/1.33)/('Ammo Input'!H332/1000))</f>
        <v>0</v>
      </c>
      <c r="N332" t="s">
        <v>353</v>
      </c>
      <c r="O332" t="s">
        <v>353</v>
      </c>
      <c r="P332" s="3">
        <f>(39493.49*(IF((VLOOKUP(B332,AmmoTypeFactors,6,FALSE)="Bomb_Secondary"),1.33,1)*('Ammo Input'!H332*0.35)/1000)^0.6/1000)*10/3*VLOOKUP(B332,AmmoTypeFactors,4,FALSE)</f>
        <v>0</v>
      </c>
    </row>
    <row r="333" ht="14.4" spans="1:16">
      <c r="A333" t="str">
        <f>'Ammo Input'!A333</f>
        <v>8×22mm Nambu</v>
      </c>
      <c r="B333" s="1" t="str">
        <f>'Ammo Input'!B333</f>
        <v>AP</v>
      </c>
      <c r="C333">
        <f>(0.579*('Ammo Stats'!G333*IF(OR(B333="HEAT",B333="HEDP"),10,'Ammo Input'!F333)*VLOOKUP(B333,AmmoTypeFactors,7,FALSE))^(0.346))^IF(B333="HEDP",2.1,1)/IF(B333="HEDP",50,1)</f>
        <v>6.72143015897567</v>
      </c>
      <c r="D333" s="16">
        <f>IF(VLOOKUP(B333,AmmoTypeFactors,8,FALSE),J333,C333)*VLOOKUP('Ammo Input'!B333,AmmoTypeFactors,2,FALSE)</f>
        <v>5.37714412718053</v>
      </c>
      <c r="E333" s="16">
        <f>IF(OR(VLOOKUP(B333,AmmoTypeFactors,6,FALSE)="Bomb",VLOOKUP(B333,AmmoTypeFactors,6,FALSE)="Thermobaric"),J333*VLOOKUP(B333,AmmoTypeFactors,4,FALSE),IF(VLOOKUP(B333,AmmoTypeFactors,11,FALSE),P333,C333*VLOOKUP(B333,AmmoTypeFactors,4,FALSE)))</f>
        <v>0</v>
      </c>
      <c r="F333" s="16">
        <f>'Ammo Stats'!G333/0.005</f>
        <v>58800</v>
      </c>
      <c r="G333" s="16">
        <f>(IF(B333="HEAT",10,'Ammo Input'!F333)*VLOOKUP(B333,AmmoTypeFactors,7,FALSE)*0.5)^2*PI()/100</f>
        <v>0.129780959665662</v>
      </c>
      <c r="H333" s="10">
        <f t="shared" si="12"/>
        <v>5.88</v>
      </c>
      <c r="I333" s="10">
        <f>IF(B333&lt;&gt;"Arrow (Flaming)",39493.49*'Ammo Input'!M333^0.6/1000,0)</f>
        <v>0</v>
      </c>
      <c r="J333">
        <f t="shared" si="13"/>
        <v>0</v>
      </c>
      <c r="K333">
        <f t="shared" si="14"/>
        <v>4</v>
      </c>
      <c r="L333">
        <f>200000/('Ammo Stats'!C333*(MAX('Ammo Input'!D333,'Ammo Input'!F333)*0.5)^2*PI())</f>
        <v>243326.184890273</v>
      </c>
      <c r="M333">
        <f>IF(B333="Frag",1,('Ammo Input'!M333/1.33)/('Ammo Input'!H333/1000))</f>
        <v>0</v>
      </c>
      <c r="N333" t="s">
        <v>353</v>
      </c>
      <c r="O333" t="s">
        <v>353</v>
      </c>
      <c r="P333" s="3">
        <f>(39493.49*(IF((VLOOKUP(B333,AmmoTypeFactors,6,FALSE)="Bomb_Secondary"),1.33,1)*('Ammo Input'!H333*0.35)/1000)^0.6/1000)*10/3*VLOOKUP(B333,AmmoTypeFactors,4,FALSE)</f>
        <v>0</v>
      </c>
    </row>
    <row r="334" ht="14.4" spans="1:16">
      <c r="A334" t="str">
        <f>'Ammo Input'!A334</f>
        <v>8×22mm Nambu</v>
      </c>
      <c r="B334" s="1" t="str">
        <f>'Ammo Input'!B334</f>
        <v>HP</v>
      </c>
      <c r="C334">
        <f>(0.579*('Ammo Stats'!G334*IF(OR(B334="HEAT",B334="HEDP"),10,'Ammo Input'!F334)*VLOOKUP(B334,AmmoTypeFactors,7,FALSE))^(0.346))^IF(B334="HEDP",2.1,1)/IF(B334="HEDP",50,1)</f>
        <v>10.8586153037257</v>
      </c>
      <c r="D334" s="16">
        <f>IF(VLOOKUP(B334,AmmoTypeFactors,8,FALSE),J334,C334)*VLOOKUP('Ammo Input'!B334,AmmoTypeFactors,2,FALSE)</f>
        <v>10.8586153037257</v>
      </c>
      <c r="E334" s="16">
        <f>IF(OR(VLOOKUP(B334,AmmoTypeFactors,6,FALSE)="Bomb",VLOOKUP(B334,AmmoTypeFactors,6,FALSE)="Thermobaric"),J334*VLOOKUP(B334,AmmoTypeFactors,4,FALSE),IF(VLOOKUP(B334,AmmoTypeFactors,11,FALSE),P334,C334*VLOOKUP(B334,AmmoTypeFactors,4,FALSE)))</f>
        <v>0</v>
      </c>
      <c r="F334" s="16">
        <f>'Ammo Stats'!G334/0.005</f>
        <v>58800</v>
      </c>
      <c r="G334" s="16">
        <f>(IF(B334="HEAT",10,'Ammo Input'!F334)*VLOOKUP(B334,AmmoTypeFactors,7,FALSE)*0.5)^2*PI()/100</f>
        <v>2.07649535465059</v>
      </c>
      <c r="H334" s="10">
        <f t="shared" si="12"/>
        <v>5.88</v>
      </c>
      <c r="I334" s="10">
        <f>IF(B334&lt;&gt;"Arrow (Flaming)",39493.49*'Ammo Input'!M334^0.6/1000,0)</f>
        <v>0</v>
      </c>
      <c r="J334">
        <f t="shared" si="13"/>
        <v>0</v>
      </c>
      <c r="K334">
        <f t="shared" si="14"/>
        <v>4</v>
      </c>
      <c r="L334">
        <f>200000/('Ammo Stats'!C334*(MAX('Ammo Input'!D334,'Ammo Input'!F334)*0.5)^2*PI())</f>
        <v>243326.184890273</v>
      </c>
      <c r="M334">
        <f>IF(B334="Frag",1,('Ammo Input'!M334/1.33)/('Ammo Input'!H334/1000))</f>
        <v>0</v>
      </c>
      <c r="N334" t="s">
        <v>353</v>
      </c>
      <c r="O334" t="s">
        <v>353</v>
      </c>
      <c r="P334" s="3">
        <f>(39493.49*(IF((VLOOKUP(B334,AmmoTypeFactors,6,FALSE)="Bomb_Secondary"),1.33,1)*('Ammo Input'!H334*0.35)/1000)^0.6/1000)*10/3*VLOOKUP(B334,AmmoTypeFactors,4,FALSE)</f>
        <v>0</v>
      </c>
    </row>
    <row r="335" ht="14.4" spans="1:16">
      <c r="A335" t="str">
        <f>'Ammo Input'!A335</f>
        <v>5.8x21mm DAP9</v>
      </c>
      <c r="B335" s="1" t="str">
        <f>'Ammo Input'!B335</f>
        <v>FMJ</v>
      </c>
      <c r="C335">
        <f>(0.579*('Ammo Stats'!G335*IF(OR(B335="HEAT",B335="HEDP"),10,'Ammo Input'!F335)*VLOOKUP(B335,AmmoTypeFactors,7,FALSE))^(0.346))^IF(B335="HEDP",2.1,1)/IF(B335="HEDP",50,1)</f>
        <v>11.072743438201</v>
      </c>
      <c r="D335" s="16">
        <f>IF(VLOOKUP(B335,AmmoTypeFactors,8,FALSE),J335,C335)*VLOOKUP('Ammo Input'!B335,AmmoTypeFactors,2,FALSE)</f>
        <v>11.072743438201</v>
      </c>
      <c r="E335" s="16">
        <f>IF(OR(VLOOKUP(B335,AmmoTypeFactors,6,FALSE)="Bomb",VLOOKUP(B335,AmmoTypeFactors,6,FALSE)="Thermobaric"),J335*VLOOKUP(B335,AmmoTypeFactors,4,FALSE),IF(VLOOKUP(B335,AmmoTypeFactors,11,FALSE),P335,C335*VLOOKUP(B335,AmmoTypeFactors,4,FALSE)))</f>
        <v>0</v>
      </c>
      <c r="F335" s="16">
        <f>'Ammo Stats'!G335/0.005</f>
        <v>168600</v>
      </c>
      <c r="G335" s="16">
        <f>(IF(B335="HEAT",10,'Ammo Input'!F335)*VLOOKUP(B335,AmmoTypeFactors,7,FALSE)*0.5)^2*PI()/100</f>
        <v>0.282743338823081</v>
      </c>
      <c r="H335" s="10">
        <f t="shared" si="12"/>
        <v>16.86</v>
      </c>
      <c r="I335" s="10">
        <f>IF(B335&lt;&gt;"Arrow (Flaming)",39493.49*'Ammo Input'!M335^0.6/1000,0)</f>
        <v>0</v>
      </c>
      <c r="J335">
        <f t="shared" si="13"/>
        <v>0</v>
      </c>
      <c r="K335">
        <f t="shared" si="14"/>
        <v>6</v>
      </c>
      <c r="L335">
        <f>200000/('Ammo Stats'!C335*(MAX('Ammo Input'!D335,'Ammo Input'!F335)*0.5)^2*PI())</f>
        <v>402907.968746541</v>
      </c>
      <c r="M335">
        <f>IF(B335="Frag",1,('Ammo Input'!M335/1.33)/('Ammo Input'!H335/1000))</f>
        <v>0</v>
      </c>
      <c r="N335" t="s">
        <v>353</v>
      </c>
      <c r="O335" t="s">
        <v>353</v>
      </c>
      <c r="P335" s="3">
        <f>(39493.49*(IF((VLOOKUP(B335,AmmoTypeFactors,6,FALSE)="Bomb_Secondary"),1.33,1)*('Ammo Input'!H335*0.35)/1000)^0.6/1000)*10/3*VLOOKUP(B335,AmmoTypeFactors,4,FALSE)</f>
        <v>0</v>
      </c>
    </row>
    <row r="336" ht="14.4" spans="1:16">
      <c r="A336" t="str">
        <f>'Ammo Input'!A336</f>
        <v>5.8x21mm DAP9</v>
      </c>
      <c r="B336" s="1" t="str">
        <f>'Ammo Input'!B336</f>
        <v>AP</v>
      </c>
      <c r="C336">
        <f>(0.579*('Ammo Stats'!G336*IF(OR(B336="HEAT",B336="HEDP"),10,'Ammo Input'!F336)*VLOOKUP(B336,AmmoTypeFactors,7,FALSE))^(0.346))^IF(B336="HEDP",2.1,1)/IF(B336="HEDP",50,1)</f>
        <v>8.71161870421163</v>
      </c>
      <c r="D336" s="16">
        <f>IF(VLOOKUP(B336,AmmoTypeFactors,8,FALSE),J336,C336)*VLOOKUP('Ammo Input'!B336,AmmoTypeFactors,2,FALSE)</f>
        <v>6.96929496336931</v>
      </c>
      <c r="E336" s="16">
        <f>IF(OR(VLOOKUP(B336,AmmoTypeFactors,6,FALSE)="Bomb",VLOOKUP(B336,AmmoTypeFactors,6,FALSE)="Thermobaric"),J336*VLOOKUP(B336,AmmoTypeFactors,4,FALSE),IF(VLOOKUP(B336,AmmoTypeFactors,11,FALSE),P336,C336*VLOOKUP(B336,AmmoTypeFactors,4,FALSE)))</f>
        <v>0</v>
      </c>
      <c r="F336" s="16">
        <f>'Ammo Stats'!G336/0.005</f>
        <v>168600</v>
      </c>
      <c r="G336" s="16">
        <f>(IF(B336="HEAT",10,'Ammo Input'!F336)*VLOOKUP(B336,AmmoTypeFactors,7,FALSE)*0.5)^2*PI()/100</f>
        <v>0.0706858347057703</v>
      </c>
      <c r="H336" s="10">
        <f t="shared" si="12"/>
        <v>16.86</v>
      </c>
      <c r="I336" s="10">
        <f>IF(B336&lt;&gt;"Arrow (Flaming)",39493.49*'Ammo Input'!M336^0.6/1000,0)</f>
        <v>0</v>
      </c>
      <c r="J336">
        <f t="shared" si="13"/>
        <v>0</v>
      </c>
      <c r="K336">
        <f t="shared" si="14"/>
        <v>6</v>
      </c>
      <c r="L336">
        <f>200000/('Ammo Stats'!C336*(MAX('Ammo Input'!D336,'Ammo Input'!F336)*0.5)^2*PI())</f>
        <v>402907.968746541</v>
      </c>
      <c r="M336">
        <f>IF(B336="Frag",1,('Ammo Input'!M336/1.33)/('Ammo Input'!H336/1000))</f>
        <v>0</v>
      </c>
      <c r="N336" t="s">
        <v>353</v>
      </c>
      <c r="O336" t="s">
        <v>353</v>
      </c>
      <c r="P336" s="3">
        <f>(39493.49*(IF((VLOOKUP(B336,AmmoTypeFactors,6,FALSE)="Bomb_Secondary"),1.33,1)*('Ammo Input'!H336*0.35)/1000)^0.6/1000)*10/3*VLOOKUP(B336,AmmoTypeFactors,4,FALSE)</f>
        <v>0</v>
      </c>
    </row>
    <row r="337" ht="14.4" spans="1:16">
      <c r="A337" t="str">
        <f>'Ammo Input'!A337</f>
        <v>5.8x21mm DAP9</v>
      </c>
      <c r="B337" s="1" t="str">
        <f>'Ammo Input'!B337</f>
        <v>HP</v>
      </c>
      <c r="C337">
        <f>(0.579*('Ammo Stats'!G337*IF(OR(B337="HEAT",B337="HEDP"),10,'Ammo Input'!F337)*VLOOKUP(B337,AmmoTypeFactors,7,FALSE))^(0.346))^IF(B337="HEDP",2.1,1)/IF(B337="HEDP",50,1)</f>
        <v>14.0738077975048</v>
      </c>
      <c r="D337" s="16">
        <f>IF(VLOOKUP(B337,AmmoTypeFactors,8,FALSE),J337,C337)*VLOOKUP('Ammo Input'!B337,AmmoTypeFactors,2,FALSE)</f>
        <v>14.0738077975048</v>
      </c>
      <c r="E337" s="16">
        <f>IF(OR(VLOOKUP(B337,AmmoTypeFactors,6,FALSE)="Bomb",VLOOKUP(B337,AmmoTypeFactors,6,FALSE)="Thermobaric"),J337*VLOOKUP(B337,AmmoTypeFactors,4,FALSE),IF(VLOOKUP(B337,AmmoTypeFactors,11,FALSE),P337,C337*VLOOKUP(B337,AmmoTypeFactors,4,FALSE)))</f>
        <v>0</v>
      </c>
      <c r="F337" s="16">
        <f>'Ammo Stats'!G337/0.005</f>
        <v>168600</v>
      </c>
      <c r="G337" s="16">
        <f>(IF(B337="HEAT",10,'Ammo Input'!F337)*VLOOKUP(B337,AmmoTypeFactors,7,FALSE)*0.5)^2*PI()/100</f>
        <v>1.13097335529233</v>
      </c>
      <c r="H337" s="10">
        <f t="shared" si="12"/>
        <v>16.86</v>
      </c>
      <c r="I337" s="10">
        <f>IF(B337&lt;&gt;"Arrow (Flaming)",39493.49*'Ammo Input'!M337^0.6/1000,0)</f>
        <v>0</v>
      </c>
      <c r="J337">
        <f t="shared" si="13"/>
        <v>0</v>
      </c>
      <c r="K337">
        <f t="shared" si="14"/>
        <v>6</v>
      </c>
      <c r="L337">
        <f>200000/('Ammo Stats'!C337*(MAX('Ammo Input'!D337,'Ammo Input'!F337)*0.5)^2*PI())</f>
        <v>402907.968746541</v>
      </c>
      <c r="M337">
        <f>IF(B337="Frag",1,('Ammo Input'!M337/1.33)/('Ammo Input'!H337/1000))</f>
        <v>0</v>
      </c>
      <c r="N337" t="s">
        <v>353</v>
      </c>
      <c r="O337" t="s">
        <v>353</v>
      </c>
      <c r="P337" s="3">
        <f>(39493.49*(IF((VLOOKUP(B337,AmmoTypeFactors,6,FALSE)="Bomb_Secondary"),1.33,1)*('Ammo Input'!H337*0.35)/1000)^0.6/1000)*10/3*VLOOKUP(B337,AmmoTypeFactors,4,FALSE)</f>
        <v>0</v>
      </c>
    </row>
    <row r="338" ht="14.4" spans="1:16">
      <c r="A338" s="14" t="s">
        <v>154</v>
      </c>
      <c r="B338" s="15"/>
      <c r="C338" s="15"/>
      <c r="D338" s="15"/>
      <c r="E338" s="15"/>
      <c r="F338" s="15"/>
      <c r="G338" s="15"/>
      <c r="H338" s="15"/>
      <c r="I338" s="15"/>
      <c r="J338" s="15"/>
      <c r="K338" s="15"/>
      <c r="L338" s="15"/>
      <c r="M338" s="15"/>
      <c r="N338" s="15"/>
      <c r="O338" s="15"/>
      <c r="P338" s="15"/>
    </row>
    <row r="339" ht="14.4" spans="1:16">
      <c r="A339" t="str">
        <f>'Ammo Input'!A339</f>
        <v>.17 HMR</v>
      </c>
      <c r="B339" s="1" t="str">
        <f>'Ammo Input'!B339</f>
        <v>FMJ</v>
      </c>
      <c r="C339">
        <f>(0.579*('Ammo Stats'!G339*IF(OR(B339="HEAT",B339="HEDP"),10,'Ammo Input'!F339)*VLOOKUP(B339,AmmoTypeFactors,7,FALSE))^(0.346))^IF(B339="HEDP",2.1,1)/IF(B339="HEDP",50,1)</f>
        <v>7.12904443072921</v>
      </c>
      <c r="D339" s="16">
        <f>IF(VLOOKUP(B339,AmmoTypeFactors,8,FALSE),J339,C339)*VLOOKUP('Ammo Input'!B339,AmmoTypeFactors,2,FALSE)</f>
        <v>7.12904443072921</v>
      </c>
      <c r="E339" s="16">
        <f>IF(OR(VLOOKUP(B339,AmmoTypeFactors,6,FALSE)="Bomb",VLOOKUP(B339,AmmoTypeFactors,6,FALSE)="Thermobaric"),J339*VLOOKUP(B339,AmmoTypeFactors,4,FALSE),IF(VLOOKUP(B339,AmmoTypeFactors,11,FALSE),P339,C339*VLOOKUP(B339,AmmoTypeFactors,4,FALSE)))</f>
        <v>0</v>
      </c>
      <c r="F339" s="16">
        <f>'Ammo Stats'!G339/0.005</f>
        <v>64400</v>
      </c>
      <c r="G339" s="16">
        <f>(IF(B339="HEAT",10,'Ammo Input'!F339)*VLOOKUP(B339,AmmoTypeFactors,7,FALSE)*0.5)^2*PI()/100</f>
        <v>0.152053084433746</v>
      </c>
      <c r="H339" s="10">
        <f t="shared" ref="H339:H569" si="15">F339/10000</f>
        <v>6.44</v>
      </c>
      <c r="I339" s="10">
        <f>IF(B339&lt;&gt;"Arrow (Flaming)",39493.49*'Ammo Input'!M339^0.6/1000,0)</f>
        <v>0</v>
      </c>
      <c r="J339">
        <f t="shared" ref="J339:J569" si="16">I339*10/3</f>
        <v>0</v>
      </c>
      <c r="K339">
        <f t="shared" ref="K339:K569" si="17">ROUND(F339^(1/3)/10,0)</f>
        <v>4</v>
      </c>
      <c r="L339">
        <f>200000/('Ammo Stats'!C339*(MAX('Ammo Input'!D339,'Ammo Input'!F339)*0.5)^2*PI())</f>
        <v>707355.302630646</v>
      </c>
      <c r="M339">
        <f>IF(B339="Frag",1,('Ammo Input'!M339/1.33)/('Ammo Input'!H339/1000))</f>
        <v>0</v>
      </c>
      <c r="N339" t="s">
        <v>353</v>
      </c>
      <c r="O339" t="s">
        <v>353</v>
      </c>
      <c r="P339" s="3">
        <f>(39493.49*(IF((VLOOKUP(B339,AmmoTypeFactors,6,FALSE)="Bomb_Secondary"),1.33,1)*('Ammo Input'!H339*0.35)/1000)^0.6/1000)*10/3*VLOOKUP(B339,AmmoTypeFactors,4,FALSE)</f>
        <v>0</v>
      </c>
    </row>
    <row r="340" ht="14.4" spans="1:16">
      <c r="A340" t="str">
        <f>'Ammo Input'!A340</f>
        <v>.17 HMR</v>
      </c>
      <c r="B340" s="1" t="str">
        <f>'Ammo Input'!B340</f>
        <v>AP</v>
      </c>
      <c r="C340">
        <f>(0.579*('Ammo Stats'!G340*IF(OR(B340="HEAT",B340="HEDP"),10,'Ammo Input'!F340)*VLOOKUP(B340,AmmoTypeFactors,7,FALSE))^(0.346))^IF(B340="HEDP",2.1,1)/IF(B340="HEDP",50,1)</f>
        <v>5.60886442935473</v>
      </c>
      <c r="D340" s="16">
        <f>IF(VLOOKUP(B340,AmmoTypeFactors,8,FALSE),J340,C340)*VLOOKUP('Ammo Input'!B340,AmmoTypeFactors,2,FALSE)</f>
        <v>4.48709154348379</v>
      </c>
      <c r="E340" s="16">
        <f>IF(OR(VLOOKUP(B340,AmmoTypeFactors,6,FALSE)="Bomb",VLOOKUP(B340,AmmoTypeFactors,6,FALSE)="Thermobaric"),J340*VLOOKUP(B340,AmmoTypeFactors,4,FALSE),IF(VLOOKUP(B340,AmmoTypeFactors,11,FALSE),P340,C340*VLOOKUP(B340,AmmoTypeFactors,4,FALSE)))</f>
        <v>0</v>
      </c>
      <c r="F340" s="16">
        <f>'Ammo Stats'!G340/0.005</f>
        <v>64400</v>
      </c>
      <c r="G340" s="16">
        <f>(IF(B340="HEAT",10,'Ammo Input'!F340)*VLOOKUP(B340,AmmoTypeFactors,7,FALSE)*0.5)^2*PI()/100</f>
        <v>0.0380132711084365</v>
      </c>
      <c r="H340" s="10">
        <f t="shared" si="15"/>
        <v>6.44</v>
      </c>
      <c r="I340" s="10">
        <f>IF(B340&lt;&gt;"Arrow (Flaming)",39493.49*'Ammo Input'!M340^0.6/1000,0)</f>
        <v>0</v>
      </c>
      <c r="J340">
        <f t="shared" si="16"/>
        <v>0</v>
      </c>
      <c r="K340">
        <f t="shared" si="17"/>
        <v>4</v>
      </c>
      <c r="L340">
        <f>200000/('Ammo Stats'!C340*(MAX('Ammo Input'!D340,'Ammo Input'!F340)*0.5)^2*PI())</f>
        <v>707355.302630646</v>
      </c>
      <c r="M340">
        <f>IF(B340="Frag",1,('Ammo Input'!M340/1.33)/('Ammo Input'!H340/1000))</f>
        <v>0</v>
      </c>
      <c r="N340" t="s">
        <v>353</v>
      </c>
      <c r="O340" t="s">
        <v>353</v>
      </c>
      <c r="P340" s="3">
        <f>(39493.49*(IF((VLOOKUP(B340,AmmoTypeFactors,6,FALSE)="Bomb_Secondary"),1.33,1)*('Ammo Input'!H340*0.35)/1000)^0.6/1000)*10/3*VLOOKUP(B340,AmmoTypeFactors,4,FALSE)</f>
        <v>0</v>
      </c>
    </row>
    <row r="341" ht="14.4" spans="1:16">
      <c r="A341" t="str">
        <f>'Ammo Input'!A341</f>
        <v>.17 HMR</v>
      </c>
      <c r="B341" s="1" t="str">
        <f>'Ammo Input'!B341</f>
        <v>HP</v>
      </c>
      <c r="C341">
        <f>(0.579*('Ammo Stats'!G341*IF(OR(B341="HEAT",B341="HEDP"),10,'Ammo Input'!F341)*VLOOKUP(B341,AmmoTypeFactors,7,FALSE))^(0.346))^IF(B341="HEDP",2.1,1)/IF(B341="HEDP",50,1)</f>
        <v>9.0612413859249</v>
      </c>
      <c r="D341" s="16">
        <f>IF(VLOOKUP(B341,AmmoTypeFactors,8,FALSE),J341,C341)*VLOOKUP('Ammo Input'!B341,AmmoTypeFactors,2,FALSE)</f>
        <v>9.0612413859249</v>
      </c>
      <c r="E341" s="16">
        <f>IF(OR(VLOOKUP(B341,AmmoTypeFactors,6,FALSE)="Bomb",VLOOKUP(B341,AmmoTypeFactors,6,FALSE)="Thermobaric"),J341*VLOOKUP(B341,AmmoTypeFactors,4,FALSE),IF(VLOOKUP(B341,AmmoTypeFactors,11,FALSE),P341,C341*VLOOKUP(B341,AmmoTypeFactors,4,FALSE)))</f>
        <v>0</v>
      </c>
      <c r="F341" s="16">
        <f>'Ammo Stats'!G341/0.005</f>
        <v>64400</v>
      </c>
      <c r="G341" s="16">
        <f>(IF(B341="HEAT",10,'Ammo Input'!F341)*VLOOKUP(B341,AmmoTypeFactors,7,FALSE)*0.5)^2*PI()/100</f>
        <v>0.608212337734984</v>
      </c>
      <c r="H341" s="10">
        <f t="shared" si="15"/>
        <v>6.44</v>
      </c>
      <c r="I341" s="10">
        <f>IF(B341&lt;&gt;"Arrow (Flaming)",39493.49*'Ammo Input'!M341^0.6/1000,0)</f>
        <v>0</v>
      </c>
      <c r="J341">
        <f t="shared" si="16"/>
        <v>0</v>
      </c>
      <c r="K341">
        <f t="shared" si="17"/>
        <v>4</v>
      </c>
      <c r="L341">
        <f>200000/('Ammo Stats'!C341*(MAX('Ammo Input'!D341,'Ammo Input'!F341)*0.5)^2*PI())</f>
        <v>707355.302630646</v>
      </c>
      <c r="M341">
        <f>IF(B341="Frag",1,('Ammo Input'!M341/1.33)/('Ammo Input'!H341/1000))</f>
        <v>0</v>
      </c>
      <c r="N341" t="s">
        <v>353</v>
      </c>
      <c r="O341" t="s">
        <v>353</v>
      </c>
      <c r="P341" s="3">
        <f>(39493.49*(IF((VLOOKUP(B341,AmmoTypeFactors,6,FALSE)="Bomb_Secondary"),1.33,1)*('Ammo Input'!H341*0.35)/1000)^0.6/1000)*10/3*VLOOKUP(B341,AmmoTypeFactors,4,FALSE)</f>
        <v>0</v>
      </c>
    </row>
    <row r="342" ht="14.4" spans="1:16">
      <c r="A342" t="str">
        <f>'Ammo Input'!A342</f>
        <v>.22 WMR</v>
      </c>
      <c r="B342" s="1" t="str">
        <f>'Ammo Input'!B342</f>
        <v>FMJ</v>
      </c>
      <c r="C342">
        <f>(0.579*('Ammo Stats'!G342*IF(OR(B342="HEAT",B342="HEDP"),10,'Ammo Input'!F342)*VLOOKUP(B342,AmmoTypeFactors,7,FALSE))^(0.346))^IF(B342="HEDP",2.1,1)/IF(B342="HEDP",50,1)</f>
        <v>8.6346993251503</v>
      </c>
      <c r="D342" s="16">
        <f>IF(VLOOKUP(B342,AmmoTypeFactors,8,FALSE),J342,C342)*VLOOKUP('Ammo Input'!B342,AmmoTypeFactors,2,FALSE)</f>
        <v>8.6346993251503</v>
      </c>
      <c r="E342" s="16">
        <f>IF(OR(VLOOKUP(B342,AmmoTypeFactors,6,FALSE)="Bomb",VLOOKUP(B342,AmmoTypeFactors,6,FALSE)="Thermobaric"),J342*VLOOKUP(B342,AmmoTypeFactors,4,FALSE),IF(VLOOKUP(B342,AmmoTypeFactors,11,FALSE),P342,C342*VLOOKUP(B342,AmmoTypeFactors,4,FALSE)))</f>
        <v>0</v>
      </c>
      <c r="F342" s="16">
        <f>'Ammo Stats'!G342/0.005</f>
        <v>85000</v>
      </c>
      <c r="G342" s="16">
        <f>(IF(B342="HEAT",10,'Ammo Input'!F342)*VLOOKUP(B342,AmmoTypeFactors,7,FALSE)*0.5)^2*PI()/100</f>
        <v>0.264207942166902</v>
      </c>
      <c r="H342" s="10">
        <f t="shared" si="15"/>
        <v>8.5</v>
      </c>
      <c r="I342" s="10">
        <f>IF(B342&lt;&gt;"Arrow (Flaming)",39493.49*'Ammo Input'!M342^0.6/1000,0)</f>
        <v>0</v>
      </c>
      <c r="J342">
        <f t="shared" si="16"/>
        <v>0</v>
      </c>
      <c r="K342">
        <f t="shared" si="17"/>
        <v>4</v>
      </c>
      <c r="L342">
        <f>200000/('Ammo Stats'!C342*(MAX('Ammo Input'!D342,'Ammo Input'!F342)*0.5)^2*PI())</f>
        <v>656090.910359784</v>
      </c>
      <c r="M342">
        <f>IF(B342="Frag",1,('Ammo Input'!M342/1.33)/('Ammo Input'!H342/1000))</f>
        <v>0</v>
      </c>
      <c r="N342" t="s">
        <v>353</v>
      </c>
      <c r="O342" t="s">
        <v>353</v>
      </c>
      <c r="P342" s="3">
        <f>(39493.49*(IF((VLOOKUP(B342,AmmoTypeFactors,6,FALSE)="Bomb_Secondary"),1.33,1)*('Ammo Input'!H342*0.35)/1000)^0.6/1000)*10/3*VLOOKUP(B342,AmmoTypeFactors,4,FALSE)</f>
        <v>0</v>
      </c>
    </row>
    <row r="343" ht="14.4" spans="1:16">
      <c r="A343" t="str">
        <f>'Ammo Input'!A343</f>
        <v>.22 WMR</v>
      </c>
      <c r="B343" s="1" t="str">
        <f>'Ammo Input'!B343</f>
        <v>AP</v>
      </c>
      <c r="C343">
        <f>(0.579*('Ammo Stats'!G343*IF(OR(B343="HEAT",B343="HEDP"),10,'Ammo Input'!F343)*VLOOKUP(B343,AmmoTypeFactors,7,FALSE))^(0.346))^IF(B343="HEDP",2.1,1)/IF(B343="HEDP",50,1)</f>
        <v>6.79345715594804</v>
      </c>
      <c r="D343" s="16">
        <f>IF(VLOOKUP(B343,AmmoTypeFactors,8,FALSE),J343,C343)*VLOOKUP('Ammo Input'!B343,AmmoTypeFactors,2,FALSE)</f>
        <v>5.43476572475843</v>
      </c>
      <c r="E343" s="16">
        <f>IF(OR(VLOOKUP(B343,AmmoTypeFactors,6,FALSE)="Bomb",VLOOKUP(B343,AmmoTypeFactors,6,FALSE)="Thermobaric"),J343*VLOOKUP(B343,AmmoTypeFactors,4,FALSE),IF(VLOOKUP(B343,AmmoTypeFactors,11,FALSE),P343,C343*VLOOKUP(B343,AmmoTypeFactors,4,FALSE)))</f>
        <v>0</v>
      </c>
      <c r="F343" s="16">
        <f>'Ammo Stats'!G343/0.005</f>
        <v>85000</v>
      </c>
      <c r="G343" s="16">
        <f>(IF(B343="HEAT",10,'Ammo Input'!F343)*VLOOKUP(B343,AmmoTypeFactors,7,FALSE)*0.5)^2*PI()/100</f>
        <v>0.0660519855417254</v>
      </c>
      <c r="H343" s="10">
        <f t="shared" si="15"/>
        <v>8.5</v>
      </c>
      <c r="I343" s="10">
        <f>IF(B343&lt;&gt;"Arrow (Flaming)",39493.49*'Ammo Input'!M343^0.6/1000,0)</f>
        <v>0</v>
      </c>
      <c r="J343">
        <f t="shared" si="16"/>
        <v>0</v>
      </c>
      <c r="K343">
        <f t="shared" si="17"/>
        <v>4</v>
      </c>
      <c r="L343">
        <f>200000/('Ammo Stats'!C343*(MAX('Ammo Input'!D343,'Ammo Input'!F343)*0.5)^2*PI())</f>
        <v>656090.910359784</v>
      </c>
      <c r="M343">
        <f>IF(B343="Frag",1,('Ammo Input'!M343/1.33)/('Ammo Input'!H343/1000))</f>
        <v>0</v>
      </c>
      <c r="N343" t="s">
        <v>353</v>
      </c>
      <c r="O343" t="s">
        <v>353</v>
      </c>
      <c r="P343" s="3">
        <f>(39493.49*(IF((VLOOKUP(B343,AmmoTypeFactors,6,FALSE)="Bomb_Secondary"),1.33,1)*('Ammo Input'!H343*0.35)/1000)^0.6/1000)*10/3*VLOOKUP(B343,AmmoTypeFactors,4,FALSE)</f>
        <v>0</v>
      </c>
    </row>
    <row r="344" ht="14.4" spans="1:16">
      <c r="A344" t="str">
        <f>'Ammo Input'!A344</f>
        <v>.22 WMR</v>
      </c>
      <c r="B344" s="1" t="str">
        <f>'Ammo Input'!B344</f>
        <v>HP</v>
      </c>
      <c r="C344">
        <f>(0.579*('Ammo Stats'!G344*IF(OR(B344="HEAT",B344="HEDP"),10,'Ammo Input'!F344)*VLOOKUP(B344,AmmoTypeFactors,7,FALSE))^(0.346))^IF(B344="HEDP",2.1,1)/IF(B344="HEDP",50,1)</f>
        <v>10.9749764698923</v>
      </c>
      <c r="D344" s="16">
        <f>IF(VLOOKUP(B344,AmmoTypeFactors,8,FALSE),J344,C344)*VLOOKUP('Ammo Input'!B344,AmmoTypeFactors,2,FALSE)</f>
        <v>10.9749764698923</v>
      </c>
      <c r="E344" s="16">
        <f>IF(OR(VLOOKUP(B344,AmmoTypeFactors,6,FALSE)="Bomb",VLOOKUP(B344,AmmoTypeFactors,6,FALSE)="Thermobaric"),J344*VLOOKUP(B344,AmmoTypeFactors,4,FALSE),IF(VLOOKUP(B344,AmmoTypeFactors,11,FALSE),P344,C344*VLOOKUP(B344,AmmoTypeFactors,4,FALSE)))</f>
        <v>0</v>
      </c>
      <c r="F344" s="16">
        <f>'Ammo Stats'!G344/0.005</f>
        <v>85000</v>
      </c>
      <c r="G344" s="16">
        <f>(IF(B344="HEAT",10,'Ammo Input'!F344)*VLOOKUP(B344,AmmoTypeFactors,7,FALSE)*0.5)^2*PI()/100</f>
        <v>1.05683176866761</v>
      </c>
      <c r="H344" s="10">
        <f t="shared" si="15"/>
        <v>8.5</v>
      </c>
      <c r="I344" s="10">
        <f>IF(B344&lt;&gt;"Arrow (Flaming)",39493.49*'Ammo Input'!M344^0.6/1000,0)</f>
        <v>0</v>
      </c>
      <c r="J344">
        <f t="shared" si="16"/>
        <v>0</v>
      </c>
      <c r="K344">
        <f t="shared" si="17"/>
        <v>4</v>
      </c>
      <c r="L344">
        <f>200000/('Ammo Stats'!C344*(MAX('Ammo Input'!D344,'Ammo Input'!F344)*0.5)^2*PI())</f>
        <v>656090.910359784</v>
      </c>
      <c r="M344">
        <f>IF(B344="Frag",1,('Ammo Input'!M344/1.33)/('Ammo Input'!H344/1000))</f>
        <v>0</v>
      </c>
      <c r="N344" t="s">
        <v>353</v>
      </c>
      <c r="O344" t="s">
        <v>353</v>
      </c>
      <c r="P344" s="3">
        <f>(39493.49*(IF((VLOOKUP(B344,AmmoTypeFactors,6,FALSE)="Bomb_Secondary"),1.33,1)*('Ammo Input'!H344*0.35)/1000)^0.6/1000)*10/3*VLOOKUP(B344,AmmoTypeFactors,4,FALSE)</f>
        <v>0</v>
      </c>
    </row>
    <row r="345" ht="14.4" spans="1:16">
      <c r="A345" t="str">
        <f>'Ammo Input'!A345</f>
        <v>.22 Hornet</v>
      </c>
      <c r="B345" s="1" t="str">
        <f>'Ammo Input'!B345</f>
        <v>FMJ</v>
      </c>
      <c r="C345">
        <f>(0.579*('Ammo Stats'!G345*IF(OR(B345="HEAT",B345="HEDP"),10,'Ammo Input'!F345)*VLOOKUP(B345,AmmoTypeFactors,7,FALSE))^(0.346))^IF(B345="HEDP",2.1,1)/IF(B345="HEDP",50,1)</f>
        <v>11.7030032160538</v>
      </c>
      <c r="D345" s="16">
        <f>IF(VLOOKUP(B345,AmmoTypeFactors,8,FALSE),J345,C345)*VLOOKUP('Ammo Input'!B345,AmmoTypeFactors,2,FALSE)</f>
        <v>11.7030032160538</v>
      </c>
      <c r="E345" s="16">
        <f>IF(OR(VLOOKUP(B345,AmmoTypeFactors,6,FALSE)="Bomb",VLOOKUP(B345,AmmoTypeFactors,6,FALSE)="Thermobaric"),J345*VLOOKUP(B345,AmmoTypeFactors,4,FALSE),IF(VLOOKUP(B345,AmmoTypeFactors,11,FALSE),P345,C345*VLOOKUP(B345,AmmoTypeFactors,4,FALSE)))</f>
        <v>0</v>
      </c>
      <c r="F345" s="16">
        <f>'Ammo Stats'!G345/0.005</f>
        <v>209000</v>
      </c>
      <c r="G345" s="16">
        <f>(IF(B345="HEAT",10,'Ammo Input'!F345)*VLOOKUP(B345,AmmoTypeFactors,7,FALSE)*0.5)^2*PI()/100</f>
        <v>0.253388297067938</v>
      </c>
      <c r="H345" s="10">
        <f t="shared" si="15"/>
        <v>20.9</v>
      </c>
      <c r="I345" s="10">
        <f>IF(B345&lt;&gt;"Arrow (Flaming)",39493.49*'Ammo Input'!M345^0.6/1000,0)</f>
        <v>0</v>
      </c>
      <c r="J345">
        <f t="shared" si="16"/>
        <v>0</v>
      </c>
      <c r="K345">
        <f t="shared" si="17"/>
        <v>6</v>
      </c>
      <c r="L345">
        <f>200000/('Ammo Stats'!C345*(MAX('Ammo Input'!D345,'Ammo Input'!F345)*0.5)^2*PI())</f>
        <v>440872.418537106</v>
      </c>
      <c r="M345">
        <f>IF(B345="Frag",1,('Ammo Input'!M345/1.33)/('Ammo Input'!H345/1000))</f>
        <v>0</v>
      </c>
      <c r="N345" t="s">
        <v>353</v>
      </c>
      <c r="O345" t="s">
        <v>353</v>
      </c>
      <c r="P345" s="3">
        <f>(39493.49*(IF((VLOOKUP(B345,AmmoTypeFactors,6,FALSE)="Bomb_Secondary"),1.33,1)*('Ammo Input'!H345*0.35)/1000)^0.6/1000)*10/3*VLOOKUP(B345,AmmoTypeFactors,4,FALSE)</f>
        <v>0</v>
      </c>
    </row>
    <row r="346" ht="14.4" spans="1:16">
      <c r="A346" t="str">
        <f>'Ammo Input'!A346</f>
        <v>.22 Hornet</v>
      </c>
      <c r="B346" s="1" t="str">
        <f>'Ammo Input'!B346</f>
        <v>AP</v>
      </c>
      <c r="C346">
        <f>(0.579*('Ammo Stats'!G346*IF(OR(B346="HEAT",B346="HEDP"),10,'Ammo Input'!F346)*VLOOKUP(B346,AmmoTypeFactors,7,FALSE))^(0.346))^IF(B346="HEDP",2.1,1)/IF(B346="HEDP",50,1)</f>
        <v>9.20748342824312</v>
      </c>
      <c r="D346" s="16">
        <f>IF(VLOOKUP(B346,AmmoTypeFactors,8,FALSE),J346,C346)*VLOOKUP('Ammo Input'!B346,AmmoTypeFactors,2,FALSE)</f>
        <v>7.3659867425945</v>
      </c>
      <c r="E346" s="16">
        <f>IF(OR(VLOOKUP(B346,AmmoTypeFactors,6,FALSE)="Bomb",VLOOKUP(B346,AmmoTypeFactors,6,FALSE)="Thermobaric"),J346*VLOOKUP(B346,AmmoTypeFactors,4,FALSE),IF(VLOOKUP(B346,AmmoTypeFactors,11,FALSE),P346,C346*VLOOKUP(B346,AmmoTypeFactors,4,FALSE)))</f>
        <v>0</v>
      </c>
      <c r="F346" s="16">
        <f>'Ammo Stats'!G346/0.005</f>
        <v>209000</v>
      </c>
      <c r="G346" s="16">
        <f>(IF(B346="HEAT",10,'Ammo Input'!F346)*VLOOKUP(B346,AmmoTypeFactors,7,FALSE)*0.5)^2*PI()/100</f>
        <v>0.0633470742669846</v>
      </c>
      <c r="H346" s="10">
        <f t="shared" si="15"/>
        <v>20.9</v>
      </c>
      <c r="I346" s="10">
        <f>IF(B346&lt;&gt;"Arrow (Flaming)",39493.49*'Ammo Input'!M346^0.6/1000,0)</f>
        <v>0</v>
      </c>
      <c r="J346">
        <f t="shared" si="16"/>
        <v>0</v>
      </c>
      <c r="K346">
        <f t="shared" si="17"/>
        <v>6</v>
      </c>
      <c r="L346">
        <f>200000/('Ammo Stats'!C346*(MAX('Ammo Input'!D346,'Ammo Input'!F346)*0.5)^2*PI())</f>
        <v>440872.418537106</v>
      </c>
      <c r="M346">
        <f>IF(B346="Frag",1,('Ammo Input'!M346/1.33)/('Ammo Input'!H346/1000))</f>
        <v>0</v>
      </c>
      <c r="N346" t="s">
        <v>353</v>
      </c>
      <c r="O346" t="s">
        <v>353</v>
      </c>
      <c r="P346" s="3">
        <f>(39493.49*(IF((VLOOKUP(B346,AmmoTypeFactors,6,FALSE)="Bomb_Secondary"),1.33,1)*('Ammo Input'!H346*0.35)/1000)^0.6/1000)*10/3*VLOOKUP(B346,AmmoTypeFactors,4,FALSE)</f>
        <v>0</v>
      </c>
    </row>
    <row r="347" ht="14.4" spans="1:16">
      <c r="A347" t="str">
        <f>'Ammo Input'!A347</f>
        <v>.22 Hornet</v>
      </c>
      <c r="B347" s="1" t="str">
        <f>'Ammo Input'!B347</f>
        <v>HP</v>
      </c>
      <c r="C347">
        <f>(0.579*('Ammo Stats'!G347*IF(OR(B347="HEAT",B347="HEDP"),10,'Ammo Input'!F347)*VLOOKUP(B347,AmmoTypeFactors,7,FALSE))^(0.346))^IF(B347="HEDP",2.1,1)/IF(B347="HEDP",50,1)</f>
        <v>14.8748879476505</v>
      </c>
      <c r="D347" s="16">
        <f>IF(VLOOKUP(B347,AmmoTypeFactors,8,FALSE),J347,C347)*VLOOKUP('Ammo Input'!B347,AmmoTypeFactors,2,FALSE)</f>
        <v>14.8748879476505</v>
      </c>
      <c r="E347" s="16">
        <f>IF(OR(VLOOKUP(B347,AmmoTypeFactors,6,FALSE)="Bomb",VLOOKUP(B347,AmmoTypeFactors,6,FALSE)="Thermobaric"),J347*VLOOKUP(B347,AmmoTypeFactors,4,FALSE),IF(VLOOKUP(B347,AmmoTypeFactors,11,FALSE),P347,C347*VLOOKUP(B347,AmmoTypeFactors,4,FALSE)))</f>
        <v>0</v>
      </c>
      <c r="F347" s="16">
        <f>'Ammo Stats'!G347/0.005</f>
        <v>209000</v>
      </c>
      <c r="G347" s="16">
        <f>(IF(B347="HEAT",10,'Ammo Input'!F347)*VLOOKUP(B347,AmmoTypeFactors,7,FALSE)*0.5)^2*PI()/100</f>
        <v>1.01355318827175</v>
      </c>
      <c r="H347" s="10">
        <f t="shared" si="15"/>
        <v>20.9</v>
      </c>
      <c r="I347" s="10">
        <f>IF(B347&lt;&gt;"Arrow (Flaming)",39493.49*'Ammo Input'!M347^0.6/1000,0)</f>
        <v>0</v>
      </c>
      <c r="J347">
        <f t="shared" si="16"/>
        <v>0</v>
      </c>
      <c r="K347">
        <f t="shared" si="17"/>
        <v>6</v>
      </c>
      <c r="L347">
        <f>200000/('Ammo Stats'!C347*(MAX('Ammo Input'!D347,'Ammo Input'!F347)*0.5)^2*PI())</f>
        <v>440872.418537106</v>
      </c>
      <c r="M347">
        <f>IF(B347="Frag",1,('Ammo Input'!M347/1.33)/('Ammo Input'!H347/1000))</f>
        <v>0</v>
      </c>
      <c r="N347" t="s">
        <v>353</v>
      </c>
      <c r="O347" t="s">
        <v>353</v>
      </c>
      <c r="P347" s="3">
        <f>(39493.49*(IF((VLOOKUP(B347,AmmoTypeFactors,6,FALSE)="Bomb_Secondary"),1.33,1)*('Ammo Input'!H347*0.35)/1000)^0.6/1000)*10/3*VLOOKUP(B347,AmmoTypeFactors,4,FALSE)</f>
        <v>0</v>
      </c>
    </row>
    <row r="348" ht="14.4" spans="1:16">
      <c r="A348" t="str">
        <f>'Ammo Input'!A348</f>
        <v>5.45x39mm Soviet</v>
      </c>
      <c r="B348" s="1" t="str">
        <f>'Ammo Input'!B348</f>
        <v>FMJ</v>
      </c>
      <c r="C348">
        <f>(0.579*('Ammo Stats'!G348*IF(OR(B348="HEAT",B348="HEDP"),10,'Ammo Input'!F348)*VLOOKUP(B348,AmmoTypeFactors,7,FALSE))^(0.346))^IF(B348="HEDP",2.1,1)/IF(B348="HEDP",50,1)</f>
        <v>12.8921821761254</v>
      </c>
      <c r="D348" s="16">
        <f>IF(VLOOKUP(B348,AmmoTypeFactors,8,FALSE),J348,C348)*VLOOKUP('Ammo Input'!B348,AmmoTypeFactors,2,FALSE)</f>
        <v>12.8921821761254</v>
      </c>
      <c r="E348" s="16">
        <f>IF(OR(VLOOKUP(B348,AmmoTypeFactors,6,FALSE)="Bomb",VLOOKUP(B348,AmmoTypeFactors,6,FALSE)="Thermobaric"),J348*VLOOKUP(B348,AmmoTypeFactors,4,FALSE),IF(VLOOKUP(B348,AmmoTypeFactors,11,FALSE),P348,C348*VLOOKUP(B348,AmmoTypeFactors,4,FALSE)))</f>
        <v>0</v>
      </c>
      <c r="F348" s="16">
        <f>'Ammo Stats'!G348/0.005</f>
        <v>280400</v>
      </c>
      <c r="G348" s="16">
        <f>(IF(B348="HEAT",10,'Ammo Input'!F348)*VLOOKUP(B348,AmmoTypeFactors,7,FALSE)*0.5)^2*PI()/100</f>
        <v>0.24630086404144</v>
      </c>
      <c r="H348" s="10">
        <f t="shared" si="15"/>
        <v>28.04</v>
      </c>
      <c r="I348" s="10">
        <f>IF(B348&lt;&gt;"Arrow (Flaming)",39493.49*'Ammo Input'!M348^0.6/1000,0)</f>
        <v>0</v>
      </c>
      <c r="J348">
        <f t="shared" si="16"/>
        <v>0</v>
      </c>
      <c r="K348">
        <f t="shared" si="17"/>
        <v>7</v>
      </c>
      <c r="L348">
        <f>200000/('Ammo Stats'!C348*(MAX('Ammo Input'!D348,'Ammo Input'!F348)*0.5)^2*PI())</f>
        <v>127323.954473516</v>
      </c>
      <c r="M348">
        <f>IF(B348="Frag",1,('Ammo Input'!M348/1.33)/('Ammo Input'!H348/1000))</f>
        <v>0</v>
      </c>
      <c r="N348" t="s">
        <v>353</v>
      </c>
      <c r="O348" t="s">
        <v>353</v>
      </c>
      <c r="P348" s="3">
        <f>(39493.49*(IF((VLOOKUP(B348,AmmoTypeFactors,6,FALSE)="Bomb_Secondary"),1.33,1)*('Ammo Input'!H348*0.35)/1000)^0.6/1000)*10/3*VLOOKUP(B348,AmmoTypeFactors,4,FALSE)</f>
        <v>0</v>
      </c>
    </row>
    <row r="349" ht="14.4" spans="1:16">
      <c r="A349" t="str">
        <f>'Ammo Input'!A349</f>
        <v>5.45x39mm Soviet</v>
      </c>
      <c r="B349" s="1" t="str">
        <f>'Ammo Input'!B349</f>
        <v>AP</v>
      </c>
      <c r="C349">
        <f>(0.579*('Ammo Stats'!G349*IF(OR(B349="HEAT",B349="HEDP"),10,'Ammo Input'!F349)*VLOOKUP(B349,AmmoTypeFactors,7,FALSE))^(0.346))^IF(B349="HEDP",2.1,1)/IF(B349="HEDP",50,1)</f>
        <v>10.1430847748321</v>
      </c>
      <c r="D349" s="16">
        <f>IF(VLOOKUP(B349,AmmoTypeFactors,8,FALSE),J349,C349)*VLOOKUP('Ammo Input'!B349,AmmoTypeFactors,2,FALSE)</f>
        <v>8.11446781986565</v>
      </c>
      <c r="E349" s="16">
        <f>IF(OR(VLOOKUP(B349,AmmoTypeFactors,6,FALSE)="Bomb",VLOOKUP(B349,AmmoTypeFactors,6,FALSE)="Thermobaric"),J349*VLOOKUP(B349,AmmoTypeFactors,4,FALSE),IF(VLOOKUP(B349,AmmoTypeFactors,11,FALSE),P349,C349*VLOOKUP(B349,AmmoTypeFactors,4,FALSE)))</f>
        <v>0</v>
      </c>
      <c r="F349" s="16">
        <f>'Ammo Stats'!G349/0.005</f>
        <v>280400</v>
      </c>
      <c r="G349" s="16">
        <f>(IF(B349="HEAT",10,'Ammo Input'!F349)*VLOOKUP(B349,AmmoTypeFactors,7,FALSE)*0.5)^2*PI()/100</f>
        <v>0.0615752160103599</v>
      </c>
      <c r="H349" s="10">
        <f t="shared" si="15"/>
        <v>28.04</v>
      </c>
      <c r="I349" s="10">
        <f>IF(B349&lt;&gt;"Arrow (Flaming)",39493.49*'Ammo Input'!M349^0.6/1000,0)</f>
        <v>0</v>
      </c>
      <c r="J349">
        <f t="shared" si="16"/>
        <v>0</v>
      </c>
      <c r="K349">
        <f t="shared" si="17"/>
        <v>7</v>
      </c>
      <c r="L349">
        <f>200000/('Ammo Stats'!C349*(MAX('Ammo Input'!D349,'Ammo Input'!F349)*0.5)^2*PI())</f>
        <v>127323.954473516</v>
      </c>
      <c r="M349">
        <f>IF(B349="Frag",1,('Ammo Input'!M349/1.33)/('Ammo Input'!H349/1000))</f>
        <v>0</v>
      </c>
      <c r="N349" t="s">
        <v>353</v>
      </c>
      <c r="O349" t="s">
        <v>353</v>
      </c>
      <c r="P349" s="3">
        <f>(39493.49*(IF((VLOOKUP(B349,AmmoTypeFactors,6,FALSE)="Bomb_Secondary"),1.33,1)*('Ammo Input'!H349*0.35)/1000)^0.6/1000)*10/3*VLOOKUP(B349,AmmoTypeFactors,4,FALSE)</f>
        <v>0</v>
      </c>
    </row>
    <row r="350" ht="14.4" spans="1:16">
      <c r="A350" t="str">
        <f>'Ammo Input'!A350</f>
        <v>5.45x39mm Soviet</v>
      </c>
      <c r="B350" s="1" t="str">
        <f>'Ammo Input'!B350</f>
        <v>HP</v>
      </c>
      <c r="C350">
        <f>(0.579*('Ammo Stats'!G350*IF(OR(B350="HEAT",B350="HEDP"),10,'Ammo Input'!F350)*VLOOKUP(B350,AmmoTypeFactors,7,FALSE))^(0.346))^IF(B350="HEDP",2.1,1)/IF(B350="HEDP",50,1)</f>
        <v>16.3863720901571</v>
      </c>
      <c r="D350" s="16">
        <f>IF(VLOOKUP(B350,AmmoTypeFactors,8,FALSE),J350,C350)*VLOOKUP('Ammo Input'!B350,AmmoTypeFactors,2,FALSE)</f>
        <v>16.3863720901571</v>
      </c>
      <c r="E350" s="16">
        <f>IF(OR(VLOOKUP(B350,AmmoTypeFactors,6,FALSE)="Bomb",VLOOKUP(B350,AmmoTypeFactors,6,FALSE)="Thermobaric"),J350*VLOOKUP(B350,AmmoTypeFactors,4,FALSE),IF(VLOOKUP(B350,AmmoTypeFactors,11,FALSE),P350,C350*VLOOKUP(B350,AmmoTypeFactors,4,FALSE)))</f>
        <v>0</v>
      </c>
      <c r="F350" s="16">
        <f>'Ammo Stats'!G350/0.005</f>
        <v>280400</v>
      </c>
      <c r="G350" s="16">
        <f>(IF(B350="HEAT",10,'Ammo Input'!F350)*VLOOKUP(B350,AmmoTypeFactors,7,FALSE)*0.5)^2*PI()/100</f>
        <v>0.985203456165759</v>
      </c>
      <c r="H350" s="10">
        <f t="shared" si="15"/>
        <v>28.04</v>
      </c>
      <c r="I350" s="10">
        <f>IF(B350&lt;&gt;"Arrow (Flaming)",39493.49*'Ammo Input'!M350^0.6/1000,0)</f>
        <v>0</v>
      </c>
      <c r="J350">
        <f t="shared" si="16"/>
        <v>0</v>
      </c>
      <c r="K350">
        <f t="shared" si="17"/>
        <v>7</v>
      </c>
      <c r="L350">
        <f>200000/('Ammo Stats'!C350*(MAX('Ammo Input'!D350,'Ammo Input'!F350)*0.5)^2*PI())</f>
        <v>127323.954473516</v>
      </c>
      <c r="M350">
        <f>IF(B350="Frag",1,('Ammo Input'!M350/1.33)/('Ammo Input'!H350/1000))</f>
        <v>0</v>
      </c>
      <c r="N350" t="s">
        <v>353</v>
      </c>
      <c r="O350" t="s">
        <v>353</v>
      </c>
      <c r="P350" s="3">
        <f>(39493.49*(IF((VLOOKUP(B350,AmmoTypeFactors,6,FALSE)="Bomb_Secondary"),1.33,1)*('Ammo Input'!H350*0.35)/1000)^0.6/1000)*10/3*VLOOKUP(B350,AmmoTypeFactors,4,FALSE)</f>
        <v>0</v>
      </c>
    </row>
    <row r="351" ht="14.4" spans="1:16">
      <c r="A351" t="str">
        <f>'Ammo Input'!A351</f>
        <v>5.45x39mm Soviet</v>
      </c>
      <c r="B351" s="1" t="str">
        <f>'Ammo Input'!B351</f>
        <v>AP-I</v>
      </c>
      <c r="C351">
        <f>(0.579*('Ammo Stats'!G351*IF(OR(B351="HEAT",B351="HEDP"),10,'Ammo Input'!F351)*VLOOKUP(B351,AmmoTypeFactors,7,FALSE))^(0.346))^IF(B351="HEDP",2.1,1)/IF(B351="HEDP",50,1)</f>
        <v>10.1430847748321</v>
      </c>
      <c r="D351" s="16">
        <f>IF(VLOOKUP(B351,AmmoTypeFactors,8,FALSE),J351,C351)*VLOOKUP('Ammo Input'!B351,AmmoTypeFactors,2,FALSE)</f>
        <v>8.11446781986565</v>
      </c>
      <c r="E351" s="16">
        <f>IF(OR(VLOOKUP(B351,AmmoTypeFactors,6,FALSE)="Bomb",VLOOKUP(B351,AmmoTypeFactors,6,FALSE)="Thermobaric"),J351*VLOOKUP(B351,AmmoTypeFactors,4,FALSE),IF(VLOOKUP(B351,AmmoTypeFactors,11,FALSE),P351,C351*VLOOKUP(B351,AmmoTypeFactors,4,FALSE)))</f>
        <v>3.12617711919499</v>
      </c>
      <c r="F351" s="16">
        <f>'Ammo Stats'!G351/0.005</f>
        <v>280400</v>
      </c>
      <c r="G351" s="16">
        <f>(IF(B351="HEAT",10,'Ammo Input'!F351)*VLOOKUP(B351,AmmoTypeFactors,7,FALSE)*0.5)^2*PI()/100</f>
        <v>0.0615752160103599</v>
      </c>
      <c r="H351" s="10">
        <f t="shared" si="15"/>
        <v>28.04</v>
      </c>
      <c r="I351" s="10">
        <f>IF(B351&lt;&gt;"Arrow (Flaming)",39493.49*'Ammo Input'!M351^0.6/1000,0)</f>
        <v>0</v>
      </c>
      <c r="J351">
        <f t="shared" si="16"/>
        <v>0</v>
      </c>
      <c r="K351">
        <f t="shared" si="17"/>
        <v>7</v>
      </c>
      <c r="L351">
        <f>200000/('Ammo Stats'!C351*(MAX('Ammo Input'!D351,'Ammo Input'!F351)*0.5)^2*PI())</f>
        <v>127323.954473516</v>
      </c>
      <c r="M351">
        <f>IF(B351="Frag",1,('Ammo Input'!M351/1.33)/('Ammo Input'!H351/1000))</f>
        <v>0</v>
      </c>
      <c r="N351" t="s">
        <v>353</v>
      </c>
      <c r="O351" t="s">
        <v>353</v>
      </c>
      <c r="P351" s="3">
        <f>(39493.49*(IF((VLOOKUP(B351,AmmoTypeFactors,6,FALSE)="Bomb_Secondary"),1.33,1)*('Ammo Input'!H351*0.35)/1000)^0.6/1000)*10/3*VLOOKUP(B351,AmmoTypeFactors,4,FALSE)</f>
        <v>3.12617711919499</v>
      </c>
    </row>
    <row r="352" ht="14.4" spans="1:16">
      <c r="A352" t="str">
        <f>'Ammo Input'!A352</f>
        <v>5.45x39mm Soviet</v>
      </c>
      <c r="B352" s="1" t="str">
        <f>'Ammo Input'!B352</f>
        <v>AP-HE</v>
      </c>
      <c r="C352">
        <f>(0.579*('Ammo Stats'!G352*IF(OR(B352="HEAT",B352="HEDP"),10,'Ammo Input'!F352)*VLOOKUP(B352,AmmoTypeFactors,7,FALSE))^(0.346))^IF(B352="HEDP",2.1,1)/IF(B352="HEDP",50,1)</f>
        <v>12.8921821761254</v>
      </c>
      <c r="D352" s="16">
        <f>IF(VLOOKUP(B352,AmmoTypeFactors,8,FALSE),J352,C352)*VLOOKUP('Ammo Input'!B352,AmmoTypeFactors,2,FALSE)</f>
        <v>12.8921821761254</v>
      </c>
      <c r="E352" s="16">
        <f>IF(OR(VLOOKUP(B352,AmmoTypeFactors,6,FALSE)="Bomb",VLOOKUP(B352,AmmoTypeFactors,6,FALSE)="Thermobaric"),J352*VLOOKUP(B352,AmmoTypeFactors,4,FALSE),IF(VLOOKUP(B352,AmmoTypeFactors,11,FALSE),P352,C352*VLOOKUP(B352,AmmoTypeFactors,4,FALSE)))</f>
        <v>4.28028287365943</v>
      </c>
      <c r="F352" s="16">
        <f>'Ammo Stats'!G352/0.005</f>
        <v>280400</v>
      </c>
      <c r="G352" s="16">
        <f>(IF(B352="HEAT",10,'Ammo Input'!F352)*VLOOKUP(B352,AmmoTypeFactors,7,FALSE)*0.5)^2*PI()/100</f>
        <v>0.24630086404144</v>
      </c>
      <c r="H352" s="10">
        <f t="shared" si="15"/>
        <v>28.04</v>
      </c>
      <c r="I352" s="10">
        <f>IF(B352&lt;&gt;"Arrow (Flaming)",39493.49*'Ammo Input'!M352^0.6/1000,0)</f>
        <v>0</v>
      </c>
      <c r="J352">
        <f t="shared" si="16"/>
        <v>0</v>
      </c>
      <c r="K352">
        <f t="shared" si="17"/>
        <v>7</v>
      </c>
      <c r="L352">
        <f>200000/('Ammo Stats'!C352*(MAX('Ammo Input'!D352,'Ammo Input'!F352)*0.5)^2*PI())</f>
        <v>127323.954473516</v>
      </c>
      <c r="M352">
        <f>IF(B352="Frag",1,('Ammo Input'!M352/1.33)/('Ammo Input'!H352/1000))</f>
        <v>0</v>
      </c>
      <c r="N352" t="s">
        <v>353</v>
      </c>
      <c r="O352" t="s">
        <v>353</v>
      </c>
      <c r="P352" s="3">
        <f>(39493.49*(IF((VLOOKUP(B352,AmmoTypeFactors,6,FALSE)="Bomb_Secondary"),1.33,1)*('Ammo Input'!H352*0.35)/1000)^0.6/1000)*10/3*VLOOKUP(B352,AmmoTypeFactors,4,FALSE)</f>
        <v>4.28028287365943</v>
      </c>
    </row>
    <row r="353" ht="14.4" spans="1:16">
      <c r="A353" t="str">
        <f>'Ammo Input'!A353</f>
        <v>5.45x39mm Soviet</v>
      </c>
      <c r="B353" s="1" t="str">
        <f>'Ammo Input'!B353</f>
        <v>Sabot</v>
      </c>
      <c r="C353">
        <f>(0.579*('Ammo Stats'!G353*IF(OR(B353="HEAT",B353="HEDP"),10,'Ammo Input'!F353)*VLOOKUP(B353,AmmoTypeFactors,7,FALSE))^(0.346))^IF(B353="HEDP",2.1,1)/IF(B353="HEDP",50,1)</f>
        <v>9.32059531979077</v>
      </c>
      <c r="D353" s="16">
        <f>IF(VLOOKUP(B353,AmmoTypeFactors,8,FALSE),J353,C353)*VLOOKUP('Ammo Input'!B353,AmmoTypeFactors,2,FALSE)</f>
        <v>6.52441672385354</v>
      </c>
      <c r="E353" s="16">
        <f>IF(OR(VLOOKUP(B353,AmmoTypeFactors,6,FALSE)="Bomb",VLOOKUP(B353,AmmoTypeFactors,6,FALSE)="Thermobaric"),J353*VLOOKUP(B353,AmmoTypeFactors,4,FALSE),IF(VLOOKUP(B353,AmmoTypeFactors,11,FALSE),P353,C353*VLOOKUP(B353,AmmoTypeFactors,4,FALSE)))</f>
        <v>0</v>
      </c>
      <c r="F353" s="16">
        <f>'Ammo Stats'!G353/0.005</f>
        <v>366000</v>
      </c>
      <c r="G353" s="16">
        <f>(IF(B353="HEAT",10,'Ammo Input'!F353)*VLOOKUP(B353,AmmoTypeFactors,7,FALSE)*0.5)^2*PI()/100</f>
        <v>0.0221670777637296</v>
      </c>
      <c r="H353" s="10">
        <f t="shared" si="15"/>
        <v>36.6</v>
      </c>
      <c r="I353" s="10">
        <f>IF(B353&lt;&gt;"Arrow (Flaming)",39493.49*'Ammo Input'!M353^0.6/1000,0)</f>
        <v>0</v>
      </c>
      <c r="J353">
        <f t="shared" si="16"/>
        <v>0</v>
      </c>
      <c r="K353">
        <f t="shared" si="17"/>
        <v>7</v>
      </c>
      <c r="L353">
        <f>200000/('Ammo Stats'!C353*(MAX('Ammo Input'!D353,'Ammo Input'!F353)*0.5)^2*PI())</f>
        <v>127323.954473516</v>
      </c>
      <c r="M353">
        <f>IF(B353="Frag",1,('Ammo Input'!M353/1.33)/('Ammo Input'!H353/1000))</f>
        <v>0</v>
      </c>
      <c r="N353" t="s">
        <v>353</v>
      </c>
      <c r="O353" t="s">
        <v>353</v>
      </c>
      <c r="P353" s="3">
        <f>(39493.49*(IF((VLOOKUP(B353,AmmoTypeFactors,6,FALSE)="Bomb_Secondary"),1.33,1)*('Ammo Input'!H353*0.35)/1000)^0.6/1000)*10/3*VLOOKUP(B353,AmmoTypeFactors,4,FALSE)</f>
        <v>0</v>
      </c>
    </row>
    <row r="354" ht="14.4" spans="1:16">
      <c r="A354" t="str">
        <f>'Ammo Input'!A354</f>
        <v>5.45x39mm Soviet (Slow)</v>
      </c>
      <c r="B354" s="1" t="str">
        <f>'Ammo Input'!B354</f>
        <v>FMJ</v>
      </c>
      <c r="C354">
        <f>(0.579*('Ammo Stats'!G354*IF(OR(B354="HEAT",B354="HEDP"),10,'Ammo Input'!F354)*VLOOKUP(B354,AmmoTypeFactors,7,FALSE))^(0.346))^IF(B354="HEDP",2.1,1)/IF(B354="HEDP",50,1)</f>
        <v>11.38174535405</v>
      </c>
      <c r="D354" s="16">
        <f>IF(VLOOKUP(B354,AmmoTypeFactors,8,FALSE),J354,C354)*VLOOKUP('Ammo Input'!B354,AmmoTypeFactors,2,FALSE)</f>
        <v>11.38174535405</v>
      </c>
      <c r="E354" s="16">
        <f>IF(OR(VLOOKUP(B354,AmmoTypeFactors,6,FALSE)="Bomb",VLOOKUP(B354,AmmoTypeFactors,6,FALSE)="Thermobaric"),J354*VLOOKUP(B354,AmmoTypeFactors,4,FALSE),IF(VLOOKUP(B354,AmmoTypeFactors,11,FALSE),P354,C354*VLOOKUP(B354,AmmoTypeFactors,4,FALSE)))</f>
        <v>0</v>
      </c>
      <c r="F354" s="16">
        <f>'Ammo Stats'!G354/0.005</f>
        <v>195600</v>
      </c>
      <c r="G354" s="16">
        <f>(IF(B354="HEAT",10,'Ammo Input'!F354)*VLOOKUP(B354,AmmoTypeFactors,7,FALSE)*0.5)^2*PI()/100</f>
        <v>0.24630086404144</v>
      </c>
      <c r="H354" s="10">
        <f t="shared" si="15"/>
        <v>19.56</v>
      </c>
      <c r="I354" s="10">
        <f>IF(B354&lt;&gt;"Arrow (Flaming)",39493.49*'Ammo Input'!M354^0.6/1000,0)</f>
        <v>0</v>
      </c>
      <c r="J354">
        <f t="shared" si="16"/>
        <v>0</v>
      </c>
      <c r="K354">
        <f t="shared" si="17"/>
        <v>6</v>
      </c>
      <c r="L354">
        <f>200000/('Ammo Stats'!C354*(MAX('Ammo Input'!D354,'Ammo Input'!F354)*0.5)^2*PI())</f>
        <v>127323.954473516</v>
      </c>
      <c r="M354">
        <f>IF(B354="Frag",1,('Ammo Input'!M354/1.33)/('Ammo Input'!H354/1000))</f>
        <v>0</v>
      </c>
      <c r="N354" t="s">
        <v>353</v>
      </c>
      <c r="O354" t="s">
        <v>353</v>
      </c>
      <c r="P354" s="3">
        <f>(39493.49*(IF((VLOOKUP(B354,AmmoTypeFactors,6,FALSE)="Bomb_Secondary"),1.33,1)*('Ammo Input'!H354*0.35)/1000)^0.6/1000)*10/3*VLOOKUP(B354,AmmoTypeFactors,4,FALSE)</f>
        <v>0</v>
      </c>
    </row>
    <row r="355" ht="14.4" spans="1:16">
      <c r="A355" t="str">
        <f>'Ammo Input'!A355</f>
        <v>5.45x39mm Soviet (Slow)</v>
      </c>
      <c r="B355" s="1" t="str">
        <f>'Ammo Input'!B355</f>
        <v>AP</v>
      </c>
      <c r="C355">
        <f>(0.579*('Ammo Stats'!G355*IF(OR(B355="HEAT",B355="HEDP"),10,'Ammo Input'!F355)*VLOOKUP(B355,AmmoTypeFactors,7,FALSE))^(0.346))^IF(B355="HEDP",2.1,1)/IF(B355="HEDP",50,1)</f>
        <v>8.95472980714397</v>
      </c>
      <c r="D355" s="16">
        <f>IF(VLOOKUP(B355,AmmoTypeFactors,8,FALSE),J355,C355)*VLOOKUP('Ammo Input'!B355,AmmoTypeFactors,2,FALSE)</f>
        <v>7.16378384571518</v>
      </c>
      <c r="E355" s="16">
        <f>IF(OR(VLOOKUP(B355,AmmoTypeFactors,6,FALSE)="Bomb",VLOOKUP(B355,AmmoTypeFactors,6,FALSE)="Thermobaric"),J355*VLOOKUP(B355,AmmoTypeFactors,4,FALSE),IF(VLOOKUP(B355,AmmoTypeFactors,11,FALSE),P355,C355*VLOOKUP(B355,AmmoTypeFactors,4,FALSE)))</f>
        <v>0</v>
      </c>
      <c r="F355" s="16">
        <f>'Ammo Stats'!G355/0.005</f>
        <v>195600</v>
      </c>
      <c r="G355" s="16">
        <f>(IF(B355="HEAT",10,'Ammo Input'!F355)*VLOOKUP(B355,AmmoTypeFactors,7,FALSE)*0.5)^2*PI()/100</f>
        <v>0.0615752160103599</v>
      </c>
      <c r="H355" s="10">
        <f t="shared" si="15"/>
        <v>19.56</v>
      </c>
      <c r="I355" s="10">
        <f>IF(B355&lt;&gt;"Arrow (Flaming)",39493.49*'Ammo Input'!M355^0.6/1000,0)</f>
        <v>0</v>
      </c>
      <c r="J355">
        <f t="shared" si="16"/>
        <v>0</v>
      </c>
      <c r="K355">
        <f t="shared" si="17"/>
        <v>6</v>
      </c>
      <c r="L355">
        <f>200000/('Ammo Stats'!C355*(MAX('Ammo Input'!D355,'Ammo Input'!F355)*0.5)^2*PI())</f>
        <v>127323.954473516</v>
      </c>
      <c r="M355">
        <f>IF(B355="Frag",1,('Ammo Input'!M355/1.33)/('Ammo Input'!H355/1000))</f>
        <v>0</v>
      </c>
      <c r="N355" t="s">
        <v>353</v>
      </c>
      <c r="O355" t="s">
        <v>353</v>
      </c>
      <c r="P355" s="3">
        <f>(39493.49*(IF((VLOOKUP(B355,AmmoTypeFactors,6,FALSE)="Bomb_Secondary"),1.33,1)*('Ammo Input'!H355*0.35)/1000)^0.6/1000)*10/3*VLOOKUP(B355,AmmoTypeFactors,4,FALSE)</f>
        <v>0</v>
      </c>
    </row>
    <row r="356" ht="14.4" spans="1:16">
      <c r="A356" t="str">
        <f>'Ammo Input'!A356</f>
        <v>5.45x39mm Soviet (Slow)</v>
      </c>
      <c r="B356" s="1" t="str">
        <f>'Ammo Input'!B356</f>
        <v>HP</v>
      </c>
      <c r="C356">
        <f>(0.579*('Ammo Stats'!G356*IF(OR(B356="HEAT",B356="HEDP"),10,'Ammo Input'!F356)*VLOOKUP(B356,AmmoTypeFactors,7,FALSE))^(0.346))^IF(B356="HEDP",2.1,1)/IF(B356="HEDP",50,1)</f>
        <v>14.4665590246051</v>
      </c>
      <c r="D356" s="16">
        <f>IF(VLOOKUP(B356,AmmoTypeFactors,8,FALSE),J356,C356)*VLOOKUP('Ammo Input'!B356,AmmoTypeFactors,2,FALSE)</f>
        <v>14.4665590246051</v>
      </c>
      <c r="E356" s="16">
        <f>IF(OR(VLOOKUP(B356,AmmoTypeFactors,6,FALSE)="Bomb",VLOOKUP(B356,AmmoTypeFactors,6,FALSE)="Thermobaric"),J356*VLOOKUP(B356,AmmoTypeFactors,4,FALSE),IF(VLOOKUP(B356,AmmoTypeFactors,11,FALSE),P356,C356*VLOOKUP(B356,AmmoTypeFactors,4,FALSE)))</f>
        <v>0</v>
      </c>
      <c r="F356" s="16">
        <f>'Ammo Stats'!G356/0.005</f>
        <v>195600</v>
      </c>
      <c r="G356" s="16">
        <f>(IF(B356="HEAT",10,'Ammo Input'!F356)*VLOOKUP(B356,AmmoTypeFactors,7,FALSE)*0.5)^2*PI()/100</f>
        <v>0.985203456165759</v>
      </c>
      <c r="H356" s="10">
        <f t="shared" si="15"/>
        <v>19.56</v>
      </c>
      <c r="I356" s="10">
        <f>IF(B356&lt;&gt;"Arrow (Flaming)",39493.49*'Ammo Input'!M356^0.6/1000,0)</f>
        <v>0</v>
      </c>
      <c r="J356">
        <f t="shared" si="16"/>
        <v>0</v>
      </c>
      <c r="K356">
        <f t="shared" si="17"/>
        <v>6</v>
      </c>
      <c r="L356">
        <f>200000/('Ammo Stats'!C356*(MAX('Ammo Input'!D356,'Ammo Input'!F356)*0.5)^2*PI())</f>
        <v>127323.954473516</v>
      </c>
      <c r="M356">
        <f>IF(B356="Frag",1,('Ammo Input'!M356/1.33)/('Ammo Input'!H356/1000))</f>
        <v>0</v>
      </c>
      <c r="N356" t="s">
        <v>353</v>
      </c>
      <c r="O356" t="s">
        <v>353</v>
      </c>
      <c r="P356" s="3">
        <f>(39493.49*(IF((VLOOKUP(B356,AmmoTypeFactors,6,FALSE)="Bomb_Secondary"),1.33,1)*('Ammo Input'!H356*0.35)/1000)^0.6/1000)*10/3*VLOOKUP(B356,AmmoTypeFactors,4,FALSE)</f>
        <v>0</v>
      </c>
    </row>
    <row r="357" ht="14.4" spans="1:16">
      <c r="A357" t="str">
        <f>'Ammo Input'!A357</f>
        <v>5.45x39mm Soviet (Slow)</v>
      </c>
      <c r="B357" s="1" t="str">
        <f>'Ammo Input'!B357</f>
        <v>AP-I</v>
      </c>
      <c r="C357">
        <f>(0.579*('Ammo Stats'!G357*IF(OR(B357="HEAT",B357="HEDP"),10,'Ammo Input'!F357)*VLOOKUP(B357,AmmoTypeFactors,7,FALSE))^(0.346))^IF(B357="HEDP",2.1,1)/IF(B357="HEDP",50,1)</f>
        <v>8.95472980714397</v>
      </c>
      <c r="D357" s="16">
        <f>IF(VLOOKUP(B357,AmmoTypeFactors,8,FALSE),J357,C357)*VLOOKUP('Ammo Input'!B357,AmmoTypeFactors,2,FALSE)</f>
        <v>7.16378384571518</v>
      </c>
      <c r="E357" s="16">
        <f>IF(OR(VLOOKUP(B357,AmmoTypeFactors,6,FALSE)="Bomb",VLOOKUP(B357,AmmoTypeFactors,6,FALSE)="Thermobaric"),J357*VLOOKUP(B357,AmmoTypeFactors,4,FALSE),IF(VLOOKUP(B357,AmmoTypeFactors,11,FALSE),P357,C357*VLOOKUP(B357,AmmoTypeFactors,4,FALSE)))</f>
        <v>3.12617711919499</v>
      </c>
      <c r="F357" s="16">
        <f>'Ammo Stats'!G357/0.005</f>
        <v>195600</v>
      </c>
      <c r="G357" s="16">
        <f>(IF(B357="HEAT",10,'Ammo Input'!F357)*VLOOKUP(B357,AmmoTypeFactors,7,FALSE)*0.5)^2*PI()/100</f>
        <v>0.0615752160103599</v>
      </c>
      <c r="H357" s="10">
        <f t="shared" si="15"/>
        <v>19.56</v>
      </c>
      <c r="I357" s="10">
        <f>IF(B357&lt;&gt;"Arrow (Flaming)",39493.49*'Ammo Input'!M357^0.6/1000,0)</f>
        <v>0</v>
      </c>
      <c r="J357">
        <f t="shared" si="16"/>
        <v>0</v>
      </c>
      <c r="K357">
        <f t="shared" si="17"/>
        <v>6</v>
      </c>
      <c r="L357">
        <f>200000/('Ammo Stats'!C357*(MAX('Ammo Input'!D357,'Ammo Input'!F357)*0.5)^2*PI())</f>
        <v>127323.954473516</v>
      </c>
      <c r="M357">
        <f>IF(B357="Frag",1,('Ammo Input'!M357/1.33)/('Ammo Input'!H357/1000))</f>
        <v>0</v>
      </c>
      <c r="N357" t="s">
        <v>353</v>
      </c>
      <c r="O357" t="s">
        <v>353</v>
      </c>
      <c r="P357" s="3">
        <f>(39493.49*(IF((VLOOKUP(B357,AmmoTypeFactors,6,FALSE)="Bomb_Secondary"),1.33,1)*('Ammo Input'!H357*0.35)/1000)^0.6/1000)*10/3*VLOOKUP(B357,AmmoTypeFactors,4,FALSE)</f>
        <v>3.12617711919499</v>
      </c>
    </row>
    <row r="358" ht="14.4" spans="1:16">
      <c r="A358" t="str">
        <f>'Ammo Input'!A358</f>
        <v>5.45x39mm Soviet (Slow)</v>
      </c>
      <c r="B358" s="1" t="str">
        <f>'Ammo Input'!B358</f>
        <v>AP-HE</v>
      </c>
      <c r="C358">
        <f>(0.579*('Ammo Stats'!G358*IF(OR(B358="HEAT",B358="HEDP"),10,'Ammo Input'!F358)*VLOOKUP(B358,AmmoTypeFactors,7,FALSE))^(0.346))^IF(B358="HEDP",2.1,1)/IF(B358="HEDP",50,1)</f>
        <v>11.38174535405</v>
      </c>
      <c r="D358" s="16">
        <f>IF(VLOOKUP(B358,AmmoTypeFactors,8,FALSE),J358,C358)*VLOOKUP('Ammo Input'!B358,AmmoTypeFactors,2,FALSE)</f>
        <v>11.38174535405</v>
      </c>
      <c r="E358" s="16">
        <f>IF(OR(VLOOKUP(B358,AmmoTypeFactors,6,FALSE)="Bomb",VLOOKUP(B358,AmmoTypeFactors,6,FALSE)="Thermobaric"),J358*VLOOKUP(B358,AmmoTypeFactors,4,FALSE),IF(VLOOKUP(B358,AmmoTypeFactors,11,FALSE),P358,C358*VLOOKUP(B358,AmmoTypeFactors,4,FALSE)))</f>
        <v>4.28028287365943</v>
      </c>
      <c r="F358" s="16">
        <f>'Ammo Stats'!G358/0.005</f>
        <v>195600</v>
      </c>
      <c r="G358" s="16">
        <f>(IF(B358="HEAT",10,'Ammo Input'!F358)*VLOOKUP(B358,AmmoTypeFactors,7,FALSE)*0.5)^2*PI()/100</f>
        <v>0.24630086404144</v>
      </c>
      <c r="H358" s="10">
        <f t="shared" si="15"/>
        <v>19.56</v>
      </c>
      <c r="I358" s="10">
        <f>IF(B358&lt;&gt;"Arrow (Flaming)",39493.49*'Ammo Input'!M358^0.6/1000,0)</f>
        <v>0</v>
      </c>
      <c r="J358">
        <f t="shared" si="16"/>
        <v>0</v>
      </c>
      <c r="K358">
        <f t="shared" si="17"/>
        <v>6</v>
      </c>
      <c r="L358">
        <f>200000/('Ammo Stats'!C358*(MAX('Ammo Input'!D358,'Ammo Input'!F358)*0.5)^2*PI())</f>
        <v>127323.954473516</v>
      </c>
      <c r="M358">
        <f>IF(B358="Frag",1,('Ammo Input'!M358/1.33)/('Ammo Input'!H358/1000))</f>
        <v>0</v>
      </c>
      <c r="N358" t="s">
        <v>353</v>
      </c>
      <c r="O358" t="s">
        <v>353</v>
      </c>
      <c r="P358" s="3">
        <f>(39493.49*(IF((VLOOKUP(B358,AmmoTypeFactors,6,FALSE)="Bomb_Secondary"),1.33,1)*('Ammo Input'!H358*0.35)/1000)^0.6/1000)*10/3*VLOOKUP(B358,AmmoTypeFactors,4,FALSE)</f>
        <v>4.28028287365943</v>
      </c>
    </row>
    <row r="359" ht="14.4" spans="1:16">
      <c r="A359" t="str">
        <f>'Ammo Input'!A359</f>
        <v>5.45x39mm Soviet (Slow)</v>
      </c>
      <c r="B359" s="1" t="str">
        <f>'Ammo Input'!B359</f>
        <v>Sabot</v>
      </c>
      <c r="C359">
        <f>(0.579*('Ammo Stats'!G359*IF(OR(B359="HEAT",B359="HEDP"),10,'Ammo Input'!F359)*VLOOKUP(B359,AmmoTypeFactors,7,FALSE))^(0.346))^IF(B359="HEDP",2.1,1)/IF(B359="HEDP",50,1)</f>
        <v>8.22511727936812</v>
      </c>
      <c r="D359" s="16">
        <f>IF(VLOOKUP(B359,AmmoTypeFactors,8,FALSE),J359,C359)*VLOOKUP('Ammo Input'!B359,AmmoTypeFactors,2,FALSE)</f>
        <v>5.75758209555769</v>
      </c>
      <c r="E359" s="16">
        <f>IF(OR(VLOOKUP(B359,AmmoTypeFactors,6,FALSE)="Bomb",VLOOKUP(B359,AmmoTypeFactors,6,FALSE)="Thermobaric"),J359*VLOOKUP(B359,AmmoTypeFactors,4,FALSE),IF(VLOOKUP(B359,AmmoTypeFactors,11,FALSE),P359,C359*VLOOKUP(B359,AmmoTypeFactors,4,FALSE)))</f>
        <v>0</v>
      </c>
      <c r="F359" s="16">
        <f>'Ammo Stats'!G359/0.005</f>
        <v>255000</v>
      </c>
      <c r="G359" s="16">
        <f>(IF(B359="HEAT",10,'Ammo Input'!F359)*VLOOKUP(B359,AmmoTypeFactors,7,FALSE)*0.5)^2*PI()/100</f>
        <v>0.0221670777637296</v>
      </c>
      <c r="H359" s="10">
        <f t="shared" si="15"/>
        <v>25.5</v>
      </c>
      <c r="I359" s="10">
        <f>IF(B359&lt;&gt;"Arrow (Flaming)",39493.49*'Ammo Input'!M359^0.6/1000,0)</f>
        <v>0</v>
      </c>
      <c r="J359">
        <f t="shared" si="16"/>
        <v>0</v>
      </c>
      <c r="K359">
        <f t="shared" si="17"/>
        <v>6</v>
      </c>
      <c r="L359">
        <f>200000/('Ammo Stats'!C359*(MAX('Ammo Input'!D359,'Ammo Input'!F359)*0.5)^2*PI())</f>
        <v>127323.954473516</v>
      </c>
      <c r="M359">
        <f>IF(B359="Frag",1,('Ammo Input'!M359/1.33)/('Ammo Input'!H359/1000))</f>
        <v>0</v>
      </c>
      <c r="N359" t="s">
        <v>353</v>
      </c>
      <c r="O359" t="s">
        <v>353</v>
      </c>
      <c r="P359" s="3">
        <f>(39493.49*(IF((VLOOKUP(B359,AmmoTypeFactors,6,FALSE)="Bomb_Secondary"),1.33,1)*('Ammo Input'!H359*0.35)/1000)^0.6/1000)*10/3*VLOOKUP(B359,AmmoTypeFactors,4,FALSE)</f>
        <v>0</v>
      </c>
    </row>
    <row r="360" ht="14.4" spans="1:16">
      <c r="A360" t="str">
        <f>'Ammo Input'!A360</f>
        <v>5.56x45mm NATO</v>
      </c>
      <c r="B360" s="1" t="str">
        <f>'Ammo Input'!B360</f>
        <v>FMJ</v>
      </c>
      <c r="C360">
        <f>(0.579*('Ammo Stats'!G360*IF(OR(B360="HEAT",B360="HEDP"),10,'Ammo Input'!F360)*VLOOKUP(B360,AmmoTypeFactors,7,FALSE))^(0.346))^IF(B360="HEDP",2.1,1)/IF(B360="HEDP",50,1)</f>
        <v>13.8912081030245</v>
      </c>
      <c r="D360" s="16">
        <f>IF(VLOOKUP(B360,AmmoTypeFactors,8,FALSE),J360,C360)*VLOOKUP('Ammo Input'!B360,AmmoTypeFactors,2,FALSE)</f>
        <v>13.8912081030245</v>
      </c>
      <c r="E360" s="16">
        <f>IF(OR(VLOOKUP(B360,AmmoTypeFactors,6,FALSE)="Bomb",VLOOKUP(B360,AmmoTypeFactors,6,FALSE)="Thermobaric"),J360*VLOOKUP(B360,AmmoTypeFactors,4,FALSE),IF(VLOOKUP(B360,AmmoTypeFactors,11,FALSE),P360,C360*VLOOKUP(B360,AmmoTypeFactors,4,FALSE)))</f>
        <v>0</v>
      </c>
      <c r="F360" s="16">
        <f>'Ammo Stats'!G360/0.005</f>
        <v>341800</v>
      </c>
      <c r="G360" s="16">
        <f>(IF(B360="HEAT",10,'Ammo Input'!F360)*VLOOKUP(B360,AmmoTypeFactors,7,FALSE)*0.5)^2*PI()/100</f>
        <v>0.255175863287831</v>
      </c>
      <c r="H360" s="10">
        <f t="shared" si="15"/>
        <v>34.18</v>
      </c>
      <c r="I360" s="10">
        <f>IF(B360&lt;&gt;"Arrow (Flaming)",39493.49*'Ammo Input'!M360^0.6/1000,0)</f>
        <v>0</v>
      </c>
      <c r="J360">
        <f t="shared" si="16"/>
        <v>0</v>
      </c>
      <c r="K360">
        <f t="shared" si="17"/>
        <v>7</v>
      </c>
      <c r="L360">
        <f>200000/('Ammo Stats'!C360*(MAX('Ammo Input'!D360,'Ammo Input'!F360)*0.5)^2*PI())</f>
        <v>138732.783671528</v>
      </c>
      <c r="M360">
        <f>IF(B360="Frag",1,('Ammo Input'!M360/1.33)/('Ammo Input'!H360/1000))</f>
        <v>0</v>
      </c>
      <c r="N360" t="s">
        <v>353</v>
      </c>
      <c r="O360" t="s">
        <v>353</v>
      </c>
      <c r="P360" s="3">
        <f>(39493.49*(IF((VLOOKUP(B360,AmmoTypeFactors,6,FALSE)="Bomb_Secondary"),1.33,1)*('Ammo Input'!H360*0.35)/1000)^0.6/1000)*10/3*VLOOKUP(B360,AmmoTypeFactors,4,FALSE)</f>
        <v>0</v>
      </c>
    </row>
    <row r="361" ht="14.4" spans="1:16">
      <c r="A361" t="str">
        <f>'Ammo Input'!A361</f>
        <v>5.56x45mm NATO</v>
      </c>
      <c r="B361" s="1" t="str">
        <f>'Ammo Input'!B361</f>
        <v>AP</v>
      </c>
      <c r="C361">
        <f>(0.579*('Ammo Stats'!G361*IF(OR(B361="HEAT",B361="HEDP"),10,'Ammo Input'!F361)*VLOOKUP(B361,AmmoTypeFactors,7,FALSE))^(0.346))^IF(B361="HEDP",2.1,1)/IF(B361="HEDP",50,1)</f>
        <v>10.9290808560508</v>
      </c>
      <c r="D361" s="16">
        <f>IF(VLOOKUP(B361,AmmoTypeFactors,8,FALSE),J361,C361)*VLOOKUP('Ammo Input'!B361,AmmoTypeFactors,2,FALSE)</f>
        <v>8.74326468484066</v>
      </c>
      <c r="E361" s="16">
        <f>IF(OR(VLOOKUP(B361,AmmoTypeFactors,6,FALSE)="Bomb",VLOOKUP(B361,AmmoTypeFactors,6,FALSE)="Thermobaric"),J361*VLOOKUP(B361,AmmoTypeFactors,4,FALSE),IF(VLOOKUP(B361,AmmoTypeFactors,11,FALSE),P361,C361*VLOOKUP(B361,AmmoTypeFactors,4,FALSE)))</f>
        <v>0</v>
      </c>
      <c r="F361" s="16">
        <f>'Ammo Stats'!G361/0.005</f>
        <v>341800</v>
      </c>
      <c r="G361" s="16">
        <f>(IF(B361="HEAT",10,'Ammo Input'!F361)*VLOOKUP(B361,AmmoTypeFactors,7,FALSE)*0.5)^2*PI()/100</f>
        <v>0.0637939658219577</v>
      </c>
      <c r="H361" s="10">
        <f t="shared" si="15"/>
        <v>34.18</v>
      </c>
      <c r="I361" s="10">
        <f>IF(B361&lt;&gt;"Arrow (Flaming)",39493.49*'Ammo Input'!M361^0.6/1000,0)</f>
        <v>0</v>
      </c>
      <c r="J361">
        <f t="shared" si="16"/>
        <v>0</v>
      </c>
      <c r="K361">
        <f t="shared" si="17"/>
        <v>7</v>
      </c>
      <c r="L361">
        <f>200000/('Ammo Stats'!C361*(MAX('Ammo Input'!D361,'Ammo Input'!F361)*0.5)^2*PI())</f>
        <v>138732.783671528</v>
      </c>
      <c r="M361">
        <f>IF(B361="Frag",1,('Ammo Input'!M361/1.33)/('Ammo Input'!H361/1000))</f>
        <v>0</v>
      </c>
      <c r="N361" t="s">
        <v>353</v>
      </c>
      <c r="O361" t="s">
        <v>353</v>
      </c>
      <c r="P361" s="3">
        <f>(39493.49*(IF((VLOOKUP(B361,AmmoTypeFactors,6,FALSE)="Bomb_Secondary"),1.33,1)*('Ammo Input'!H361*0.35)/1000)^0.6/1000)*10/3*VLOOKUP(B361,AmmoTypeFactors,4,FALSE)</f>
        <v>0</v>
      </c>
    </row>
    <row r="362" ht="14.4" spans="1:16">
      <c r="A362" t="str">
        <f>'Ammo Input'!A362</f>
        <v>5.56x45mm NATO</v>
      </c>
      <c r="B362" s="1" t="str">
        <f>'Ammo Input'!B362</f>
        <v>HP</v>
      </c>
      <c r="C362">
        <f>(0.579*('Ammo Stats'!G362*IF(OR(B362="HEAT",B362="HEDP"),10,'Ammo Input'!F362)*VLOOKUP(B362,AmmoTypeFactors,7,FALSE))^(0.346))^IF(B362="HEDP",2.1,1)/IF(B362="HEDP",50,1)</f>
        <v>17.6561657016838</v>
      </c>
      <c r="D362" s="16">
        <f>IF(VLOOKUP(B362,AmmoTypeFactors,8,FALSE),J362,C362)*VLOOKUP('Ammo Input'!B362,AmmoTypeFactors,2,FALSE)</f>
        <v>17.6561657016838</v>
      </c>
      <c r="E362" s="16">
        <f>IF(OR(VLOOKUP(B362,AmmoTypeFactors,6,FALSE)="Bomb",VLOOKUP(B362,AmmoTypeFactors,6,FALSE)="Thermobaric"),J362*VLOOKUP(B362,AmmoTypeFactors,4,FALSE),IF(VLOOKUP(B362,AmmoTypeFactors,11,FALSE),P362,C362*VLOOKUP(B362,AmmoTypeFactors,4,FALSE)))</f>
        <v>0</v>
      </c>
      <c r="F362" s="16">
        <f>'Ammo Stats'!G362/0.005</f>
        <v>341800</v>
      </c>
      <c r="G362" s="16">
        <f>(IF(B362="HEAT",10,'Ammo Input'!F362)*VLOOKUP(B362,AmmoTypeFactors,7,FALSE)*0.5)^2*PI()/100</f>
        <v>1.02070345315132</v>
      </c>
      <c r="H362" s="10">
        <f t="shared" si="15"/>
        <v>34.18</v>
      </c>
      <c r="I362" s="10">
        <f>IF(B362&lt;&gt;"Arrow (Flaming)",39493.49*'Ammo Input'!M362^0.6/1000,0)</f>
        <v>0</v>
      </c>
      <c r="J362">
        <f t="shared" si="16"/>
        <v>0</v>
      </c>
      <c r="K362">
        <f t="shared" si="17"/>
        <v>7</v>
      </c>
      <c r="L362">
        <f>200000/('Ammo Stats'!C362*(MAX('Ammo Input'!D362,'Ammo Input'!F362)*0.5)^2*PI())</f>
        <v>138732.783671528</v>
      </c>
      <c r="M362">
        <f>IF(B362="Frag",1,('Ammo Input'!M362/1.33)/('Ammo Input'!H362/1000))</f>
        <v>0</v>
      </c>
      <c r="N362" t="s">
        <v>353</v>
      </c>
      <c r="O362" t="s">
        <v>353</v>
      </c>
      <c r="P362" s="3">
        <f>(39493.49*(IF((VLOOKUP(B362,AmmoTypeFactors,6,FALSE)="Bomb_Secondary"),1.33,1)*('Ammo Input'!H362*0.35)/1000)^0.6/1000)*10/3*VLOOKUP(B362,AmmoTypeFactors,4,FALSE)</f>
        <v>0</v>
      </c>
    </row>
    <row r="363" ht="14.4" spans="1:16">
      <c r="A363" t="str">
        <f>'Ammo Input'!A363</f>
        <v>5.56x45mm NATO</v>
      </c>
      <c r="B363" s="1" t="str">
        <f>'Ammo Input'!B363</f>
        <v>AP-I</v>
      </c>
      <c r="C363">
        <f>(0.579*('Ammo Stats'!G363*IF(OR(B363="HEAT",B363="HEDP"),10,'Ammo Input'!F363)*VLOOKUP(B363,AmmoTypeFactors,7,FALSE))^(0.346))^IF(B363="HEDP",2.1,1)/IF(B363="HEDP",50,1)</f>
        <v>10.9290808560508</v>
      </c>
      <c r="D363" s="16">
        <f>IF(VLOOKUP(B363,AmmoTypeFactors,8,FALSE),J363,C363)*VLOOKUP('Ammo Input'!B363,AmmoTypeFactors,2,FALSE)</f>
        <v>8.74326468484066</v>
      </c>
      <c r="E363" s="16">
        <f>IF(OR(VLOOKUP(B363,AmmoTypeFactors,6,FALSE)="Bomb",VLOOKUP(B363,AmmoTypeFactors,6,FALSE)="Thermobaric"),J363*VLOOKUP(B363,AmmoTypeFactors,4,FALSE),IF(VLOOKUP(B363,AmmoTypeFactors,11,FALSE),P363,C363*VLOOKUP(B363,AmmoTypeFactors,4,FALSE)))</f>
        <v>3.32907875804217</v>
      </c>
      <c r="F363" s="16">
        <f>'Ammo Stats'!G363/0.005</f>
        <v>341800</v>
      </c>
      <c r="G363" s="16">
        <f>(IF(B363="HEAT",10,'Ammo Input'!F363)*VLOOKUP(B363,AmmoTypeFactors,7,FALSE)*0.5)^2*PI()/100</f>
        <v>0.0637939658219577</v>
      </c>
      <c r="H363" s="10">
        <f t="shared" si="15"/>
        <v>34.18</v>
      </c>
      <c r="I363" s="10">
        <f>IF(B363&lt;&gt;"Arrow (Flaming)",39493.49*'Ammo Input'!M363^0.6/1000,0)</f>
        <v>0</v>
      </c>
      <c r="J363">
        <f t="shared" si="16"/>
        <v>0</v>
      </c>
      <c r="K363">
        <f t="shared" si="17"/>
        <v>7</v>
      </c>
      <c r="L363">
        <f>200000/('Ammo Stats'!C363*(MAX('Ammo Input'!D363,'Ammo Input'!F363)*0.5)^2*PI())</f>
        <v>138732.783671528</v>
      </c>
      <c r="M363">
        <f>IF(B363="Frag",1,('Ammo Input'!M363/1.33)/('Ammo Input'!H363/1000))</f>
        <v>0</v>
      </c>
      <c r="N363" t="s">
        <v>353</v>
      </c>
      <c r="O363" t="s">
        <v>353</v>
      </c>
      <c r="P363" s="3">
        <f>(39493.49*(IF((VLOOKUP(B363,AmmoTypeFactors,6,FALSE)="Bomb_Secondary"),1.33,1)*('Ammo Input'!H363*0.35)/1000)^0.6/1000)*10/3*VLOOKUP(B363,AmmoTypeFactors,4,FALSE)</f>
        <v>3.32907875804217</v>
      </c>
    </row>
    <row r="364" ht="14.4" spans="1:16">
      <c r="A364" t="str">
        <f>'Ammo Input'!A364</f>
        <v>5.56x45mm NATO</v>
      </c>
      <c r="B364" s="1" t="str">
        <f>'Ammo Input'!B364</f>
        <v>AP-HE</v>
      </c>
      <c r="C364">
        <f>(0.579*('Ammo Stats'!G364*IF(OR(B364="HEAT",B364="HEDP"),10,'Ammo Input'!F364)*VLOOKUP(B364,AmmoTypeFactors,7,FALSE))^(0.346))^IF(B364="HEDP",2.1,1)/IF(B364="HEDP",50,1)</f>
        <v>13.8912081030245</v>
      </c>
      <c r="D364" s="16">
        <f>IF(VLOOKUP(B364,AmmoTypeFactors,8,FALSE),J364,C364)*VLOOKUP('Ammo Input'!B364,AmmoTypeFactors,2,FALSE)</f>
        <v>13.8912081030245</v>
      </c>
      <c r="E364" s="16">
        <f>IF(OR(VLOOKUP(B364,AmmoTypeFactors,6,FALSE)="Bomb",VLOOKUP(B364,AmmoTypeFactors,6,FALSE)="Thermobaric"),J364*VLOOKUP(B364,AmmoTypeFactors,4,FALSE),IF(VLOOKUP(B364,AmmoTypeFactors,11,FALSE),P364,C364*VLOOKUP(B364,AmmoTypeFactors,4,FALSE)))</f>
        <v>4.55809068066516</v>
      </c>
      <c r="F364" s="16">
        <f>'Ammo Stats'!G364/0.005</f>
        <v>341800</v>
      </c>
      <c r="G364" s="16">
        <f>(IF(B364="HEAT",10,'Ammo Input'!F364)*VLOOKUP(B364,AmmoTypeFactors,7,FALSE)*0.5)^2*PI()/100</f>
        <v>0.255175863287831</v>
      </c>
      <c r="H364" s="10">
        <f t="shared" si="15"/>
        <v>34.18</v>
      </c>
      <c r="I364" s="10">
        <f>IF(B364&lt;&gt;"Arrow (Flaming)",39493.49*'Ammo Input'!M364^0.6/1000,0)</f>
        <v>0</v>
      </c>
      <c r="J364">
        <f t="shared" si="16"/>
        <v>0</v>
      </c>
      <c r="K364">
        <f t="shared" si="17"/>
        <v>7</v>
      </c>
      <c r="L364">
        <f>200000/('Ammo Stats'!C364*(MAX('Ammo Input'!D364,'Ammo Input'!F364)*0.5)^2*PI())</f>
        <v>138732.783671528</v>
      </c>
      <c r="M364">
        <f>IF(B364="Frag",1,('Ammo Input'!M364/1.33)/('Ammo Input'!H364/1000))</f>
        <v>0</v>
      </c>
      <c r="N364" t="s">
        <v>353</v>
      </c>
      <c r="O364" t="s">
        <v>353</v>
      </c>
      <c r="P364" s="3">
        <f>(39493.49*(IF((VLOOKUP(B364,AmmoTypeFactors,6,FALSE)="Bomb_Secondary"),1.33,1)*('Ammo Input'!H364*0.35)/1000)^0.6/1000)*10/3*VLOOKUP(B364,AmmoTypeFactors,4,FALSE)</f>
        <v>4.55809068066516</v>
      </c>
    </row>
    <row r="365" ht="14.4" spans="1:16">
      <c r="A365" t="str">
        <f>'Ammo Input'!A365</f>
        <v>5.56x45mm NATO</v>
      </c>
      <c r="B365" s="1" t="str">
        <f>'Ammo Input'!B365</f>
        <v>Sabot</v>
      </c>
      <c r="C365">
        <f>(0.579*('Ammo Stats'!G365*IF(OR(B365="HEAT",B365="HEDP"),10,'Ammo Input'!F365)*VLOOKUP(B365,AmmoTypeFactors,7,FALSE))^(0.346))^IF(B365="HEDP",2.1,1)/IF(B365="HEDP",50,1)</f>
        <v>10.00891349194</v>
      </c>
      <c r="D365" s="16">
        <f>IF(VLOOKUP(B365,AmmoTypeFactors,8,FALSE),J365,C365)*VLOOKUP('Ammo Input'!B365,AmmoTypeFactors,2,FALSE)</f>
        <v>7.00623944435803</v>
      </c>
      <c r="E365" s="16">
        <f>IF(OR(VLOOKUP(B365,AmmoTypeFactors,6,FALSE)="Bomb",VLOOKUP(B365,AmmoTypeFactors,6,FALSE)="Thermobaric"),J365*VLOOKUP(B365,AmmoTypeFactors,4,FALSE),IF(VLOOKUP(B365,AmmoTypeFactors,11,FALSE),P365,C365*VLOOKUP(B365,AmmoTypeFactors,4,FALSE)))</f>
        <v>0</v>
      </c>
      <c r="F365" s="16">
        <f>'Ammo Stats'!G365/0.005</f>
        <v>441800</v>
      </c>
      <c r="G365" s="16">
        <f>(IF(B365="HEAT",10,'Ammo Input'!F365)*VLOOKUP(B365,AmmoTypeFactors,7,FALSE)*0.5)^2*PI()/100</f>
        <v>0.0229658276959048</v>
      </c>
      <c r="H365" s="10">
        <f t="shared" si="15"/>
        <v>44.18</v>
      </c>
      <c r="I365" s="10">
        <f>IF(B365&lt;&gt;"Arrow (Flaming)",39493.49*'Ammo Input'!M365^0.6/1000,0)</f>
        <v>0</v>
      </c>
      <c r="J365">
        <f t="shared" si="16"/>
        <v>0</v>
      </c>
      <c r="K365">
        <f t="shared" si="17"/>
        <v>8</v>
      </c>
      <c r="L365">
        <f>200000/('Ammo Stats'!C365*(MAX('Ammo Input'!D365,'Ammo Input'!F365)*0.5)^2*PI())</f>
        <v>138732.783671528</v>
      </c>
      <c r="M365">
        <f>IF(B365="Frag",1,('Ammo Input'!M365/1.33)/('Ammo Input'!H365/1000))</f>
        <v>0</v>
      </c>
      <c r="N365" t="s">
        <v>353</v>
      </c>
      <c r="O365" t="s">
        <v>353</v>
      </c>
      <c r="P365" s="3">
        <f>(39493.49*(IF((VLOOKUP(B365,AmmoTypeFactors,6,FALSE)="Bomb_Secondary"),1.33,1)*('Ammo Input'!H365*0.35)/1000)^0.6/1000)*10/3*VLOOKUP(B365,AmmoTypeFactors,4,FALSE)</f>
        <v>0</v>
      </c>
    </row>
    <row r="366" ht="14.4" spans="1:16">
      <c r="A366" t="str">
        <f>'Ammo Input'!A366</f>
        <v>5.56x45mm NATO (Slow)</v>
      </c>
      <c r="B366" s="1" t="str">
        <f>'Ammo Input'!B366</f>
        <v>FMJ</v>
      </c>
      <c r="C366">
        <f>(0.579*('Ammo Stats'!G366*IF(OR(B366="HEAT",B366="HEDP"),10,'Ammo Input'!F366)*VLOOKUP(B366,AmmoTypeFactors,7,FALSE))^(0.346))^IF(B366="HEDP",2.1,1)/IF(B366="HEDP",50,1)</f>
        <v>11.8515699240306</v>
      </c>
      <c r="D366" s="16">
        <f>IF(VLOOKUP(B366,AmmoTypeFactors,8,FALSE),J366,C366)*VLOOKUP('Ammo Input'!B366,AmmoTypeFactors,2,FALSE)</f>
        <v>11.8515699240306</v>
      </c>
      <c r="E366" s="16">
        <f>IF(OR(VLOOKUP(B366,AmmoTypeFactors,6,FALSE)="Bomb",VLOOKUP(B366,AmmoTypeFactors,6,FALSE)="Thermobaric"),J366*VLOOKUP(B366,AmmoTypeFactors,4,FALSE),IF(VLOOKUP(B366,AmmoTypeFactors,11,FALSE),P366,C366*VLOOKUP(B366,AmmoTypeFactors,4,FALSE)))</f>
        <v>0</v>
      </c>
      <c r="F366" s="16">
        <f>'Ammo Stats'!G366/0.005</f>
        <v>216000</v>
      </c>
      <c r="G366" s="16">
        <f>(IF(B366="HEAT",10,'Ammo Input'!F366)*VLOOKUP(B366,AmmoTypeFactors,7,FALSE)*0.5)^2*PI()/100</f>
        <v>0.255175863287831</v>
      </c>
      <c r="H366" s="10">
        <f t="shared" si="15"/>
        <v>21.6</v>
      </c>
      <c r="I366" s="10">
        <f>IF(B366&lt;&gt;"Arrow (Flaming)",39493.49*'Ammo Input'!M366^0.6/1000,0)</f>
        <v>0</v>
      </c>
      <c r="J366">
        <f t="shared" si="16"/>
        <v>0</v>
      </c>
      <c r="K366">
        <f t="shared" si="17"/>
        <v>6</v>
      </c>
      <c r="L366">
        <f>200000/('Ammo Stats'!C366*(MAX('Ammo Input'!D366,'Ammo Input'!F366)*0.5)^2*PI())</f>
        <v>138732.783671528</v>
      </c>
      <c r="M366">
        <f>IF(B366="Frag",1,('Ammo Input'!M366/1.33)/('Ammo Input'!H366/1000))</f>
        <v>0</v>
      </c>
      <c r="N366" t="s">
        <v>353</v>
      </c>
      <c r="O366" t="s">
        <v>353</v>
      </c>
      <c r="P366" s="3">
        <f>(39493.49*(IF((VLOOKUP(B366,AmmoTypeFactors,6,FALSE)="Bomb_Secondary"),1.33,1)*('Ammo Input'!H366*0.35)/1000)^0.6/1000)*10/3*VLOOKUP(B366,AmmoTypeFactors,4,FALSE)</f>
        <v>0</v>
      </c>
    </row>
    <row r="367" ht="14.4" spans="1:16">
      <c r="A367" t="str">
        <f>'Ammo Input'!A367</f>
        <v>5.56x45mm NATO (Slow)</v>
      </c>
      <c r="B367" s="1" t="str">
        <f>'Ammo Input'!B367</f>
        <v>AP</v>
      </c>
      <c r="C367">
        <f>(0.579*('Ammo Stats'!G367*IF(OR(B367="HEAT",B367="HEDP"),10,'Ammo Input'!F367)*VLOOKUP(B367,AmmoTypeFactors,7,FALSE))^(0.346))^IF(B367="HEDP",2.1,1)/IF(B367="HEDP",50,1)</f>
        <v>9.32437013470907</v>
      </c>
      <c r="D367" s="16">
        <f>IF(VLOOKUP(B367,AmmoTypeFactors,8,FALSE),J367,C367)*VLOOKUP('Ammo Input'!B367,AmmoTypeFactors,2,FALSE)</f>
        <v>7.45949610776726</v>
      </c>
      <c r="E367" s="16">
        <f>IF(OR(VLOOKUP(B367,AmmoTypeFactors,6,FALSE)="Bomb",VLOOKUP(B367,AmmoTypeFactors,6,FALSE)="Thermobaric"),J367*VLOOKUP(B367,AmmoTypeFactors,4,FALSE),IF(VLOOKUP(B367,AmmoTypeFactors,11,FALSE),P367,C367*VLOOKUP(B367,AmmoTypeFactors,4,FALSE)))</f>
        <v>0</v>
      </c>
      <c r="F367" s="16">
        <f>'Ammo Stats'!G367/0.005</f>
        <v>216000</v>
      </c>
      <c r="G367" s="16">
        <f>(IF(B367="HEAT",10,'Ammo Input'!F367)*VLOOKUP(B367,AmmoTypeFactors,7,FALSE)*0.5)^2*PI()/100</f>
        <v>0.0637939658219577</v>
      </c>
      <c r="H367" s="10">
        <f t="shared" si="15"/>
        <v>21.6</v>
      </c>
      <c r="I367" s="10">
        <f>IF(B367&lt;&gt;"Arrow (Flaming)",39493.49*'Ammo Input'!M367^0.6/1000,0)</f>
        <v>0</v>
      </c>
      <c r="J367">
        <f t="shared" si="16"/>
        <v>0</v>
      </c>
      <c r="K367">
        <f t="shared" si="17"/>
        <v>6</v>
      </c>
      <c r="L367">
        <f>200000/('Ammo Stats'!C367*(MAX('Ammo Input'!D367,'Ammo Input'!F367)*0.5)^2*PI())</f>
        <v>138732.783671528</v>
      </c>
      <c r="M367">
        <f>IF(B367="Frag",1,('Ammo Input'!M367/1.33)/('Ammo Input'!H367/1000))</f>
        <v>0</v>
      </c>
      <c r="N367" t="s">
        <v>353</v>
      </c>
      <c r="O367" t="s">
        <v>353</v>
      </c>
      <c r="P367" s="3">
        <f>(39493.49*(IF((VLOOKUP(B367,AmmoTypeFactors,6,FALSE)="Bomb_Secondary"),1.33,1)*('Ammo Input'!H367*0.35)/1000)^0.6/1000)*10/3*VLOOKUP(B367,AmmoTypeFactors,4,FALSE)</f>
        <v>0</v>
      </c>
    </row>
    <row r="368" ht="14.4" spans="1:16">
      <c r="A368" t="str">
        <f>'Ammo Input'!A368</f>
        <v>5.56x45mm NATO (Slow)</v>
      </c>
      <c r="B368" s="1" t="str">
        <f>'Ammo Input'!B368</f>
        <v>HP</v>
      </c>
      <c r="C368">
        <f>(0.579*('Ammo Stats'!G368*IF(OR(B368="HEAT",B368="HEDP"),10,'Ammo Input'!F368)*VLOOKUP(B368,AmmoTypeFactors,7,FALSE))^(0.346))^IF(B368="HEDP",2.1,1)/IF(B368="HEDP",50,1)</f>
        <v>15.0637209414648</v>
      </c>
      <c r="D368" s="16">
        <f>IF(VLOOKUP(B368,AmmoTypeFactors,8,FALSE),J368,C368)*VLOOKUP('Ammo Input'!B368,AmmoTypeFactors,2,FALSE)</f>
        <v>15.0637209414648</v>
      </c>
      <c r="E368" s="16">
        <f>IF(OR(VLOOKUP(B368,AmmoTypeFactors,6,FALSE)="Bomb",VLOOKUP(B368,AmmoTypeFactors,6,FALSE)="Thermobaric"),J368*VLOOKUP(B368,AmmoTypeFactors,4,FALSE),IF(VLOOKUP(B368,AmmoTypeFactors,11,FALSE),P368,C368*VLOOKUP(B368,AmmoTypeFactors,4,FALSE)))</f>
        <v>0</v>
      </c>
      <c r="F368" s="16">
        <f>'Ammo Stats'!G368/0.005</f>
        <v>216000</v>
      </c>
      <c r="G368" s="16">
        <f>(IF(B368="HEAT",10,'Ammo Input'!F368)*VLOOKUP(B368,AmmoTypeFactors,7,FALSE)*0.5)^2*PI()/100</f>
        <v>1.02070345315132</v>
      </c>
      <c r="H368" s="10">
        <f t="shared" si="15"/>
        <v>21.6</v>
      </c>
      <c r="I368" s="10">
        <f>IF(B368&lt;&gt;"Arrow (Flaming)",39493.49*'Ammo Input'!M368^0.6/1000,0)</f>
        <v>0</v>
      </c>
      <c r="J368">
        <f t="shared" si="16"/>
        <v>0</v>
      </c>
      <c r="K368">
        <f t="shared" si="17"/>
        <v>6</v>
      </c>
      <c r="L368">
        <f>200000/('Ammo Stats'!C368*(MAX('Ammo Input'!D368,'Ammo Input'!F368)*0.5)^2*PI())</f>
        <v>138732.783671528</v>
      </c>
      <c r="M368">
        <f>IF(B368="Frag",1,('Ammo Input'!M368/1.33)/('Ammo Input'!H368/1000))</f>
        <v>0</v>
      </c>
      <c r="N368" t="s">
        <v>353</v>
      </c>
      <c r="O368" t="s">
        <v>353</v>
      </c>
      <c r="P368" s="3">
        <f>(39493.49*(IF((VLOOKUP(B368,AmmoTypeFactors,6,FALSE)="Bomb_Secondary"),1.33,1)*('Ammo Input'!H368*0.35)/1000)^0.6/1000)*10/3*VLOOKUP(B368,AmmoTypeFactors,4,FALSE)</f>
        <v>0</v>
      </c>
    </row>
    <row r="369" ht="14.4" spans="1:16">
      <c r="A369" t="str">
        <f>'Ammo Input'!A369</f>
        <v>5.56x45mm NATO (Slow)</v>
      </c>
      <c r="B369" s="1" t="str">
        <f>'Ammo Input'!B369</f>
        <v>AP-I</v>
      </c>
      <c r="C369">
        <f>(0.579*('Ammo Stats'!G369*IF(OR(B369="HEAT",B369="HEDP"),10,'Ammo Input'!F369)*VLOOKUP(B369,AmmoTypeFactors,7,FALSE))^(0.346))^IF(B369="HEDP",2.1,1)/IF(B369="HEDP",50,1)</f>
        <v>9.32437013470907</v>
      </c>
      <c r="D369" s="16">
        <f>IF(VLOOKUP(B369,AmmoTypeFactors,8,FALSE),J369,C369)*VLOOKUP('Ammo Input'!B369,AmmoTypeFactors,2,FALSE)</f>
        <v>7.45949610776726</v>
      </c>
      <c r="E369" s="16">
        <f>IF(OR(VLOOKUP(B369,AmmoTypeFactors,6,FALSE)="Bomb",VLOOKUP(B369,AmmoTypeFactors,6,FALSE)="Thermobaric"),J369*VLOOKUP(B369,AmmoTypeFactors,4,FALSE),IF(VLOOKUP(B369,AmmoTypeFactors,11,FALSE),P369,C369*VLOOKUP(B369,AmmoTypeFactors,4,FALSE)))</f>
        <v>3.32907875804217</v>
      </c>
      <c r="F369" s="16">
        <f>'Ammo Stats'!G369/0.005</f>
        <v>216000</v>
      </c>
      <c r="G369" s="16">
        <f>(IF(B369="HEAT",10,'Ammo Input'!F369)*VLOOKUP(B369,AmmoTypeFactors,7,FALSE)*0.5)^2*PI()/100</f>
        <v>0.0637939658219577</v>
      </c>
      <c r="H369" s="10">
        <f t="shared" si="15"/>
        <v>21.6</v>
      </c>
      <c r="I369" s="10">
        <f>IF(B369&lt;&gt;"Arrow (Flaming)",39493.49*'Ammo Input'!M369^0.6/1000,0)</f>
        <v>0</v>
      </c>
      <c r="J369">
        <f t="shared" si="16"/>
        <v>0</v>
      </c>
      <c r="K369">
        <f t="shared" si="17"/>
        <v>6</v>
      </c>
      <c r="L369">
        <f>200000/('Ammo Stats'!C369*(MAX('Ammo Input'!D369,'Ammo Input'!F369)*0.5)^2*PI())</f>
        <v>138732.783671528</v>
      </c>
      <c r="M369">
        <f>IF(B369="Frag",1,('Ammo Input'!M369/1.33)/('Ammo Input'!H369/1000))</f>
        <v>0</v>
      </c>
      <c r="N369" t="s">
        <v>353</v>
      </c>
      <c r="O369" t="s">
        <v>353</v>
      </c>
      <c r="P369" s="3">
        <f>(39493.49*(IF((VLOOKUP(B369,AmmoTypeFactors,6,FALSE)="Bomb_Secondary"),1.33,1)*('Ammo Input'!H369*0.35)/1000)^0.6/1000)*10/3*VLOOKUP(B369,AmmoTypeFactors,4,FALSE)</f>
        <v>3.32907875804217</v>
      </c>
    </row>
    <row r="370" ht="14.4" spans="1:16">
      <c r="A370" t="str">
        <f>'Ammo Input'!A370</f>
        <v>5.56x45mm NATO (Slow)</v>
      </c>
      <c r="B370" s="1" t="str">
        <f>'Ammo Input'!B370</f>
        <v>AP-HE</v>
      </c>
      <c r="C370">
        <f>(0.579*('Ammo Stats'!G370*IF(OR(B370="HEAT",B370="HEDP"),10,'Ammo Input'!F370)*VLOOKUP(B370,AmmoTypeFactors,7,FALSE))^(0.346))^IF(B370="HEDP",2.1,1)/IF(B370="HEDP",50,1)</f>
        <v>11.8515699240306</v>
      </c>
      <c r="D370" s="16">
        <f>IF(VLOOKUP(B370,AmmoTypeFactors,8,FALSE),J370,C370)*VLOOKUP('Ammo Input'!B370,AmmoTypeFactors,2,FALSE)</f>
        <v>11.8515699240306</v>
      </c>
      <c r="E370" s="16">
        <f>IF(OR(VLOOKUP(B370,AmmoTypeFactors,6,FALSE)="Bomb",VLOOKUP(B370,AmmoTypeFactors,6,FALSE)="Thermobaric"),J370*VLOOKUP(B370,AmmoTypeFactors,4,FALSE),IF(VLOOKUP(B370,AmmoTypeFactors,11,FALSE),P370,C370*VLOOKUP(B370,AmmoTypeFactors,4,FALSE)))</f>
        <v>4.55809068066516</v>
      </c>
      <c r="F370" s="16">
        <f>'Ammo Stats'!G370/0.005</f>
        <v>216000</v>
      </c>
      <c r="G370" s="16">
        <f>(IF(B370="HEAT",10,'Ammo Input'!F370)*VLOOKUP(B370,AmmoTypeFactors,7,FALSE)*0.5)^2*PI()/100</f>
        <v>0.255175863287831</v>
      </c>
      <c r="H370" s="10">
        <f t="shared" si="15"/>
        <v>21.6</v>
      </c>
      <c r="I370" s="10">
        <f>IF(B370&lt;&gt;"Arrow (Flaming)",39493.49*'Ammo Input'!M370^0.6/1000,0)</f>
        <v>0</v>
      </c>
      <c r="J370">
        <f t="shared" si="16"/>
        <v>0</v>
      </c>
      <c r="K370">
        <f t="shared" si="17"/>
        <v>6</v>
      </c>
      <c r="L370">
        <f>200000/('Ammo Stats'!C370*(MAX('Ammo Input'!D370,'Ammo Input'!F370)*0.5)^2*PI())</f>
        <v>138732.783671528</v>
      </c>
      <c r="M370">
        <f>IF(B370="Frag",1,('Ammo Input'!M370/1.33)/('Ammo Input'!H370/1000))</f>
        <v>0</v>
      </c>
      <c r="N370" t="s">
        <v>353</v>
      </c>
      <c r="O370" t="s">
        <v>353</v>
      </c>
      <c r="P370" s="3">
        <f>(39493.49*(IF((VLOOKUP(B370,AmmoTypeFactors,6,FALSE)="Bomb_Secondary"),1.33,1)*('Ammo Input'!H370*0.35)/1000)^0.6/1000)*10/3*VLOOKUP(B370,AmmoTypeFactors,4,FALSE)</f>
        <v>4.55809068066516</v>
      </c>
    </row>
    <row r="371" ht="14.4" spans="1:16">
      <c r="A371" t="str">
        <f>'Ammo Input'!A371</f>
        <v>5.56x45mm NATO (Slow)</v>
      </c>
      <c r="B371" s="1" t="str">
        <f>'Ammo Input'!B371</f>
        <v>Sabot</v>
      </c>
      <c r="C371">
        <f>(0.579*('Ammo Stats'!G371*IF(OR(B371="HEAT",B371="HEDP"),10,'Ammo Input'!F371)*VLOOKUP(B371,AmmoTypeFactors,7,FALSE))^(0.346))^IF(B371="HEDP",2.1,1)/IF(B371="HEDP",50,1)</f>
        <v>8.54359591131617</v>
      </c>
      <c r="D371" s="16">
        <f>IF(VLOOKUP(B371,AmmoTypeFactors,8,FALSE),J371,C371)*VLOOKUP('Ammo Input'!B371,AmmoTypeFactors,2,FALSE)</f>
        <v>5.98051713792132</v>
      </c>
      <c r="E371" s="16">
        <f>IF(OR(VLOOKUP(B371,AmmoTypeFactors,6,FALSE)="Bomb",VLOOKUP(B371,AmmoTypeFactors,6,FALSE)="Thermobaric"),J371*VLOOKUP(B371,AmmoTypeFactors,4,FALSE),IF(VLOOKUP(B371,AmmoTypeFactors,11,FALSE),P371,C371*VLOOKUP(B371,AmmoTypeFactors,4,FALSE)))</f>
        <v>0</v>
      </c>
      <c r="F371" s="16">
        <f>'Ammo Stats'!G371/0.005</f>
        <v>279600</v>
      </c>
      <c r="G371" s="16">
        <f>(IF(B371="HEAT",10,'Ammo Input'!F371)*VLOOKUP(B371,AmmoTypeFactors,7,FALSE)*0.5)^2*PI()/100</f>
        <v>0.0229658276959048</v>
      </c>
      <c r="H371" s="10">
        <f t="shared" si="15"/>
        <v>27.96</v>
      </c>
      <c r="I371" s="10">
        <f>IF(B371&lt;&gt;"Arrow (Flaming)",39493.49*'Ammo Input'!M371^0.6/1000,0)</f>
        <v>0</v>
      </c>
      <c r="J371">
        <f t="shared" si="16"/>
        <v>0</v>
      </c>
      <c r="K371">
        <f t="shared" si="17"/>
        <v>7</v>
      </c>
      <c r="L371">
        <f>200000/('Ammo Stats'!C371*(MAX('Ammo Input'!D371,'Ammo Input'!F371)*0.5)^2*PI())</f>
        <v>138732.783671528</v>
      </c>
      <c r="M371">
        <f>IF(B371="Frag",1,('Ammo Input'!M371/1.33)/('Ammo Input'!H371/1000))</f>
        <v>0</v>
      </c>
      <c r="N371" t="s">
        <v>353</v>
      </c>
      <c r="O371" t="s">
        <v>353</v>
      </c>
      <c r="P371" s="3">
        <f>(39493.49*(IF((VLOOKUP(B371,AmmoTypeFactors,6,FALSE)="Bomb_Secondary"),1.33,1)*('Ammo Input'!H371*0.35)/1000)^0.6/1000)*10/3*VLOOKUP(B371,AmmoTypeFactors,4,FALSE)</f>
        <v>0</v>
      </c>
    </row>
    <row r="372" ht="14.4" spans="1:16">
      <c r="A372" t="str">
        <f>'Ammo Input'!A372</f>
        <v>7.62x39mm Soviet</v>
      </c>
      <c r="B372" s="1" t="str">
        <f>'Ammo Input'!B372</f>
        <v>FMJ</v>
      </c>
      <c r="C372">
        <f>(0.579*('Ammo Stats'!G372*IF(OR(B372="HEAT",B372="HEDP"),10,'Ammo Input'!F372)*VLOOKUP(B372,AmmoTypeFactors,7,FALSE))^(0.346))^IF(B372="HEDP",2.1,1)/IF(B372="HEDP",50,1)</f>
        <v>16.5808724706534</v>
      </c>
      <c r="D372" s="16">
        <f>IF(VLOOKUP(B372,AmmoTypeFactors,8,FALSE),J372,C372)*VLOOKUP('Ammo Input'!B372,AmmoTypeFactors,2,FALSE)</f>
        <v>16.5808724706534</v>
      </c>
      <c r="E372" s="16">
        <f>IF(OR(VLOOKUP(B372,AmmoTypeFactors,6,FALSE)="Bomb",VLOOKUP(B372,AmmoTypeFactors,6,FALSE)="Thermobaric"),J372*VLOOKUP(B372,AmmoTypeFactors,4,FALSE),IF(VLOOKUP(B372,AmmoTypeFactors,11,FALSE),P372,C372*VLOOKUP(B372,AmmoTypeFactors,4,FALSE)))</f>
        <v>0</v>
      </c>
      <c r="F372" s="16">
        <f>'Ammo Stats'!G372/0.005</f>
        <v>410800</v>
      </c>
      <c r="G372" s="16">
        <f>(IF(B372="HEAT",10,'Ammo Input'!F372)*VLOOKUP(B372,AmmoTypeFactors,7,FALSE)*0.5)^2*PI()/100</f>
        <v>0.491408708272679</v>
      </c>
      <c r="H372" s="10">
        <f t="shared" si="15"/>
        <v>41.08</v>
      </c>
      <c r="I372" s="10">
        <f>IF(B372&lt;&gt;"Arrow (Flaming)",39493.49*'Ammo Input'!M372^0.6/1000,0)</f>
        <v>0</v>
      </c>
      <c r="J372">
        <f t="shared" si="16"/>
        <v>0</v>
      </c>
      <c r="K372">
        <f t="shared" si="17"/>
        <v>7</v>
      </c>
      <c r="L372">
        <f>200000/('Ammo Stats'!C372*(MAX('Ammo Input'!D372,'Ammo Input'!F372)*0.5)^2*PI())</f>
        <v>98836.7361862379</v>
      </c>
      <c r="M372">
        <f>IF(B372="Frag",1,('Ammo Input'!M372/1.33)/('Ammo Input'!H372/1000))</f>
        <v>0</v>
      </c>
      <c r="N372" t="s">
        <v>353</v>
      </c>
      <c r="O372" t="s">
        <v>353</v>
      </c>
      <c r="P372" s="3">
        <f>(39493.49*(IF((VLOOKUP(B372,AmmoTypeFactors,6,FALSE)="Bomb_Secondary"),1.33,1)*('Ammo Input'!H372*0.35)/1000)^0.6/1000)*10/3*VLOOKUP(B372,AmmoTypeFactors,4,FALSE)</f>
        <v>0</v>
      </c>
    </row>
    <row r="373" ht="14.4" spans="1:16">
      <c r="A373" t="str">
        <f>'Ammo Input'!A373</f>
        <v>7.62x39mm Soviet</v>
      </c>
      <c r="B373" s="1" t="str">
        <f>'Ammo Input'!B373</f>
        <v>AP</v>
      </c>
      <c r="C373">
        <f>(0.579*('Ammo Stats'!G373*IF(OR(B373="HEAT",B373="HEDP"),10,'Ammo Input'!F373)*VLOOKUP(B373,AmmoTypeFactors,7,FALSE))^(0.346))^IF(B373="HEDP",2.1,1)/IF(B373="HEDP",50,1)</f>
        <v>13.0452077711069</v>
      </c>
      <c r="D373" s="16">
        <f>IF(VLOOKUP(B373,AmmoTypeFactors,8,FALSE),J373,C373)*VLOOKUP('Ammo Input'!B373,AmmoTypeFactors,2,FALSE)</f>
        <v>10.4361662168855</v>
      </c>
      <c r="E373" s="16">
        <f>IF(OR(VLOOKUP(B373,AmmoTypeFactors,6,FALSE)="Bomb",VLOOKUP(B373,AmmoTypeFactors,6,FALSE)="Thermobaric"),J373*VLOOKUP(B373,AmmoTypeFactors,4,FALSE),IF(VLOOKUP(B373,AmmoTypeFactors,11,FALSE),P373,C373*VLOOKUP(B373,AmmoTypeFactors,4,FALSE)))</f>
        <v>0</v>
      </c>
      <c r="F373" s="16">
        <f>'Ammo Stats'!G373/0.005</f>
        <v>410800</v>
      </c>
      <c r="G373" s="16">
        <f>(IF(B373="HEAT",10,'Ammo Input'!F373)*VLOOKUP(B373,AmmoTypeFactors,7,FALSE)*0.5)^2*PI()/100</f>
        <v>0.12285217706817</v>
      </c>
      <c r="H373" s="10">
        <f t="shared" si="15"/>
        <v>41.08</v>
      </c>
      <c r="I373" s="10">
        <f>IF(B373&lt;&gt;"Arrow (Flaming)",39493.49*'Ammo Input'!M373^0.6/1000,0)</f>
        <v>0</v>
      </c>
      <c r="J373">
        <f t="shared" si="16"/>
        <v>0</v>
      </c>
      <c r="K373">
        <f t="shared" si="17"/>
        <v>7</v>
      </c>
      <c r="L373">
        <f>200000/('Ammo Stats'!C373*(MAX('Ammo Input'!D373,'Ammo Input'!F373)*0.5)^2*PI())</f>
        <v>98836.7361862379</v>
      </c>
      <c r="M373">
        <f>IF(B373="Frag",1,('Ammo Input'!M373/1.33)/('Ammo Input'!H373/1000))</f>
        <v>0</v>
      </c>
      <c r="N373" t="s">
        <v>353</v>
      </c>
      <c r="O373" t="s">
        <v>353</v>
      </c>
      <c r="P373" s="3">
        <f>(39493.49*(IF((VLOOKUP(B373,AmmoTypeFactors,6,FALSE)="Bomb_Secondary"),1.33,1)*('Ammo Input'!H373*0.35)/1000)^0.6/1000)*10/3*VLOOKUP(B373,AmmoTypeFactors,4,FALSE)</f>
        <v>0</v>
      </c>
    </row>
    <row r="374" ht="14.4" spans="1:16">
      <c r="A374" t="str">
        <f>'Ammo Input'!A374</f>
        <v>7.62x39mm Soviet</v>
      </c>
      <c r="B374" s="1" t="str">
        <f>'Ammo Input'!B374</f>
        <v>HP</v>
      </c>
      <c r="C374">
        <f>(0.579*('Ammo Stats'!G374*IF(OR(B374="HEAT",B374="HEDP"),10,'Ammo Input'!F374)*VLOOKUP(B374,AmmoTypeFactors,7,FALSE))^(0.346))^IF(B374="HEDP",2.1,1)/IF(B374="HEDP",50,1)</f>
        <v>21.0748143465364</v>
      </c>
      <c r="D374" s="16">
        <f>IF(VLOOKUP(B374,AmmoTypeFactors,8,FALSE),J374,C374)*VLOOKUP('Ammo Input'!B374,AmmoTypeFactors,2,FALSE)</f>
        <v>21.0748143465364</v>
      </c>
      <c r="E374" s="16">
        <f>IF(OR(VLOOKUP(B374,AmmoTypeFactors,6,FALSE)="Bomb",VLOOKUP(B374,AmmoTypeFactors,6,FALSE)="Thermobaric"),J374*VLOOKUP(B374,AmmoTypeFactors,4,FALSE),IF(VLOOKUP(B374,AmmoTypeFactors,11,FALSE),P374,C374*VLOOKUP(B374,AmmoTypeFactors,4,FALSE)))</f>
        <v>0</v>
      </c>
      <c r="F374" s="16">
        <f>'Ammo Stats'!G374/0.005</f>
        <v>410800</v>
      </c>
      <c r="G374" s="16">
        <f>(IF(B374="HEAT",10,'Ammo Input'!F374)*VLOOKUP(B374,AmmoTypeFactors,7,FALSE)*0.5)^2*PI()/100</f>
        <v>1.96563483309072</v>
      </c>
      <c r="H374" s="10">
        <f t="shared" si="15"/>
        <v>41.08</v>
      </c>
      <c r="I374" s="10">
        <f>IF(B374&lt;&gt;"Arrow (Flaming)",39493.49*'Ammo Input'!M374^0.6/1000,0)</f>
        <v>0</v>
      </c>
      <c r="J374">
        <f t="shared" si="16"/>
        <v>0</v>
      </c>
      <c r="K374">
        <f t="shared" si="17"/>
        <v>7</v>
      </c>
      <c r="L374">
        <f>200000/('Ammo Stats'!C374*(MAX('Ammo Input'!D374,'Ammo Input'!F374)*0.5)^2*PI())</f>
        <v>98836.7361862379</v>
      </c>
      <c r="M374">
        <f>IF(B374="Frag",1,('Ammo Input'!M374/1.33)/('Ammo Input'!H374/1000))</f>
        <v>0</v>
      </c>
      <c r="N374" t="s">
        <v>353</v>
      </c>
      <c r="O374" t="s">
        <v>353</v>
      </c>
      <c r="P374" s="3">
        <f>(39493.49*(IF((VLOOKUP(B374,AmmoTypeFactors,6,FALSE)="Bomb_Secondary"),1.33,1)*('Ammo Input'!H374*0.35)/1000)^0.6/1000)*10/3*VLOOKUP(B374,AmmoTypeFactors,4,FALSE)</f>
        <v>0</v>
      </c>
    </row>
    <row r="375" ht="14.4" spans="1:16">
      <c r="A375" t="str">
        <f>'Ammo Input'!A375</f>
        <v>7.62x39mm Soviet</v>
      </c>
      <c r="B375" s="1" t="str">
        <f>'Ammo Input'!B375</f>
        <v>AP-I</v>
      </c>
      <c r="C375">
        <f>(0.579*('Ammo Stats'!G375*IF(OR(B375="HEAT",B375="HEDP"),10,'Ammo Input'!F375)*VLOOKUP(B375,AmmoTypeFactors,7,FALSE))^(0.346))^IF(B375="HEDP",2.1,1)/IF(B375="HEDP",50,1)</f>
        <v>13.0452077711069</v>
      </c>
      <c r="D375" s="16">
        <f>IF(VLOOKUP(B375,AmmoTypeFactors,8,FALSE),J375,C375)*VLOOKUP('Ammo Input'!B375,AmmoTypeFactors,2,FALSE)</f>
        <v>10.4361662168855</v>
      </c>
      <c r="E375" s="16">
        <f>IF(OR(VLOOKUP(B375,AmmoTypeFactors,6,FALSE)="Bomb",VLOOKUP(B375,AmmoTypeFactors,6,FALSE)="Thermobaric"),J375*VLOOKUP(B375,AmmoTypeFactors,4,FALSE),IF(VLOOKUP(B375,AmmoTypeFactors,11,FALSE),P375,C375*VLOOKUP(B375,AmmoTypeFactors,4,FALSE)))</f>
        <v>5.01953435073742</v>
      </c>
      <c r="F375" s="16">
        <f>'Ammo Stats'!G375/0.005</f>
        <v>410800</v>
      </c>
      <c r="G375" s="16">
        <f>(IF(B375="HEAT",10,'Ammo Input'!F375)*VLOOKUP(B375,AmmoTypeFactors,7,FALSE)*0.5)^2*PI()/100</f>
        <v>0.12285217706817</v>
      </c>
      <c r="H375" s="10">
        <f t="shared" si="15"/>
        <v>41.08</v>
      </c>
      <c r="I375" s="10">
        <f>IF(B375&lt;&gt;"Arrow (Flaming)",39493.49*'Ammo Input'!M375^0.6/1000,0)</f>
        <v>0</v>
      </c>
      <c r="J375">
        <f t="shared" si="16"/>
        <v>0</v>
      </c>
      <c r="K375">
        <f t="shared" si="17"/>
        <v>7</v>
      </c>
      <c r="L375">
        <f>200000/('Ammo Stats'!C375*(MAX('Ammo Input'!D375,'Ammo Input'!F375)*0.5)^2*PI())</f>
        <v>98836.7361862379</v>
      </c>
      <c r="M375">
        <f>IF(B375="Frag",1,('Ammo Input'!M375/1.33)/('Ammo Input'!H375/1000))</f>
        <v>0</v>
      </c>
      <c r="N375" t="s">
        <v>353</v>
      </c>
      <c r="O375" t="s">
        <v>353</v>
      </c>
      <c r="P375" s="3">
        <f>(39493.49*(IF((VLOOKUP(B375,AmmoTypeFactors,6,FALSE)="Bomb_Secondary"),1.33,1)*('Ammo Input'!H375*0.35)/1000)^0.6/1000)*10/3*VLOOKUP(B375,AmmoTypeFactors,4,FALSE)</f>
        <v>5.01953435073742</v>
      </c>
    </row>
    <row r="376" ht="14.4" spans="1:16">
      <c r="A376" t="str">
        <f>'Ammo Input'!A376</f>
        <v>7.62x39mm Soviet</v>
      </c>
      <c r="B376" s="1" t="str">
        <f>'Ammo Input'!B376</f>
        <v>AP-HE</v>
      </c>
      <c r="C376">
        <f>(0.579*('Ammo Stats'!G376*IF(OR(B376="HEAT",B376="HEDP"),10,'Ammo Input'!F376)*VLOOKUP(B376,AmmoTypeFactors,7,FALSE))^(0.346))^IF(B376="HEDP",2.1,1)/IF(B376="HEDP",50,1)</f>
        <v>16.5808724706534</v>
      </c>
      <c r="D376" s="16">
        <f>IF(VLOOKUP(B376,AmmoTypeFactors,8,FALSE),J376,C376)*VLOOKUP('Ammo Input'!B376,AmmoTypeFactors,2,FALSE)</f>
        <v>16.5808724706534</v>
      </c>
      <c r="E376" s="16">
        <f>IF(OR(VLOOKUP(B376,AmmoTypeFactors,6,FALSE)="Bomb",VLOOKUP(B376,AmmoTypeFactors,6,FALSE)="Thermobaric"),J376*VLOOKUP(B376,AmmoTypeFactors,4,FALSE),IF(VLOOKUP(B376,AmmoTypeFactors,11,FALSE),P376,C376*VLOOKUP(B376,AmmoTypeFactors,4,FALSE)))</f>
        <v>6.87261984718868</v>
      </c>
      <c r="F376" s="16">
        <f>'Ammo Stats'!G376/0.005</f>
        <v>410800</v>
      </c>
      <c r="G376" s="16">
        <f>(IF(B376="HEAT",10,'Ammo Input'!F376)*VLOOKUP(B376,AmmoTypeFactors,7,FALSE)*0.5)^2*PI()/100</f>
        <v>0.491408708272679</v>
      </c>
      <c r="H376" s="10">
        <f t="shared" si="15"/>
        <v>41.08</v>
      </c>
      <c r="I376" s="10">
        <f>IF(B376&lt;&gt;"Arrow (Flaming)",39493.49*'Ammo Input'!M376^0.6/1000,0)</f>
        <v>0</v>
      </c>
      <c r="J376">
        <f t="shared" si="16"/>
        <v>0</v>
      </c>
      <c r="K376">
        <f t="shared" si="17"/>
        <v>7</v>
      </c>
      <c r="L376">
        <f>200000/('Ammo Stats'!C376*(MAX('Ammo Input'!D376,'Ammo Input'!F376)*0.5)^2*PI())</f>
        <v>98836.7361862379</v>
      </c>
      <c r="M376">
        <f>IF(B376="Frag",1,('Ammo Input'!M376/1.33)/('Ammo Input'!H376/1000))</f>
        <v>0</v>
      </c>
      <c r="N376" t="s">
        <v>353</v>
      </c>
      <c r="O376" t="s">
        <v>353</v>
      </c>
      <c r="P376" s="3">
        <f>(39493.49*(IF((VLOOKUP(B376,AmmoTypeFactors,6,FALSE)="Bomb_Secondary"),1.33,1)*('Ammo Input'!H376*0.35)/1000)^0.6/1000)*10/3*VLOOKUP(B376,AmmoTypeFactors,4,FALSE)</f>
        <v>6.87261984718868</v>
      </c>
    </row>
    <row r="377" ht="14.4" spans="1:16">
      <c r="A377" t="str">
        <f>'Ammo Input'!A377</f>
        <v>7.62x39mm Soviet</v>
      </c>
      <c r="B377" s="1" t="str">
        <f>'Ammo Input'!B377</f>
        <v>Sabot</v>
      </c>
      <c r="C377">
        <f>(0.579*('Ammo Stats'!G377*IF(OR(B377="HEAT",B377="HEDP"),10,'Ammo Input'!F377)*VLOOKUP(B377,AmmoTypeFactors,7,FALSE))^(0.346))^IF(B377="HEDP",2.1,1)/IF(B377="HEDP",50,1)</f>
        <v>11.9706703055582</v>
      </c>
      <c r="D377" s="16">
        <f>IF(VLOOKUP(B377,AmmoTypeFactors,8,FALSE),J377,C377)*VLOOKUP('Ammo Input'!B377,AmmoTypeFactors,2,FALSE)</f>
        <v>8.37946921389076</v>
      </c>
      <c r="E377" s="16">
        <f>IF(OR(VLOOKUP(B377,AmmoTypeFactors,6,FALSE)="Bomb",VLOOKUP(B377,AmmoTypeFactors,6,FALSE)="Thermobaric"),J377*VLOOKUP(B377,AmmoTypeFactors,4,FALSE),IF(VLOOKUP(B377,AmmoTypeFactors,11,FALSE),P377,C377*VLOOKUP(B377,AmmoTypeFactors,4,FALSE)))</f>
        <v>0</v>
      </c>
      <c r="F377" s="16">
        <f>'Ammo Stats'!G377/0.005</f>
        <v>533600</v>
      </c>
      <c r="G377" s="16">
        <f>(IF(B377="HEAT",10,'Ammo Input'!F377)*VLOOKUP(B377,AmmoTypeFactors,7,FALSE)*0.5)^2*PI()/100</f>
        <v>0.0443013651541373</v>
      </c>
      <c r="H377" s="10">
        <f t="shared" si="15"/>
        <v>53.36</v>
      </c>
      <c r="I377" s="10">
        <f>IF(B377&lt;&gt;"Arrow (Flaming)",39493.49*'Ammo Input'!M377^0.6/1000,0)</f>
        <v>0</v>
      </c>
      <c r="J377">
        <f t="shared" si="16"/>
        <v>0</v>
      </c>
      <c r="K377">
        <f t="shared" si="17"/>
        <v>8</v>
      </c>
      <c r="L377">
        <f>200000/('Ammo Stats'!C377*(MAX('Ammo Input'!D377,'Ammo Input'!F377)*0.5)^2*PI())</f>
        <v>98836.7361862379</v>
      </c>
      <c r="M377">
        <f>IF(B377="Frag",1,('Ammo Input'!M377/1.33)/('Ammo Input'!H377/1000))</f>
        <v>0</v>
      </c>
      <c r="N377" t="s">
        <v>353</v>
      </c>
      <c r="O377" t="s">
        <v>353</v>
      </c>
      <c r="P377" s="3">
        <f>(39493.49*(IF((VLOOKUP(B377,AmmoTypeFactors,6,FALSE)="Bomb_Secondary"),1.33,1)*('Ammo Input'!H377*0.35)/1000)^0.6/1000)*10/3*VLOOKUP(B377,AmmoTypeFactors,4,FALSE)</f>
        <v>0</v>
      </c>
    </row>
    <row r="378" ht="14.4" spans="1:16">
      <c r="A378" t="str">
        <f>'Ammo Input'!A378</f>
        <v>7.62x39mm Soviet (Slow)</v>
      </c>
      <c r="B378" s="1" t="str">
        <f>'Ammo Input'!B378</f>
        <v>FMJ</v>
      </c>
      <c r="C378">
        <f>(0.579*('Ammo Stats'!G378*IF(OR(B378="HEAT",B378="HEDP"),10,'Ammo Input'!F378)*VLOOKUP(B378,AmmoTypeFactors,7,FALSE))^(0.346))^IF(B378="HEDP",2.1,1)/IF(B378="HEDP",50,1)</f>
        <v>14.7963631314124</v>
      </c>
      <c r="D378" s="16">
        <f>IF(VLOOKUP(B378,AmmoTypeFactors,8,FALSE),J378,C378)*VLOOKUP('Ammo Input'!B378,AmmoTypeFactors,2,FALSE)</f>
        <v>14.7963631314124</v>
      </c>
      <c r="E378" s="16">
        <f>IF(OR(VLOOKUP(B378,AmmoTypeFactors,6,FALSE)="Bomb",VLOOKUP(B378,AmmoTypeFactors,6,FALSE)="Thermobaric"),J378*VLOOKUP(B378,AmmoTypeFactors,4,FALSE),IF(VLOOKUP(B378,AmmoTypeFactors,11,FALSE),P378,C378*VLOOKUP(B378,AmmoTypeFactors,4,FALSE)))</f>
        <v>0</v>
      </c>
      <c r="F378" s="16">
        <f>'Ammo Stats'!G378/0.005</f>
        <v>295600</v>
      </c>
      <c r="G378" s="16">
        <f>(IF(B378="HEAT",10,'Ammo Input'!F378)*VLOOKUP(B378,AmmoTypeFactors,7,FALSE)*0.5)^2*PI()/100</f>
        <v>0.491408708272679</v>
      </c>
      <c r="H378" s="10">
        <f t="shared" si="15"/>
        <v>29.56</v>
      </c>
      <c r="I378" s="10">
        <f>IF(B378&lt;&gt;"Arrow (Flaming)",39493.49*'Ammo Input'!M378^0.6/1000,0)</f>
        <v>0</v>
      </c>
      <c r="J378">
        <f t="shared" si="16"/>
        <v>0</v>
      </c>
      <c r="K378">
        <f t="shared" si="17"/>
        <v>7</v>
      </c>
      <c r="L378">
        <f>200000/('Ammo Stats'!C378*(MAX('Ammo Input'!D378,'Ammo Input'!F378)*0.5)^2*PI())</f>
        <v>98836.7361862379</v>
      </c>
      <c r="M378">
        <f>IF(B378="Frag",1,('Ammo Input'!M378/1.33)/('Ammo Input'!H378/1000))</f>
        <v>0</v>
      </c>
      <c r="N378" t="s">
        <v>353</v>
      </c>
      <c r="O378" t="s">
        <v>353</v>
      </c>
      <c r="P378" s="3">
        <f>(39493.49*(IF((VLOOKUP(B378,AmmoTypeFactors,6,FALSE)="Bomb_Secondary"),1.33,1)*('Ammo Input'!H378*0.35)/1000)^0.6/1000)*10/3*VLOOKUP(B378,AmmoTypeFactors,4,FALSE)</f>
        <v>0</v>
      </c>
    </row>
    <row r="379" ht="14.4" spans="1:16">
      <c r="A379" t="str">
        <f>'Ammo Input'!A379</f>
        <v>7.62x39mm Soviet (Slow)</v>
      </c>
      <c r="B379" s="1" t="str">
        <f>'Ammo Input'!B379</f>
        <v>AP</v>
      </c>
      <c r="C379">
        <f>(0.579*('Ammo Stats'!G379*IF(OR(B379="HEAT",B379="HEDP"),10,'Ammo Input'!F379)*VLOOKUP(B379,AmmoTypeFactors,7,FALSE))^(0.346))^IF(B379="HEDP",2.1,1)/IF(B379="HEDP",50,1)</f>
        <v>11.6412228396094</v>
      </c>
      <c r="D379" s="16">
        <f>IF(VLOOKUP(B379,AmmoTypeFactors,8,FALSE),J379,C379)*VLOOKUP('Ammo Input'!B379,AmmoTypeFactors,2,FALSE)</f>
        <v>9.31297827168748</v>
      </c>
      <c r="E379" s="16">
        <f>IF(OR(VLOOKUP(B379,AmmoTypeFactors,6,FALSE)="Bomb",VLOOKUP(B379,AmmoTypeFactors,6,FALSE)="Thermobaric"),J379*VLOOKUP(B379,AmmoTypeFactors,4,FALSE),IF(VLOOKUP(B379,AmmoTypeFactors,11,FALSE),P379,C379*VLOOKUP(B379,AmmoTypeFactors,4,FALSE)))</f>
        <v>0</v>
      </c>
      <c r="F379" s="16">
        <f>'Ammo Stats'!G379/0.005</f>
        <v>295600</v>
      </c>
      <c r="G379" s="16">
        <f>(IF(B379="HEAT",10,'Ammo Input'!F379)*VLOOKUP(B379,AmmoTypeFactors,7,FALSE)*0.5)^2*PI()/100</f>
        <v>0.12285217706817</v>
      </c>
      <c r="H379" s="10">
        <f t="shared" si="15"/>
        <v>29.56</v>
      </c>
      <c r="I379" s="10">
        <f>IF(B379&lt;&gt;"Arrow (Flaming)",39493.49*'Ammo Input'!M379^0.6/1000,0)</f>
        <v>0</v>
      </c>
      <c r="J379">
        <f t="shared" si="16"/>
        <v>0</v>
      </c>
      <c r="K379">
        <f t="shared" si="17"/>
        <v>7</v>
      </c>
      <c r="L379">
        <f>200000/('Ammo Stats'!C379*(MAX('Ammo Input'!D379,'Ammo Input'!F379)*0.5)^2*PI())</f>
        <v>98836.7361862379</v>
      </c>
      <c r="M379">
        <f>IF(B379="Frag",1,('Ammo Input'!M379/1.33)/('Ammo Input'!H379/1000))</f>
        <v>0</v>
      </c>
      <c r="N379" t="s">
        <v>353</v>
      </c>
      <c r="O379" t="s">
        <v>353</v>
      </c>
      <c r="P379" s="3">
        <f>(39493.49*(IF((VLOOKUP(B379,AmmoTypeFactors,6,FALSE)="Bomb_Secondary"),1.33,1)*('Ammo Input'!H379*0.35)/1000)^0.6/1000)*10/3*VLOOKUP(B379,AmmoTypeFactors,4,FALSE)</f>
        <v>0</v>
      </c>
    </row>
    <row r="380" ht="14.4" spans="1:16">
      <c r="A380" t="str">
        <f>'Ammo Input'!A380</f>
        <v>7.62x39mm Soviet (Slow)</v>
      </c>
      <c r="B380" s="1" t="str">
        <f>'Ammo Input'!B380</f>
        <v>HP</v>
      </c>
      <c r="C380">
        <f>(0.579*('Ammo Stats'!G380*IF(OR(B380="HEAT",B380="HEDP"),10,'Ammo Input'!F380)*VLOOKUP(B380,AmmoTypeFactors,7,FALSE))^(0.346))^IF(B380="HEDP",2.1,1)/IF(B380="HEDP",50,1)</f>
        <v>18.8066464264992</v>
      </c>
      <c r="D380" s="16">
        <f>IF(VLOOKUP(B380,AmmoTypeFactors,8,FALSE),J380,C380)*VLOOKUP('Ammo Input'!B380,AmmoTypeFactors,2,FALSE)</f>
        <v>18.8066464264992</v>
      </c>
      <c r="E380" s="16">
        <f>IF(OR(VLOOKUP(B380,AmmoTypeFactors,6,FALSE)="Bomb",VLOOKUP(B380,AmmoTypeFactors,6,FALSE)="Thermobaric"),J380*VLOOKUP(B380,AmmoTypeFactors,4,FALSE),IF(VLOOKUP(B380,AmmoTypeFactors,11,FALSE),P380,C380*VLOOKUP(B380,AmmoTypeFactors,4,FALSE)))</f>
        <v>0</v>
      </c>
      <c r="F380" s="16">
        <f>'Ammo Stats'!G380/0.005</f>
        <v>295600</v>
      </c>
      <c r="G380" s="16">
        <f>(IF(B380="HEAT",10,'Ammo Input'!F380)*VLOOKUP(B380,AmmoTypeFactors,7,FALSE)*0.5)^2*PI()/100</f>
        <v>1.96563483309072</v>
      </c>
      <c r="H380" s="10">
        <f t="shared" si="15"/>
        <v>29.56</v>
      </c>
      <c r="I380" s="10">
        <f>IF(B380&lt;&gt;"Arrow (Flaming)",39493.49*'Ammo Input'!M380^0.6/1000,0)</f>
        <v>0</v>
      </c>
      <c r="J380">
        <f t="shared" si="16"/>
        <v>0</v>
      </c>
      <c r="K380">
        <f t="shared" si="17"/>
        <v>7</v>
      </c>
      <c r="L380">
        <f>200000/('Ammo Stats'!C380*(MAX('Ammo Input'!D380,'Ammo Input'!F380)*0.5)^2*PI())</f>
        <v>98836.7361862379</v>
      </c>
      <c r="M380">
        <f>IF(B380="Frag",1,('Ammo Input'!M380/1.33)/('Ammo Input'!H380/1000))</f>
        <v>0</v>
      </c>
      <c r="N380" t="s">
        <v>353</v>
      </c>
      <c r="O380" t="s">
        <v>353</v>
      </c>
      <c r="P380" s="3">
        <f>(39493.49*(IF((VLOOKUP(B380,AmmoTypeFactors,6,FALSE)="Bomb_Secondary"),1.33,1)*('Ammo Input'!H380*0.35)/1000)^0.6/1000)*10/3*VLOOKUP(B380,AmmoTypeFactors,4,FALSE)</f>
        <v>0</v>
      </c>
    </row>
    <row r="381" ht="14.4" spans="1:16">
      <c r="A381" t="str">
        <f>'Ammo Input'!A381</f>
        <v>7.62x39mm Soviet (Slow)</v>
      </c>
      <c r="B381" s="1" t="str">
        <f>'Ammo Input'!B381</f>
        <v>AP-I</v>
      </c>
      <c r="C381">
        <f>(0.579*('Ammo Stats'!G381*IF(OR(B381="HEAT",B381="HEDP"),10,'Ammo Input'!F381)*VLOOKUP(B381,AmmoTypeFactors,7,FALSE))^(0.346))^IF(B381="HEDP",2.1,1)/IF(B381="HEDP",50,1)</f>
        <v>11.6412228396094</v>
      </c>
      <c r="D381" s="16">
        <f>IF(VLOOKUP(B381,AmmoTypeFactors,8,FALSE),J381,C381)*VLOOKUP('Ammo Input'!B381,AmmoTypeFactors,2,FALSE)</f>
        <v>9.31297827168748</v>
      </c>
      <c r="E381" s="16">
        <f>IF(OR(VLOOKUP(B381,AmmoTypeFactors,6,FALSE)="Bomb",VLOOKUP(B381,AmmoTypeFactors,6,FALSE)="Thermobaric"),J381*VLOOKUP(B381,AmmoTypeFactors,4,FALSE),IF(VLOOKUP(B381,AmmoTypeFactors,11,FALSE),P381,C381*VLOOKUP(B381,AmmoTypeFactors,4,FALSE)))</f>
        <v>5.01953435073742</v>
      </c>
      <c r="F381" s="16">
        <f>'Ammo Stats'!G381/0.005</f>
        <v>295600</v>
      </c>
      <c r="G381" s="16">
        <f>(IF(B381="HEAT",10,'Ammo Input'!F381)*VLOOKUP(B381,AmmoTypeFactors,7,FALSE)*0.5)^2*PI()/100</f>
        <v>0.12285217706817</v>
      </c>
      <c r="H381" s="10">
        <f t="shared" si="15"/>
        <v>29.56</v>
      </c>
      <c r="I381" s="10">
        <f>IF(B381&lt;&gt;"Arrow (Flaming)",39493.49*'Ammo Input'!M381^0.6/1000,0)</f>
        <v>0</v>
      </c>
      <c r="J381">
        <f t="shared" si="16"/>
        <v>0</v>
      </c>
      <c r="K381">
        <f t="shared" si="17"/>
        <v>7</v>
      </c>
      <c r="L381">
        <f>200000/('Ammo Stats'!C381*(MAX('Ammo Input'!D381,'Ammo Input'!F381)*0.5)^2*PI())</f>
        <v>98836.7361862379</v>
      </c>
      <c r="M381">
        <f>IF(B381="Frag",1,('Ammo Input'!M381/1.33)/('Ammo Input'!H381/1000))</f>
        <v>0</v>
      </c>
      <c r="N381" t="s">
        <v>353</v>
      </c>
      <c r="O381" t="s">
        <v>353</v>
      </c>
      <c r="P381" s="3">
        <f>(39493.49*(IF((VLOOKUP(B381,AmmoTypeFactors,6,FALSE)="Bomb_Secondary"),1.33,1)*('Ammo Input'!H381*0.35)/1000)^0.6/1000)*10/3*VLOOKUP(B381,AmmoTypeFactors,4,FALSE)</f>
        <v>5.01953435073742</v>
      </c>
    </row>
    <row r="382" ht="14.4" spans="1:16">
      <c r="A382" t="str">
        <f>'Ammo Input'!A382</f>
        <v>7.62x39mm Soviet (Slow)</v>
      </c>
      <c r="B382" s="1" t="str">
        <f>'Ammo Input'!B382</f>
        <v>AP-HE</v>
      </c>
      <c r="C382">
        <f>(0.579*('Ammo Stats'!G382*IF(OR(B382="HEAT",B382="HEDP"),10,'Ammo Input'!F382)*VLOOKUP(B382,AmmoTypeFactors,7,FALSE))^(0.346))^IF(B382="HEDP",2.1,1)/IF(B382="HEDP",50,1)</f>
        <v>14.7963631314124</v>
      </c>
      <c r="D382" s="16">
        <f>IF(VLOOKUP(B382,AmmoTypeFactors,8,FALSE),J382,C382)*VLOOKUP('Ammo Input'!B382,AmmoTypeFactors,2,FALSE)</f>
        <v>14.7963631314124</v>
      </c>
      <c r="E382" s="16">
        <f>IF(OR(VLOOKUP(B382,AmmoTypeFactors,6,FALSE)="Bomb",VLOOKUP(B382,AmmoTypeFactors,6,FALSE)="Thermobaric"),J382*VLOOKUP(B382,AmmoTypeFactors,4,FALSE),IF(VLOOKUP(B382,AmmoTypeFactors,11,FALSE),P382,C382*VLOOKUP(B382,AmmoTypeFactors,4,FALSE)))</f>
        <v>6.87261984718868</v>
      </c>
      <c r="F382" s="16">
        <f>'Ammo Stats'!G382/0.005</f>
        <v>295600</v>
      </c>
      <c r="G382" s="16">
        <f>(IF(B382="HEAT",10,'Ammo Input'!F382)*VLOOKUP(B382,AmmoTypeFactors,7,FALSE)*0.5)^2*PI()/100</f>
        <v>0.491408708272679</v>
      </c>
      <c r="H382" s="10">
        <f t="shared" si="15"/>
        <v>29.56</v>
      </c>
      <c r="I382" s="10">
        <f>IF(B382&lt;&gt;"Arrow (Flaming)",39493.49*'Ammo Input'!M382^0.6/1000,0)</f>
        <v>0</v>
      </c>
      <c r="J382">
        <f t="shared" si="16"/>
        <v>0</v>
      </c>
      <c r="K382">
        <f t="shared" si="17"/>
        <v>7</v>
      </c>
      <c r="L382">
        <f>200000/('Ammo Stats'!C382*(MAX('Ammo Input'!D382,'Ammo Input'!F382)*0.5)^2*PI())</f>
        <v>98836.7361862379</v>
      </c>
      <c r="M382">
        <f>IF(B382="Frag",1,('Ammo Input'!M382/1.33)/('Ammo Input'!H382/1000))</f>
        <v>0</v>
      </c>
      <c r="N382" t="s">
        <v>353</v>
      </c>
      <c r="O382" t="s">
        <v>353</v>
      </c>
      <c r="P382" s="3">
        <f>(39493.49*(IF((VLOOKUP(B382,AmmoTypeFactors,6,FALSE)="Bomb_Secondary"),1.33,1)*('Ammo Input'!H382*0.35)/1000)^0.6/1000)*10/3*VLOOKUP(B382,AmmoTypeFactors,4,FALSE)</f>
        <v>6.87261984718868</v>
      </c>
    </row>
    <row r="383" ht="14.4" spans="1:16">
      <c r="A383" t="str">
        <f>'Ammo Input'!A383</f>
        <v>7.62x39mm Soviet (Slow)</v>
      </c>
      <c r="B383" s="1" t="str">
        <f>'Ammo Input'!B383</f>
        <v>Sabot</v>
      </c>
      <c r="C383">
        <f>(0.579*('Ammo Stats'!G383*IF(OR(B383="HEAT",B383="HEDP"),10,'Ammo Input'!F383)*VLOOKUP(B383,AmmoTypeFactors,7,FALSE))^(0.346))^IF(B383="HEDP",2.1,1)/IF(B383="HEDP",50,1)</f>
        <v>10.6769061480754</v>
      </c>
      <c r="D383" s="16">
        <f>IF(VLOOKUP(B383,AmmoTypeFactors,8,FALSE),J383,C383)*VLOOKUP('Ammo Input'!B383,AmmoTypeFactors,2,FALSE)</f>
        <v>7.4738343036528</v>
      </c>
      <c r="E383" s="16">
        <f>IF(OR(VLOOKUP(B383,AmmoTypeFactors,6,FALSE)="Bomb",VLOOKUP(B383,AmmoTypeFactors,6,FALSE)="Thermobaric"),J383*VLOOKUP(B383,AmmoTypeFactors,4,FALSE),IF(VLOOKUP(B383,AmmoTypeFactors,11,FALSE),P383,C383*VLOOKUP(B383,AmmoTypeFactors,4,FALSE)))</f>
        <v>0</v>
      </c>
      <c r="F383" s="16">
        <f>'Ammo Stats'!G383/0.005</f>
        <v>383400</v>
      </c>
      <c r="G383" s="16">
        <f>(IF(B383="HEAT",10,'Ammo Input'!F383)*VLOOKUP(B383,AmmoTypeFactors,7,FALSE)*0.5)^2*PI()/100</f>
        <v>0.0443013651541373</v>
      </c>
      <c r="H383" s="10">
        <f t="shared" si="15"/>
        <v>38.34</v>
      </c>
      <c r="I383" s="10">
        <f>IF(B383&lt;&gt;"Arrow (Flaming)",39493.49*'Ammo Input'!M383^0.6/1000,0)</f>
        <v>0</v>
      </c>
      <c r="J383">
        <f t="shared" si="16"/>
        <v>0</v>
      </c>
      <c r="K383">
        <f t="shared" si="17"/>
        <v>7</v>
      </c>
      <c r="L383">
        <f>200000/('Ammo Stats'!C383*(MAX('Ammo Input'!D383,'Ammo Input'!F383)*0.5)^2*PI())</f>
        <v>98836.7361862379</v>
      </c>
      <c r="M383">
        <f>IF(B383="Frag",1,('Ammo Input'!M383/1.33)/('Ammo Input'!H383/1000))</f>
        <v>0</v>
      </c>
      <c r="N383" t="s">
        <v>353</v>
      </c>
      <c r="O383" t="s">
        <v>353</v>
      </c>
      <c r="P383" s="3">
        <f>(39493.49*(IF((VLOOKUP(B383,AmmoTypeFactors,6,FALSE)="Bomb_Secondary"),1.33,1)*('Ammo Input'!H383*0.35)/1000)^0.6/1000)*10/3*VLOOKUP(B383,AmmoTypeFactors,4,FALSE)</f>
        <v>0</v>
      </c>
    </row>
    <row r="384" ht="14.4" spans="1:16">
      <c r="A384" t="str">
        <f>'Ammo Input'!A384</f>
        <v>4.85x49mm</v>
      </c>
      <c r="B384" s="1" t="str">
        <f>'Ammo Input'!B384</f>
        <v>FMJ</v>
      </c>
      <c r="C384">
        <f>(0.579*('Ammo Stats'!G384*IF(OR(B384="HEAT",B384="HEDP"),10,'Ammo Input'!F384)*VLOOKUP(B384,AmmoTypeFactors,7,FALSE))^(0.346))^IF(B384="HEDP",2.1,1)/IF(B384="HEDP",50,1)</f>
        <v>12.9846181944299</v>
      </c>
      <c r="D384" s="16">
        <f>IF(VLOOKUP(B384,AmmoTypeFactors,8,FALSE),J384,C384)*VLOOKUP('Ammo Input'!B384,AmmoTypeFactors,2,FALSE)</f>
        <v>12.9846181944299</v>
      </c>
      <c r="E384" s="16">
        <f>IF(OR(VLOOKUP(B384,AmmoTypeFactors,6,FALSE)="Bomb",VLOOKUP(B384,AmmoTypeFactors,6,FALSE)="Thermobaric"),J384*VLOOKUP(B384,AmmoTypeFactors,4,FALSE),IF(VLOOKUP(B384,AmmoTypeFactors,11,FALSE),P384,C384*VLOOKUP(B384,AmmoTypeFactors,4,FALSE)))</f>
        <v>0</v>
      </c>
      <c r="F384" s="16">
        <f>'Ammo Stats'!G384/0.005</f>
        <v>320600</v>
      </c>
      <c r="G384" s="16">
        <f>(IF(B384="HEAT",10,'Ammo Input'!F384)*VLOOKUP(B384,AmmoTypeFactors,7,FALSE)*0.5)^2*PI()/100</f>
        <v>0.196349540849362</v>
      </c>
      <c r="H384" s="10">
        <f t="shared" si="15"/>
        <v>32.06</v>
      </c>
      <c r="I384" s="10">
        <f>IF(B384&lt;&gt;"Arrow (Flaming)",39493.49*'Ammo Input'!M384^0.6/1000,0)</f>
        <v>0</v>
      </c>
      <c r="J384">
        <f t="shared" si="16"/>
        <v>0</v>
      </c>
      <c r="K384">
        <f t="shared" si="17"/>
        <v>7</v>
      </c>
      <c r="L384">
        <f>200000/('Ammo Stats'!C384*(MAX('Ammo Input'!D384,'Ammo Input'!F384)*0.5)^2*PI())</f>
        <v>138155.332545048</v>
      </c>
      <c r="M384">
        <f>IF(B384="Frag",1,('Ammo Input'!M384/1.33)/('Ammo Input'!H384/1000))</f>
        <v>0</v>
      </c>
      <c r="N384" t="s">
        <v>353</v>
      </c>
      <c r="O384" t="s">
        <v>353</v>
      </c>
      <c r="P384" s="3">
        <f>(39493.49*(IF((VLOOKUP(B384,AmmoTypeFactors,6,FALSE)="Bomb_Secondary"),1.33,1)*('Ammo Input'!H384*0.35)/1000)^0.6/1000)*10/3*VLOOKUP(B384,AmmoTypeFactors,4,FALSE)</f>
        <v>0</v>
      </c>
    </row>
    <row r="385" ht="14.4" spans="1:16">
      <c r="A385" t="str">
        <f>'Ammo Input'!A385</f>
        <v>4.85x49mm</v>
      </c>
      <c r="B385" s="1" t="str">
        <f>'Ammo Input'!B385</f>
        <v>AP</v>
      </c>
      <c r="C385">
        <f>(0.579*('Ammo Stats'!G385*IF(OR(B385="HEAT",B385="HEDP"),10,'Ammo Input'!F385)*VLOOKUP(B385,AmmoTypeFactors,7,FALSE))^(0.346))^IF(B385="HEDP",2.1,1)/IF(B385="HEDP",50,1)</f>
        <v>10.215809962632</v>
      </c>
      <c r="D385" s="16">
        <f>IF(VLOOKUP(B385,AmmoTypeFactors,8,FALSE),J385,C385)*VLOOKUP('Ammo Input'!B385,AmmoTypeFactors,2,FALSE)</f>
        <v>8.17264797010564</v>
      </c>
      <c r="E385" s="16">
        <f>IF(OR(VLOOKUP(B385,AmmoTypeFactors,6,FALSE)="Bomb",VLOOKUP(B385,AmmoTypeFactors,6,FALSE)="Thermobaric"),J385*VLOOKUP(B385,AmmoTypeFactors,4,FALSE),IF(VLOOKUP(B385,AmmoTypeFactors,11,FALSE),P385,C385*VLOOKUP(B385,AmmoTypeFactors,4,FALSE)))</f>
        <v>0</v>
      </c>
      <c r="F385" s="16">
        <f>'Ammo Stats'!G385/0.005</f>
        <v>320600</v>
      </c>
      <c r="G385" s="16">
        <f>(IF(B385="HEAT",10,'Ammo Input'!F385)*VLOOKUP(B385,AmmoTypeFactors,7,FALSE)*0.5)^2*PI()/100</f>
        <v>0.0490873852123405</v>
      </c>
      <c r="H385" s="10">
        <f t="shared" si="15"/>
        <v>32.06</v>
      </c>
      <c r="I385" s="10">
        <f>IF(B385&lt;&gt;"Arrow (Flaming)",39493.49*'Ammo Input'!M385^0.6/1000,0)</f>
        <v>0</v>
      </c>
      <c r="J385">
        <f t="shared" si="16"/>
        <v>0</v>
      </c>
      <c r="K385">
        <f t="shared" si="17"/>
        <v>7</v>
      </c>
      <c r="L385">
        <f>200000/('Ammo Stats'!C385*(MAX('Ammo Input'!D385,'Ammo Input'!F385)*0.5)^2*PI())</f>
        <v>138155.332545048</v>
      </c>
      <c r="M385">
        <f>IF(B385="Frag",1,('Ammo Input'!M385/1.33)/('Ammo Input'!H385/1000))</f>
        <v>0</v>
      </c>
      <c r="N385" t="s">
        <v>353</v>
      </c>
      <c r="O385" t="s">
        <v>353</v>
      </c>
      <c r="P385" s="3">
        <f>(39493.49*(IF((VLOOKUP(B385,AmmoTypeFactors,6,FALSE)="Bomb_Secondary"),1.33,1)*('Ammo Input'!H385*0.35)/1000)^0.6/1000)*10/3*VLOOKUP(B385,AmmoTypeFactors,4,FALSE)</f>
        <v>0</v>
      </c>
    </row>
    <row r="386" ht="14.4" spans="1:16">
      <c r="A386" t="str">
        <f>'Ammo Input'!A386</f>
        <v>4.85x49mm</v>
      </c>
      <c r="B386" s="1" t="str">
        <f>'Ammo Input'!B386</f>
        <v>HP</v>
      </c>
      <c r="C386">
        <f>(0.579*('Ammo Stats'!G386*IF(OR(B386="HEAT",B386="HEDP"),10,'Ammo Input'!F386)*VLOOKUP(B386,AmmoTypeFactors,7,FALSE))^(0.346))^IF(B386="HEDP",2.1,1)/IF(B386="HEDP",50,1)</f>
        <v>16.5038611986553</v>
      </c>
      <c r="D386" s="16">
        <f>IF(VLOOKUP(B386,AmmoTypeFactors,8,FALSE),J386,C386)*VLOOKUP('Ammo Input'!B386,AmmoTypeFactors,2,FALSE)</f>
        <v>16.5038611986553</v>
      </c>
      <c r="E386" s="16">
        <f>IF(OR(VLOOKUP(B386,AmmoTypeFactors,6,FALSE)="Bomb",VLOOKUP(B386,AmmoTypeFactors,6,FALSE)="Thermobaric"),J386*VLOOKUP(B386,AmmoTypeFactors,4,FALSE),IF(VLOOKUP(B386,AmmoTypeFactors,11,FALSE),P386,C386*VLOOKUP(B386,AmmoTypeFactors,4,FALSE)))</f>
        <v>0</v>
      </c>
      <c r="F386" s="16">
        <f>'Ammo Stats'!G386/0.005</f>
        <v>320600</v>
      </c>
      <c r="G386" s="16">
        <f>(IF(B386="HEAT",10,'Ammo Input'!F386)*VLOOKUP(B386,AmmoTypeFactors,7,FALSE)*0.5)^2*PI()/100</f>
        <v>0.785398163397448</v>
      </c>
      <c r="H386" s="10">
        <f t="shared" si="15"/>
        <v>32.06</v>
      </c>
      <c r="I386" s="10">
        <f>IF(B386&lt;&gt;"Arrow (Flaming)",39493.49*'Ammo Input'!M386^0.6/1000,0)</f>
        <v>0</v>
      </c>
      <c r="J386">
        <f t="shared" si="16"/>
        <v>0</v>
      </c>
      <c r="K386">
        <f t="shared" si="17"/>
        <v>7</v>
      </c>
      <c r="L386">
        <f>200000/('Ammo Stats'!C386*(MAX('Ammo Input'!D386,'Ammo Input'!F386)*0.5)^2*PI())</f>
        <v>138155.332545048</v>
      </c>
      <c r="M386">
        <f>IF(B386="Frag",1,('Ammo Input'!M386/1.33)/('Ammo Input'!H386/1000))</f>
        <v>0</v>
      </c>
      <c r="N386" t="s">
        <v>353</v>
      </c>
      <c r="O386" t="s">
        <v>353</v>
      </c>
      <c r="P386" s="3">
        <f>(39493.49*(IF((VLOOKUP(B386,AmmoTypeFactors,6,FALSE)="Bomb_Secondary"),1.33,1)*('Ammo Input'!H386*0.35)/1000)^0.6/1000)*10/3*VLOOKUP(B386,AmmoTypeFactors,4,FALSE)</f>
        <v>0</v>
      </c>
    </row>
    <row r="387" ht="14.4" spans="1:16">
      <c r="A387" t="str">
        <f>'Ammo Input'!A387</f>
        <v>4.85x49mm</v>
      </c>
      <c r="B387" s="1" t="str">
        <f>'Ammo Input'!B387</f>
        <v>AP-I</v>
      </c>
      <c r="C387">
        <f>(0.579*('Ammo Stats'!G387*IF(OR(B387="HEAT",B387="HEDP"),10,'Ammo Input'!F387)*VLOOKUP(B387,AmmoTypeFactors,7,FALSE))^(0.346))^IF(B387="HEDP",2.1,1)/IF(B387="HEDP",50,1)</f>
        <v>10.215809962632</v>
      </c>
      <c r="D387" s="16">
        <f>IF(VLOOKUP(B387,AmmoTypeFactors,8,FALSE),J387,C387)*VLOOKUP('Ammo Input'!B387,AmmoTypeFactors,2,FALSE)</f>
        <v>8.17264797010564</v>
      </c>
      <c r="E387" s="16">
        <f>IF(OR(VLOOKUP(B387,AmmoTypeFactors,6,FALSE)="Bomb",VLOOKUP(B387,AmmoTypeFactors,6,FALSE)="Thermobaric"),J387*VLOOKUP(B387,AmmoTypeFactors,4,FALSE),IF(VLOOKUP(B387,AmmoTypeFactors,11,FALSE),P387,C387*VLOOKUP(B387,AmmoTypeFactors,4,FALSE)))</f>
        <v>3.09498420218402</v>
      </c>
      <c r="F387" s="16">
        <f>'Ammo Stats'!G387/0.005</f>
        <v>320600</v>
      </c>
      <c r="G387" s="16">
        <f>(IF(B387="HEAT",10,'Ammo Input'!F387)*VLOOKUP(B387,AmmoTypeFactors,7,FALSE)*0.5)^2*PI()/100</f>
        <v>0.0490873852123405</v>
      </c>
      <c r="H387" s="10">
        <f t="shared" si="15"/>
        <v>32.06</v>
      </c>
      <c r="I387" s="10">
        <f>IF(B387&lt;&gt;"Arrow (Flaming)",39493.49*'Ammo Input'!M387^0.6/1000,0)</f>
        <v>0</v>
      </c>
      <c r="J387">
        <f t="shared" si="16"/>
        <v>0</v>
      </c>
      <c r="K387">
        <f t="shared" si="17"/>
        <v>7</v>
      </c>
      <c r="L387">
        <f>200000/('Ammo Stats'!C387*(MAX('Ammo Input'!D387,'Ammo Input'!F387)*0.5)^2*PI())</f>
        <v>138155.332545048</v>
      </c>
      <c r="M387">
        <f>IF(B387="Frag",1,('Ammo Input'!M387/1.33)/('Ammo Input'!H387/1000))</f>
        <v>0</v>
      </c>
      <c r="N387" t="s">
        <v>353</v>
      </c>
      <c r="O387" t="s">
        <v>353</v>
      </c>
      <c r="P387" s="3">
        <f>(39493.49*(IF((VLOOKUP(B387,AmmoTypeFactors,6,FALSE)="Bomb_Secondary"),1.33,1)*('Ammo Input'!H387*0.35)/1000)^0.6/1000)*10/3*VLOOKUP(B387,AmmoTypeFactors,4,FALSE)</f>
        <v>3.09498420218402</v>
      </c>
    </row>
    <row r="388" ht="14.4" spans="1:16">
      <c r="A388" t="str">
        <f>'Ammo Input'!A388</f>
        <v>4.85x49mm</v>
      </c>
      <c r="B388" s="1" t="str">
        <f>'Ammo Input'!B388</f>
        <v>AP-HE</v>
      </c>
      <c r="C388">
        <f>(0.579*('Ammo Stats'!G388*IF(OR(B388="HEAT",B388="HEDP"),10,'Ammo Input'!F388)*VLOOKUP(B388,AmmoTypeFactors,7,FALSE))^(0.346))^IF(B388="HEDP",2.1,1)/IF(B388="HEDP",50,1)</f>
        <v>12.9846181944299</v>
      </c>
      <c r="D388" s="16">
        <f>IF(VLOOKUP(B388,AmmoTypeFactors,8,FALSE),J388,C388)*VLOOKUP('Ammo Input'!B388,AmmoTypeFactors,2,FALSE)</f>
        <v>12.9846181944299</v>
      </c>
      <c r="E388" s="16">
        <f>IF(OR(VLOOKUP(B388,AmmoTypeFactors,6,FALSE)="Bomb",VLOOKUP(B388,AmmoTypeFactors,6,FALSE)="Thermobaric"),J388*VLOOKUP(B388,AmmoTypeFactors,4,FALSE),IF(VLOOKUP(B388,AmmoTypeFactors,11,FALSE),P388,C388*VLOOKUP(B388,AmmoTypeFactors,4,FALSE)))</f>
        <v>4.23757431833103</v>
      </c>
      <c r="F388" s="16">
        <f>'Ammo Stats'!G388/0.005</f>
        <v>320600</v>
      </c>
      <c r="G388" s="16">
        <f>(IF(B388="HEAT",10,'Ammo Input'!F388)*VLOOKUP(B388,AmmoTypeFactors,7,FALSE)*0.5)^2*PI()/100</f>
        <v>0.196349540849362</v>
      </c>
      <c r="H388" s="10">
        <f t="shared" si="15"/>
        <v>32.06</v>
      </c>
      <c r="I388" s="10">
        <f>IF(B388&lt;&gt;"Arrow (Flaming)",39493.49*'Ammo Input'!M388^0.6/1000,0)</f>
        <v>0</v>
      </c>
      <c r="J388">
        <f t="shared" si="16"/>
        <v>0</v>
      </c>
      <c r="K388">
        <f t="shared" si="17"/>
        <v>7</v>
      </c>
      <c r="L388">
        <f>200000/('Ammo Stats'!C388*(MAX('Ammo Input'!D388,'Ammo Input'!F388)*0.5)^2*PI())</f>
        <v>138155.332545048</v>
      </c>
      <c r="M388">
        <f>IF(B388="Frag",1,('Ammo Input'!M388/1.33)/('Ammo Input'!H388/1000))</f>
        <v>0</v>
      </c>
      <c r="N388" t="s">
        <v>353</v>
      </c>
      <c r="O388" t="s">
        <v>353</v>
      </c>
      <c r="P388" s="3">
        <f>(39493.49*(IF((VLOOKUP(B388,AmmoTypeFactors,6,FALSE)="Bomb_Secondary"),1.33,1)*('Ammo Input'!H388*0.35)/1000)^0.6/1000)*10/3*VLOOKUP(B388,AmmoTypeFactors,4,FALSE)</f>
        <v>4.23757431833103</v>
      </c>
    </row>
    <row r="389" ht="14.4" spans="1:16">
      <c r="A389" t="str">
        <f>'Ammo Input'!A389</f>
        <v>4.85x49mm</v>
      </c>
      <c r="B389" s="1" t="str">
        <f>'Ammo Input'!B389</f>
        <v>Sabot</v>
      </c>
      <c r="C389">
        <f>(0.579*('Ammo Stats'!G389*IF(OR(B389="HEAT",B389="HEDP"),10,'Ammo Input'!F389)*VLOOKUP(B389,AmmoTypeFactors,7,FALSE))^(0.346))^IF(B389="HEDP",2.1,1)/IF(B389="HEDP",50,1)</f>
        <v>9.84513842361995</v>
      </c>
      <c r="D389" s="16">
        <f>IF(VLOOKUP(B389,AmmoTypeFactors,8,FALSE),J389,C389)*VLOOKUP('Ammo Input'!B389,AmmoTypeFactors,2,FALSE)</f>
        <v>6.89159689653397</v>
      </c>
      <c r="E389" s="16">
        <f>IF(OR(VLOOKUP(B389,AmmoTypeFactors,6,FALSE)="Bomb",VLOOKUP(B389,AmmoTypeFactors,6,FALSE)="Thermobaric"),J389*VLOOKUP(B389,AmmoTypeFactors,4,FALSE),IF(VLOOKUP(B389,AmmoTypeFactors,11,FALSE),P389,C389*VLOOKUP(B389,AmmoTypeFactors,4,FALSE)))</f>
        <v>0</v>
      </c>
      <c r="F389" s="16">
        <f>'Ammo Stats'!G389/0.005</f>
        <v>411600</v>
      </c>
      <c r="G389" s="16">
        <f>(IF(B389="HEAT",10,'Ammo Input'!F389)*VLOOKUP(B389,AmmoTypeFactors,7,FALSE)*0.5)^2*PI()/100</f>
        <v>0.0240528187540469</v>
      </c>
      <c r="H389" s="10">
        <f t="shared" si="15"/>
        <v>41.16</v>
      </c>
      <c r="I389" s="10">
        <f>IF(B389&lt;&gt;"Arrow (Flaming)",39493.49*'Ammo Input'!M389^0.6/1000,0)</f>
        <v>0</v>
      </c>
      <c r="J389">
        <f t="shared" si="16"/>
        <v>0</v>
      </c>
      <c r="K389">
        <f t="shared" si="17"/>
        <v>7</v>
      </c>
      <c r="L389">
        <f>200000/('Ammo Stats'!C389*(MAX('Ammo Input'!D389,'Ammo Input'!F389)*0.5)^2*PI())</f>
        <v>138155.332545048</v>
      </c>
      <c r="M389">
        <f>IF(B389="Frag",1,('Ammo Input'!M389/1.33)/('Ammo Input'!H389/1000))</f>
        <v>0</v>
      </c>
      <c r="N389" t="s">
        <v>353</v>
      </c>
      <c r="O389" t="s">
        <v>353</v>
      </c>
      <c r="P389" s="3">
        <f>(39493.49*(IF((VLOOKUP(B389,AmmoTypeFactors,6,FALSE)="Bomb_Secondary"),1.33,1)*('Ammo Input'!H389*0.35)/1000)^0.6/1000)*10/3*VLOOKUP(B389,AmmoTypeFactors,4,FALSE)</f>
        <v>0</v>
      </c>
    </row>
    <row r="390" ht="14.4" spans="1:16">
      <c r="A390" t="str">
        <f>'Ammo Input'!A390</f>
        <v>.280 British</v>
      </c>
      <c r="B390" s="1" t="str">
        <f>'Ammo Input'!B390</f>
        <v>FMJ</v>
      </c>
      <c r="C390">
        <f>(0.579*('Ammo Stats'!G390*IF(OR(B390="HEAT",B390="HEDP"),10,'Ammo Input'!F390)*VLOOKUP(B390,AmmoTypeFactors,7,FALSE))^(0.346))^IF(B390="HEDP",2.1,1)/IF(B390="HEDP",50,1)</f>
        <v>17.7283198701319</v>
      </c>
      <c r="D390" s="16">
        <f>IF(VLOOKUP(B390,AmmoTypeFactors,8,FALSE),J390,C390)*VLOOKUP('Ammo Input'!B390,AmmoTypeFactors,2,FALSE)</f>
        <v>17.7283198701319</v>
      </c>
      <c r="E390" s="16">
        <f>IF(OR(VLOOKUP(B390,AmmoTypeFactors,6,FALSE)="Bomb",VLOOKUP(B390,AmmoTypeFactors,6,FALSE)="Thermobaric"),J390*VLOOKUP(B390,AmmoTypeFactors,4,FALSE),IF(VLOOKUP(B390,AmmoTypeFactors,11,FALSE),P390,C390*VLOOKUP(B390,AmmoTypeFactors,4,FALSE)))</f>
        <v>0</v>
      </c>
      <c r="F390" s="16">
        <f>'Ammo Stats'!G390/0.005</f>
        <v>547600</v>
      </c>
      <c r="G390" s="16">
        <f>(IF(B390="HEAT",10,'Ammo Input'!F390)*VLOOKUP(B390,AmmoTypeFactors,7,FALSE)*0.5)^2*PI()/100</f>
        <v>0.407150407905237</v>
      </c>
      <c r="H390" s="10">
        <f t="shared" si="15"/>
        <v>54.76</v>
      </c>
      <c r="I390" s="10">
        <f>IF(B390&lt;&gt;"Arrow (Flaming)",39493.49*'Ammo Input'!M390^0.6/1000,0)</f>
        <v>0</v>
      </c>
      <c r="J390">
        <f t="shared" si="16"/>
        <v>0</v>
      </c>
      <c r="K390">
        <f t="shared" si="17"/>
        <v>8</v>
      </c>
      <c r="L390">
        <f>200000/('Ammo Stats'!C390*(MAX('Ammo Input'!D390,'Ammo Input'!F390)*0.5)^2*PI())</f>
        <v>58946.2752192205</v>
      </c>
      <c r="M390">
        <f>IF(B390="Frag",1,('Ammo Input'!M390/1.33)/('Ammo Input'!H390/1000))</f>
        <v>0</v>
      </c>
      <c r="N390" t="s">
        <v>353</v>
      </c>
      <c r="O390" t="s">
        <v>353</v>
      </c>
      <c r="P390" s="3">
        <f>(39493.49*(IF((VLOOKUP(B390,AmmoTypeFactors,6,FALSE)="Bomb_Secondary"),1.33,1)*('Ammo Input'!H390*0.35)/1000)^0.6/1000)*10/3*VLOOKUP(B390,AmmoTypeFactors,4,FALSE)</f>
        <v>0</v>
      </c>
    </row>
    <row r="391" ht="14.4" spans="1:16">
      <c r="A391" t="str">
        <f>'Ammo Input'!A391</f>
        <v>.280 British</v>
      </c>
      <c r="B391" s="1" t="str">
        <f>'Ammo Input'!B391</f>
        <v>AP</v>
      </c>
      <c r="C391">
        <f>(0.579*('Ammo Stats'!G391*IF(OR(B391="HEAT",B391="HEDP"),10,'Ammo Input'!F391)*VLOOKUP(B391,AmmoTypeFactors,7,FALSE))^(0.346))^IF(B391="HEDP",2.1,1)/IF(B391="HEDP",50,1)</f>
        <v>13.9479762930351</v>
      </c>
      <c r="D391" s="16">
        <f>IF(VLOOKUP(B391,AmmoTypeFactors,8,FALSE),J391,C391)*VLOOKUP('Ammo Input'!B391,AmmoTypeFactors,2,FALSE)</f>
        <v>11.1583810344281</v>
      </c>
      <c r="E391" s="16">
        <f>IF(OR(VLOOKUP(B391,AmmoTypeFactors,6,FALSE)="Bomb",VLOOKUP(B391,AmmoTypeFactors,6,FALSE)="Thermobaric"),J391*VLOOKUP(B391,AmmoTypeFactors,4,FALSE),IF(VLOOKUP(B391,AmmoTypeFactors,11,FALSE),P391,C391*VLOOKUP(B391,AmmoTypeFactors,4,FALSE)))</f>
        <v>0</v>
      </c>
      <c r="F391" s="16">
        <f>'Ammo Stats'!G391/0.005</f>
        <v>547600</v>
      </c>
      <c r="G391" s="16">
        <f>(IF(B391="HEAT",10,'Ammo Input'!F391)*VLOOKUP(B391,AmmoTypeFactors,7,FALSE)*0.5)^2*PI()/100</f>
        <v>0.101787601976309</v>
      </c>
      <c r="H391" s="10">
        <f t="shared" si="15"/>
        <v>54.76</v>
      </c>
      <c r="I391" s="10">
        <f>IF(B391&lt;&gt;"Arrow (Flaming)",39493.49*'Ammo Input'!M391^0.6/1000,0)</f>
        <v>0</v>
      </c>
      <c r="J391">
        <f t="shared" si="16"/>
        <v>0</v>
      </c>
      <c r="K391">
        <f t="shared" si="17"/>
        <v>8</v>
      </c>
      <c r="L391">
        <f>200000/('Ammo Stats'!C391*(MAX('Ammo Input'!D391,'Ammo Input'!F391)*0.5)^2*PI())</f>
        <v>58946.2752192205</v>
      </c>
      <c r="M391">
        <f>IF(B391="Frag",1,('Ammo Input'!M391/1.33)/('Ammo Input'!H391/1000))</f>
        <v>0</v>
      </c>
      <c r="N391" t="s">
        <v>353</v>
      </c>
      <c r="O391" t="s">
        <v>353</v>
      </c>
      <c r="P391" s="3">
        <f>(39493.49*(IF((VLOOKUP(B391,AmmoTypeFactors,6,FALSE)="Bomb_Secondary"),1.33,1)*('Ammo Input'!H391*0.35)/1000)^0.6/1000)*10/3*VLOOKUP(B391,AmmoTypeFactors,4,FALSE)</f>
        <v>0</v>
      </c>
    </row>
    <row r="392" ht="14.4" spans="1:16">
      <c r="A392" t="str">
        <f>'Ammo Input'!A392</f>
        <v>.280 British</v>
      </c>
      <c r="B392" s="1" t="str">
        <f>'Ammo Input'!B392</f>
        <v>HP</v>
      </c>
      <c r="C392">
        <f>(0.579*('Ammo Stats'!G392*IF(OR(B392="HEAT",B392="HEDP"),10,'Ammo Input'!F392)*VLOOKUP(B392,AmmoTypeFactors,7,FALSE))^(0.346))^IF(B392="HEDP",2.1,1)/IF(B392="HEDP",50,1)</f>
        <v>22.5332563530849</v>
      </c>
      <c r="D392" s="16">
        <f>IF(VLOOKUP(B392,AmmoTypeFactors,8,FALSE),J392,C392)*VLOOKUP('Ammo Input'!B392,AmmoTypeFactors,2,FALSE)</f>
        <v>22.5332563530849</v>
      </c>
      <c r="E392" s="16">
        <f>IF(OR(VLOOKUP(B392,AmmoTypeFactors,6,FALSE)="Bomb",VLOOKUP(B392,AmmoTypeFactors,6,FALSE)="Thermobaric"),J392*VLOOKUP(B392,AmmoTypeFactors,4,FALSE),IF(VLOOKUP(B392,AmmoTypeFactors,11,FALSE),P392,C392*VLOOKUP(B392,AmmoTypeFactors,4,FALSE)))</f>
        <v>0</v>
      </c>
      <c r="F392" s="16">
        <f>'Ammo Stats'!G392/0.005</f>
        <v>547600</v>
      </c>
      <c r="G392" s="16">
        <f>(IF(B392="HEAT",10,'Ammo Input'!F392)*VLOOKUP(B392,AmmoTypeFactors,7,FALSE)*0.5)^2*PI()/100</f>
        <v>1.62860163162095</v>
      </c>
      <c r="H392" s="10">
        <f t="shared" si="15"/>
        <v>54.76</v>
      </c>
      <c r="I392" s="10">
        <f>IF(B392&lt;&gt;"Arrow (Flaming)",39493.49*'Ammo Input'!M392^0.6/1000,0)</f>
        <v>0</v>
      </c>
      <c r="J392">
        <f t="shared" si="16"/>
        <v>0</v>
      </c>
      <c r="K392">
        <f t="shared" si="17"/>
        <v>8</v>
      </c>
      <c r="L392">
        <f>200000/('Ammo Stats'!C392*(MAX('Ammo Input'!D392,'Ammo Input'!F392)*0.5)^2*PI())</f>
        <v>58946.2752192205</v>
      </c>
      <c r="M392">
        <f>IF(B392="Frag",1,('Ammo Input'!M392/1.33)/('Ammo Input'!H392/1000))</f>
        <v>0</v>
      </c>
      <c r="N392" t="s">
        <v>353</v>
      </c>
      <c r="O392" t="s">
        <v>353</v>
      </c>
      <c r="P392" s="3">
        <f>(39493.49*(IF((VLOOKUP(B392,AmmoTypeFactors,6,FALSE)="Bomb_Secondary"),1.33,1)*('Ammo Input'!H392*0.35)/1000)^0.6/1000)*10/3*VLOOKUP(B392,AmmoTypeFactors,4,FALSE)</f>
        <v>0</v>
      </c>
    </row>
    <row r="393" ht="14.4" spans="1:16">
      <c r="A393" t="str">
        <f>'Ammo Input'!A393</f>
        <v>.280 British</v>
      </c>
      <c r="B393" s="1" t="str">
        <f>'Ammo Input'!B393</f>
        <v>AP-I</v>
      </c>
      <c r="C393">
        <f>(0.579*('Ammo Stats'!G393*IF(OR(B393="HEAT",B393="HEDP"),10,'Ammo Input'!F393)*VLOOKUP(B393,AmmoTypeFactors,7,FALSE))^(0.346))^IF(B393="HEDP",2.1,1)/IF(B393="HEDP",50,1)</f>
        <v>13.9479762930351</v>
      </c>
      <c r="D393" s="16">
        <f>IF(VLOOKUP(B393,AmmoTypeFactors,8,FALSE),J393,C393)*VLOOKUP('Ammo Input'!B393,AmmoTypeFactors,2,FALSE)</f>
        <v>11.1583810344281</v>
      </c>
      <c r="E393" s="16">
        <f>IF(OR(VLOOKUP(B393,AmmoTypeFactors,6,FALSE)="Bomb",VLOOKUP(B393,AmmoTypeFactors,6,FALSE)="Thermobaric"),J393*VLOOKUP(B393,AmmoTypeFactors,4,FALSE),IF(VLOOKUP(B393,AmmoTypeFactors,11,FALSE),P393,C393*VLOOKUP(B393,AmmoTypeFactors,4,FALSE)))</f>
        <v>5.42441377336824</v>
      </c>
      <c r="F393" s="16">
        <f>'Ammo Stats'!G393/0.005</f>
        <v>547600</v>
      </c>
      <c r="G393" s="16">
        <f>(IF(B393="HEAT",10,'Ammo Input'!F393)*VLOOKUP(B393,AmmoTypeFactors,7,FALSE)*0.5)^2*PI()/100</f>
        <v>0.101787601976309</v>
      </c>
      <c r="H393" s="10">
        <f t="shared" si="15"/>
        <v>54.76</v>
      </c>
      <c r="I393" s="10">
        <f>IF(B393&lt;&gt;"Arrow (Flaming)",39493.49*'Ammo Input'!M393^0.6/1000,0)</f>
        <v>0</v>
      </c>
      <c r="J393">
        <f t="shared" si="16"/>
        <v>0</v>
      </c>
      <c r="K393">
        <f t="shared" si="17"/>
        <v>8</v>
      </c>
      <c r="L393">
        <f>200000/('Ammo Stats'!C393*(MAX('Ammo Input'!D393,'Ammo Input'!F393)*0.5)^2*PI())</f>
        <v>58946.2752192205</v>
      </c>
      <c r="M393">
        <f>IF(B393="Frag",1,('Ammo Input'!M393/1.33)/('Ammo Input'!H393/1000))</f>
        <v>0</v>
      </c>
      <c r="N393" t="s">
        <v>353</v>
      </c>
      <c r="O393" t="s">
        <v>353</v>
      </c>
      <c r="P393" s="3">
        <f>(39493.49*(IF((VLOOKUP(B393,AmmoTypeFactors,6,FALSE)="Bomb_Secondary"),1.33,1)*('Ammo Input'!H393*0.35)/1000)^0.6/1000)*10/3*VLOOKUP(B393,AmmoTypeFactors,4,FALSE)</f>
        <v>5.42441377336824</v>
      </c>
    </row>
    <row r="394" ht="14.4" spans="1:16">
      <c r="A394" t="str">
        <f>'Ammo Input'!A394</f>
        <v>.280 British</v>
      </c>
      <c r="B394" s="1" t="str">
        <f>'Ammo Input'!B394</f>
        <v>AP-HE</v>
      </c>
      <c r="C394">
        <f>(0.579*('Ammo Stats'!G394*IF(OR(B394="HEAT",B394="HEDP"),10,'Ammo Input'!F394)*VLOOKUP(B394,AmmoTypeFactors,7,FALSE))^(0.346))^IF(B394="HEDP",2.1,1)/IF(B394="HEDP",50,1)</f>
        <v>17.7283198701319</v>
      </c>
      <c r="D394" s="16">
        <f>IF(VLOOKUP(B394,AmmoTypeFactors,8,FALSE),J394,C394)*VLOOKUP('Ammo Input'!B394,AmmoTypeFactors,2,FALSE)</f>
        <v>17.7283198701319</v>
      </c>
      <c r="E394" s="16">
        <f>IF(OR(VLOOKUP(B394,AmmoTypeFactors,6,FALSE)="Bomb",VLOOKUP(B394,AmmoTypeFactors,6,FALSE)="Thermobaric"),J394*VLOOKUP(B394,AmmoTypeFactors,4,FALSE),IF(VLOOKUP(B394,AmmoTypeFactors,11,FALSE),P394,C394*VLOOKUP(B394,AmmoTypeFactors,4,FALSE)))</f>
        <v>7.42697054214548</v>
      </c>
      <c r="F394" s="16">
        <f>'Ammo Stats'!G394/0.005</f>
        <v>547600</v>
      </c>
      <c r="G394" s="16">
        <f>(IF(B394="HEAT",10,'Ammo Input'!F394)*VLOOKUP(B394,AmmoTypeFactors,7,FALSE)*0.5)^2*PI()/100</f>
        <v>0.407150407905237</v>
      </c>
      <c r="H394" s="10">
        <f t="shared" si="15"/>
        <v>54.76</v>
      </c>
      <c r="I394" s="10">
        <f>IF(B394&lt;&gt;"Arrow (Flaming)",39493.49*'Ammo Input'!M394^0.6/1000,0)</f>
        <v>0</v>
      </c>
      <c r="J394">
        <f t="shared" si="16"/>
        <v>0</v>
      </c>
      <c r="K394">
        <f t="shared" si="17"/>
        <v>8</v>
      </c>
      <c r="L394">
        <f>200000/('Ammo Stats'!C394*(MAX('Ammo Input'!D394,'Ammo Input'!F394)*0.5)^2*PI())</f>
        <v>58946.2752192205</v>
      </c>
      <c r="M394">
        <f>IF(B394="Frag",1,('Ammo Input'!M394/1.33)/('Ammo Input'!H394/1000))</f>
        <v>0</v>
      </c>
      <c r="N394" t="s">
        <v>353</v>
      </c>
      <c r="O394" t="s">
        <v>353</v>
      </c>
      <c r="P394" s="3">
        <f>(39493.49*(IF((VLOOKUP(B394,AmmoTypeFactors,6,FALSE)="Bomb_Secondary"),1.33,1)*('Ammo Input'!H394*0.35)/1000)^0.6/1000)*10/3*VLOOKUP(B394,AmmoTypeFactors,4,FALSE)</f>
        <v>7.42697054214548</v>
      </c>
    </row>
    <row r="395" ht="14.4" spans="1:16">
      <c r="A395" t="str">
        <f>'Ammo Input'!A395</f>
        <v>.280 British</v>
      </c>
      <c r="B395" s="1" t="str">
        <f>'Ammo Input'!B395</f>
        <v>Sabot</v>
      </c>
      <c r="C395">
        <f>(0.579*('Ammo Stats'!G395*IF(OR(B395="HEAT",B395="HEDP"),10,'Ammo Input'!F395)*VLOOKUP(B395,AmmoTypeFactors,7,FALSE))^(0.346))^IF(B395="HEDP",2.1,1)/IF(B395="HEDP",50,1)</f>
        <v>13.4416726541705</v>
      </c>
      <c r="D395" s="16">
        <f>IF(VLOOKUP(B395,AmmoTypeFactors,8,FALSE),J395,C395)*VLOOKUP('Ammo Input'!B395,AmmoTypeFactors,2,FALSE)</f>
        <v>9.40917085791932</v>
      </c>
      <c r="E395" s="16">
        <f>IF(OR(VLOOKUP(B395,AmmoTypeFactors,6,FALSE)="Bomb",VLOOKUP(B395,AmmoTypeFactors,6,FALSE)="Thermobaric"),J395*VLOOKUP(B395,AmmoTypeFactors,4,FALSE),IF(VLOOKUP(B395,AmmoTypeFactors,11,FALSE),P395,C395*VLOOKUP(B395,AmmoTypeFactors,4,FALSE)))</f>
        <v>0</v>
      </c>
      <c r="F395" s="16">
        <f>'Ammo Stats'!G395/0.005</f>
        <v>703000</v>
      </c>
      <c r="G395" s="16">
        <f>(IF(B395="HEAT",10,'Ammo Input'!F395)*VLOOKUP(B395,AmmoTypeFactors,7,FALSE)*0.5)^2*PI()/100</f>
        <v>0.0498759249683916</v>
      </c>
      <c r="H395" s="10">
        <f t="shared" si="15"/>
        <v>70.3</v>
      </c>
      <c r="I395" s="10">
        <f>IF(B395&lt;&gt;"Arrow (Flaming)",39493.49*'Ammo Input'!M395^0.6/1000,0)</f>
        <v>0</v>
      </c>
      <c r="J395">
        <f t="shared" si="16"/>
        <v>0</v>
      </c>
      <c r="K395">
        <f t="shared" si="17"/>
        <v>9</v>
      </c>
      <c r="L395">
        <f>200000/('Ammo Stats'!C395*(MAX('Ammo Input'!D395,'Ammo Input'!F395)*0.5)^2*PI())</f>
        <v>58946.2752192205</v>
      </c>
      <c r="M395">
        <f>IF(B395="Frag",1,('Ammo Input'!M395/1.33)/('Ammo Input'!H395/1000))</f>
        <v>0</v>
      </c>
      <c r="N395" t="s">
        <v>353</v>
      </c>
      <c r="O395" t="s">
        <v>353</v>
      </c>
      <c r="P395" s="3">
        <f>(39493.49*(IF((VLOOKUP(B395,AmmoTypeFactors,6,FALSE)="Bomb_Secondary"),1.33,1)*('Ammo Input'!H395*0.35)/1000)^0.6/1000)*10/3*VLOOKUP(B395,AmmoTypeFactors,4,FALSE)</f>
        <v>0</v>
      </c>
    </row>
    <row r="396" ht="14.4" spans="1:16">
      <c r="A396" t="str">
        <f>'Ammo Input'!A396</f>
        <v>.303 British</v>
      </c>
      <c r="B396" s="1" t="str">
        <f>'Ammo Input'!B396</f>
        <v>FMJ</v>
      </c>
      <c r="C396">
        <f>(0.579*('Ammo Stats'!G396*IF(OR(B396="HEAT",B396="HEDP"),10,'Ammo Input'!F396)*VLOOKUP(B396,AmmoTypeFactors,7,FALSE))^(0.346))^IF(B396="HEDP",2.1,1)/IF(B396="HEDP",50,1)</f>
        <v>19.6473046701626</v>
      </c>
      <c r="D396" s="16">
        <f>IF(VLOOKUP(B396,AmmoTypeFactors,8,FALSE),J396,C396)*VLOOKUP('Ammo Input'!B396,AmmoTypeFactors,2,FALSE)</f>
        <v>19.6473046701626</v>
      </c>
      <c r="E396" s="16">
        <f>IF(OR(VLOOKUP(B396,AmmoTypeFactors,6,FALSE)="Bomb",VLOOKUP(B396,AmmoTypeFactors,6,FALSE)="Thermobaric"),J396*VLOOKUP(B396,AmmoTypeFactors,4,FALSE),IF(VLOOKUP(B396,AmmoTypeFactors,11,FALSE),P396,C396*VLOOKUP(B396,AmmoTypeFactors,4,FALSE)))</f>
        <v>0</v>
      </c>
      <c r="F396" s="16">
        <f>'Ammo Stats'!G396/0.005</f>
        <v>670000</v>
      </c>
      <c r="G396" s="16">
        <f>(IF(B396="HEAT",10,'Ammo Input'!F396)*VLOOKUP(B396,AmmoTypeFactors,7,FALSE)*0.5)^2*PI()/100</f>
        <v>0.492651993565337</v>
      </c>
      <c r="H396" s="10">
        <f t="shared" si="15"/>
        <v>67</v>
      </c>
      <c r="I396" s="10">
        <f>IF(B396&lt;&gt;"Arrow (Flaming)",39493.49*'Ammo Input'!M396^0.6/1000,0)</f>
        <v>0</v>
      </c>
      <c r="J396">
        <f t="shared" si="16"/>
        <v>0</v>
      </c>
      <c r="K396">
        <f t="shared" si="17"/>
        <v>9</v>
      </c>
      <c r="L396">
        <f>200000/('Ammo Stats'!C396*(MAX('Ammo Input'!D396,'Ammo Input'!F396)*0.5)^2*PI())</f>
        <v>62220.4537639548</v>
      </c>
      <c r="M396">
        <f>IF(B396="Frag",1,('Ammo Input'!M396/1.33)/('Ammo Input'!H396/1000))</f>
        <v>0</v>
      </c>
      <c r="N396" t="s">
        <v>353</v>
      </c>
      <c r="O396" t="s">
        <v>353</v>
      </c>
      <c r="P396" s="3">
        <f>(39493.49*(IF((VLOOKUP(B396,AmmoTypeFactors,6,FALSE)="Bomb_Secondary"),1.33,1)*('Ammo Input'!H396*0.35)/1000)^0.6/1000)*10/3*VLOOKUP(B396,AmmoTypeFactors,4,FALSE)</f>
        <v>0</v>
      </c>
    </row>
    <row r="397" ht="14.4" spans="1:16">
      <c r="A397" t="str">
        <f>'Ammo Input'!A397</f>
        <v>.303 British</v>
      </c>
      <c r="B397" s="1" t="str">
        <f>'Ammo Input'!B397</f>
        <v>AP</v>
      </c>
      <c r="C397">
        <f>(0.579*('Ammo Stats'!G397*IF(OR(B397="HEAT",B397="HEDP"),10,'Ammo Input'!F397)*VLOOKUP(B397,AmmoTypeFactors,7,FALSE))^(0.346))^IF(B397="HEDP",2.1,1)/IF(B397="HEDP",50,1)</f>
        <v>15.4577614669036</v>
      </c>
      <c r="D397" s="16">
        <f>IF(VLOOKUP(B397,AmmoTypeFactors,8,FALSE),J397,C397)*VLOOKUP('Ammo Input'!B397,AmmoTypeFactors,2,FALSE)</f>
        <v>12.3662091735229</v>
      </c>
      <c r="E397" s="16">
        <f>IF(OR(VLOOKUP(B397,AmmoTypeFactors,6,FALSE)="Bomb",VLOOKUP(B397,AmmoTypeFactors,6,FALSE)="Thermobaric"),J397*VLOOKUP(B397,AmmoTypeFactors,4,FALSE),IF(VLOOKUP(B397,AmmoTypeFactors,11,FALSE),P397,C397*VLOOKUP(B397,AmmoTypeFactors,4,FALSE)))</f>
        <v>0</v>
      </c>
      <c r="F397" s="16">
        <f>'Ammo Stats'!G397/0.005</f>
        <v>670000</v>
      </c>
      <c r="G397" s="16">
        <f>(IF(B397="HEAT",10,'Ammo Input'!F397)*VLOOKUP(B397,AmmoTypeFactors,7,FALSE)*0.5)^2*PI()/100</f>
        <v>0.123162998391334</v>
      </c>
      <c r="H397" s="10">
        <f t="shared" si="15"/>
        <v>67</v>
      </c>
      <c r="I397" s="10">
        <f>IF(B397&lt;&gt;"Arrow (Flaming)",39493.49*'Ammo Input'!M397^0.6/1000,0)</f>
        <v>0</v>
      </c>
      <c r="J397">
        <f t="shared" si="16"/>
        <v>0</v>
      </c>
      <c r="K397">
        <f t="shared" si="17"/>
        <v>9</v>
      </c>
      <c r="L397">
        <f>200000/('Ammo Stats'!C397*(MAX('Ammo Input'!D397,'Ammo Input'!F397)*0.5)^2*PI())</f>
        <v>62220.4537639548</v>
      </c>
      <c r="M397">
        <f>IF(B397="Frag",1,('Ammo Input'!M397/1.33)/('Ammo Input'!H397/1000))</f>
        <v>0</v>
      </c>
      <c r="N397" t="s">
        <v>353</v>
      </c>
      <c r="O397" t="s">
        <v>353</v>
      </c>
      <c r="P397" s="3">
        <f>(39493.49*(IF((VLOOKUP(B397,AmmoTypeFactors,6,FALSE)="Bomb_Secondary"),1.33,1)*('Ammo Input'!H397*0.35)/1000)^0.6/1000)*10/3*VLOOKUP(B397,AmmoTypeFactors,4,FALSE)</f>
        <v>0</v>
      </c>
    </row>
    <row r="398" ht="14.4" spans="1:16">
      <c r="A398" t="str">
        <f>'Ammo Input'!A398</f>
        <v>.303 British</v>
      </c>
      <c r="B398" s="1" t="str">
        <f>'Ammo Input'!B398</f>
        <v>HP</v>
      </c>
      <c r="C398">
        <f>(0.579*('Ammo Stats'!G398*IF(OR(B398="HEAT",B398="HEDP"),10,'Ammo Input'!F398)*VLOOKUP(B398,AmmoTypeFactors,7,FALSE))^(0.346))^IF(B398="HEDP",2.1,1)/IF(B398="HEDP",50,1)</f>
        <v>24.9723468452198</v>
      </c>
      <c r="D398" s="16">
        <f>IF(VLOOKUP(B398,AmmoTypeFactors,8,FALSE),J398,C398)*VLOOKUP('Ammo Input'!B398,AmmoTypeFactors,2,FALSE)</f>
        <v>24.9723468452198</v>
      </c>
      <c r="E398" s="16">
        <f>IF(OR(VLOOKUP(B398,AmmoTypeFactors,6,FALSE)="Bomb",VLOOKUP(B398,AmmoTypeFactors,6,FALSE)="Thermobaric"),J398*VLOOKUP(B398,AmmoTypeFactors,4,FALSE),IF(VLOOKUP(B398,AmmoTypeFactors,11,FALSE),P398,C398*VLOOKUP(B398,AmmoTypeFactors,4,FALSE)))</f>
        <v>0</v>
      </c>
      <c r="F398" s="16">
        <f>'Ammo Stats'!G398/0.005</f>
        <v>670000</v>
      </c>
      <c r="G398" s="16">
        <f>(IF(B398="HEAT",10,'Ammo Input'!F398)*VLOOKUP(B398,AmmoTypeFactors,7,FALSE)*0.5)^2*PI()/100</f>
        <v>1.97060797426135</v>
      </c>
      <c r="H398" s="10">
        <f t="shared" si="15"/>
        <v>67</v>
      </c>
      <c r="I398" s="10">
        <f>IF(B398&lt;&gt;"Arrow (Flaming)",39493.49*'Ammo Input'!M398^0.6/1000,0)</f>
        <v>0</v>
      </c>
      <c r="J398">
        <f t="shared" si="16"/>
        <v>0</v>
      </c>
      <c r="K398">
        <f t="shared" si="17"/>
        <v>9</v>
      </c>
      <c r="L398">
        <f>200000/('Ammo Stats'!C398*(MAX('Ammo Input'!D398,'Ammo Input'!F398)*0.5)^2*PI())</f>
        <v>62220.4537639548</v>
      </c>
      <c r="M398">
        <f>IF(B398="Frag",1,('Ammo Input'!M398/1.33)/('Ammo Input'!H398/1000))</f>
        <v>0</v>
      </c>
      <c r="N398" t="s">
        <v>353</v>
      </c>
      <c r="O398" t="s">
        <v>353</v>
      </c>
      <c r="P398" s="3">
        <f>(39493.49*(IF((VLOOKUP(B398,AmmoTypeFactors,6,FALSE)="Bomb_Secondary"),1.33,1)*('Ammo Input'!H398*0.35)/1000)^0.6/1000)*10/3*VLOOKUP(B398,AmmoTypeFactors,4,FALSE)</f>
        <v>0</v>
      </c>
    </row>
    <row r="399" ht="14.4" spans="1:16">
      <c r="A399" t="str">
        <f>'Ammo Input'!A399</f>
        <v>.303 British</v>
      </c>
      <c r="B399" s="1" t="str">
        <f>'Ammo Input'!B399</f>
        <v>AP-I</v>
      </c>
      <c r="C399">
        <f>(0.579*('Ammo Stats'!G399*IF(OR(B399="HEAT",B399="HEDP"),10,'Ammo Input'!F399)*VLOOKUP(B399,AmmoTypeFactors,7,FALSE))^(0.346))^IF(B399="HEDP",2.1,1)/IF(B399="HEDP",50,1)</f>
        <v>15.4577614669036</v>
      </c>
      <c r="D399" s="16">
        <f>IF(VLOOKUP(B399,AmmoTypeFactors,8,FALSE),J399,C399)*VLOOKUP('Ammo Input'!B399,AmmoTypeFactors,2,FALSE)</f>
        <v>12.3662091735229</v>
      </c>
      <c r="E399" s="16">
        <f>IF(OR(VLOOKUP(B399,AmmoTypeFactors,6,FALSE)="Bomb",VLOOKUP(B399,AmmoTypeFactors,6,FALSE)="Thermobaric"),J399*VLOOKUP(B399,AmmoTypeFactors,4,FALSE),IF(VLOOKUP(B399,AmmoTypeFactors,11,FALSE),P399,C399*VLOOKUP(B399,AmmoTypeFactors,4,FALSE)))</f>
        <v>6.18921406621297</v>
      </c>
      <c r="F399" s="16">
        <f>'Ammo Stats'!G399/0.005</f>
        <v>670000</v>
      </c>
      <c r="G399" s="16">
        <f>(IF(B399="HEAT",10,'Ammo Input'!F399)*VLOOKUP(B399,AmmoTypeFactors,7,FALSE)*0.5)^2*PI()/100</f>
        <v>0.123162998391334</v>
      </c>
      <c r="H399" s="10">
        <f t="shared" si="15"/>
        <v>67</v>
      </c>
      <c r="I399" s="10">
        <f>IF(B399&lt;&gt;"Arrow (Flaming)",39493.49*'Ammo Input'!M399^0.6/1000,0)</f>
        <v>0</v>
      </c>
      <c r="J399">
        <f t="shared" si="16"/>
        <v>0</v>
      </c>
      <c r="K399">
        <f t="shared" si="17"/>
        <v>9</v>
      </c>
      <c r="L399">
        <f>200000/('Ammo Stats'!C399*(MAX('Ammo Input'!D399,'Ammo Input'!F399)*0.5)^2*PI())</f>
        <v>62220.4537639548</v>
      </c>
      <c r="M399">
        <f>IF(B399="Frag",1,('Ammo Input'!M399/1.33)/('Ammo Input'!H399/1000))</f>
        <v>0</v>
      </c>
      <c r="N399" t="s">
        <v>353</v>
      </c>
      <c r="O399" t="s">
        <v>353</v>
      </c>
      <c r="P399" s="3">
        <f>(39493.49*(IF((VLOOKUP(B399,AmmoTypeFactors,6,FALSE)="Bomb_Secondary"),1.33,1)*('Ammo Input'!H399*0.35)/1000)^0.6/1000)*10/3*VLOOKUP(B399,AmmoTypeFactors,4,FALSE)</f>
        <v>6.18921406621297</v>
      </c>
    </row>
    <row r="400" ht="14.4" spans="1:16">
      <c r="A400" t="str">
        <f>'Ammo Input'!A400</f>
        <v>.303 British</v>
      </c>
      <c r="B400" s="1" t="str">
        <f>'Ammo Input'!B400</f>
        <v>AP-HE</v>
      </c>
      <c r="C400">
        <f>(0.579*('Ammo Stats'!G400*IF(OR(B400="HEAT",B400="HEDP"),10,'Ammo Input'!F400)*VLOOKUP(B400,AmmoTypeFactors,7,FALSE))^(0.346))^IF(B400="HEDP",2.1,1)/IF(B400="HEDP",50,1)</f>
        <v>19.6473046701626</v>
      </c>
      <c r="D400" s="16">
        <f>IF(VLOOKUP(B400,AmmoTypeFactors,8,FALSE),J400,C400)*VLOOKUP('Ammo Input'!B400,AmmoTypeFactors,2,FALSE)</f>
        <v>19.6473046701626</v>
      </c>
      <c r="E400" s="16">
        <f>IF(OR(VLOOKUP(B400,AmmoTypeFactors,6,FALSE)="Bomb",VLOOKUP(B400,AmmoTypeFactors,6,FALSE)="Thermobaric"),J400*VLOOKUP(B400,AmmoTypeFactors,4,FALSE),IF(VLOOKUP(B400,AmmoTypeFactors,11,FALSE),P400,C400*VLOOKUP(B400,AmmoTypeFactors,4,FALSE)))</f>
        <v>8.47411581588353</v>
      </c>
      <c r="F400" s="16">
        <f>'Ammo Stats'!G400/0.005</f>
        <v>670000</v>
      </c>
      <c r="G400" s="16">
        <f>(IF(B400="HEAT",10,'Ammo Input'!F400)*VLOOKUP(B400,AmmoTypeFactors,7,FALSE)*0.5)^2*PI()/100</f>
        <v>0.492651993565337</v>
      </c>
      <c r="H400" s="10">
        <f t="shared" si="15"/>
        <v>67</v>
      </c>
      <c r="I400" s="10">
        <f>IF(B400&lt;&gt;"Arrow (Flaming)",39493.49*'Ammo Input'!M400^0.6/1000,0)</f>
        <v>0</v>
      </c>
      <c r="J400">
        <f t="shared" si="16"/>
        <v>0</v>
      </c>
      <c r="K400">
        <f t="shared" si="17"/>
        <v>9</v>
      </c>
      <c r="L400">
        <f>200000/('Ammo Stats'!C400*(MAX('Ammo Input'!D400,'Ammo Input'!F400)*0.5)^2*PI())</f>
        <v>62220.4537639548</v>
      </c>
      <c r="M400">
        <f>IF(B400="Frag",1,('Ammo Input'!M400/1.33)/('Ammo Input'!H400/1000))</f>
        <v>0</v>
      </c>
      <c r="N400" t="s">
        <v>353</v>
      </c>
      <c r="O400" t="s">
        <v>353</v>
      </c>
      <c r="P400" s="3">
        <f>(39493.49*(IF((VLOOKUP(B400,AmmoTypeFactors,6,FALSE)="Bomb_Secondary"),1.33,1)*('Ammo Input'!H400*0.35)/1000)^0.6/1000)*10/3*VLOOKUP(B400,AmmoTypeFactors,4,FALSE)</f>
        <v>8.47411581588353</v>
      </c>
    </row>
    <row r="401" ht="14.25" customHeight="1" spans="1:16">
      <c r="A401" t="str">
        <f>'Ammo Input'!A401</f>
        <v>.303 British</v>
      </c>
      <c r="B401" s="1" t="str">
        <f>'Ammo Input'!B401</f>
        <v>Sabot</v>
      </c>
      <c r="C401">
        <f>(0.579*('Ammo Stats'!G401*IF(OR(B401="HEAT",B401="HEDP"),10,'Ammo Input'!F401)*VLOOKUP(B401,AmmoTypeFactors,7,FALSE))^(0.346))^IF(B401="HEDP",2.1,1)/IF(B401="HEDP",50,1)</f>
        <v>14.160906745019</v>
      </c>
      <c r="D401" s="16">
        <f>IF(VLOOKUP(B401,AmmoTypeFactors,8,FALSE),J401,C401)*VLOOKUP('Ammo Input'!B401,AmmoTypeFactors,2,FALSE)</f>
        <v>9.91263472151332</v>
      </c>
      <c r="E401" s="16">
        <f>IF(OR(VLOOKUP(B401,AmmoTypeFactors,6,FALSE)="Bomb",VLOOKUP(B401,AmmoTypeFactors,6,FALSE)="Thermobaric"),J401*VLOOKUP(B401,AmmoTypeFactors,4,FALSE),IF(VLOOKUP(B401,AmmoTypeFactors,11,FALSE),P401,C401*VLOOKUP(B401,AmmoTypeFactors,4,FALSE)))</f>
        <v>0</v>
      </c>
      <c r="F401" s="16">
        <f>'Ammo Stats'!G401/0.005</f>
        <v>867200</v>
      </c>
      <c r="G401" s="16">
        <f>(IF(B401="HEAT",10,'Ammo Input'!F401)*VLOOKUP(B401,AmmoTypeFactors,7,FALSE)*0.5)^2*PI()/100</f>
        <v>0.0443013651541373</v>
      </c>
      <c r="H401" s="10">
        <f t="shared" si="15"/>
        <v>86.72</v>
      </c>
      <c r="I401" s="10">
        <f>IF(B401&lt;&gt;"Arrow (Flaming)",39493.49*'Ammo Input'!M401^0.6/1000,0)</f>
        <v>0</v>
      </c>
      <c r="J401">
        <f t="shared" si="16"/>
        <v>0</v>
      </c>
      <c r="K401">
        <f t="shared" si="17"/>
        <v>10</v>
      </c>
      <c r="L401">
        <f>200000/('Ammo Stats'!C401*(MAX('Ammo Input'!D401,'Ammo Input'!F401)*0.5)^2*PI())</f>
        <v>62220.4537639548</v>
      </c>
      <c r="M401">
        <f>IF(B401="Frag",1,('Ammo Input'!M401/1.33)/('Ammo Input'!H401/1000))</f>
        <v>0</v>
      </c>
      <c r="N401" t="s">
        <v>353</v>
      </c>
      <c r="O401" t="s">
        <v>353</v>
      </c>
      <c r="P401" s="3">
        <f>(39493.49*(IF((VLOOKUP(B401,AmmoTypeFactors,6,FALSE)="Bomb_Secondary"),1.33,1)*('Ammo Input'!H401*0.35)/1000)^0.6/1000)*10/3*VLOOKUP(B401,AmmoTypeFactors,4,FALSE)</f>
        <v>0</v>
      </c>
    </row>
    <row r="402" ht="14.4" spans="1:16">
      <c r="A402" t="str">
        <f>'Ammo Input'!A402</f>
        <v>.277 Fury</v>
      </c>
      <c r="B402" s="1" t="str">
        <f>'Ammo Input'!B402</f>
        <v>FMJ</v>
      </c>
      <c r="C402">
        <f>(0.579*('Ammo Stats'!G402*IF(OR(B402="HEAT",B402="HEDP"),10,'Ammo Input'!F402)*VLOOKUP(B402,AmmoTypeFactors,7,FALSE))^(0.346))^IF(B402="HEDP",2.1,1)/IF(B402="HEDP",50,1)</f>
        <v>19.4591570972517</v>
      </c>
      <c r="D402" s="16">
        <f>IF(VLOOKUP(B402,AmmoTypeFactors,8,FALSE),J402,C402)*VLOOKUP('Ammo Input'!B402,AmmoTypeFactors,2,FALSE)</f>
        <v>19.4591570972517</v>
      </c>
      <c r="E402" s="16">
        <f>IF(OR(VLOOKUP(B402,AmmoTypeFactors,6,FALSE)="Bomb",VLOOKUP(B402,AmmoTypeFactors,6,FALSE)="Thermobaric"),J402*VLOOKUP(B402,AmmoTypeFactors,4,FALSE),IF(VLOOKUP(B402,AmmoTypeFactors,11,FALSE),P402,C402*VLOOKUP(B402,AmmoTypeFactors,4,FALSE)))</f>
        <v>0</v>
      </c>
      <c r="F402" s="16">
        <f>'Ammo Stats'!G402/0.005</f>
        <v>731000</v>
      </c>
      <c r="G402" s="16">
        <f>(IF(B402="HEAT",10,'Ammo Input'!F402)*VLOOKUP(B402,AmmoTypeFactors,7,FALSE)*0.5)^2*PI()/100</f>
        <v>0.391470718971171</v>
      </c>
      <c r="H402" s="10">
        <f t="shared" si="15"/>
        <v>73.1</v>
      </c>
      <c r="I402" s="10">
        <f>IF(B402&lt;&gt;"Arrow (Flaming)",39493.49*'Ammo Input'!M402^0.6/1000,0)</f>
        <v>0</v>
      </c>
      <c r="J402">
        <f t="shared" si="16"/>
        <v>0</v>
      </c>
      <c r="K402">
        <f t="shared" si="17"/>
        <v>9</v>
      </c>
      <c r="L402">
        <f>200000/('Ammo Stats'!C402*(MAX('Ammo Input'!D402,'Ammo Input'!F402)*0.5)^2*PI())</f>
        <v>59941.1314989602</v>
      </c>
      <c r="M402">
        <f>IF(B402="Frag",1,('Ammo Input'!M402/1.33)/('Ammo Input'!H402/1000))</f>
        <v>0</v>
      </c>
      <c r="N402" t="s">
        <v>353</v>
      </c>
      <c r="O402" t="s">
        <v>353</v>
      </c>
      <c r="P402" s="3">
        <f>(39493.49*(IF((VLOOKUP(B402,AmmoTypeFactors,6,FALSE)="Bomb_Secondary"),1.33,1)*('Ammo Input'!H402*0.35)/1000)^0.6/1000)*10/3*VLOOKUP(B402,AmmoTypeFactors,4,FALSE)</f>
        <v>0</v>
      </c>
    </row>
    <row r="403" ht="14.4" spans="1:16">
      <c r="A403" t="str">
        <f>'Ammo Input'!A403</f>
        <v>.277 Fury</v>
      </c>
      <c r="B403" s="1" t="str">
        <f>'Ammo Input'!B403</f>
        <v>AP</v>
      </c>
      <c r="C403">
        <f>(0.579*('Ammo Stats'!G403*IF(OR(B403="HEAT",B403="HEDP"),10,'Ammo Input'!F403)*VLOOKUP(B403,AmmoTypeFactors,7,FALSE))^(0.346))^IF(B403="HEDP",2.1,1)/IF(B403="HEDP",50,1)</f>
        <v>15.309734022353</v>
      </c>
      <c r="D403" s="16">
        <f>IF(VLOOKUP(B403,AmmoTypeFactors,8,FALSE),J403,C403)*VLOOKUP('Ammo Input'!B403,AmmoTypeFactors,2,FALSE)</f>
        <v>12.2477872178824</v>
      </c>
      <c r="E403" s="16">
        <f>IF(OR(VLOOKUP(B403,AmmoTypeFactors,6,FALSE)="Bomb",VLOOKUP(B403,AmmoTypeFactors,6,FALSE)="Thermobaric"),J403*VLOOKUP(B403,AmmoTypeFactors,4,FALSE),IF(VLOOKUP(B403,AmmoTypeFactors,11,FALSE),P403,C403*VLOOKUP(B403,AmmoTypeFactors,4,FALSE)))</f>
        <v>0</v>
      </c>
      <c r="F403" s="16">
        <f>'Ammo Stats'!G403/0.005</f>
        <v>731000</v>
      </c>
      <c r="G403" s="16">
        <f>(IF(B403="HEAT",10,'Ammo Input'!F403)*VLOOKUP(B403,AmmoTypeFactors,7,FALSE)*0.5)^2*PI()/100</f>
        <v>0.0978676797427926</v>
      </c>
      <c r="H403" s="10">
        <f t="shared" si="15"/>
        <v>73.1</v>
      </c>
      <c r="I403" s="10">
        <f>IF(B403&lt;&gt;"Arrow (Flaming)",39493.49*'Ammo Input'!M403^0.6/1000,0)</f>
        <v>0</v>
      </c>
      <c r="J403">
        <f t="shared" si="16"/>
        <v>0</v>
      </c>
      <c r="K403">
        <f t="shared" si="17"/>
        <v>9</v>
      </c>
      <c r="L403">
        <f>200000/('Ammo Stats'!C403*(MAX('Ammo Input'!D403,'Ammo Input'!F403)*0.5)^2*PI())</f>
        <v>59941.1314989602</v>
      </c>
      <c r="M403">
        <f>IF(B403="Frag",1,('Ammo Input'!M403/1.33)/('Ammo Input'!H403/1000))</f>
        <v>0</v>
      </c>
      <c r="N403" t="s">
        <v>353</v>
      </c>
      <c r="O403" t="s">
        <v>353</v>
      </c>
      <c r="P403" s="3">
        <f>(39493.49*(IF((VLOOKUP(B403,AmmoTypeFactors,6,FALSE)="Bomb_Secondary"),1.33,1)*('Ammo Input'!H403*0.35)/1000)^0.6/1000)*10/3*VLOOKUP(B403,AmmoTypeFactors,4,FALSE)</f>
        <v>0</v>
      </c>
    </row>
    <row r="404" ht="14.4" spans="1:16">
      <c r="A404" t="str">
        <f>'Ammo Input'!A404</f>
        <v>.277 Fury</v>
      </c>
      <c r="B404" s="1" t="str">
        <f>'Ammo Input'!B404</f>
        <v>HP</v>
      </c>
      <c r="C404">
        <f>(0.579*('Ammo Stats'!G404*IF(OR(B404="HEAT",B404="HEDP"),10,'Ammo Input'!F404)*VLOOKUP(B404,AmmoTypeFactors,7,FALSE))^(0.346))^IF(B404="HEDP",2.1,1)/IF(B404="HEDP",50,1)</f>
        <v>24.7332053177842</v>
      </c>
      <c r="D404" s="16">
        <f>IF(VLOOKUP(B404,AmmoTypeFactors,8,FALSE),J404,C404)*VLOOKUP('Ammo Input'!B404,AmmoTypeFactors,2,FALSE)</f>
        <v>24.7332053177842</v>
      </c>
      <c r="E404" s="16">
        <f>IF(OR(VLOOKUP(B404,AmmoTypeFactors,6,FALSE)="Bomb",VLOOKUP(B404,AmmoTypeFactors,6,FALSE)="Thermobaric"),J404*VLOOKUP(B404,AmmoTypeFactors,4,FALSE),IF(VLOOKUP(B404,AmmoTypeFactors,11,FALSE),P404,C404*VLOOKUP(B404,AmmoTypeFactors,4,FALSE)))</f>
        <v>0</v>
      </c>
      <c r="F404" s="16">
        <f>'Ammo Stats'!G404/0.005</f>
        <v>731000</v>
      </c>
      <c r="G404" s="16">
        <f>(IF(B404="HEAT",10,'Ammo Input'!F404)*VLOOKUP(B404,AmmoTypeFactors,7,FALSE)*0.5)^2*PI()/100</f>
        <v>1.56588287588468</v>
      </c>
      <c r="H404" s="10">
        <f t="shared" si="15"/>
        <v>73.1</v>
      </c>
      <c r="I404" s="10">
        <f>IF(B404&lt;&gt;"Arrow (Flaming)",39493.49*'Ammo Input'!M404^0.6/1000,0)</f>
        <v>0</v>
      </c>
      <c r="J404">
        <f t="shared" si="16"/>
        <v>0</v>
      </c>
      <c r="K404">
        <f t="shared" si="17"/>
        <v>9</v>
      </c>
      <c r="L404">
        <f>200000/('Ammo Stats'!C404*(MAX('Ammo Input'!D404,'Ammo Input'!F404)*0.5)^2*PI())</f>
        <v>59941.1314989602</v>
      </c>
      <c r="M404">
        <f>IF(B404="Frag",1,('Ammo Input'!M404/1.33)/('Ammo Input'!H404/1000))</f>
        <v>0</v>
      </c>
      <c r="N404" t="s">
        <v>353</v>
      </c>
      <c r="O404" t="s">
        <v>353</v>
      </c>
      <c r="P404" s="3">
        <f>(39493.49*(IF((VLOOKUP(B404,AmmoTypeFactors,6,FALSE)="Bomb_Secondary"),1.33,1)*('Ammo Input'!H404*0.35)/1000)^0.6/1000)*10/3*VLOOKUP(B404,AmmoTypeFactors,4,FALSE)</f>
        <v>0</v>
      </c>
    </row>
    <row r="405" ht="14.4" spans="1:16">
      <c r="A405" t="str">
        <f>'Ammo Input'!A405</f>
        <v>.277 Fury</v>
      </c>
      <c r="B405" s="1" t="str">
        <f>'Ammo Input'!B405</f>
        <v>AP-I</v>
      </c>
      <c r="C405">
        <f>(0.579*('Ammo Stats'!G405*IF(OR(B405="HEAT",B405="HEDP"),10,'Ammo Input'!F405)*VLOOKUP(B405,AmmoTypeFactors,7,FALSE))^(0.346))^IF(B405="HEDP",2.1,1)/IF(B405="HEDP",50,1)</f>
        <v>15.309734022353</v>
      </c>
      <c r="D405" s="16">
        <f>IF(VLOOKUP(B405,AmmoTypeFactors,8,FALSE),J405,C405)*VLOOKUP('Ammo Input'!B405,AmmoTypeFactors,2,FALSE)</f>
        <v>12.2477872178824</v>
      </c>
      <c r="E405" s="16">
        <f>IF(OR(VLOOKUP(B405,AmmoTypeFactors,6,FALSE)="Bomb",VLOOKUP(B405,AmmoTypeFactors,6,FALSE)="Thermobaric"),J405*VLOOKUP(B405,AmmoTypeFactors,4,FALSE),IF(VLOOKUP(B405,AmmoTypeFactors,11,FALSE),P405,C405*VLOOKUP(B405,AmmoTypeFactors,4,FALSE)))</f>
        <v>5.30876217021248</v>
      </c>
      <c r="F405" s="16">
        <f>'Ammo Stats'!G405/0.005</f>
        <v>731000</v>
      </c>
      <c r="G405" s="16">
        <f>(IF(B405="HEAT",10,'Ammo Input'!F405)*VLOOKUP(B405,AmmoTypeFactors,7,FALSE)*0.5)^2*PI()/100</f>
        <v>0.0978676797427926</v>
      </c>
      <c r="H405" s="10">
        <f t="shared" si="15"/>
        <v>73.1</v>
      </c>
      <c r="I405" s="10">
        <f>IF(B405&lt;&gt;"Arrow (Flaming)",39493.49*'Ammo Input'!M405^0.6/1000,0)</f>
        <v>0</v>
      </c>
      <c r="J405">
        <f t="shared" si="16"/>
        <v>0</v>
      </c>
      <c r="K405">
        <f t="shared" si="17"/>
        <v>9</v>
      </c>
      <c r="L405">
        <f>200000/('Ammo Stats'!C405*(MAX('Ammo Input'!D405,'Ammo Input'!F405)*0.5)^2*PI())</f>
        <v>59941.1314989602</v>
      </c>
      <c r="M405">
        <f>IF(B405="Frag",1,('Ammo Input'!M405/1.33)/('Ammo Input'!H405/1000))</f>
        <v>0</v>
      </c>
      <c r="N405" t="s">
        <v>353</v>
      </c>
      <c r="O405" t="s">
        <v>353</v>
      </c>
      <c r="P405" s="3">
        <f>(39493.49*(IF((VLOOKUP(B405,AmmoTypeFactors,6,FALSE)="Bomb_Secondary"),1.33,1)*('Ammo Input'!H405*0.35)/1000)^0.6/1000)*10/3*VLOOKUP(B405,AmmoTypeFactors,4,FALSE)</f>
        <v>5.30876217021248</v>
      </c>
    </row>
    <row r="406" ht="14.4" spans="1:16">
      <c r="A406" t="str">
        <f>'Ammo Input'!A406</f>
        <v>.277 Fury</v>
      </c>
      <c r="B406" s="1" t="str">
        <f>'Ammo Input'!B406</f>
        <v>AP-HE</v>
      </c>
      <c r="C406">
        <f>(0.579*('Ammo Stats'!G406*IF(OR(B406="HEAT",B406="HEDP"),10,'Ammo Input'!F406)*VLOOKUP(B406,AmmoTypeFactors,7,FALSE))^(0.346))^IF(B406="HEDP",2.1,1)/IF(B406="HEDP",50,1)</f>
        <v>19.4591570972517</v>
      </c>
      <c r="D406" s="16">
        <f>IF(VLOOKUP(B406,AmmoTypeFactors,8,FALSE),J406,C406)*VLOOKUP('Ammo Input'!B406,AmmoTypeFactors,2,FALSE)</f>
        <v>19.4591570972517</v>
      </c>
      <c r="E406" s="16">
        <f>IF(OR(VLOOKUP(B406,AmmoTypeFactors,6,FALSE)="Bomb",VLOOKUP(B406,AmmoTypeFactors,6,FALSE)="Thermobaric"),J406*VLOOKUP(B406,AmmoTypeFactors,4,FALSE),IF(VLOOKUP(B406,AmmoTypeFactors,11,FALSE),P406,C406*VLOOKUP(B406,AmmoTypeFactors,4,FALSE)))</f>
        <v>7.26862328368103</v>
      </c>
      <c r="F406" s="16">
        <f>'Ammo Stats'!G406/0.005</f>
        <v>731000</v>
      </c>
      <c r="G406" s="16">
        <f>(IF(B406="HEAT",10,'Ammo Input'!F406)*VLOOKUP(B406,AmmoTypeFactors,7,FALSE)*0.5)^2*PI()/100</f>
        <v>0.391470718971171</v>
      </c>
      <c r="H406" s="10">
        <f t="shared" si="15"/>
        <v>73.1</v>
      </c>
      <c r="I406" s="10">
        <f>IF(B406&lt;&gt;"Arrow (Flaming)",39493.49*'Ammo Input'!M406^0.6/1000,0)</f>
        <v>0</v>
      </c>
      <c r="J406">
        <f t="shared" si="16"/>
        <v>0</v>
      </c>
      <c r="K406">
        <f t="shared" si="17"/>
        <v>9</v>
      </c>
      <c r="L406">
        <f>200000/('Ammo Stats'!C406*(MAX('Ammo Input'!D406,'Ammo Input'!F406)*0.5)^2*PI())</f>
        <v>59941.1314989602</v>
      </c>
      <c r="M406">
        <f>IF(B406="Frag",1,('Ammo Input'!M406/1.33)/('Ammo Input'!H406/1000))</f>
        <v>0</v>
      </c>
      <c r="N406" t="s">
        <v>353</v>
      </c>
      <c r="O406" t="s">
        <v>353</v>
      </c>
      <c r="P406" s="3">
        <f>(39493.49*(IF((VLOOKUP(B406,AmmoTypeFactors,6,FALSE)="Bomb_Secondary"),1.33,1)*('Ammo Input'!H406*0.35)/1000)^0.6/1000)*10/3*VLOOKUP(B406,AmmoTypeFactors,4,FALSE)</f>
        <v>7.26862328368103</v>
      </c>
    </row>
    <row r="407" ht="14.4" spans="1:16">
      <c r="A407" t="str">
        <f>'Ammo Input'!A407</f>
        <v>.277 Fury</v>
      </c>
      <c r="B407" s="1" t="str">
        <f>'Ammo Input'!B407</f>
        <v>Sabot</v>
      </c>
      <c r="C407">
        <f>(0.579*('Ammo Stats'!G407*IF(OR(B407="HEAT",B407="HEDP"),10,'Ammo Input'!F407)*VLOOKUP(B407,AmmoTypeFactors,7,FALSE))^(0.346))^IF(B407="HEDP",2.1,1)/IF(B407="HEDP",50,1)</f>
        <v>13.9992463351842</v>
      </c>
      <c r="D407" s="16">
        <f>IF(VLOOKUP(B407,AmmoTypeFactors,8,FALSE),J407,C407)*VLOOKUP('Ammo Input'!B407,AmmoTypeFactors,2,FALSE)</f>
        <v>9.79947243462892</v>
      </c>
      <c r="E407" s="16">
        <f>IF(OR(VLOOKUP(B407,AmmoTypeFactors,6,FALSE)="Bomb",VLOOKUP(B407,AmmoTypeFactors,6,FALSE)="Thermobaric"),J407*VLOOKUP(B407,AmmoTypeFactors,4,FALSE),IF(VLOOKUP(B407,AmmoTypeFactors,11,FALSE),P407,C407*VLOOKUP(B407,AmmoTypeFactors,4,FALSE)))</f>
        <v>0</v>
      </c>
      <c r="F407" s="16">
        <f>'Ammo Stats'!G407/0.005</f>
        <v>939800</v>
      </c>
      <c r="G407" s="16">
        <f>(IF(B407="HEAT",10,'Ammo Input'!F407)*VLOOKUP(B407,AmmoTypeFactors,7,FALSE)*0.5)^2*PI()/100</f>
        <v>0.0352989350557349</v>
      </c>
      <c r="H407" s="10">
        <f t="shared" si="15"/>
        <v>93.98</v>
      </c>
      <c r="I407" s="10">
        <f>IF(B407&lt;&gt;"Arrow (Flaming)",39493.49*'Ammo Input'!M407^0.6/1000,0)</f>
        <v>0</v>
      </c>
      <c r="J407">
        <f t="shared" si="16"/>
        <v>0</v>
      </c>
      <c r="K407">
        <f t="shared" si="17"/>
        <v>10</v>
      </c>
      <c r="L407">
        <f>200000/('Ammo Stats'!C407*(MAX('Ammo Input'!D407,'Ammo Input'!F407)*0.5)^2*PI())</f>
        <v>59941.1314989602</v>
      </c>
      <c r="M407">
        <f>IF(B407="Frag",1,('Ammo Input'!M407/1.33)/('Ammo Input'!H407/1000))</f>
        <v>0</v>
      </c>
      <c r="N407" t="s">
        <v>353</v>
      </c>
      <c r="O407" t="s">
        <v>353</v>
      </c>
      <c r="P407" s="3">
        <f>(39493.49*(IF((VLOOKUP(B407,AmmoTypeFactors,6,FALSE)="Bomb_Secondary"),1.33,1)*('Ammo Input'!H407*0.35)/1000)^0.6/1000)*10/3*VLOOKUP(B407,AmmoTypeFactors,4,FALSE)</f>
        <v>0</v>
      </c>
    </row>
    <row r="408" ht="14.4" spans="1:16">
      <c r="A408" t="str">
        <f>'Ammo Input'!A408</f>
        <v>7.62x51mm NATO</v>
      </c>
      <c r="B408" s="1" t="str">
        <f>'Ammo Input'!B408</f>
        <v>FMJ</v>
      </c>
      <c r="C408">
        <f>(0.579*('Ammo Stats'!G408*IF(OR(B408="HEAT",B408="HEDP"),10,'Ammo Input'!F408)*VLOOKUP(B408,AmmoTypeFactors,7,FALSE))^(0.346))^IF(B408="HEDP",2.1,1)/IF(B408="HEDP",50,1)</f>
        <v>19.5327913439132</v>
      </c>
      <c r="D408" s="16">
        <f>IF(VLOOKUP(B408,AmmoTypeFactors,8,FALSE),J408,C408)*VLOOKUP('Ammo Input'!B408,AmmoTypeFactors,2,FALSE)</f>
        <v>19.5327913439132</v>
      </c>
      <c r="E408" s="16">
        <f>IF(OR(VLOOKUP(B408,AmmoTypeFactors,6,FALSE)="Bomb",VLOOKUP(B408,AmmoTypeFactors,6,FALSE)="Thermobaric"),J408*VLOOKUP(B408,AmmoTypeFactors,4,FALSE),IF(VLOOKUP(B408,AmmoTypeFactors,11,FALSE),P408,C408*VLOOKUP(B408,AmmoTypeFactors,4,FALSE)))</f>
        <v>0</v>
      </c>
      <c r="F408" s="16">
        <f>'Ammo Stats'!G408/0.005</f>
        <v>667200</v>
      </c>
      <c r="G408" s="16">
        <f>(IF(B408="HEAT",10,'Ammo Input'!F408)*VLOOKUP(B408,AmmoTypeFactors,7,FALSE)*0.5)^2*PI()/100</f>
        <v>0.480289826473461</v>
      </c>
      <c r="H408" s="10">
        <f t="shared" si="15"/>
        <v>66.72</v>
      </c>
      <c r="I408" s="10">
        <f>IF(B408&lt;&gt;"Arrow (Flaming)",39493.49*'Ammo Input'!M408^0.6/1000,0)</f>
        <v>0</v>
      </c>
      <c r="J408">
        <f t="shared" si="16"/>
        <v>0</v>
      </c>
      <c r="K408">
        <f t="shared" si="17"/>
        <v>9</v>
      </c>
      <c r="L408">
        <f>200000/('Ammo Stats'!C408*(MAX('Ammo Input'!D408,'Ammo Input'!F408)*0.5)^2*PI())</f>
        <v>59941.1314989602</v>
      </c>
      <c r="M408">
        <f>IF(B408="Frag",1,('Ammo Input'!M408/1.33)/('Ammo Input'!H408/1000))</f>
        <v>0</v>
      </c>
      <c r="N408" t="s">
        <v>353</v>
      </c>
      <c r="O408" t="s">
        <v>353</v>
      </c>
      <c r="P408" s="3">
        <f>(39493.49*(IF((VLOOKUP(B408,AmmoTypeFactors,6,FALSE)="Bomb_Secondary"),1.33,1)*('Ammo Input'!H408*0.35)/1000)^0.6/1000)*10/3*VLOOKUP(B408,AmmoTypeFactors,4,FALSE)</f>
        <v>0</v>
      </c>
    </row>
    <row r="409" ht="14.4" spans="1:16">
      <c r="A409" t="str">
        <f>'Ammo Input'!A409</f>
        <v>7.62x51mm NATO</v>
      </c>
      <c r="B409" s="1" t="str">
        <f>'Ammo Input'!B409</f>
        <v>AP</v>
      </c>
      <c r="C409">
        <f>(0.579*('Ammo Stats'!G409*IF(OR(B409="HEAT",B409="HEDP"),10,'Ammo Input'!F409)*VLOOKUP(B409,AmmoTypeFactors,7,FALSE))^(0.346))^IF(B409="HEDP",2.1,1)/IF(B409="HEDP",50,1)</f>
        <v>15.3676666823181</v>
      </c>
      <c r="D409" s="16">
        <f>IF(VLOOKUP(B409,AmmoTypeFactors,8,FALSE),J409,C409)*VLOOKUP('Ammo Input'!B409,AmmoTypeFactors,2,FALSE)</f>
        <v>12.2941333458545</v>
      </c>
      <c r="E409" s="16">
        <f>IF(OR(VLOOKUP(B409,AmmoTypeFactors,6,FALSE)="Bomb",VLOOKUP(B409,AmmoTypeFactors,6,FALSE)="Thermobaric"),J409*VLOOKUP(B409,AmmoTypeFactors,4,FALSE),IF(VLOOKUP(B409,AmmoTypeFactors,11,FALSE),P409,C409*VLOOKUP(B409,AmmoTypeFactors,4,FALSE)))</f>
        <v>0</v>
      </c>
      <c r="F409" s="16">
        <f>'Ammo Stats'!G409/0.005</f>
        <v>667200</v>
      </c>
      <c r="G409" s="16">
        <f>(IF(B409="HEAT",10,'Ammo Input'!F409)*VLOOKUP(B409,AmmoTypeFactors,7,FALSE)*0.5)^2*PI()/100</f>
        <v>0.120072456618365</v>
      </c>
      <c r="H409" s="10">
        <f t="shared" si="15"/>
        <v>66.72</v>
      </c>
      <c r="I409" s="10">
        <f>IF(B409&lt;&gt;"Arrow (Flaming)",39493.49*'Ammo Input'!M409^0.6/1000,0)</f>
        <v>0</v>
      </c>
      <c r="J409">
        <f t="shared" si="16"/>
        <v>0</v>
      </c>
      <c r="K409">
        <f t="shared" si="17"/>
        <v>9</v>
      </c>
      <c r="L409">
        <f>200000/('Ammo Stats'!C409*(MAX('Ammo Input'!D409,'Ammo Input'!F409)*0.5)^2*PI())</f>
        <v>59941.1314989602</v>
      </c>
      <c r="M409">
        <f>IF(B409="Frag",1,('Ammo Input'!M409/1.33)/('Ammo Input'!H409/1000))</f>
        <v>0</v>
      </c>
      <c r="N409" t="s">
        <v>353</v>
      </c>
      <c r="O409" t="s">
        <v>353</v>
      </c>
      <c r="P409" s="3">
        <f>(39493.49*(IF((VLOOKUP(B409,AmmoTypeFactors,6,FALSE)="Bomb_Secondary"),1.33,1)*('Ammo Input'!H409*0.35)/1000)^0.6/1000)*10/3*VLOOKUP(B409,AmmoTypeFactors,4,FALSE)</f>
        <v>0</v>
      </c>
    </row>
    <row r="410" ht="14.4" spans="1:16">
      <c r="A410" t="str">
        <f>'Ammo Input'!A410</f>
        <v>7.62x51mm NATO</v>
      </c>
      <c r="B410" s="1" t="str">
        <f>'Ammo Input'!B410</f>
        <v>HP</v>
      </c>
      <c r="C410">
        <f>(0.579*('Ammo Stats'!G410*IF(OR(B410="HEAT",B410="HEDP"),10,'Ammo Input'!F410)*VLOOKUP(B410,AmmoTypeFactors,7,FALSE))^(0.346))^IF(B410="HEDP",2.1,1)/IF(B410="HEDP",50,1)</f>
        <v>24.8267967787091</v>
      </c>
      <c r="D410" s="16">
        <f>IF(VLOOKUP(B410,AmmoTypeFactors,8,FALSE),J410,C410)*VLOOKUP('Ammo Input'!B410,AmmoTypeFactors,2,FALSE)</f>
        <v>24.8267967787091</v>
      </c>
      <c r="E410" s="16">
        <f>IF(OR(VLOOKUP(B410,AmmoTypeFactors,6,FALSE)="Bomb",VLOOKUP(B410,AmmoTypeFactors,6,FALSE)="Thermobaric"),J410*VLOOKUP(B410,AmmoTypeFactors,4,FALSE),IF(VLOOKUP(B410,AmmoTypeFactors,11,FALSE),P410,C410*VLOOKUP(B410,AmmoTypeFactors,4,FALSE)))</f>
        <v>0</v>
      </c>
      <c r="F410" s="16">
        <f>'Ammo Stats'!G410/0.005</f>
        <v>667200</v>
      </c>
      <c r="G410" s="16">
        <f>(IF(B410="HEAT",10,'Ammo Input'!F410)*VLOOKUP(B410,AmmoTypeFactors,7,FALSE)*0.5)^2*PI()/100</f>
        <v>1.92115930589384</v>
      </c>
      <c r="H410" s="10">
        <f t="shared" si="15"/>
        <v>66.72</v>
      </c>
      <c r="I410" s="10">
        <f>IF(B410&lt;&gt;"Arrow (Flaming)",39493.49*'Ammo Input'!M410^0.6/1000,0)</f>
        <v>0</v>
      </c>
      <c r="J410">
        <f t="shared" si="16"/>
        <v>0</v>
      </c>
      <c r="K410">
        <f t="shared" si="17"/>
        <v>9</v>
      </c>
      <c r="L410">
        <f>200000/('Ammo Stats'!C410*(MAX('Ammo Input'!D410,'Ammo Input'!F410)*0.5)^2*PI())</f>
        <v>59941.1314989602</v>
      </c>
      <c r="M410">
        <f>IF(B410="Frag",1,('Ammo Input'!M410/1.33)/('Ammo Input'!H410/1000))</f>
        <v>0</v>
      </c>
      <c r="N410" t="s">
        <v>353</v>
      </c>
      <c r="O410" t="s">
        <v>353</v>
      </c>
      <c r="P410" s="3">
        <f>(39493.49*(IF((VLOOKUP(B410,AmmoTypeFactors,6,FALSE)="Bomb_Secondary"),1.33,1)*('Ammo Input'!H410*0.35)/1000)^0.6/1000)*10/3*VLOOKUP(B410,AmmoTypeFactors,4,FALSE)</f>
        <v>0</v>
      </c>
    </row>
    <row r="411" ht="14.4" spans="1:16">
      <c r="A411" t="str">
        <f>'Ammo Input'!A411</f>
        <v>7.62x51mm NATO</v>
      </c>
      <c r="B411" s="1" t="str">
        <f>'Ammo Input'!B411</f>
        <v>AP-I</v>
      </c>
      <c r="C411">
        <f>(0.579*('Ammo Stats'!G411*IF(OR(B411="HEAT",B411="HEDP"),10,'Ammo Input'!F411)*VLOOKUP(B411,AmmoTypeFactors,7,FALSE))^(0.346))^IF(B411="HEDP",2.1,1)/IF(B411="HEDP",50,1)</f>
        <v>15.3676666823181</v>
      </c>
      <c r="D411" s="16">
        <f>IF(VLOOKUP(B411,AmmoTypeFactors,8,FALSE),J411,C411)*VLOOKUP('Ammo Input'!B411,AmmoTypeFactors,2,FALSE)</f>
        <v>12.2941333458545</v>
      </c>
      <c r="E411" s="16">
        <f>IF(OR(VLOOKUP(B411,AmmoTypeFactors,6,FALSE)="Bomb",VLOOKUP(B411,AmmoTypeFactors,6,FALSE)="Thermobaric"),J411*VLOOKUP(B411,AmmoTypeFactors,4,FALSE),IF(VLOOKUP(B411,AmmoTypeFactors,11,FALSE),P411,C411*VLOOKUP(B411,AmmoTypeFactors,4,FALSE)))</f>
        <v>5.57728196161599</v>
      </c>
      <c r="F411" s="16">
        <f>'Ammo Stats'!G411/0.005</f>
        <v>667200</v>
      </c>
      <c r="G411" s="16">
        <f>(IF(B411="HEAT",10,'Ammo Input'!F411)*VLOOKUP(B411,AmmoTypeFactors,7,FALSE)*0.5)^2*PI()/100</f>
        <v>0.120072456618365</v>
      </c>
      <c r="H411" s="10">
        <f t="shared" si="15"/>
        <v>66.72</v>
      </c>
      <c r="I411" s="10">
        <f>IF(B411&lt;&gt;"Arrow (Flaming)",39493.49*'Ammo Input'!M411^0.6/1000,0)</f>
        <v>0</v>
      </c>
      <c r="J411">
        <f t="shared" si="16"/>
        <v>0</v>
      </c>
      <c r="K411">
        <f t="shared" si="17"/>
        <v>9</v>
      </c>
      <c r="L411">
        <f>200000/('Ammo Stats'!C411*(MAX('Ammo Input'!D411,'Ammo Input'!F411)*0.5)^2*PI())</f>
        <v>59941.1314989602</v>
      </c>
      <c r="M411">
        <f>IF(B411="Frag",1,('Ammo Input'!M411/1.33)/('Ammo Input'!H411/1000))</f>
        <v>0</v>
      </c>
      <c r="N411" t="s">
        <v>353</v>
      </c>
      <c r="O411" t="s">
        <v>353</v>
      </c>
      <c r="P411" s="3">
        <f>(39493.49*(IF((VLOOKUP(B411,AmmoTypeFactors,6,FALSE)="Bomb_Secondary"),1.33,1)*('Ammo Input'!H411*0.35)/1000)^0.6/1000)*10/3*VLOOKUP(B411,AmmoTypeFactors,4,FALSE)</f>
        <v>5.57728196161599</v>
      </c>
    </row>
    <row r="412" ht="14.4" spans="1:16">
      <c r="A412" t="str">
        <f>'Ammo Input'!A412</f>
        <v>7.62x51mm NATO</v>
      </c>
      <c r="B412" s="1" t="str">
        <f>'Ammo Input'!B412</f>
        <v>AP-HE</v>
      </c>
      <c r="C412">
        <f>(0.579*('Ammo Stats'!G412*IF(OR(B412="HEAT",B412="HEDP"),10,'Ammo Input'!F412)*VLOOKUP(B412,AmmoTypeFactors,7,FALSE))^(0.346))^IF(B412="HEDP",2.1,1)/IF(B412="HEDP",50,1)</f>
        <v>19.5327913439132</v>
      </c>
      <c r="D412" s="16">
        <f>IF(VLOOKUP(B412,AmmoTypeFactors,8,FALSE),J412,C412)*VLOOKUP('Ammo Input'!B412,AmmoTypeFactors,2,FALSE)</f>
        <v>19.5327913439132</v>
      </c>
      <c r="E412" s="16">
        <f>IF(OR(VLOOKUP(B412,AmmoTypeFactors,6,FALSE)="Bomb",VLOOKUP(B412,AmmoTypeFactors,6,FALSE)="Thermobaric"),J412*VLOOKUP(B412,AmmoTypeFactors,4,FALSE),IF(VLOOKUP(B412,AmmoTypeFactors,11,FALSE),P412,C412*VLOOKUP(B412,AmmoTypeFactors,4,FALSE)))</f>
        <v>7.63627381036616</v>
      </c>
      <c r="F412" s="16">
        <f>'Ammo Stats'!G412/0.005</f>
        <v>667200</v>
      </c>
      <c r="G412" s="16">
        <f>(IF(B412="HEAT",10,'Ammo Input'!F412)*VLOOKUP(B412,AmmoTypeFactors,7,FALSE)*0.5)^2*PI()/100</f>
        <v>0.480289826473461</v>
      </c>
      <c r="H412" s="10">
        <f t="shared" si="15"/>
        <v>66.72</v>
      </c>
      <c r="I412" s="10">
        <f>IF(B412&lt;&gt;"Arrow (Flaming)",39493.49*'Ammo Input'!M412^0.6/1000,0)</f>
        <v>0</v>
      </c>
      <c r="J412">
        <f t="shared" si="16"/>
        <v>0</v>
      </c>
      <c r="K412">
        <f t="shared" si="17"/>
        <v>9</v>
      </c>
      <c r="L412">
        <f>200000/('Ammo Stats'!C412*(MAX('Ammo Input'!D412,'Ammo Input'!F412)*0.5)^2*PI())</f>
        <v>59941.1314989602</v>
      </c>
      <c r="M412">
        <f>IF(B412="Frag",1,('Ammo Input'!M412/1.33)/('Ammo Input'!H412/1000))</f>
        <v>0</v>
      </c>
      <c r="N412" t="s">
        <v>353</v>
      </c>
      <c r="O412" t="s">
        <v>353</v>
      </c>
      <c r="P412" s="3">
        <f>(39493.49*(IF((VLOOKUP(B412,AmmoTypeFactors,6,FALSE)="Bomb_Secondary"),1.33,1)*('Ammo Input'!H412*0.35)/1000)^0.6/1000)*10/3*VLOOKUP(B412,AmmoTypeFactors,4,FALSE)</f>
        <v>7.63627381036616</v>
      </c>
    </row>
    <row r="413" ht="14.4" spans="1:16">
      <c r="A413" t="str">
        <f>'Ammo Input'!A413</f>
        <v>7.62x51mm NATO</v>
      </c>
      <c r="B413" s="1" t="str">
        <f>'Ammo Input'!B413</f>
        <v>Sabot</v>
      </c>
      <c r="C413">
        <f>(0.579*('Ammo Stats'!G413*IF(OR(B413="HEAT",B413="HEDP"),10,'Ammo Input'!F413)*VLOOKUP(B413,AmmoTypeFactors,7,FALSE))^(0.346))^IF(B413="HEDP",2.1,1)/IF(B413="HEDP",50,1)</f>
        <v>14.0739666478639</v>
      </c>
      <c r="D413" s="16">
        <f>IF(VLOOKUP(B413,AmmoTypeFactors,8,FALSE),J413,C413)*VLOOKUP('Ammo Input'!B413,AmmoTypeFactors,2,FALSE)</f>
        <v>9.85177665350474</v>
      </c>
      <c r="E413" s="16">
        <f>IF(OR(VLOOKUP(B413,AmmoTypeFactors,6,FALSE)="Bomb",VLOOKUP(B413,AmmoTypeFactors,6,FALSE)="Thermobaric"),J413*VLOOKUP(B413,AmmoTypeFactors,4,FALSE),IF(VLOOKUP(B413,AmmoTypeFactors,11,FALSE),P413,C413*VLOOKUP(B413,AmmoTypeFactors,4,FALSE)))</f>
        <v>0</v>
      </c>
      <c r="F413" s="16">
        <f>'Ammo Stats'!G413/0.005</f>
        <v>862800</v>
      </c>
      <c r="G413" s="16">
        <f>(IF(B413="HEAT",10,'Ammo Input'!F413)*VLOOKUP(B413,AmmoTypeFactors,7,FALSE)*0.5)^2*PI()/100</f>
        <v>0.0431892413547665</v>
      </c>
      <c r="H413" s="10">
        <f t="shared" si="15"/>
        <v>86.28</v>
      </c>
      <c r="I413" s="10">
        <f>IF(B413&lt;&gt;"Arrow (Flaming)",39493.49*'Ammo Input'!M413^0.6/1000,0)</f>
        <v>0</v>
      </c>
      <c r="J413">
        <f t="shared" si="16"/>
        <v>0</v>
      </c>
      <c r="K413">
        <f t="shared" si="17"/>
        <v>10</v>
      </c>
      <c r="L413">
        <f>200000/('Ammo Stats'!C413*(MAX('Ammo Input'!D413,'Ammo Input'!F413)*0.5)^2*PI())</f>
        <v>59941.1314989602</v>
      </c>
      <c r="M413">
        <f>IF(B413="Frag",1,('Ammo Input'!M413/1.33)/('Ammo Input'!H413/1000))</f>
        <v>0</v>
      </c>
      <c r="N413" t="s">
        <v>353</v>
      </c>
      <c r="O413" t="s">
        <v>353</v>
      </c>
      <c r="P413" s="3">
        <f>(39493.49*(IF((VLOOKUP(B413,AmmoTypeFactors,6,FALSE)="Bomb_Secondary"),1.33,1)*('Ammo Input'!H413*0.35)/1000)^0.6/1000)*10/3*VLOOKUP(B413,AmmoTypeFactors,4,FALSE)</f>
        <v>0</v>
      </c>
    </row>
    <row r="414" ht="14.4" spans="1:16">
      <c r="A414" t="str">
        <f>'Ammo Input'!A414</f>
        <v>7.62x54mmR</v>
      </c>
      <c r="B414" s="1" t="str">
        <f>'Ammo Input'!B414</f>
        <v>FMJ</v>
      </c>
      <c r="C414">
        <f>(0.579*('Ammo Stats'!G414*IF(OR(B414="HEAT",B414="HEDP"),10,'Ammo Input'!F414)*VLOOKUP(B414,AmmoTypeFactors,7,FALSE))^(0.346))^IF(B414="HEDP",2.1,1)/IF(B414="HEDP",50,1)</f>
        <v>19.6731428426735</v>
      </c>
      <c r="D414" s="16">
        <f>IF(VLOOKUP(B414,AmmoTypeFactors,8,FALSE),J414,C414)*VLOOKUP('Ammo Input'!B414,AmmoTypeFactors,2,FALSE)</f>
        <v>19.6731428426735</v>
      </c>
      <c r="E414" s="16">
        <f>IF(OR(VLOOKUP(B414,AmmoTypeFactors,6,FALSE)="Bomb",VLOOKUP(B414,AmmoTypeFactors,6,FALSE)="Thermobaric"),J414*VLOOKUP(B414,AmmoTypeFactors,4,FALSE),IF(VLOOKUP(B414,AmmoTypeFactors,11,FALSE),P414,C414*VLOOKUP(B414,AmmoTypeFactors,4,FALSE)))</f>
        <v>0</v>
      </c>
      <c r="F414" s="16">
        <f>'Ammo Stats'!G414/0.005</f>
        <v>673400</v>
      </c>
      <c r="G414" s="16">
        <f>(IF(B414="HEAT",10,'Ammo Input'!F414)*VLOOKUP(B414,AmmoTypeFactors,7,FALSE)*0.5)^2*PI()/100</f>
        <v>0.491408708272679</v>
      </c>
      <c r="H414" s="10">
        <f t="shared" si="15"/>
        <v>67.34</v>
      </c>
      <c r="I414" s="10">
        <f>IF(B414&lt;&gt;"Arrow (Flaming)",39493.49*'Ammo Input'!M414^0.6/1000,0)</f>
        <v>0</v>
      </c>
      <c r="J414">
        <f t="shared" si="16"/>
        <v>0</v>
      </c>
      <c r="K414">
        <f t="shared" si="17"/>
        <v>9</v>
      </c>
      <c r="L414">
        <f>200000/('Ammo Stats'!C414*(MAX('Ammo Input'!D414,'Ammo Input'!F414)*0.5)^2*PI())</f>
        <v>55472.7198862854</v>
      </c>
      <c r="M414">
        <f>IF(B414="Frag",1,('Ammo Input'!M414/1.33)/('Ammo Input'!H414/1000))</f>
        <v>0</v>
      </c>
      <c r="N414" t="s">
        <v>353</v>
      </c>
      <c r="O414" t="s">
        <v>353</v>
      </c>
      <c r="P414" s="3">
        <f>(39493.49*(IF((VLOOKUP(B414,AmmoTypeFactors,6,FALSE)="Bomb_Secondary"),1.33,1)*('Ammo Input'!H414*0.35)/1000)^0.6/1000)*10/3*VLOOKUP(B414,AmmoTypeFactors,4,FALSE)</f>
        <v>0</v>
      </c>
    </row>
    <row r="415" ht="14.4" spans="1:16">
      <c r="A415" t="str">
        <f>'Ammo Input'!A415</f>
        <v>7.62x54mmR</v>
      </c>
      <c r="B415" s="1" t="str">
        <f>'Ammo Input'!B415</f>
        <v>AP</v>
      </c>
      <c r="C415">
        <f>(0.579*('Ammo Stats'!G415*IF(OR(B415="HEAT",B415="HEDP"),10,'Ammo Input'!F415)*VLOOKUP(B415,AmmoTypeFactors,7,FALSE))^(0.346))^IF(B415="HEDP",2.1,1)/IF(B415="HEDP",50,1)</f>
        <v>15.4780899706918</v>
      </c>
      <c r="D415" s="16">
        <f>IF(VLOOKUP(B415,AmmoTypeFactors,8,FALSE),J415,C415)*VLOOKUP('Ammo Input'!B415,AmmoTypeFactors,2,FALSE)</f>
        <v>12.3824719765535</v>
      </c>
      <c r="E415" s="16">
        <f>IF(OR(VLOOKUP(B415,AmmoTypeFactors,6,FALSE)="Bomb",VLOOKUP(B415,AmmoTypeFactors,6,FALSE)="Thermobaric"),J415*VLOOKUP(B415,AmmoTypeFactors,4,FALSE),IF(VLOOKUP(B415,AmmoTypeFactors,11,FALSE),P415,C415*VLOOKUP(B415,AmmoTypeFactors,4,FALSE)))</f>
        <v>0</v>
      </c>
      <c r="F415" s="16">
        <f>'Ammo Stats'!G415/0.005</f>
        <v>673400</v>
      </c>
      <c r="G415" s="16">
        <f>(IF(B415="HEAT",10,'Ammo Input'!F415)*VLOOKUP(B415,AmmoTypeFactors,7,FALSE)*0.5)^2*PI()/100</f>
        <v>0.12285217706817</v>
      </c>
      <c r="H415" s="10">
        <f t="shared" si="15"/>
        <v>67.34</v>
      </c>
      <c r="I415" s="10">
        <f>IF(B415&lt;&gt;"Arrow (Flaming)",39493.49*'Ammo Input'!M415^0.6/1000,0)</f>
        <v>0</v>
      </c>
      <c r="J415">
        <f t="shared" si="16"/>
        <v>0</v>
      </c>
      <c r="K415">
        <f t="shared" si="17"/>
        <v>9</v>
      </c>
      <c r="L415">
        <f>200000/('Ammo Stats'!C415*(MAX('Ammo Input'!D415,'Ammo Input'!F415)*0.5)^2*PI())</f>
        <v>55472.7198862854</v>
      </c>
      <c r="M415">
        <f>IF(B415="Frag",1,('Ammo Input'!M415/1.33)/('Ammo Input'!H415/1000))</f>
        <v>0</v>
      </c>
      <c r="N415" t="s">
        <v>353</v>
      </c>
      <c r="O415" t="s">
        <v>353</v>
      </c>
      <c r="P415" s="3">
        <f>(39493.49*(IF((VLOOKUP(B415,AmmoTypeFactors,6,FALSE)="Bomb_Secondary"),1.33,1)*('Ammo Input'!H415*0.35)/1000)^0.6/1000)*10/3*VLOOKUP(B415,AmmoTypeFactors,4,FALSE)</f>
        <v>0</v>
      </c>
    </row>
    <row r="416" ht="14.4" spans="1:16">
      <c r="A416" t="str">
        <f>'Ammo Input'!A416</f>
        <v>7.62x54mmR</v>
      </c>
      <c r="B416" s="1" t="str">
        <f>'Ammo Input'!B416</f>
        <v>HP</v>
      </c>
      <c r="C416">
        <f>(0.579*('Ammo Stats'!G416*IF(OR(B416="HEAT",B416="HEDP"),10,'Ammo Input'!F416)*VLOOKUP(B416,AmmoTypeFactors,7,FALSE))^(0.346))^IF(B416="HEDP",2.1,1)/IF(B416="HEDP",50,1)</f>
        <v>25.005187981275</v>
      </c>
      <c r="D416" s="16">
        <f>IF(VLOOKUP(B416,AmmoTypeFactors,8,FALSE),J416,C416)*VLOOKUP('Ammo Input'!B416,AmmoTypeFactors,2,FALSE)</f>
        <v>25.005187981275</v>
      </c>
      <c r="E416" s="16">
        <f>IF(OR(VLOOKUP(B416,AmmoTypeFactors,6,FALSE)="Bomb",VLOOKUP(B416,AmmoTypeFactors,6,FALSE)="Thermobaric"),J416*VLOOKUP(B416,AmmoTypeFactors,4,FALSE),IF(VLOOKUP(B416,AmmoTypeFactors,11,FALSE),P416,C416*VLOOKUP(B416,AmmoTypeFactors,4,FALSE)))</f>
        <v>0</v>
      </c>
      <c r="F416" s="16">
        <f>'Ammo Stats'!G416/0.005</f>
        <v>673400</v>
      </c>
      <c r="G416" s="16">
        <f>(IF(B416="HEAT",10,'Ammo Input'!F416)*VLOOKUP(B416,AmmoTypeFactors,7,FALSE)*0.5)^2*PI()/100</f>
        <v>1.96563483309072</v>
      </c>
      <c r="H416" s="10">
        <f t="shared" si="15"/>
        <v>67.34</v>
      </c>
      <c r="I416" s="10">
        <f>IF(B416&lt;&gt;"Arrow (Flaming)",39493.49*'Ammo Input'!M416^0.6/1000,0)</f>
        <v>0</v>
      </c>
      <c r="J416">
        <f t="shared" si="16"/>
        <v>0</v>
      </c>
      <c r="K416">
        <f t="shared" si="17"/>
        <v>9</v>
      </c>
      <c r="L416">
        <f>200000/('Ammo Stats'!C416*(MAX('Ammo Input'!D416,'Ammo Input'!F416)*0.5)^2*PI())</f>
        <v>55472.7198862854</v>
      </c>
      <c r="M416">
        <f>IF(B416="Frag",1,('Ammo Input'!M416/1.33)/('Ammo Input'!H416/1000))</f>
        <v>0</v>
      </c>
      <c r="N416" t="s">
        <v>353</v>
      </c>
      <c r="O416" t="s">
        <v>353</v>
      </c>
      <c r="P416" s="3">
        <f>(39493.49*(IF((VLOOKUP(B416,AmmoTypeFactors,6,FALSE)="Bomb_Secondary"),1.33,1)*('Ammo Input'!H416*0.35)/1000)^0.6/1000)*10/3*VLOOKUP(B416,AmmoTypeFactors,4,FALSE)</f>
        <v>0</v>
      </c>
    </row>
    <row r="417" ht="14.4" spans="1:16">
      <c r="A417" t="str">
        <f>'Ammo Input'!A417</f>
        <v>7.62x54mmR</v>
      </c>
      <c r="B417" s="1" t="str">
        <f>'Ammo Input'!B417</f>
        <v>AP-I</v>
      </c>
      <c r="C417">
        <f>(0.579*('Ammo Stats'!G417*IF(OR(B417="HEAT",B417="HEDP"),10,'Ammo Input'!F417)*VLOOKUP(B417,AmmoTypeFactors,7,FALSE))^(0.346))^IF(B417="HEDP",2.1,1)/IF(B417="HEDP",50,1)</f>
        <v>15.4780899706918</v>
      </c>
      <c r="D417" s="16">
        <f>IF(VLOOKUP(B417,AmmoTypeFactors,8,FALSE),J417,C417)*VLOOKUP('Ammo Input'!B417,AmmoTypeFactors,2,FALSE)</f>
        <v>12.3824719765535</v>
      </c>
      <c r="E417" s="16">
        <f>IF(OR(VLOOKUP(B417,AmmoTypeFactors,6,FALSE)="Bomb",VLOOKUP(B417,AmmoTypeFactors,6,FALSE)="Thermobaric"),J417*VLOOKUP(B417,AmmoTypeFactors,4,FALSE),IF(VLOOKUP(B417,AmmoTypeFactors,11,FALSE),P417,C417*VLOOKUP(B417,AmmoTypeFactors,4,FALSE)))</f>
        <v>5.68229901105258</v>
      </c>
      <c r="F417" s="16">
        <f>'Ammo Stats'!G417/0.005</f>
        <v>673400</v>
      </c>
      <c r="G417" s="16">
        <f>(IF(B417="HEAT",10,'Ammo Input'!F417)*VLOOKUP(B417,AmmoTypeFactors,7,FALSE)*0.5)^2*PI()/100</f>
        <v>0.12285217706817</v>
      </c>
      <c r="H417" s="10">
        <f t="shared" si="15"/>
        <v>67.34</v>
      </c>
      <c r="I417" s="10">
        <f>IF(B417&lt;&gt;"Arrow (Flaming)",39493.49*'Ammo Input'!M417^0.6/1000,0)</f>
        <v>0</v>
      </c>
      <c r="J417">
        <f t="shared" si="16"/>
        <v>0</v>
      </c>
      <c r="K417">
        <f t="shared" si="17"/>
        <v>9</v>
      </c>
      <c r="L417">
        <f>200000/('Ammo Stats'!C417*(MAX('Ammo Input'!D417,'Ammo Input'!F417)*0.5)^2*PI())</f>
        <v>55472.7198862854</v>
      </c>
      <c r="M417">
        <f>IF(B417="Frag",1,('Ammo Input'!M417/1.33)/('Ammo Input'!H417/1000))</f>
        <v>0</v>
      </c>
      <c r="N417" t="s">
        <v>353</v>
      </c>
      <c r="O417" t="s">
        <v>353</v>
      </c>
      <c r="P417" s="3">
        <f>(39493.49*(IF((VLOOKUP(B417,AmmoTypeFactors,6,FALSE)="Bomb_Secondary"),1.33,1)*('Ammo Input'!H417*0.35)/1000)^0.6/1000)*10/3*VLOOKUP(B417,AmmoTypeFactors,4,FALSE)</f>
        <v>5.68229901105258</v>
      </c>
    </row>
    <row r="418" ht="14.4" spans="1:16">
      <c r="A418" t="str">
        <f>'Ammo Input'!A418</f>
        <v>7.62x54mmR</v>
      </c>
      <c r="B418" s="1" t="str">
        <f>'Ammo Input'!B418</f>
        <v>AP-HE</v>
      </c>
      <c r="C418">
        <f>(0.579*('Ammo Stats'!G418*IF(OR(B418="HEAT",B418="HEDP"),10,'Ammo Input'!F418)*VLOOKUP(B418,AmmoTypeFactors,7,FALSE))^(0.346))^IF(B418="HEDP",2.1,1)/IF(B418="HEDP",50,1)</f>
        <v>19.6731428426735</v>
      </c>
      <c r="D418" s="16">
        <f>IF(VLOOKUP(B418,AmmoTypeFactors,8,FALSE),J418,C418)*VLOOKUP('Ammo Input'!B418,AmmoTypeFactors,2,FALSE)</f>
        <v>19.6731428426735</v>
      </c>
      <c r="E418" s="16">
        <f>IF(OR(VLOOKUP(B418,AmmoTypeFactors,6,FALSE)="Bomb",VLOOKUP(B418,AmmoTypeFactors,6,FALSE)="Thermobaric"),J418*VLOOKUP(B418,AmmoTypeFactors,4,FALSE),IF(VLOOKUP(B418,AmmoTypeFactors,11,FALSE),P418,C418*VLOOKUP(B418,AmmoTypeFactors,4,FALSE)))</f>
        <v>7.78006050606735</v>
      </c>
      <c r="F418" s="16">
        <f>'Ammo Stats'!G418/0.005</f>
        <v>673400</v>
      </c>
      <c r="G418" s="16">
        <f>(IF(B418="HEAT",10,'Ammo Input'!F418)*VLOOKUP(B418,AmmoTypeFactors,7,FALSE)*0.5)^2*PI()/100</f>
        <v>0.491408708272679</v>
      </c>
      <c r="H418" s="10">
        <f t="shared" si="15"/>
        <v>67.34</v>
      </c>
      <c r="I418" s="10">
        <f>IF(B418&lt;&gt;"Arrow (Flaming)",39493.49*'Ammo Input'!M418^0.6/1000,0)</f>
        <v>0</v>
      </c>
      <c r="J418">
        <f t="shared" si="16"/>
        <v>0</v>
      </c>
      <c r="K418">
        <f t="shared" si="17"/>
        <v>9</v>
      </c>
      <c r="L418">
        <f>200000/('Ammo Stats'!C418*(MAX('Ammo Input'!D418,'Ammo Input'!F418)*0.5)^2*PI())</f>
        <v>55472.7198862854</v>
      </c>
      <c r="M418">
        <f>IF(B418="Frag",1,('Ammo Input'!M418/1.33)/('Ammo Input'!H418/1000))</f>
        <v>0</v>
      </c>
      <c r="N418" t="s">
        <v>353</v>
      </c>
      <c r="O418" t="s">
        <v>353</v>
      </c>
      <c r="P418" s="3">
        <f>(39493.49*(IF((VLOOKUP(B418,AmmoTypeFactors,6,FALSE)="Bomb_Secondary"),1.33,1)*('Ammo Input'!H418*0.35)/1000)^0.6/1000)*10/3*VLOOKUP(B418,AmmoTypeFactors,4,FALSE)</f>
        <v>7.78006050606735</v>
      </c>
    </row>
    <row r="419" ht="14.4" spans="1:16">
      <c r="A419" t="str">
        <f>'Ammo Input'!A419</f>
        <v>7.62x54mmR</v>
      </c>
      <c r="B419" s="1" t="str">
        <f>'Ammo Input'!B419</f>
        <v>Sabot</v>
      </c>
      <c r="C419">
        <f>(0.579*('Ammo Stats'!G419*IF(OR(B419="HEAT",B419="HEDP"),10,'Ammo Input'!F419)*VLOOKUP(B419,AmmoTypeFactors,7,FALSE))^(0.346))^IF(B419="HEDP",2.1,1)/IF(B419="HEDP",50,1)</f>
        <v>14.192480129722</v>
      </c>
      <c r="D419" s="16">
        <f>IF(VLOOKUP(B419,AmmoTypeFactors,8,FALSE),J419,C419)*VLOOKUP('Ammo Input'!B419,AmmoTypeFactors,2,FALSE)</f>
        <v>9.93473609080541</v>
      </c>
      <c r="E419" s="16">
        <f>IF(OR(VLOOKUP(B419,AmmoTypeFactors,6,FALSE)="Bomb",VLOOKUP(B419,AmmoTypeFactors,6,FALSE)="Thermobaric"),J419*VLOOKUP(B419,AmmoTypeFactors,4,FALSE),IF(VLOOKUP(B419,AmmoTypeFactors,11,FALSE),P419,C419*VLOOKUP(B419,AmmoTypeFactors,4,FALSE)))</f>
        <v>0</v>
      </c>
      <c r="F419" s="16">
        <f>'Ammo Stats'!G419/0.005</f>
        <v>872800</v>
      </c>
      <c r="G419" s="16">
        <f>(IF(B419="HEAT",10,'Ammo Input'!F419)*VLOOKUP(B419,AmmoTypeFactors,7,FALSE)*0.5)^2*PI()/100</f>
        <v>0.0443013651541373</v>
      </c>
      <c r="H419" s="10">
        <f t="shared" si="15"/>
        <v>87.28</v>
      </c>
      <c r="I419" s="10">
        <f>IF(B419&lt;&gt;"Arrow (Flaming)",39493.49*'Ammo Input'!M419^0.6/1000,0)</f>
        <v>0</v>
      </c>
      <c r="J419">
        <f t="shared" si="16"/>
        <v>0</v>
      </c>
      <c r="K419">
        <f t="shared" si="17"/>
        <v>10</v>
      </c>
      <c r="L419">
        <f>200000/('Ammo Stats'!C419*(MAX('Ammo Input'!D419,'Ammo Input'!F419)*0.5)^2*PI())</f>
        <v>55472.7198862854</v>
      </c>
      <c r="M419">
        <f>IF(B419="Frag",1,('Ammo Input'!M419/1.33)/('Ammo Input'!H419/1000))</f>
        <v>0</v>
      </c>
      <c r="N419" t="s">
        <v>353</v>
      </c>
      <c r="O419" t="s">
        <v>353</v>
      </c>
      <c r="P419" s="3">
        <f>(39493.49*(IF((VLOOKUP(B419,AmmoTypeFactors,6,FALSE)="Bomb_Secondary"),1.33,1)*('Ammo Input'!H419*0.35)/1000)^0.6/1000)*10/3*VLOOKUP(B419,AmmoTypeFactors,4,FALSE)</f>
        <v>0</v>
      </c>
    </row>
    <row r="420" ht="14.4" spans="1:16">
      <c r="A420" t="str">
        <f>'Ammo Input'!A420</f>
        <v>6.5mm Creedmoor</v>
      </c>
      <c r="B420" s="1" t="str">
        <f>'Ammo Input'!B420</f>
        <v>FMJ</v>
      </c>
      <c r="C420">
        <f>(0.579*('Ammo Stats'!G420*IF(OR(B420="HEAT",B420="HEDP"),10,'Ammo Input'!F420)*VLOOKUP(B420,AmmoTypeFactors,7,FALSE))^(0.346))^IF(B420="HEDP",2.1,1)/IF(B420="HEDP",50,1)</f>
        <v>18.2498756042444</v>
      </c>
      <c r="D420" s="16">
        <f>IF(VLOOKUP(B420,AmmoTypeFactors,8,FALSE),J420,C420)*VLOOKUP('Ammo Input'!B420,AmmoTypeFactors,2,FALSE)</f>
        <v>18.2498756042444</v>
      </c>
      <c r="E420" s="16">
        <f>IF(OR(VLOOKUP(B420,AmmoTypeFactors,6,FALSE)="Bomb",VLOOKUP(B420,AmmoTypeFactors,6,FALSE)="Thermobaric"),J420*VLOOKUP(B420,AmmoTypeFactors,4,FALSE),IF(VLOOKUP(B420,AmmoTypeFactors,11,FALSE),P420,C420*VLOOKUP(B420,AmmoTypeFactors,4,FALSE)))</f>
        <v>0</v>
      </c>
      <c r="F420" s="16">
        <f>'Ammo Stats'!G420/0.005</f>
        <v>638000</v>
      </c>
      <c r="G420" s="16">
        <f>(IF(B420="HEAT",10,'Ammo Input'!F420)*VLOOKUP(B420,AmmoTypeFactors,7,FALSE)*0.5)^2*PI()/100</f>
        <v>0.354673244219673</v>
      </c>
      <c r="H420" s="10">
        <f t="shared" si="15"/>
        <v>63.8</v>
      </c>
      <c r="I420" s="10">
        <f>IF(B420&lt;&gt;"Arrow (Flaming)",39493.49*'Ammo Input'!M420^0.6/1000,0)</f>
        <v>0</v>
      </c>
      <c r="J420">
        <f t="shared" si="16"/>
        <v>0</v>
      </c>
      <c r="K420">
        <f t="shared" si="17"/>
        <v>9</v>
      </c>
      <c r="L420">
        <f>200000/('Ammo Stats'!C420*(MAX('Ammo Input'!D420,'Ammo Input'!F420)*0.5)^2*PI())</f>
        <v>61481.3119534106</v>
      </c>
      <c r="M420">
        <f>IF(B420="Frag",1,('Ammo Input'!M420/1.33)/('Ammo Input'!H420/1000))</f>
        <v>0</v>
      </c>
      <c r="N420" t="s">
        <v>353</v>
      </c>
      <c r="O420" t="s">
        <v>353</v>
      </c>
      <c r="P420" s="3">
        <f>(39493.49*(IF((VLOOKUP(B420,AmmoTypeFactors,6,FALSE)="Bomb_Secondary"),1.33,1)*('Ammo Input'!H420*0.35)/1000)^0.6/1000)*10/3*VLOOKUP(B420,AmmoTypeFactors,4,FALSE)</f>
        <v>0</v>
      </c>
    </row>
    <row r="421" ht="14.4" spans="1:16">
      <c r="A421" t="str">
        <f>'Ammo Input'!A421</f>
        <v>6.5mm Creedmoor</v>
      </c>
      <c r="B421" s="1" t="str">
        <f>'Ammo Input'!B421</f>
        <v>AP</v>
      </c>
      <c r="C421">
        <f>(0.579*('Ammo Stats'!G421*IF(OR(B421="HEAT",B421="HEDP"),10,'Ammo Input'!F421)*VLOOKUP(B421,AmmoTypeFactors,7,FALSE))^(0.346))^IF(B421="HEDP",2.1,1)/IF(B421="HEDP",50,1)</f>
        <v>14.3583167577937</v>
      </c>
      <c r="D421" s="16">
        <f>IF(VLOOKUP(B421,AmmoTypeFactors,8,FALSE),J421,C421)*VLOOKUP('Ammo Input'!B421,AmmoTypeFactors,2,FALSE)</f>
        <v>11.486653406235</v>
      </c>
      <c r="E421" s="16">
        <f>IF(OR(VLOOKUP(B421,AmmoTypeFactors,6,FALSE)="Bomb",VLOOKUP(B421,AmmoTypeFactors,6,FALSE)="Thermobaric"),J421*VLOOKUP(B421,AmmoTypeFactors,4,FALSE),IF(VLOOKUP(B421,AmmoTypeFactors,11,FALSE),P421,C421*VLOOKUP(B421,AmmoTypeFactors,4,FALSE)))</f>
        <v>0</v>
      </c>
      <c r="F421" s="16">
        <f>'Ammo Stats'!G421/0.005</f>
        <v>638000</v>
      </c>
      <c r="G421" s="16">
        <f>(IF(B421="HEAT",10,'Ammo Input'!F421)*VLOOKUP(B421,AmmoTypeFactors,7,FALSE)*0.5)^2*PI()/100</f>
        <v>0.0886683110549183</v>
      </c>
      <c r="H421" s="10">
        <f t="shared" si="15"/>
        <v>63.8</v>
      </c>
      <c r="I421" s="10">
        <f>IF(B421&lt;&gt;"Arrow (Flaming)",39493.49*'Ammo Input'!M421^0.6/1000,0)</f>
        <v>0</v>
      </c>
      <c r="J421">
        <f t="shared" si="16"/>
        <v>0</v>
      </c>
      <c r="K421">
        <f t="shared" si="17"/>
        <v>9</v>
      </c>
      <c r="L421">
        <f>200000/('Ammo Stats'!C421*(MAX('Ammo Input'!D421,'Ammo Input'!F421)*0.5)^2*PI())</f>
        <v>61481.3119534106</v>
      </c>
      <c r="M421">
        <f>IF(B421="Frag",1,('Ammo Input'!M421/1.33)/('Ammo Input'!H421/1000))</f>
        <v>0</v>
      </c>
      <c r="N421" t="s">
        <v>353</v>
      </c>
      <c r="O421" t="s">
        <v>353</v>
      </c>
      <c r="P421" s="3">
        <f>(39493.49*(IF((VLOOKUP(B421,AmmoTypeFactors,6,FALSE)="Bomb_Secondary"),1.33,1)*('Ammo Input'!H421*0.35)/1000)^0.6/1000)*10/3*VLOOKUP(B421,AmmoTypeFactors,4,FALSE)</f>
        <v>0</v>
      </c>
    </row>
    <row r="422" ht="14.4" spans="1:16">
      <c r="A422" t="str">
        <f>'Ammo Input'!A422</f>
        <v>6.5mm Creedmoor</v>
      </c>
      <c r="B422" s="1" t="str">
        <f>'Ammo Input'!B422</f>
        <v>HP</v>
      </c>
      <c r="C422">
        <f>(0.579*('Ammo Stats'!G422*IF(OR(B422="HEAT",B422="HEDP"),10,'Ammo Input'!F422)*VLOOKUP(B422,AmmoTypeFactors,7,FALSE))^(0.346))^IF(B422="HEDP",2.1,1)/IF(B422="HEDP",50,1)</f>
        <v>23.196170218881</v>
      </c>
      <c r="D422" s="16">
        <f>IF(VLOOKUP(B422,AmmoTypeFactors,8,FALSE),J422,C422)*VLOOKUP('Ammo Input'!B422,AmmoTypeFactors,2,FALSE)</f>
        <v>23.196170218881</v>
      </c>
      <c r="E422" s="16">
        <f>IF(OR(VLOOKUP(B422,AmmoTypeFactors,6,FALSE)="Bomb",VLOOKUP(B422,AmmoTypeFactors,6,FALSE)="Thermobaric"),J422*VLOOKUP(B422,AmmoTypeFactors,4,FALSE),IF(VLOOKUP(B422,AmmoTypeFactors,11,FALSE),P422,C422*VLOOKUP(B422,AmmoTypeFactors,4,FALSE)))</f>
        <v>0</v>
      </c>
      <c r="F422" s="16">
        <f>'Ammo Stats'!G422/0.005</f>
        <v>638000</v>
      </c>
      <c r="G422" s="16">
        <f>(IF(B422="HEAT",10,'Ammo Input'!F422)*VLOOKUP(B422,AmmoTypeFactors,7,FALSE)*0.5)^2*PI()/100</f>
        <v>1.41869297687869</v>
      </c>
      <c r="H422" s="10">
        <f t="shared" si="15"/>
        <v>63.8</v>
      </c>
      <c r="I422" s="10">
        <f>IF(B422&lt;&gt;"Arrow (Flaming)",39493.49*'Ammo Input'!M422^0.6/1000,0)</f>
        <v>0</v>
      </c>
      <c r="J422">
        <f t="shared" si="16"/>
        <v>0</v>
      </c>
      <c r="K422">
        <f t="shared" si="17"/>
        <v>9</v>
      </c>
      <c r="L422">
        <f>200000/('Ammo Stats'!C422*(MAX('Ammo Input'!D422,'Ammo Input'!F422)*0.5)^2*PI())</f>
        <v>61481.3119534106</v>
      </c>
      <c r="M422">
        <f>IF(B422="Frag",1,('Ammo Input'!M422/1.33)/('Ammo Input'!H422/1000))</f>
        <v>0</v>
      </c>
      <c r="N422" t="s">
        <v>353</v>
      </c>
      <c r="O422" t="s">
        <v>353</v>
      </c>
      <c r="P422" s="3">
        <f>(39493.49*(IF((VLOOKUP(B422,AmmoTypeFactors,6,FALSE)="Bomb_Secondary"),1.33,1)*('Ammo Input'!H422*0.35)/1000)^0.6/1000)*10/3*VLOOKUP(B422,AmmoTypeFactors,4,FALSE)</f>
        <v>0</v>
      </c>
    </row>
    <row r="423" ht="14.4" spans="1:16">
      <c r="A423" t="str">
        <f>'Ammo Input'!A423</f>
        <v>6.5mm Creedmoor</v>
      </c>
      <c r="B423" s="1" t="str">
        <f>'Ammo Input'!B423</f>
        <v>AP-I</v>
      </c>
      <c r="C423">
        <f>(0.579*('Ammo Stats'!G423*IF(OR(B423="HEAT",B423="HEDP"),10,'Ammo Input'!F423)*VLOOKUP(B423,AmmoTypeFactors,7,FALSE))^(0.346))^IF(B423="HEDP",2.1,1)/IF(B423="HEDP",50,1)</f>
        <v>14.3583167577937</v>
      </c>
      <c r="D423" s="16">
        <f>IF(VLOOKUP(B423,AmmoTypeFactors,8,FALSE),J423,C423)*VLOOKUP('Ammo Input'!B423,AmmoTypeFactors,2,FALSE)</f>
        <v>11.486653406235</v>
      </c>
      <c r="E423" s="16">
        <f>IF(OR(VLOOKUP(B423,AmmoTypeFactors,6,FALSE)="Bomb",VLOOKUP(B423,AmmoTypeFactors,6,FALSE)="Thermobaric"),J423*VLOOKUP(B423,AmmoTypeFactors,4,FALSE),IF(VLOOKUP(B423,AmmoTypeFactors,11,FALSE),P423,C423*VLOOKUP(B423,AmmoTypeFactors,4,FALSE)))</f>
        <v>5.4923098464659</v>
      </c>
      <c r="F423" s="16">
        <f>'Ammo Stats'!G423/0.005</f>
        <v>638000</v>
      </c>
      <c r="G423" s="16">
        <f>(IF(B423="HEAT",10,'Ammo Input'!F423)*VLOOKUP(B423,AmmoTypeFactors,7,FALSE)*0.5)^2*PI()/100</f>
        <v>0.0886683110549183</v>
      </c>
      <c r="H423" s="10">
        <f t="shared" si="15"/>
        <v>63.8</v>
      </c>
      <c r="I423" s="10">
        <f>IF(B423&lt;&gt;"Arrow (Flaming)",39493.49*'Ammo Input'!M423^0.6/1000,0)</f>
        <v>0</v>
      </c>
      <c r="J423">
        <f t="shared" si="16"/>
        <v>0</v>
      </c>
      <c r="K423">
        <f t="shared" si="17"/>
        <v>9</v>
      </c>
      <c r="L423">
        <f>200000/('Ammo Stats'!C423*(MAX('Ammo Input'!D423,'Ammo Input'!F423)*0.5)^2*PI())</f>
        <v>61481.3119534106</v>
      </c>
      <c r="M423">
        <f>IF(B423="Frag",1,('Ammo Input'!M423/1.33)/('Ammo Input'!H423/1000))</f>
        <v>0</v>
      </c>
      <c r="N423" t="s">
        <v>353</v>
      </c>
      <c r="O423" t="s">
        <v>353</v>
      </c>
      <c r="P423" s="3">
        <f>(39493.49*(IF((VLOOKUP(B423,AmmoTypeFactors,6,FALSE)="Bomb_Secondary"),1.33,1)*('Ammo Input'!H423*0.35)/1000)^0.6/1000)*10/3*VLOOKUP(B423,AmmoTypeFactors,4,FALSE)</f>
        <v>5.4923098464659</v>
      </c>
    </row>
    <row r="424" ht="14.4" spans="1:16">
      <c r="A424" t="str">
        <f>'Ammo Input'!A424</f>
        <v>6.5mm Creedmoor</v>
      </c>
      <c r="B424" s="1" t="str">
        <f>'Ammo Input'!B424</f>
        <v>AP-HE</v>
      </c>
      <c r="C424">
        <f>(0.579*('Ammo Stats'!G424*IF(OR(B424="HEAT",B424="HEDP"),10,'Ammo Input'!F424)*VLOOKUP(B424,AmmoTypeFactors,7,FALSE))^(0.346))^IF(B424="HEDP",2.1,1)/IF(B424="HEDP",50,1)</f>
        <v>18.2498756042444</v>
      </c>
      <c r="D424" s="16">
        <f>IF(VLOOKUP(B424,AmmoTypeFactors,8,FALSE),J424,C424)*VLOOKUP('Ammo Input'!B424,AmmoTypeFactors,2,FALSE)</f>
        <v>18.2498756042444</v>
      </c>
      <c r="E424" s="16">
        <f>IF(OR(VLOOKUP(B424,AmmoTypeFactors,6,FALSE)="Bomb",VLOOKUP(B424,AmmoTypeFactors,6,FALSE)="Thermobaric"),J424*VLOOKUP(B424,AmmoTypeFactors,4,FALSE),IF(VLOOKUP(B424,AmmoTypeFactors,11,FALSE),P424,C424*VLOOKUP(B424,AmmoTypeFactors,4,FALSE)))</f>
        <v>7.51993213318403</v>
      </c>
      <c r="F424" s="16">
        <f>'Ammo Stats'!G424/0.005</f>
        <v>638000</v>
      </c>
      <c r="G424" s="16">
        <f>(IF(B424="HEAT",10,'Ammo Input'!F424)*VLOOKUP(B424,AmmoTypeFactors,7,FALSE)*0.5)^2*PI()/100</f>
        <v>0.354673244219673</v>
      </c>
      <c r="H424" s="10">
        <f t="shared" si="15"/>
        <v>63.8</v>
      </c>
      <c r="I424" s="10">
        <f>IF(B424&lt;&gt;"Arrow (Flaming)",39493.49*'Ammo Input'!M424^0.6/1000,0)</f>
        <v>0</v>
      </c>
      <c r="J424">
        <f t="shared" si="16"/>
        <v>0</v>
      </c>
      <c r="K424">
        <f t="shared" si="17"/>
        <v>9</v>
      </c>
      <c r="L424">
        <f>200000/('Ammo Stats'!C424*(MAX('Ammo Input'!D424,'Ammo Input'!F424)*0.5)^2*PI())</f>
        <v>61481.3119534106</v>
      </c>
      <c r="M424">
        <f>IF(B424="Frag",1,('Ammo Input'!M424/1.33)/('Ammo Input'!H424/1000))</f>
        <v>0</v>
      </c>
      <c r="N424" t="s">
        <v>353</v>
      </c>
      <c r="O424" t="s">
        <v>353</v>
      </c>
      <c r="P424" s="3">
        <f>(39493.49*(IF((VLOOKUP(B424,AmmoTypeFactors,6,FALSE)="Bomb_Secondary"),1.33,1)*('Ammo Input'!H424*0.35)/1000)^0.6/1000)*10/3*VLOOKUP(B424,AmmoTypeFactors,4,FALSE)</f>
        <v>7.51993213318403</v>
      </c>
    </row>
    <row r="425" ht="14.4" spans="1:16">
      <c r="A425" t="str">
        <f>'Ammo Input'!A425</f>
        <v>6.5mm Creedmoor</v>
      </c>
      <c r="B425" s="1" t="str">
        <f>'Ammo Input'!B425</f>
        <v>Sabot</v>
      </c>
      <c r="C425">
        <f>(0.579*('Ammo Stats'!G425*IF(OR(B425="HEAT",B425="HEDP"),10,'Ammo Input'!F425)*VLOOKUP(B425,AmmoTypeFactors,7,FALSE))^(0.346))^IF(B425="HEDP",2.1,1)/IF(B425="HEDP",50,1)</f>
        <v>12.9039895680139</v>
      </c>
      <c r="D425" s="16">
        <f>IF(VLOOKUP(B425,AmmoTypeFactors,8,FALSE),J425,C425)*VLOOKUP('Ammo Input'!B425,AmmoTypeFactors,2,FALSE)</f>
        <v>9.0327926976097</v>
      </c>
      <c r="E425" s="16">
        <f>IF(OR(VLOOKUP(B425,AmmoTypeFactors,6,FALSE)="Bomb",VLOOKUP(B425,AmmoTypeFactors,6,FALSE)="Thermobaric"),J425*VLOOKUP(B425,AmmoTypeFactors,4,FALSE),IF(VLOOKUP(B425,AmmoTypeFactors,11,FALSE),P425,C425*VLOOKUP(B425,AmmoTypeFactors,4,FALSE)))</f>
        <v>0</v>
      </c>
      <c r="F425" s="16">
        <f>'Ammo Stats'!G425/0.005</f>
        <v>820000</v>
      </c>
      <c r="G425" s="16">
        <f>(IF(B425="HEAT",10,'Ammo Input'!F425)*VLOOKUP(B425,AmmoTypeFactors,7,FALSE)*0.5)^2*PI()/100</f>
        <v>0.0289529178954835</v>
      </c>
      <c r="H425" s="10">
        <f t="shared" si="15"/>
        <v>82</v>
      </c>
      <c r="I425" s="10">
        <f>IF(B425&lt;&gt;"Arrow (Flaming)",39493.49*'Ammo Input'!M425^0.6/1000,0)</f>
        <v>0</v>
      </c>
      <c r="J425">
        <f t="shared" si="16"/>
        <v>0</v>
      </c>
      <c r="K425">
        <f t="shared" si="17"/>
        <v>9</v>
      </c>
      <c r="L425">
        <f>200000/('Ammo Stats'!C425*(MAX('Ammo Input'!D425,'Ammo Input'!F425)*0.5)^2*PI())</f>
        <v>61481.3119534106</v>
      </c>
      <c r="M425">
        <f>IF(B425="Frag",1,('Ammo Input'!M425/1.33)/('Ammo Input'!H425/1000))</f>
        <v>0</v>
      </c>
      <c r="N425" t="s">
        <v>353</v>
      </c>
      <c r="O425" t="s">
        <v>353</v>
      </c>
      <c r="P425" s="3">
        <f>(39493.49*(IF((VLOOKUP(B425,AmmoTypeFactors,6,FALSE)="Bomb_Secondary"),1.33,1)*('Ammo Input'!H425*0.35)/1000)^0.6/1000)*10/3*VLOOKUP(B425,AmmoTypeFactors,4,FALSE)</f>
        <v>0</v>
      </c>
    </row>
    <row r="426" ht="14.4" spans="1:16">
      <c r="A426" t="str">
        <f>'Ammo Input'!A426</f>
        <v>.243 Winchester</v>
      </c>
      <c r="B426" s="1" t="str">
        <f>'Ammo Input'!B426</f>
        <v>FMJ</v>
      </c>
      <c r="C426">
        <f>(0.579*('Ammo Stats'!G426*IF(OR(B426="HEAT",B426="HEDP"),10,'Ammo Input'!F426)*VLOOKUP(B426,AmmoTypeFactors,7,FALSE))^(0.346))^IF(B426="HEDP",2.1,1)/IF(B426="HEDP",50,1)</f>
        <v>16.3916421280036</v>
      </c>
      <c r="D426" s="16">
        <f>IF(VLOOKUP(B426,AmmoTypeFactors,8,FALSE),J426,C426)*VLOOKUP('Ammo Input'!B426,AmmoTypeFactors,2,FALSE)</f>
        <v>16.3916421280036</v>
      </c>
      <c r="E426" s="16">
        <f>IF(OR(VLOOKUP(B426,AmmoTypeFactors,6,FALSE)="Bomb",VLOOKUP(B426,AmmoTypeFactors,6,FALSE)="Thermobaric"),J426*VLOOKUP(B426,AmmoTypeFactors,4,FALSE),IF(VLOOKUP(B426,AmmoTypeFactors,11,FALSE),P426,C426*VLOOKUP(B426,AmmoTypeFactors,4,FALSE)))</f>
        <v>0</v>
      </c>
      <c r="F426" s="16">
        <f>'Ammo Stats'!G426/0.005</f>
        <v>507000</v>
      </c>
      <c r="G426" s="16">
        <f>(IF(B426="HEAT",10,'Ammo Input'!F426)*VLOOKUP(B426,AmmoTypeFactors,7,FALSE)*0.5)^2*PI()/100</f>
        <v>0.301907054009979</v>
      </c>
      <c r="H426" s="10">
        <f t="shared" si="15"/>
        <v>50.7</v>
      </c>
      <c r="I426" s="10">
        <f>IF(B426&lt;&gt;"Arrow (Flaming)",39493.49*'Ammo Input'!M426^0.6/1000,0)</f>
        <v>0</v>
      </c>
      <c r="J426">
        <f t="shared" si="16"/>
        <v>0</v>
      </c>
      <c r="K426">
        <f t="shared" si="17"/>
        <v>8</v>
      </c>
      <c r="L426">
        <f>200000/('Ammo Stats'!C426*(MAX('Ammo Input'!D426,'Ammo Input'!F426)*0.5)^2*PI())</f>
        <v>58946.2752192205</v>
      </c>
      <c r="M426">
        <f>IF(B426="Frag",1,('Ammo Input'!M426/1.33)/('Ammo Input'!H426/1000))</f>
        <v>0</v>
      </c>
      <c r="N426" t="s">
        <v>353</v>
      </c>
      <c r="O426" t="s">
        <v>353</v>
      </c>
      <c r="P426" s="3">
        <f>(39493.49*(IF((VLOOKUP(B426,AmmoTypeFactors,6,FALSE)="Bomb_Secondary"),1.33,1)*('Ammo Input'!H426*0.35)/1000)^0.6/1000)*10/3*VLOOKUP(B426,AmmoTypeFactors,4,FALSE)</f>
        <v>0</v>
      </c>
    </row>
    <row r="427" ht="14.4" spans="1:16">
      <c r="A427" t="str">
        <f>'Ammo Input'!A427</f>
        <v>.243 Winchester</v>
      </c>
      <c r="B427" s="1" t="str">
        <f>'Ammo Input'!B427</f>
        <v>AP</v>
      </c>
      <c r="C427">
        <f>(0.579*('Ammo Stats'!G427*IF(OR(B427="HEAT",B427="HEDP"),10,'Ammo Input'!F427)*VLOOKUP(B427,AmmoTypeFactors,7,FALSE))^(0.346))^IF(B427="HEDP",2.1,1)/IF(B427="HEDP",50,1)</f>
        <v>12.8963284439886</v>
      </c>
      <c r="D427" s="16">
        <f>IF(VLOOKUP(B427,AmmoTypeFactors,8,FALSE),J427,C427)*VLOOKUP('Ammo Input'!B427,AmmoTypeFactors,2,FALSE)</f>
        <v>10.3170627551909</v>
      </c>
      <c r="E427" s="16">
        <f>IF(OR(VLOOKUP(B427,AmmoTypeFactors,6,FALSE)="Bomb",VLOOKUP(B427,AmmoTypeFactors,6,FALSE)="Thermobaric"),J427*VLOOKUP(B427,AmmoTypeFactors,4,FALSE),IF(VLOOKUP(B427,AmmoTypeFactors,11,FALSE),P427,C427*VLOOKUP(B427,AmmoTypeFactors,4,FALSE)))</f>
        <v>0</v>
      </c>
      <c r="F427" s="16">
        <f>'Ammo Stats'!G427/0.005</f>
        <v>507000</v>
      </c>
      <c r="G427" s="16">
        <f>(IF(B427="HEAT",10,'Ammo Input'!F427)*VLOOKUP(B427,AmmoTypeFactors,7,FALSE)*0.5)^2*PI()/100</f>
        <v>0.0754767635024948</v>
      </c>
      <c r="H427" s="10">
        <f t="shared" si="15"/>
        <v>50.7</v>
      </c>
      <c r="I427" s="10">
        <f>IF(B427&lt;&gt;"Arrow (Flaming)",39493.49*'Ammo Input'!M427^0.6/1000,0)</f>
        <v>0</v>
      </c>
      <c r="J427">
        <f t="shared" si="16"/>
        <v>0</v>
      </c>
      <c r="K427">
        <f t="shared" si="17"/>
        <v>8</v>
      </c>
      <c r="L427">
        <f>200000/('Ammo Stats'!C427*(MAX('Ammo Input'!D427,'Ammo Input'!F427)*0.5)^2*PI())</f>
        <v>58946.2752192205</v>
      </c>
      <c r="M427">
        <f>IF(B427="Frag",1,('Ammo Input'!M427/1.33)/('Ammo Input'!H427/1000))</f>
        <v>0</v>
      </c>
      <c r="N427" t="s">
        <v>353</v>
      </c>
      <c r="O427" t="s">
        <v>353</v>
      </c>
      <c r="P427" s="3">
        <f>(39493.49*(IF((VLOOKUP(B427,AmmoTypeFactors,6,FALSE)="Bomb_Secondary"),1.33,1)*('Ammo Input'!H427*0.35)/1000)^0.6/1000)*10/3*VLOOKUP(B427,AmmoTypeFactors,4,FALSE)</f>
        <v>0</v>
      </c>
    </row>
    <row r="428" ht="14.4" spans="1:16">
      <c r="A428" t="str">
        <f>'Ammo Input'!A428</f>
        <v>.243 Winchester</v>
      </c>
      <c r="B428" s="1" t="str">
        <f>'Ammo Input'!B428</f>
        <v>HP</v>
      </c>
      <c r="C428">
        <f>(0.579*('Ammo Stats'!G428*IF(OR(B428="HEAT",B428="HEDP"),10,'Ammo Input'!F428)*VLOOKUP(B428,AmmoTypeFactors,7,FALSE))^(0.346))^IF(B428="HEDP",2.1,1)/IF(B428="HEDP",50,1)</f>
        <v>20.8342965844503</v>
      </c>
      <c r="D428" s="16">
        <f>IF(VLOOKUP(B428,AmmoTypeFactors,8,FALSE),J428,C428)*VLOOKUP('Ammo Input'!B428,AmmoTypeFactors,2,FALSE)</f>
        <v>20.8342965844503</v>
      </c>
      <c r="E428" s="16">
        <f>IF(OR(VLOOKUP(B428,AmmoTypeFactors,6,FALSE)="Bomb",VLOOKUP(B428,AmmoTypeFactors,6,FALSE)="Thermobaric"),J428*VLOOKUP(B428,AmmoTypeFactors,4,FALSE),IF(VLOOKUP(B428,AmmoTypeFactors,11,FALSE),P428,C428*VLOOKUP(B428,AmmoTypeFactors,4,FALSE)))</f>
        <v>0</v>
      </c>
      <c r="F428" s="16">
        <f>'Ammo Stats'!G428/0.005</f>
        <v>507000</v>
      </c>
      <c r="G428" s="16">
        <f>(IF(B428="HEAT",10,'Ammo Input'!F428)*VLOOKUP(B428,AmmoTypeFactors,7,FALSE)*0.5)^2*PI()/100</f>
        <v>1.20762821603992</v>
      </c>
      <c r="H428" s="10">
        <f t="shared" si="15"/>
        <v>50.7</v>
      </c>
      <c r="I428" s="10">
        <f>IF(B428&lt;&gt;"Arrow (Flaming)",39493.49*'Ammo Input'!M428^0.6/1000,0)</f>
        <v>0</v>
      </c>
      <c r="J428">
        <f t="shared" si="16"/>
        <v>0</v>
      </c>
      <c r="K428">
        <f t="shared" si="17"/>
        <v>8</v>
      </c>
      <c r="L428">
        <f>200000/('Ammo Stats'!C428*(MAX('Ammo Input'!D428,'Ammo Input'!F428)*0.5)^2*PI())</f>
        <v>58946.2752192205</v>
      </c>
      <c r="M428">
        <f>IF(B428="Frag",1,('Ammo Input'!M428/1.33)/('Ammo Input'!H428/1000))</f>
        <v>0</v>
      </c>
      <c r="N428" t="s">
        <v>353</v>
      </c>
      <c r="O428" t="s">
        <v>353</v>
      </c>
      <c r="P428" s="3">
        <f>(39493.49*(IF((VLOOKUP(B428,AmmoTypeFactors,6,FALSE)="Bomb_Secondary"),1.33,1)*('Ammo Input'!H428*0.35)/1000)^0.6/1000)*10/3*VLOOKUP(B428,AmmoTypeFactors,4,FALSE)</f>
        <v>0</v>
      </c>
    </row>
    <row r="429" ht="14.4" spans="1:16">
      <c r="A429" t="str">
        <f>'Ammo Input'!A429</f>
        <v>.243 Winchester</v>
      </c>
      <c r="B429" s="1" t="str">
        <f>'Ammo Input'!B429</f>
        <v>AP-I</v>
      </c>
      <c r="C429">
        <f>(0.579*('Ammo Stats'!G429*IF(OR(B429="HEAT",B429="HEDP"),10,'Ammo Input'!F429)*VLOOKUP(B429,AmmoTypeFactors,7,FALSE))^(0.346))^IF(B429="HEDP",2.1,1)/IF(B429="HEDP",50,1)</f>
        <v>12.8963284439886</v>
      </c>
      <c r="D429" s="16">
        <f>IF(VLOOKUP(B429,AmmoTypeFactors,8,FALSE),J429,C429)*VLOOKUP('Ammo Input'!B429,AmmoTypeFactors,2,FALSE)</f>
        <v>10.3170627551909</v>
      </c>
      <c r="E429" s="16">
        <f>IF(OR(VLOOKUP(B429,AmmoTypeFactors,6,FALSE)="Bomb",VLOOKUP(B429,AmmoTypeFactors,6,FALSE)="Thermobaric"),J429*VLOOKUP(B429,AmmoTypeFactors,4,FALSE),IF(VLOOKUP(B429,AmmoTypeFactors,11,FALSE),P429,C429*VLOOKUP(B429,AmmoTypeFactors,4,FALSE)))</f>
        <v>4.2964870513252</v>
      </c>
      <c r="F429" s="16">
        <f>'Ammo Stats'!G429/0.005</f>
        <v>507000</v>
      </c>
      <c r="G429" s="16">
        <f>(IF(B429="HEAT",10,'Ammo Input'!F429)*VLOOKUP(B429,AmmoTypeFactors,7,FALSE)*0.5)^2*PI()/100</f>
        <v>0.0754767635024948</v>
      </c>
      <c r="H429" s="10">
        <f t="shared" si="15"/>
        <v>50.7</v>
      </c>
      <c r="I429" s="10">
        <f>IF(B429&lt;&gt;"Arrow (Flaming)",39493.49*'Ammo Input'!M429^0.6/1000,0)</f>
        <v>0</v>
      </c>
      <c r="J429">
        <f t="shared" si="16"/>
        <v>0</v>
      </c>
      <c r="K429">
        <f t="shared" si="17"/>
        <v>8</v>
      </c>
      <c r="L429">
        <f>200000/('Ammo Stats'!C429*(MAX('Ammo Input'!D429,'Ammo Input'!F429)*0.5)^2*PI())</f>
        <v>58946.2752192205</v>
      </c>
      <c r="M429">
        <f>IF(B429="Frag",1,('Ammo Input'!M429/1.33)/('Ammo Input'!H429/1000))</f>
        <v>0</v>
      </c>
      <c r="N429" t="s">
        <v>353</v>
      </c>
      <c r="O429" t="s">
        <v>353</v>
      </c>
      <c r="P429" s="3">
        <f>(39493.49*(IF((VLOOKUP(B429,AmmoTypeFactors,6,FALSE)="Bomb_Secondary"),1.33,1)*('Ammo Input'!H429*0.35)/1000)^0.6/1000)*10/3*VLOOKUP(B429,AmmoTypeFactors,4,FALSE)</f>
        <v>4.2964870513252</v>
      </c>
    </row>
    <row r="430" ht="14.4" spans="1:16">
      <c r="A430" t="str">
        <f>'Ammo Input'!A430</f>
        <v>.243 Winchester</v>
      </c>
      <c r="B430" s="1" t="str">
        <f>'Ammo Input'!B430</f>
        <v>AP-HE</v>
      </c>
      <c r="C430">
        <f>(0.579*('Ammo Stats'!G430*IF(OR(B430="HEAT",B430="HEDP"),10,'Ammo Input'!F430)*VLOOKUP(B430,AmmoTypeFactors,7,FALSE))^(0.346))^IF(B430="HEDP",2.1,1)/IF(B430="HEDP",50,1)</f>
        <v>16.3916421280036</v>
      </c>
      <c r="D430" s="16">
        <f>IF(VLOOKUP(B430,AmmoTypeFactors,8,FALSE),J430,C430)*VLOOKUP('Ammo Input'!B430,AmmoTypeFactors,2,FALSE)</f>
        <v>16.3916421280036</v>
      </c>
      <c r="E430" s="16">
        <f>IF(OR(VLOOKUP(B430,AmmoTypeFactors,6,FALSE)="Bomb",VLOOKUP(B430,AmmoTypeFactors,6,FALSE)="Thermobaric"),J430*VLOOKUP(B430,AmmoTypeFactors,4,FALSE),IF(VLOOKUP(B430,AmmoTypeFactors,11,FALSE),P430,C430*VLOOKUP(B430,AmmoTypeFactors,4,FALSE)))</f>
        <v>5.88264171910463</v>
      </c>
      <c r="F430" s="16">
        <f>'Ammo Stats'!G430/0.005</f>
        <v>507000</v>
      </c>
      <c r="G430" s="16">
        <f>(IF(B430="HEAT",10,'Ammo Input'!F430)*VLOOKUP(B430,AmmoTypeFactors,7,FALSE)*0.5)^2*PI()/100</f>
        <v>0.301907054009979</v>
      </c>
      <c r="H430" s="10">
        <f t="shared" si="15"/>
        <v>50.7</v>
      </c>
      <c r="I430" s="10">
        <f>IF(B430&lt;&gt;"Arrow (Flaming)",39493.49*'Ammo Input'!M430^0.6/1000,0)</f>
        <v>0</v>
      </c>
      <c r="J430">
        <f t="shared" si="16"/>
        <v>0</v>
      </c>
      <c r="K430">
        <f t="shared" si="17"/>
        <v>8</v>
      </c>
      <c r="L430">
        <f>200000/('Ammo Stats'!C430*(MAX('Ammo Input'!D430,'Ammo Input'!F430)*0.5)^2*PI())</f>
        <v>58946.2752192205</v>
      </c>
      <c r="M430">
        <f>IF(B430="Frag",1,('Ammo Input'!M430/1.33)/('Ammo Input'!H430/1000))</f>
        <v>0</v>
      </c>
      <c r="N430" t="s">
        <v>353</v>
      </c>
      <c r="O430" t="s">
        <v>353</v>
      </c>
      <c r="P430" s="3">
        <f>(39493.49*(IF((VLOOKUP(B430,AmmoTypeFactors,6,FALSE)="Bomb_Secondary"),1.33,1)*('Ammo Input'!H430*0.35)/1000)^0.6/1000)*10/3*VLOOKUP(B430,AmmoTypeFactors,4,FALSE)</f>
        <v>5.88264171910463</v>
      </c>
    </row>
    <row r="431" ht="14.4" spans="1:16">
      <c r="A431" t="str">
        <f>'Ammo Input'!A431</f>
        <v>.243 Winchester</v>
      </c>
      <c r="B431" s="1" t="str">
        <f>'Ammo Input'!B431</f>
        <v>Sabot</v>
      </c>
      <c r="C431">
        <f>(0.579*('Ammo Stats'!G431*IF(OR(B431="HEAT",B431="HEDP"),10,'Ammo Input'!F431)*VLOOKUP(B431,AmmoTypeFactors,7,FALSE))^(0.346))^IF(B431="HEDP",2.1,1)/IF(B431="HEDP",50,1)</f>
        <v>12.4303235400283</v>
      </c>
      <c r="D431" s="16">
        <f>IF(VLOOKUP(B431,AmmoTypeFactors,8,FALSE),J431,C431)*VLOOKUP('Ammo Input'!B431,AmmoTypeFactors,2,FALSE)</f>
        <v>8.70122647801982</v>
      </c>
      <c r="E431" s="16">
        <f>IF(OR(VLOOKUP(B431,AmmoTypeFactors,6,FALSE)="Bomb",VLOOKUP(B431,AmmoTypeFactors,6,FALSE)="Thermobaric"),J431*VLOOKUP(B431,AmmoTypeFactors,4,FALSE),IF(VLOOKUP(B431,AmmoTypeFactors,11,FALSE),P431,C431*VLOOKUP(B431,AmmoTypeFactors,4,FALSE)))</f>
        <v>0</v>
      </c>
      <c r="F431" s="16">
        <f>'Ammo Stats'!G431/0.005</f>
        <v>651200</v>
      </c>
      <c r="G431" s="16">
        <f>(IF(B431="HEAT",10,'Ammo Input'!F431)*VLOOKUP(B431,AmmoTypeFactors,7,FALSE)*0.5)^2*PI()/100</f>
        <v>0.0369836141162224</v>
      </c>
      <c r="H431" s="10">
        <f t="shared" si="15"/>
        <v>65.12</v>
      </c>
      <c r="I431" s="10">
        <f>IF(B431&lt;&gt;"Arrow (Flaming)",39493.49*'Ammo Input'!M431^0.6/1000,0)</f>
        <v>0</v>
      </c>
      <c r="J431">
        <f t="shared" si="16"/>
        <v>0</v>
      </c>
      <c r="K431">
        <f t="shared" si="17"/>
        <v>9</v>
      </c>
      <c r="L431">
        <f>200000/('Ammo Stats'!C431*(MAX('Ammo Input'!D431,'Ammo Input'!F431)*0.5)^2*PI())</f>
        <v>58946.2752192205</v>
      </c>
      <c r="M431">
        <f>IF(B431="Frag",1,('Ammo Input'!M431/1.33)/('Ammo Input'!H431/1000))</f>
        <v>0</v>
      </c>
      <c r="N431" t="s">
        <v>353</v>
      </c>
      <c r="O431" t="s">
        <v>353</v>
      </c>
      <c r="P431" s="3">
        <f>(39493.49*(IF((VLOOKUP(B431,AmmoTypeFactors,6,FALSE)="Bomb_Secondary"),1.33,1)*('Ammo Input'!H431*0.35)/1000)^0.6/1000)*10/3*VLOOKUP(B431,AmmoTypeFactors,4,FALSE)</f>
        <v>0</v>
      </c>
    </row>
    <row r="432" ht="14.4" spans="1:16">
      <c r="A432" t="str">
        <f>'Ammo Input'!A432</f>
        <v>.56-56 Spencer</v>
      </c>
      <c r="B432" s="1" t="str">
        <f>'Ammo Input'!B432</f>
        <v>FMJ</v>
      </c>
      <c r="C432">
        <f>(0.579*('Ammo Stats'!G432*IF(OR(B432="HEAT",B432="HEDP"),10,'Ammo Input'!F432)*VLOOKUP(B432,AmmoTypeFactors,7,FALSE))^(0.346))^IF(B432="HEDP",2.1,1)/IF(B432="HEDP",50,1)</f>
        <v>18.1952864466173</v>
      </c>
      <c r="D432" s="16">
        <f>IF(VLOOKUP(B432,AmmoTypeFactors,8,FALSE),J432,C432)*VLOOKUP('Ammo Input'!B432,AmmoTypeFactors,2,FALSE)</f>
        <v>18.1952864466173</v>
      </c>
      <c r="E432" s="16">
        <f>IF(OR(VLOOKUP(B432,AmmoTypeFactors,6,FALSE)="Bomb",VLOOKUP(B432,AmmoTypeFactors,6,FALSE)="Thermobaric"),J432*VLOOKUP(B432,AmmoTypeFactors,4,FALSE),IF(VLOOKUP(B432,AmmoTypeFactors,11,FALSE),P432,C432*VLOOKUP(B432,AmmoTypeFactors,4,FALSE)))</f>
        <v>0</v>
      </c>
      <c r="F432" s="16">
        <f>'Ammo Stats'!G432/0.005</f>
        <v>303600</v>
      </c>
      <c r="G432" s="16">
        <f>(IF(B432="HEAT",10,'Ammo Input'!F432)*VLOOKUP(B432,AmmoTypeFactors,7,FALSE)*0.5)^2*PI()/100</f>
        <v>1.539380400259</v>
      </c>
      <c r="H432" s="10">
        <f t="shared" si="15"/>
        <v>30.36</v>
      </c>
      <c r="I432" s="10">
        <f>IF(B432&lt;&gt;"Arrow (Flaming)",39493.49*'Ammo Input'!M432^0.6/1000,0)</f>
        <v>0</v>
      </c>
      <c r="J432">
        <f t="shared" si="16"/>
        <v>0</v>
      </c>
      <c r="K432">
        <f t="shared" si="17"/>
        <v>7</v>
      </c>
      <c r="L432">
        <f>200000/('Ammo Stats'!C432*(MAX('Ammo Input'!D432,'Ammo Input'!F432)*0.5)^2*PI())</f>
        <v>63144.1948390777</v>
      </c>
      <c r="M432">
        <f>IF(B432="Frag",1,('Ammo Input'!M432/1.33)/('Ammo Input'!H432/1000))</f>
        <v>0</v>
      </c>
      <c r="N432" t="s">
        <v>353</v>
      </c>
      <c r="O432" t="s">
        <v>353</v>
      </c>
      <c r="P432" s="3">
        <f>(39493.49*(IF((VLOOKUP(B432,AmmoTypeFactors,6,FALSE)="Bomb_Secondary"),1.33,1)*('Ammo Input'!H432*0.35)/1000)^0.6/1000)*10/3*VLOOKUP(B432,AmmoTypeFactors,4,FALSE)</f>
        <v>0</v>
      </c>
    </row>
    <row r="433" ht="14.4" spans="1:16">
      <c r="A433" t="str">
        <f>'Ammo Input'!A433</f>
        <v>.56-56 Spencer</v>
      </c>
      <c r="B433" s="1" t="str">
        <f>'Ammo Input'!B433</f>
        <v>AP</v>
      </c>
      <c r="C433">
        <f>(0.579*('Ammo Stats'!G433*IF(OR(B433="HEAT",B433="HEDP"),10,'Ammo Input'!F433)*VLOOKUP(B433,AmmoTypeFactors,7,FALSE))^(0.346))^IF(B433="HEDP",2.1,1)/IF(B433="HEDP",50,1)</f>
        <v>14.3153680586492</v>
      </c>
      <c r="D433" s="16">
        <f>IF(VLOOKUP(B433,AmmoTypeFactors,8,FALSE),J433,C433)*VLOOKUP('Ammo Input'!B433,AmmoTypeFactors,2,FALSE)</f>
        <v>11.4522944469194</v>
      </c>
      <c r="E433" s="16">
        <f>IF(OR(VLOOKUP(B433,AmmoTypeFactors,6,FALSE)="Bomb",VLOOKUP(B433,AmmoTypeFactors,6,FALSE)="Thermobaric"),J433*VLOOKUP(B433,AmmoTypeFactors,4,FALSE),IF(VLOOKUP(B433,AmmoTypeFactors,11,FALSE),P433,C433*VLOOKUP(B433,AmmoTypeFactors,4,FALSE)))</f>
        <v>0</v>
      </c>
      <c r="F433" s="16">
        <f>'Ammo Stats'!G433/0.005</f>
        <v>303600</v>
      </c>
      <c r="G433" s="16">
        <f>(IF(B433="HEAT",10,'Ammo Input'!F433)*VLOOKUP(B433,AmmoTypeFactors,7,FALSE)*0.5)^2*PI()/100</f>
        <v>0.38484510006475</v>
      </c>
      <c r="H433" s="10">
        <f t="shared" si="15"/>
        <v>30.36</v>
      </c>
      <c r="I433" s="10">
        <f>IF(B433&lt;&gt;"Arrow (Flaming)",39493.49*'Ammo Input'!M433^0.6/1000,0)</f>
        <v>0</v>
      </c>
      <c r="J433">
        <f t="shared" si="16"/>
        <v>0</v>
      </c>
      <c r="K433">
        <f t="shared" si="17"/>
        <v>7</v>
      </c>
      <c r="L433">
        <f>200000/('Ammo Stats'!C433*(MAX('Ammo Input'!D433,'Ammo Input'!F433)*0.5)^2*PI())</f>
        <v>63144.1948390777</v>
      </c>
      <c r="M433">
        <f>IF(B433="Frag",1,('Ammo Input'!M433/1.33)/('Ammo Input'!H433/1000))</f>
        <v>0</v>
      </c>
      <c r="N433" t="s">
        <v>353</v>
      </c>
      <c r="O433" t="s">
        <v>353</v>
      </c>
      <c r="P433" s="3">
        <f>(39493.49*(IF((VLOOKUP(B433,AmmoTypeFactors,6,FALSE)="Bomb_Secondary"),1.33,1)*('Ammo Input'!H433*0.35)/1000)^0.6/1000)*10/3*VLOOKUP(B433,AmmoTypeFactors,4,FALSE)</f>
        <v>0</v>
      </c>
    </row>
    <row r="434" ht="14.4" spans="1:16">
      <c r="A434" t="str">
        <f>'Ammo Input'!A434</f>
        <v>.56-56 Spencer</v>
      </c>
      <c r="B434" s="1" t="str">
        <f>'Ammo Input'!B434</f>
        <v>HP</v>
      </c>
      <c r="C434">
        <f>(0.579*('Ammo Stats'!G434*IF(OR(B434="HEAT",B434="HEDP"),10,'Ammo Input'!F434)*VLOOKUP(B434,AmmoTypeFactors,7,FALSE))^(0.346))^IF(B434="HEDP",2.1,1)/IF(B434="HEDP",50,1)</f>
        <v>23.1267856696444</v>
      </c>
      <c r="D434" s="16">
        <f>IF(VLOOKUP(B434,AmmoTypeFactors,8,FALSE),J434,C434)*VLOOKUP('Ammo Input'!B434,AmmoTypeFactors,2,FALSE)</f>
        <v>23.1267856696444</v>
      </c>
      <c r="E434" s="16">
        <f>IF(OR(VLOOKUP(B434,AmmoTypeFactors,6,FALSE)="Bomb",VLOOKUP(B434,AmmoTypeFactors,6,FALSE)="Thermobaric"),J434*VLOOKUP(B434,AmmoTypeFactors,4,FALSE),IF(VLOOKUP(B434,AmmoTypeFactors,11,FALSE),P434,C434*VLOOKUP(B434,AmmoTypeFactors,4,FALSE)))</f>
        <v>0</v>
      </c>
      <c r="F434" s="16">
        <f>'Ammo Stats'!G434/0.005</f>
        <v>303600</v>
      </c>
      <c r="G434" s="16">
        <f>(IF(B434="HEAT",10,'Ammo Input'!F434)*VLOOKUP(B434,AmmoTypeFactors,7,FALSE)*0.5)^2*PI()/100</f>
        <v>6.15752160103599</v>
      </c>
      <c r="H434" s="10">
        <f t="shared" si="15"/>
        <v>30.36</v>
      </c>
      <c r="I434" s="10">
        <f>IF(B434&lt;&gt;"Arrow (Flaming)",39493.49*'Ammo Input'!M434^0.6/1000,0)</f>
        <v>0</v>
      </c>
      <c r="J434">
        <f t="shared" si="16"/>
        <v>0</v>
      </c>
      <c r="K434">
        <f t="shared" si="17"/>
        <v>7</v>
      </c>
      <c r="L434">
        <f>200000/('Ammo Stats'!C434*(MAX('Ammo Input'!D434,'Ammo Input'!F434)*0.5)^2*PI())</f>
        <v>63144.1948390777</v>
      </c>
      <c r="M434">
        <f>IF(B434="Frag",1,('Ammo Input'!M434/1.33)/('Ammo Input'!H434/1000))</f>
        <v>0</v>
      </c>
      <c r="N434" t="s">
        <v>353</v>
      </c>
      <c r="O434" t="s">
        <v>353</v>
      </c>
      <c r="P434" s="3">
        <f>(39493.49*(IF((VLOOKUP(B434,AmmoTypeFactors,6,FALSE)="Bomb_Secondary"),1.33,1)*('Ammo Input'!H434*0.35)/1000)^0.6/1000)*10/3*VLOOKUP(B434,AmmoTypeFactors,4,FALSE)</f>
        <v>0</v>
      </c>
    </row>
    <row r="435" ht="14.4" spans="1:16">
      <c r="A435" t="str">
        <f>'Ammo Input'!A435</f>
        <v>.56-56 Spencer</v>
      </c>
      <c r="B435" s="1" t="str">
        <f>'Ammo Input'!B435</f>
        <v>AP-I</v>
      </c>
      <c r="C435">
        <f>(0.579*('Ammo Stats'!G435*IF(OR(B435="HEAT",B435="HEDP"),10,'Ammo Input'!F435)*VLOOKUP(B435,AmmoTypeFactors,7,FALSE))^(0.346))^IF(B435="HEDP",2.1,1)/IF(B435="HEDP",50,1)</f>
        <v>14.3153680586492</v>
      </c>
      <c r="D435" s="16">
        <f>IF(VLOOKUP(B435,AmmoTypeFactors,8,FALSE),J435,C435)*VLOOKUP('Ammo Input'!B435,AmmoTypeFactors,2,FALSE)</f>
        <v>11.4522944469194</v>
      </c>
      <c r="E435" s="16">
        <f>IF(OR(VLOOKUP(B435,AmmoTypeFactors,6,FALSE)="Bomb",VLOOKUP(B435,AmmoTypeFactors,6,FALSE)="Thermobaric"),J435*VLOOKUP(B435,AmmoTypeFactors,4,FALSE),IF(VLOOKUP(B435,AmmoTypeFactors,11,FALSE),P435,C435*VLOOKUP(B435,AmmoTypeFactors,4,FALSE)))</f>
        <v>9.39851740171386</v>
      </c>
      <c r="F435" s="16">
        <f>'Ammo Stats'!G435/0.005</f>
        <v>303600</v>
      </c>
      <c r="G435" s="16">
        <f>(IF(B435="HEAT",10,'Ammo Input'!F435)*VLOOKUP(B435,AmmoTypeFactors,7,FALSE)*0.5)^2*PI()/100</f>
        <v>0.38484510006475</v>
      </c>
      <c r="H435" s="10">
        <f t="shared" si="15"/>
        <v>30.36</v>
      </c>
      <c r="I435" s="10">
        <f>IF(B435&lt;&gt;"Arrow (Flaming)",39493.49*'Ammo Input'!M435^0.6/1000,0)</f>
        <v>0</v>
      </c>
      <c r="J435">
        <f t="shared" si="16"/>
        <v>0</v>
      </c>
      <c r="K435">
        <f t="shared" si="17"/>
        <v>7</v>
      </c>
      <c r="L435">
        <f>200000/('Ammo Stats'!C435*(MAX('Ammo Input'!D435,'Ammo Input'!F435)*0.5)^2*PI())</f>
        <v>63144.1948390777</v>
      </c>
      <c r="M435">
        <f>IF(B435="Frag",1,('Ammo Input'!M435/1.33)/('Ammo Input'!H435/1000))</f>
        <v>0</v>
      </c>
      <c r="N435" t="s">
        <v>353</v>
      </c>
      <c r="O435" t="s">
        <v>353</v>
      </c>
      <c r="P435" s="3">
        <f>(39493.49*(IF((VLOOKUP(B435,AmmoTypeFactors,6,FALSE)="Bomb_Secondary"),1.33,1)*('Ammo Input'!H435*0.35)/1000)^0.6/1000)*10/3*VLOOKUP(B435,AmmoTypeFactors,4,FALSE)</f>
        <v>9.39851740171386</v>
      </c>
    </row>
    <row r="436" ht="14.4" spans="1:16">
      <c r="A436" t="str">
        <f>'Ammo Input'!A436</f>
        <v>.56-56 Spencer</v>
      </c>
      <c r="B436" s="1" t="str">
        <f>'Ammo Input'!B436</f>
        <v>AP-HE</v>
      </c>
      <c r="C436">
        <f>(0.579*('Ammo Stats'!G436*IF(OR(B436="HEAT",B436="HEDP"),10,'Ammo Input'!F436)*VLOOKUP(B436,AmmoTypeFactors,7,FALSE))^(0.346))^IF(B436="HEDP",2.1,1)/IF(B436="HEDP",50,1)</f>
        <v>18.1952864466173</v>
      </c>
      <c r="D436" s="16">
        <f>IF(VLOOKUP(B436,AmmoTypeFactors,8,FALSE),J436,C436)*VLOOKUP('Ammo Input'!B436,AmmoTypeFactors,2,FALSE)</f>
        <v>18.1952864466173</v>
      </c>
      <c r="E436" s="16">
        <f>IF(OR(VLOOKUP(B436,AmmoTypeFactors,6,FALSE)="Bomb",VLOOKUP(B436,AmmoTypeFactors,6,FALSE)="Thermobaric"),J436*VLOOKUP(B436,AmmoTypeFactors,4,FALSE),IF(VLOOKUP(B436,AmmoTypeFactors,11,FALSE),P436,C436*VLOOKUP(B436,AmmoTypeFactors,4,FALSE)))</f>
        <v>12.8682130085787</v>
      </c>
      <c r="F436" s="16">
        <f>'Ammo Stats'!G436/0.005</f>
        <v>303600</v>
      </c>
      <c r="G436" s="16">
        <f>(IF(B436="HEAT",10,'Ammo Input'!F436)*VLOOKUP(B436,AmmoTypeFactors,7,FALSE)*0.5)^2*PI()/100</f>
        <v>1.539380400259</v>
      </c>
      <c r="H436" s="10">
        <f t="shared" si="15"/>
        <v>30.36</v>
      </c>
      <c r="I436" s="10">
        <f>IF(B436&lt;&gt;"Arrow (Flaming)",39493.49*'Ammo Input'!M436^0.6/1000,0)</f>
        <v>0</v>
      </c>
      <c r="J436">
        <f t="shared" si="16"/>
        <v>0</v>
      </c>
      <c r="K436">
        <f t="shared" si="17"/>
        <v>7</v>
      </c>
      <c r="L436">
        <f>200000/('Ammo Stats'!C436*(MAX('Ammo Input'!D436,'Ammo Input'!F436)*0.5)^2*PI())</f>
        <v>63144.1948390777</v>
      </c>
      <c r="M436">
        <f>IF(B436="Frag",1,('Ammo Input'!M436/1.33)/('Ammo Input'!H436/1000))</f>
        <v>0</v>
      </c>
      <c r="N436" t="s">
        <v>353</v>
      </c>
      <c r="O436" t="s">
        <v>353</v>
      </c>
      <c r="P436" s="3">
        <f>(39493.49*(IF((VLOOKUP(B436,AmmoTypeFactors,6,FALSE)="Bomb_Secondary"),1.33,1)*('Ammo Input'!H436*0.35)/1000)^0.6/1000)*10/3*VLOOKUP(B436,AmmoTypeFactors,4,FALSE)</f>
        <v>12.8682130085787</v>
      </c>
    </row>
    <row r="437" ht="14.4" spans="1:16">
      <c r="A437" t="str">
        <f>'Ammo Input'!A437</f>
        <v>.56-56 Spencer</v>
      </c>
      <c r="B437" s="1" t="str">
        <f>'Ammo Input'!B437</f>
        <v>Sabot</v>
      </c>
      <c r="C437">
        <f>(0.579*('Ammo Stats'!G437*IF(OR(B437="HEAT",B437="HEDP"),10,'Ammo Input'!F437)*VLOOKUP(B437,AmmoTypeFactors,7,FALSE))^(0.346))^IF(B437="HEDP",2.1,1)/IF(B437="HEDP",50,1)</f>
        <v>13.791357824932</v>
      </c>
      <c r="D437" s="16">
        <f>IF(VLOOKUP(B437,AmmoTypeFactors,8,FALSE),J437,C437)*VLOOKUP('Ammo Input'!B437,AmmoTypeFactors,2,FALSE)</f>
        <v>9.65395047745239</v>
      </c>
      <c r="E437" s="16">
        <f>IF(OR(VLOOKUP(B437,AmmoTypeFactors,6,FALSE)="Bomb",VLOOKUP(B437,AmmoTypeFactors,6,FALSE)="Thermobaric"),J437*VLOOKUP(B437,AmmoTypeFactors,4,FALSE),IF(VLOOKUP(B437,AmmoTypeFactors,11,FALSE),P437,C437*VLOOKUP(B437,AmmoTypeFactors,4,FALSE)))</f>
        <v>0</v>
      </c>
      <c r="F437" s="16">
        <f>'Ammo Stats'!G437/0.005</f>
        <v>389400</v>
      </c>
      <c r="G437" s="16">
        <f>(IF(B437="HEAT",10,'Ammo Input'!F437)*VLOOKUP(B437,AmmoTypeFactors,7,FALSE)*0.5)^2*PI()/100</f>
        <v>0.188574099031727</v>
      </c>
      <c r="H437" s="10">
        <f t="shared" si="15"/>
        <v>38.94</v>
      </c>
      <c r="I437" s="10">
        <f>IF(B437&lt;&gt;"Arrow (Flaming)",39493.49*'Ammo Input'!M437^0.6/1000,0)</f>
        <v>0</v>
      </c>
      <c r="J437">
        <f t="shared" si="16"/>
        <v>0</v>
      </c>
      <c r="K437">
        <f t="shared" si="17"/>
        <v>7</v>
      </c>
      <c r="L437">
        <f>200000/('Ammo Stats'!C437*(MAX('Ammo Input'!D437,'Ammo Input'!F437)*0.5)^2*PI())</f>
        <v>63144.1948390777</v>
      </c>
      <c r="M437">
        <f>IF(B437="Frag",1,('Ammo Input'!M437/1.33)/('Ammo Input'!H437/1000))</f>
        <v>0</v>
      </c>
      <c r="N437" t="s">
        <v>353</v>
      </c>
      <c r="O437" t="s">
        <v>353</v>
      </c>
      <c r="P437" s="3">
        <f>(39493.49*(IF((VLOOKUP(B437,AmmoTypeFactors,6,FALSE)="Bomb_Secondary"),1.33,1)*('Ammo Input'!H437*0.35)/1000)^0.6/1000)*10/3*VLOOKUP(B437,AmmoTypeFactors,4,FALSE)</f>
        <v>0</v>
      </c>
    </row>
    <row r="438" ht="14.4" spans="1:16">
      <c r="A438" t="str">
        <f>'Ammo Input'!A438</f>
        <v>12.7x55mm</v>
      </c>
      <c r="B438" s="1" t="str">
        <f>'Ammo Input'!B438</f>
        <v>FMJ</v>
      </c>
      <c r="C438">
        <f>(0.579*('Ammo Stats'!G438*IF(OR(B438="HEAT",B438="HEDP"),10,'Ammo Input'!F438)*VLOOKUP(B438,AmmoTypeFactors,7,FALSE))^(0.346))^IF(B438="HEDP",2.1,1)/IF(B438="HEDP",50,1)</f>
        <v>21.0987148049936</v>
      </c>
      <c r="D438" s="16">
        <f>IF(VLOOKUP(B438,AmmoTypeFactors,8,FALSE),J438,C438)*VLOOKUP('Ammo Input'!B438,AmmoTypeFactors,2,FALSE)</f>
        <v>21.0987148049936</v>
      </c>
      <c r="E438" s="16">
        <f>IF(OR(VLOOKUP(B438,AmmoTypeFactors,6,FALSE)="Bomb",VLOOKUP(B438,AmmoTypeFactors,6,FALSE)="Thermobaric"),J438*VLOOKUP(B438,AmmoTypeFactors,4,FALSE),IF(VLOOKUP(B438,AmmoTypeFactors,11,FALSE),P438,C438*VLOOKUP(B438,AmmoTypeFactors,4,FALSE)))</f>
        <v>0</v>
      </c>
      <c r="F438" s="16">
        <f>'Ammo Stats'!G438/0.005</f>
        <v>513400</v>
      </c>
      <c r="G438" s="16">
        <f>(IF(B438="HEAT",10,'Ammo Input'!F438)*VLOOKUP(B438,AmmoTypeFactors,7,FALSE)*0.5)^2*PI()/100</f>
        <v>1.26676869774374</v>
      </c>
      <c r="H438" s="10">
        <f t="shared" si="15"/>
        <v>51.34</v>
      </c>
      <c r="I438" s="10">
        <f>IF(B438&lt;&gt;"Arrow (Flaming)",39493.49*'Ammo Input'!M438^0.6/1000,0)</f>
        <v>0</v>
      </c>
      <c r="J438">
        <f t="shared" si="16"/>
        <v>0</v>
      </c>
      <c r="K438">
        <f t="shared" si="17"/>
        <v>8</v>
      </c>
      <c r="L438">
        <f>200000/('Ammo Stats'!C438*(MAX('Ammo Input'!D438,'Ammo Input'!F438)*0.5)^2*PI())</f>
        <v>39470.5048277997</v>
      </c>
      <c r="M438">
        <f>IF(B438="Frag",1,('Ammo Input'!M438/1.33)/('Ammo Input'!H438/1000))</f>
        <v>0</v>
      </c>
      <c r="N438" t="s">
        <v>353</v>
      </c>
      <c r="O438" t="s">
        <v>353</v>
      </c>
      <c r="P438" s="3">
        <f>(39493.49*(IF((VLOOKUP(B438,AmmoTypeFactors,6,FALSE)="Bomb_Secondary"),1.33,1)*('Ammo Input'!H438*0.35)/1000)^0.6/1000)*10/3*VLOOKUP(B438,AmmoTypeFactors,4,FALSE)</f>
        <v>0</v>
      </c>
    </row>
    <row r="439" ht="14.4" spans="1:16">
      <c r="A439" t="str">
        <f>'Ammo Input'!A439</f>
        <v>12.7x55mm</v>
      </c>
      <c r="B439" s="1" t="str">
        <f>'Ammo Input'!B439</f>
        <v>AP</v>
      </c>
      <c r="C439">
        <f>(0.579*('Ammo Stats'!G439*IF(OR(B439="HEAT",B439="HEDP"),10,'Ammo Input'!F439)*VLOOKUP(B439,AmmoTypeFactors,7,FALSE))^(0.346))^IF(B439="HEDP",2.1,1)/IF(B439="HEDP",50,1)</f>
        <v>16.5996764537942</v>
      </c>
      <c r="D439" s="16">
        <f>IF(VLOOKUP(B439,AmmoTypeFactors,8,FALSE),J439,C439)*VLOOKUP('Ammo Input'!B439,AmmoTypeFactors,2,FALSE)</f>
        <v>13.2797411630354</v>
      </c>
      <c r="E439" s="16">
        <f>IF(OR(VLOOKUP(B439,AmmoTypeFactors,6,FALSE)="Bomb",VLOOKUP(B439,AmmoTypeFactors,6,FALSE)="Thermobaric"),J439*VLOOKUP(B439,AmmoTypeFactors,4,FALSE),IF(VLOOKUP(B439,AmmoTypeFactors,11,FALSE),P439,C439*VLOOKUP(B439,AmmoTypeFactors,4,FALSE)))</f>
        <v>0</v>
      </c>
      <c r="F439" s="16">
        <f>'Ammo Stats'!G439/0.005</f>
        <v>513400</v>
      </c>
      <c r="G439" s="16">
        <f>(IF(B439="HEAT",10,'Ammo Input'!F439)*VLOOKUP(B439,AmmoTypeFactors,7,FALSE)*0.5)^2*PI()/100</f>
        <v>0.316692174435936</v>
      </c>
      <c r="H439" s="10">
        <f t="shared" si="15"/>
        <v>51.34</v>
      </c>
      <c r="I439" s="10">
        <f>IF(B439&lt;&gt;"Arrow (Flaming)",39493.49*'Ammo Input'!M439^0.6/1000,0)</f>
        <v>0</v>
      </c>
      <c r="J439">
        <f t="shared" si="16"/>
        <v>0</v>
      </c>
      <c r="K439">
        <f t="shared" si="17"/>
        <v>8</v>
      </c>
      <c r="L439">
        <f>200000/('Ammo Stats'!C439*(MAX('Ammo Input'!D439,'Ammo Input'!F439)*0.5)^2*PI())</f>
        <v>39470.5048277997</v>
      </c>
      <c r="M439">
        <f>IF(B439="Frag",1,('Ammo Input'!M439/1.33)/('Ammo Input'!H439/1000))</f>
        <v>0</v>
      </c>
      <c r="N439" t="s">
        <v>353</v>
      </c>
      <c r="O439" t="s">
        <v>353</v>
      </c>
      <c r="P439" s="3">
        <f>(39493.49*(IF((VLOOKUP(B439,AmmoTypeFactors,6,FALSE)="Bomb_Secondary"),1.33,1)*('Ammo Input'!H439*0.35)/1000)^0.6/1000)*10/3*VLOOKUP(B439,AmmoTypeFactors,4,FALSE)</f>
        <v>0</v>
      </c>
    </row>
    <row r="440" ht="14.4" spans="1:16">
      <c r="A440" t="str">
        <f>'Ammo Input'!A440</f>
        <v>12.7x55mm</v>
      </c>
      <c r="B440" s="1" t="str">
        <f>'Ammo Input'!B440</f>
        <v>HP</v>
      </c>
      <c r="C440">
        <f>(0.579*('Ammo Stats'!G440*IF(OR(B440="HEAT",B440="HEDP"),10,'Ammo Input'!F440)*VLOOKUP(B440,AmmoTypeFactors,7,FALSE))^(0.346))^IF(B440="HEDP",2.1,1)/IF(B440="HEDP",50,1)</f>
        <v>26.8171351207695</v>
      </c>
      <c r="D440" s="16">
        <f>IF(VLOOKUP(B440,AmmoTypeFactors,8,FALSE),J440,C440)*VLOOKUP('Ammo Input'!B440,AmmoTypeFactors,2,FALSE)</f>
        <v>26.8171351207695</v>
      </c>
      <c r="E440" s="16">
        <f>IF(OR(VLOOKUP(B440,AmmoTypeFactors,6,FALSE)="Bomb",VLOOKUP(B440,AmmoTypeFactors,6,FALSE)="Thermobaric"),J440*VLOOKUP(B440,AmmoTypeFactors,4,FALSE),IF(VLOOKUP(B440,AmmoTypeFactors,11,FALSE),P440,C440*VLOOKUP(B440,AmmoTypeFactors,4,FALSE)))</f>
        <v>0</v>
      </c>
      <c r="F440" s="16">
        <f>'Ammo Stats'!G440/0.005</f>
        <v>513400</v>
      </c>
      <c r="G440" s="16">
        <f>(IF(B440="HEAT",10,'Ammo Input'!F440)*VLOOKUP(B440,AmmoTypeFactors,7,FALSE)*0.5)^2*PI()/100</f>
        <v>5.06707479097498</v>
      </c>
      <c r="H440" s="10">
        <f t="shared" si="15"/>
        <v>51.34</v>
      </c>
      <c r="I440" s="10">
        <f>IF(B440&lt;&gt;"Arrow (Flaming)",39493.49*'Ammo Input'!M440^0.6/1000,0)</f>
        <v>0</v>
      </c>
      <c r="J440">
        <f t="shared" si="16"/>
        <v>0</v>
      </c>
      <c r="K440">
        <f t="shared" si="17"/>
        <v>8</v>
      </c>
      <c r="L440">
        <f>200000/('Ammo Stats'!C440*(MAX('Ammo Input'!D440,'Ammo Input'!F440)*0.5)^2*PI())</f>
        <v>39470.5048277997</v>
      </c>
      <c r="M440">
        <f>IF(B440="Frag",1,('Ammo Input'!M440/1.33)/('Ammo Input'!H440/1000))</f>
        <v>0</v>
      </c>
      <c r="N440" t="s">
        <v>353</v>
      </c>
      <c r="O440" t="s">
        <v>353</v>
      </c>
      <c r="P440" s="3">
        <f>(39493.49*(IF((VLOOKUP(B440,AmmoTypeFactors,6,FALSE)="Bomb_Secondary"),1.33,1)*('Ammo Input'!H440*0.35)/1000)^0.6/1000)*10/3*VLOOKUP(B440,AmmoTypeFactors,4,FALSE)</f>
        <v>0</v>
      </c>
    </row>
    <row r="441" ht="14.4" spans="1:16">
      <c r="A441" t="str">
        <f>'Ammo Input'!A441</f>
        <v>12.7x55mm</v>
      </c>
      <c r="B441" s="1" t="str">
        <f>'Ammo Input'!B441</f>
        <v>AP-I</v>
      </c>
      <c r="C441">
        <f>(0.579*('Ammo Stats'!G441*IF(OR(B441="HEAT",B441="HEDP"),10,'Ammo Input'!F441)*VLOOKUP(B441,AmmoTypeFactors,7,FALSE))^(0.346))^IF(B441="HEDP",2.1,1)/IF(B441="HEDP",50,1)</f>
        <v>16.5996764537942</v>
      </c>
      <c r="D441" s="16">
        <f>IF(VLOOKUP(B441,AmmoTypeFactors,8,FALSE),J441,C441)*VLOOKUP('Ammo Input'!B441,AmmoTypeFactors,2,FALSE)</f>
        <v>13.2797411630354</v>
      </c>
      <c r="E441" s="16">
        <f>IF(OR(VLOOKUP(B441,AmmoTypeFactors,6,FALSE)="Bomb",VLOOKUP(B441,AmmoTypeFactors,6,FALSE)="Thermobaric"),J441*VLOOKUP(B441,AmmoTypeFactors,4,FALSE),IF(VLOOKUP(B441,AmmoTypeFactors,11,FALSE),P441,C441*VLOOKUP(B441,AmmoTypeFactors,4,FALSE)))</f>
        <v>16.6839793937959</v>
      </c>
      <c r="F441" s="16">
        <f>'Ammo Stats'!G441/0.005</f>
        <v>513400</v>
      </c>
      <c r="G441" s="16">
        <f>(IF(B441="HEAT",10,'Ammo Input'!F441)*VLOOKUP(B441,AmmoTypeFactors,7,FALSE)*0.5)^2*PI()/100</f>
        <v>0.316692174435936</v>
      </c>
      <c r="H441" s="10">
        <f t="shared" si="15"/>
        <v>51.34</v>
      </c>
      <c r="I441" s="10">
        <f>IF(B441&lt;&gt;"Arrow (Flaming)",39493.49*'Ammo Input'!M441^0.6/1000,0)</f>
        <v>0</v>
      </c>
      <c r="J441">
        <f t="shared" si="16"/>
        <v>0</v>
      </c>
      <c r="K441">
        <f t="shared" si="17"/>
        <v>8</v>
      </c>
      <c r="L441">
        <f>200000/('Ammo Stats'!C441*(MAX('Ammo Input'!D441,'Ammo Input'!F441)*0.5)^2*PI())</f>
        <v>39470.5048277997</v>
      </c>
      <c r="M441">
        <f>IF(B441="Frag",1,('Ammo Input'!M441/1.33)/('Ammo Input'!H441/1000))</f>
        <v>0</v>
      </c>
      <c r="N441" t="s">
        <v>353</v>
      </c>
      <c r="O441" t="s">
        <v>353</v>
      </c>
      <c r="P441" s="3">
        <f>(39493.49*(IF((VLOOKUP(B441,AmmoTypeFactors,6,FALSE)="Bomb_Secondary"),1.33,1)*('Ammo Input'!H441*0.35)/1000)^0.6/1000)*10/3*VLOOKUP(B441,AmmoTypeFactors,4,FALSE)</f>
        <v>16.6839793937959</v>
      </c>
    </row>
    <row r="442" ht="14.4" spans="1:16">
      <c r="A442" t="str">
        <f>'Ammo Input'!A442</f>
        <v>12.7x55mm</v>
      </c>
      <c r="B442" s="1" t="str">
        <f>'Ammo Input'!B442</f>
        <v>AP-HE</v>
      </c>
      <c r="C442">
        <f>(0.579*('Ammo Stats'!G442*IF(OR(B442="HEAT",B442="HEDP"),10,'Ammo Input'!F442)*VLOOKUP(B442,AmmoTypeFactors,7,FALSE))^(0.346))^IF(B442="HEDP",2.1,1)/IF(B442="HEDP",50,1)</f>
        <v>21.0987148049936</v>
      </c>
      <c r="D442" s="16">
        <f>IF(VLOOKUP(B442,AmmoTypeFactors,8,FALSE),J442,C442)*VLOOKUP('Ammo Input'!B442,AmmoTypeFactors,2,FALSE)</f>
        <v>21.0987148049936</v>
      </c>
      <c r="E442" s="16">
        <f>IF(OR(VLOOKUP(B442,AmmoTypeFactors,6,FALSE)="Bomb",VLOOKUP(B442,AmmoTypeFactors,6,FALSE)="Thermobaric"),J442*VLOOKUP(B442,AmmoTypeFactors,4,FALSE),IF(VLOOKUP(B442,AmmoTypeFactors,11,FALSE),P442,C442*VLOOKUP(B442,AmmoTypeFactors,4,FALSE)))</f>
        <v>22.8432838386779</v>
      </c>
      <c r="F442" s="16">
        <f>'Ammo Stats'!G442/0.005</f>
        <v>513400</v>
      </c>
      <c r="G442" s="16">
        <f>(IF(B442="HEAT",10,'Ammo Input'!F442)*VLOOKUP(B442,AmmoTypeFactors,7,FALSE)*0.5)^2*PI()/100</f>
        <v>1.26676869774374</v>
      </c>
      <c r="H442" s="10">
        <f t="shared" si="15"/>
        <v>51.34</v>
      </c>
      <c r="I442" s="10">
        <f>IF(B442&lt;&gt;"Arrow (Flaming)",39493.49*'Ammo Input'!M442^0.6/1000,0)</f>
        <v>0</v>
      </c>
      <c r="J442">
        <f t="shared" si="16"/>
        <v>0</v>
      </c>
      <c r="K442">
        <f t="shared" si="17"/>
        <v>8</v>
      </c>
      <c r="L442">
        <f>200000/('Ammo Stats'!C442*(MAX('Ammo Input'!D442,'Ammo Input'!F442)*0.5)^2*PI())</f>
        <v>39470.5048277997</v>
      </c>
      <c r="M442">
        <f>IF(B442="Frag",1,('Ammo Input'!M442/1.33)/('Ammo Input'!H442/1000))</f>
        <v>0</v>
      </c>
      <c r="N442" t="s">
        <v>353</v>
      </c>
      <c r="O442" t="s">
        <v>353</v>
      </c>
      <c r="P442" s="3">
        <f>(39493.49*(IF((VLOOKUP(B442,AmmoTypeFactors,6,FALSE)="Bomb_Secondary"),1.33,1)*('Ammo Input'!H442*0.35)/1000)^0.6/1000)*10/3*VLOOKUP(B442,AmmoTypeFactors,4,FALSE)</f>
        <v>22.8432838386779</v>
      </c>
    </row>
    <row r="443" ht="14.4" spans="1:16">
      <c r="A443" t="str">
        <f>'Ammo Input'!A443</f>
        <v>12.7x55mm</v>
      </c>
      <c r="B443" s="1" t="str">
        <f>'Ammo Input'!B443</f>
        <v>Sabot</v>
      </c>
      <c r="C443">
        <f>(0.579*('Ammo Stats'!G443*IF(OR(B443="HEAT",B443="HEDP"),10,'Ammo Input'!F443)*VLOOKUP(B443,AmmoTypeFactors,7,FALSE))^(0.346))^IF(B443="HEDP",2.1,1)/IF(B443="HEDP",50,1)</f>
        <v>15.9912824620416</v>
      </c>
      <c r="D443" s="16">
        <f>IF(VLOOKUP(B443,AmmoTypeFactors,8,FALSE),J443,C443)*VLOOKUP('Ammo Input'!B443,AmmoTypeFactors,2,FALSE)</f>
        <v>11.1938977234291</v>
      </c>
      <c r="E443" s="16">
        <f>IF(OR(VLOOKUP(B443,AmmoTypeFactors,6,FALSE)="Bomb",VLOOKUP(B443,AmmoTypeFactors,6,FALSE)="Thermobaric"),J443*VLOOKUP(B443,AmmoTypeFactors,4,FALSE),IF(VLOOKUP(B443,AmmoTypeFactors,11,FALSE),P443,C443*VLOOKUP(B443,AmmoTypeFactors,4,FALSE)))</f>
        <v>0</v>
      </c>
      <c r="F443" s="16">
        <f>'Ammo Stats'!G443/0.005</f>
        <v>658400</v>
      </c>
      <c r="G443" s="16">
        <f>(IF(B443="HEAT",10,'Ammo Input'!F443)*VLOOKUP(B443,AmmoTypeFactors,7,FALSE)*0.5)^2*PI()/100</f>
        <v>0.155179165473609</v>
      </c>
      <c r="H443" s="10">
        <f t="shared" si="15"/>
        <v>65.84</v>
      </c>
      <c r="I443" s="10">
        <f>IF(B443&lt;&gt;"Arrow (Flaming)",39493.49*'Ammo Input'!M443^0.6/1000,0)</f>
        <v>0</v>
      </c>
      <c r="J443">
        <f t="shared" si="16"/>
        <v>0</v>
      </c>
      <c r="K443">
        <f t="shared" si="17"/>
        <v>9</v>
      </c>
      <c r="L443">
        <f>200000/('Ammo Stats'!C443*(MAX('Ammo Input'!D443,'Ammo Input'!F443)*0.5)^2*PI())</f>
        <v>39470.5048277997</v>
      </c>
      <c r="M443">
        <f>IF(B443="Frag",1,('Ammo Input'!M443/1.33)/('Ammo Input'!H443/1000))</f>
        <v>0</v>
      </c>
      <c r="N443" t="s">
        <v>353</v>
      </c>
      <c r="O443" t="s">
        <v>353</v>
      </c>
      <c r="P443" s="3">
        <f>(39493.49*(IF((VLOOKUP(B443,AmmoTypeFactors,6,FALSE)="Bomb_Secondary"),1.33,1)*('Ammo Input'!H443*0.35)/1000)^0.6/1000)*10/3*VLOOKUP(B443,AmmoTypeFactors,4,FALSE)</f>
        <v>0</v>
      </c>
    </row>
    <row r="444" ht="14.4" spans="1:16">
      <c r="A444" t="str">
        <f>'Ammo Input'!A444</f>
        <v>.30-06 Springfield</v>
      </c>
      <c r="B444" s="1" t="str">
        <f>'Ammo Input'!B444</f>
        <v>FMJ</v>
      </c>
      <c r="C444">
        <f>(0.579*('Ammo Stats'!G444*IF(OR(B444="HEAT",B444="HEDP"),10,'Ammo Input'!F444)*VLOOKUP(B444,AmmoTypeFactors,7,FALSE))^(0.346))^IF(B444="HEDP",2.1,1)/IF(B444="HEDP",50,1)</f>
        <v>20.7101751456084</v>
      </c>
      <c r="D444" s="16">
        <f>IF(VLOOKUP(B444,AmmoTypeFactors,8,FALSE),J444,C444)*VLOOKUP('Ammo Input'!B444,AmmoTypeFactors,2,FALSE)</f>
        <v>20.7101751456084</v>
      </c>
      <c r="E444" s="16">
        <f>IF(OR(VLOOKUP(B444,AmmoTypeFactors,6,FALSE)="Bomb",VLOOKUP(B444,AmmoTypeFactors,6,FALSE)="Thermobaric"),J444*VLOOKUP(B444,AmmoTypeFactors,4,FALSE),IF(VLOOKUP(B444,AmmoTypeFactors,11,FALSE),P444,C444*VLOOKUP(B444,AmmoTypeFactors,4,FALSE)))</f>
        <v>0</v>
      </c>
      <c r="F444" s="16">
        <f>'Ammo Stats'!G444/0.005</f>
        <v>792200</v>
      </c>
      <c r="G444" s="16">
        <f>(IF(B444="HEAT",10,'Ammo Input'!F444)*VLOOKUP(B444,AmmoTypeFactors,7,FALSE)*0.5)^2*PI()/100</f>
        <v>0.477836242611007</v>
      </c>
      <c r="H444" s="10">
        <f t="shared" si="15"/>
        <v>79.22</v>
      </c>
      <c r="I444" s="10">
        <f>IF(B444&lt;&gt;"Arrow (Flaming)",39493.49*'Ammo Input'!M444^0.6/1000,0)</f>
        <v>0</v>
      </c>
      <c r="J444">
        <f t="shared" si="16"/>
        <v>0</v>
      </c>
      <c r="K444">
        <f t="shared" si="17"/>
        <v>9</v>
      </c>
      <c r="L444">
        <f>200000/('Ammo Stats'!C444*(MAX('Ammo Input'!D444,'Ammo Input'!F444)*0.5)^2*PI())</f>
        <v>58946.2752192205</v>
      </c>
      <c r="M444">
        <f>IF(B444="Frag",1,('Ammo Input'!M444/1.33)/('Ammo Input'!H444/1000))</f>
        <v>0</v>
      </c>
      <c r="N444" t="s">
        <v>353</v>
      </c>
      <c r="O444" t="s">
        <v>353</v>
      </c>
      <c r="P444" s="3">
        <f>(39493.49*(IF((VLOOKUP(B444,AmmoTypeFactors,6,FALSE)="Bomb_Secondary"),1.33,1)*('Ammo Input'!H444*0.35)/1000)^0.6/1000)*10/3*VLOOKUP(B444,AmmoTypeFactors,4,FALSE)</f>
        <v>0</v>
      </c>
    </row>
    <row r="445" ht="14.4" spans="1:16">
      <c r="A445" t="str">
        <f>'Ammo Input'!A445</f>
        <v>.30-06 Springfield</v>
      </c>
      <c r="B445" s="1" t="str">
        <f>'Ammo Input'!B445</f>
        <v>AP</v>
      </c>
      <c r="C445">
        <f>(0.579*('Ammo Stats'!G445*IF(OR(B445="HEAT",B445="HEDP"),10,'Ammo Input'!F445)*VLOOKUP(B445,AmmoTypeFactors,7,FALSE))^(0.346))^IF(B445="HEDP",2.1,1)/IF(B445="HEDP",50,1)</f>
        <v>16.2939880412595</v>
      </c>
      <c r="D445" s="16">
        <f>IF(VLOOKUP(B445,AmmoTypeFactors,8,FALSE),J445,C445)*VLOOKUP('Ammo Input'!B445,AmmoTypeFactors,2,FALSE)</f>
        <v>13.0351904330076</v>
      </c>
      <c r="E445" s="16">
        <f>IF(OR(VLOOKUP(B445,AmmoTypeFactors,6,FALSE)="Bomb",VLOOKUP(B445,AmmoTypeFactors,6,FALSE)="Thermobaric"),J445*VLOOKUP(B445,AmmoTypeFactors,4,FALSE),IF(VLOOKUP(B445,AmmoTypeFactors,11,FALSE),P445,C445*VLOOKUP(B445,AmmoTypeFactors,4,FALSE)))</f>
        <v>0</v>
      </c>
      <c r="F445" s="16">
        <f>'Ammo Stats'!G445/0.005</f>
        <v>792200</v>
      </c>
      <c r="G445" s="16">
        <f>(IF(B445="HEAT",10,'Ammo Input'!F445)*VLOOKUP(B445,AmmoTypeFactors,7,FALSE)*0.5)^2*PI()/100</f>
        <v>0.119459060652752</v>
      </c>
      <c r="H445" s="10">
        <f t="shared" si="15"/>
        <v>79.22</v>
      </c>
      <c r="I445" s="10">
        <f>IF(B445&lt;&gt;"Arrow (Flaming)",39493.49*'Ammo Input'!M445^0.6/1000,0)</f>
        <v>0</v>
      </c>
      <c r="J445">
        <f t="shared" si="16"/>
        <v>0</v>
      </c>
      <c r="K445">
        <f t="shared" si="17"/>
        <v>9</v>
      </c>
      <c r="L445">
        <f>200000/('Ammo Stats'!C445*(MAX('Ammo Input'!D445,'Ammo Input'!F445)*0.5)^2*PI())</f>
        <v>58946.2752192205</v>
      </c>
      <c r="M445">
        <f>IF(B445="Frag",1,('Ammo Input'!M445/1.33)/('Ammo Input'!H445/1000))</f>
        <v>0</v>
      </c>
      <c r="N445" t="s">
        <v>353</v>
      </c>
      <c r="O445" t="s">
        <v>353</v>
      </c>
      <c r="P445" s="3">
        <f>(39493.49*(IF((VLOOKUP(B445,AmmoTypeFactors,6,FALSE)="Bomb_Secondary"),1.33,1)*('Ammo Input'!H445*0.35)/1000)^0.6/1000)*10/3*VLOOKUP(B445,AmmoTypeFactors,4,FALSE)</f>
        <v>0</v>
      </c>
    </row>
    <row r="446" ht="14.4" spans="1:16">
      <c r="A446" t="str">
        <f>'Ammo Input'!A446</f>
        <v>.30-06 Springfield</v>
      </c>
      <c r="B446" s="1" t="str">
        <f>'Ammo Input'!B446</f>
        <v>HP</v>
      </c>
      <c r="C446">
        <f>(0.579*('Ammo Stats'!G446*IF(OR(B446="HEAT",B446="HEDP"),10,'Ammo Input'!F446)*VLOOKUP(B446,AmmoTypeFactors,7,FALSE))^(0.346))^IF(B446="HEDP",2.1,1)/IF(B446="HEDP",50,1)</f>
        <v>26.3232889011389</v>
      </c>
      <c r="D446" s="16">
        <f>IF(VLOOKUP(B446,AmmoTypeFactors,8,FALSE),J446,C446)*VLOOKUP('Ammo Input'!B446,AmmoTypeFactors,2,FALSE)</f>
        <v>26.3232889011389</v>
      </c>
      <c r="E446" s="16">
        <f>IF(OR(VLOOKUP(B446,AmmoTypeFactors,6,FALSE)="Bomb",VLOOKUP(B446,AmmoTypeFactors,6,FALSE)="Thermobaric"),J446*VLOOKUP(B446,AmmoTypeFactors,4,FALSE),IF(VLOOKUP(B446,AmmoTypeFactors,11,FALSE),P446,C446*VLOOKUP(B446,AmmoTypeFactors,4,FALSE)))</f>
        <v>0</v>
      </c>
      <c r="F446" s="16">
        <f>'Ammo Stats'!G446/0.005</f>
        <v>792200</v>
      </c>
      <c r="G446" s="16">
        <f>(IF(B446="HEAT",10,'Ammo Input'!F446)*VLOOKUP(B446,AmmoTypeFactors,7,FALSE)*0.5)^2*PI()/100</f>
        <v>1.91134497044403</v>
      </c>
      <c r="H446" s="10">
        <f t="shared" si="15"/>
        <v>79.22</v>
      </c>
      <c r="I446" s="10">
        <f>IF(B446&lt;&gt;"Arrow (Flaming)",39493.49*'Ammo Input'!M446^0.6/1000,0)</f>
        <v>0</v>
      </c>
      <c r="J446">
        <f t="shared" si="16"/>
        <v>0</v>
      </c>
      <c r="K446">
        <f t="shared" si="17"/>
        <v>9</v>
      </c>
      <c r="L446">
        <f>200000/('Ammo Stats'!C446*(MAX('Ammo Input'!D446,'Ammo Input'!F446)*0.5)^2*PI())</f>
        <v>58946.2752192205</v>
      </c>
      <c r="M446">
        <f>IF(B446="Frag",1,('Ammo Input'!M446/1.33)/('Ammo Input'!H446/1000))</f>
        <v>0</v>
      </c>
      <c r="N446" t="s">
        <v>353</v>
      </c>
      <c r="O446" t="s">
        <v>353</v>
      </c>
      <c r="P446" s="3">
        <f>(39493.49*(IF((VLOOKUP(B446,AmmoTypeFactors,6,FALSE)="Bomb_Secondary"),1.33,1)*('Ammo Input'!H446*0.35)/1000)^0.6/1000)*10/3*VLOOKUP(B446,AmmoTypeFactors,4,FALSE)</f>
        <v>0</v>
      </c>
    </row>
    <row r="447" ht="14.4" spans="1:16">
      <c r="A447" t="str">
        <f>'Ammo Input'!A447</f>
        <v>.30-06 Springfield</v>
      </c>
      <c r="B447" s="1" t="str">
        <f>'Ammo Input'!B447</f>
        <v>AP-I</v>
      </c>
      <c r="C447">
        <f>(0.579*('Ammo Stats'!G447*IF(OR(B447="HEAT",B447="HEDP"),10,'Ammo Input'!F447)*VLOOKUP(B447,AmmoTypeFactors,7,FALSE))^(0.346))^IF(B447="HEDP",2.1,1)/IF(B447="HEDP",50,1)</f>
        <v>16.2939880412595</v>
      </c>
      <c r="D447" s="16">
        <f>IF(VLOOKUP(B447,AmmoTypeFactors,8,FALSE),J447,C447)*VLOOKUP('Ammo Input'!B447,AmmoTypeFactors,2,FALSE)</f>
        <v>13.0351904330076</v>
      </c>
      <c r="E447" s="16">
        <f>IF(OR(VLOOKUP(B447,AmmoTypeFactors,6,FALSE)="Bomb",VLOOKUP(B447,AmmoTypeFactors,6,FALSE)="Thermobaric"),J447*VLOOKUP(B447,AmmoTypeFactors,4,FALSE),IF(VLOOKUP(B447,AmmoTypeFactors,11,FALSE),P447,C447*VLOOKUP(B447,AmmoTypeFactors,4,FALSE)))</f>
        <v>5.75159685806127</v>
      </c>
      <c r="F447" s="16">
        <f>'Ammo Stats'!G447/0.005</f>
        <v>792200</v>
      </c>
      <c r="G447" s="16">
        <f>(IF(B447="HEAT",10,'Ammo Input'!F447)*VLOOKUP(B447,AmmoTypeFactors,7,FALSE)*0.5)^2*PI()/100</f>
        <v>0.119459060652752</v>
      </c>
      <c r="H447" s="10">
        <f t="shared" si="15"/>
        <v>79.22</v>
      </c>
      <c r="I447" s="10">
        <f>IF(B447&lt;&gt;"Arrow (Flaming)",39493.49*'Ammo Input'!M447^0.6/1000,0)</f>
        <v>0</v>
      </c>
      <c r="J447">
        <f t="shared" si="16"/>
        <v>0</v>
      </c>
      <c r="K447">
        <f t="shared" si="17"/>
        <v>9</v>
      </c>
      <c r="L447">
        <f>200000/('Ammo Stats'!C447*(MAX('Ammo Input'!D447,'Ammo Input'!F447)*0.5)^2*PI())</f>
        <v>58946.2752192205</v>
      </c>
      <c r="M447">
        <f>IF(B447="Frag",1,('Ammo Input'!M447/1.33)/('Ammo Input'!H447/1000))</f>
        <v>0</v>
      </c>
      <c r="N447" t="s">
        <v>353</v>
      </c>
      <c r="O447" t="s">
        <v>353</v>
      </c>
      <c r="P447" s="3">
        <f>(39493.49*(IF((VLOOKUP(B447,AmmoTypeFactors,6,FALSE)="Bomb_Secondary"),1.33,1)*('Ammo Input'!H447*0.35)/1000)^0.6/1000)*10/3*VLOOKUP(B447,AmmoTypeFactors,4,FALSE)</f>
        <v>5.75159685806127</v>
      </c>
    </row>
    <row r="448" ht="14.4" spans="1:16">
      <c r="A448" t="str">
        <f>'Ammo Input'!A448</f>
        <v>.30-06 Springfield</v>
      </c>
      <c r="B448" s="1" t="str">
        <f>'Ammo Input'!B448</f>
        <v>AP-HE</v>
      </c>
      <c r="C448">
        <f>(0.579*('Ammo Stats'!G448*IF(OR(B448="HEAT",B448="HEDP"),10,'Ammo Input'!F448)*VLOOKUP(B448,AmmoTypeFactors,7,FALSE))^(0.346))^IF(B448="HEDP",2.1,1)/IF(B448="HEDP",50,1)</f>
        <v>20.7101751456084</v>
      </c>
      <c r="D448" s="16">
        <f>IF(VLOOKUP(B448,AmmoTypeFactors,8,FALSE),J448,C448)*VLOOKUP('Ammo Input'!B448,AmmoTypeFactors,2,FALSE)</f>
        <v>20.7101751456084</v>
      </c>
      <c r="E448" s="16">
        <f>IF(OR(VLOOKUP(B448,AmmoTypeFactors,6,FALSE)="Bomb",VLOOKUP(B448,AmmoTypeFactors,6,FALSE)="Thermobaric"),J448*VLOOKUP(B448,AmmoTypeFactors,4,FALSE),IF(VLOOKUP(B448,AmmoTypeFactors,11,FALSE),P448,C448*VLOOKUP(B448,AmmoTypeFactors,4,FALSE)))</f>
        <v>7.87494137059402</v>
      </c>
      <c r="F448" s="16">
        <f>'Ammo Stats'!G448/0.005</f>
        <v>792200</v>
      </c>
      <c r="G448" s="16">
        <f>(IF(B448="HEAT",10,'Ammo Input'!F448)*VLOOKUP(B448,AmmoTypeFactors,7,FALSE)*0.5)^2*PI()/100</f>
        <v>0.477836242611007</v>
      </c>
      <c r="H448" s="10">
        <f t="shared" si="15"/>
        <v>79.22</v>
      </c>
      <c r="I448" s="10">
        <f>IF(B448&lt;&gt;"Arrow (Flaming)",39493.49*'Ammo Input'!M448^0.6/1000,0)</f>
        <v>0</v>
      </c>
      <c r="J448">
        <f t="shared" si="16"/>
        <v>0</v>
      </c>
      <c r="K448">
        <f t="shared" si="17"/>
        <v>9</v>
      </c>
      <c r="L448">
        <f>200000/('Ammo Stats'!C448*(MAX('Ammo Input'!D448,'Ammo Input'!F448)*0.5)^2*PI())</f>
        <v>58946.2752192205</v>
      </c>
      <c r="M448">
        <f>IF(B448="Frag",1,('Ammo Input'!M448/1.33)/('Ammo Input'!H448/1000))</f>
        <v>0</v>
      </c>
      <c r="N448" t="s">
        <v>353</v>
      </c>
      <c r="O448" t="s">
        <v>353</v>
      </c>
      <c r="P448" s="3">
        <f>(39493.49*(IF((VLOOKUP(B448,AmmoTypeFactors,6,FALSE)="Bomb_Secondary"),1.33,1)*('Ammo Input'!H448*0.35)/1000)^0.6/1000)*10/3*VLOOKUP(B448,AmmoTypeFactors,4,FALSE)</f>
        <v>7.87494137059402</v>
      </c>
    </row>
    <row r="449" ht="14.4" spans="1:16">
      <c r="A449" t="str">
        <f>'Ammo Input'!A449</f>
        <v>.30-06 Springfield</v>
      </c>
      <c r="B449" s="1" t="str">
        <f>'Ammo Input'!B449</f>
        <v>Sabot</v>
      </c>
      <c r="C449">
        <f>(0.579*('Ammo Stats'!G449*IF(OR(B449="HEAT",B449="HEDP"),10,'Ammo Input'!F449)*VLOOKUP(B449,AmmoTypeFactors,7,FALSE))^(0.346))^IF(B449="HEDP",2.1,1)/IF(B449="HEDP",50,1)</f>
        <v>15.6960401605778</v>
      </c>
      <c r="D449" s="16">
        <f>IF(VLOOKUP(B449,AmmoTypeFactors,8,FALSE),J449,C449)*VLOOKUP('Ammo Input'!B449,AmmoTypeFactors,2,FALSE)</f>
        <v>10.9872281124045</v>
      </c>
      <c r="E449" s="16">
        <f>IF(OR(VLOOKUP(B449,AmmoTypeFactors,6,FALSE)="Bomb",VLOOKUP(B449,AmmoTypeFactors,6,FALSE)="Thermobaric"),J449*VLOOKUP(B449,AmmoTypeFactors,4,FALSE),IF(VLOOKUP(B449,AmmoTypeFactors,11,FALSE),P449,C449*VLOOKUP(B449,AmmoTypeFactors,4,FALSE)))</f>
        <v>0</v>
      </c>
      <c r="F449" s="16">
        <f>'Ammo Stats'!G449/0.005</f>
        <v>1015800</v>
      </c>
      <c r="G449" s="16">
        <f>(IF(B449="HEAT",10,'Ammo Input'!F449)*VLOOKUP(B449,AmmoTypeFactors,7,FALSE)*0.5)^2*PI()/100</f>
        <v>0.0585349397198484</v>
      </c>
      <c r="H449" s="10">
        <f t="shared" si="15"/>
        <v>101.58</v>
      </c>
      <c r="I449" s="10">
        <f>IF(B449&lt;&gt;"Arrow (Flaming)",39493.49*'Ammo Input'!M449^0.6/1000,0)</f>
        <v>0</v>
      </c>
      <c r="J449">
        <f t="shared" si="16"/>
        <v>0</v>
      </c>
      <c r="K449">
        <f t="shared" si="17"/>
        <v>10</v>
      </c>
      <c r="L449">
        <f>200000/('Ammo Stats'!C449*(MAX('Ammo Input'!D449,'Ammo Input'!F449)*0.5)^2*PI())</f>
        <v>58946.2752192205</v>
      </c>
      <c r="M449">
        <f>IF(B449="Frag",1,('Ammo Input'!M449/1.33)/('Ammo Input'!H449/1000))</f>
        <v>0</v>
      </c>
      <c r="N449" t="s">
        <v>353</v>
      </c>
      <c r="O449" t="s">
        <v>353</v>
      </c>
      <c r="P449" s="3">
        <f>(39493.49*(IF((VLOOKUP(B449,AmmoTypeFactors,6,FALSE)="Bomb_Secondary"),1.33,1)*('Ammo Input'!H449*0.35)/1000)^0.6/1000)*10/3*VLOOKUP(B449,AmmoTypeFactors,4,FALSE)</f>
        <v>0</v>
      </c>
    </row>
    <row r="450" ht="14.4" spans="1:16">
      <c r="A450" t="str">
        <f>'Ammo Input'!A450</f>
        <v>8.6mm Blackout</v>
      </c>
      <c r="B450" s="1" t="str">
        <f>'Ammo Input'!B450</f>
        <v>FMJ</v>
      </c>
      <c r="C450">
        <f>(0.579*('Ammo Stats'!G450*IF(OR(B450="HEAT",B450="HEDP"),10,'Ammo Input'!F450)*VLOOKUP(B450,AmmoTypeFactors,7,FALSE))^(0.346))^IF(B450="HEDP",2.1,1)/IF(B450="HEDP",50,1)</f>
        <v>18.3292572117043</v>
      </c>
      <c r="D450" s="16">
        <f>IF(VLOOKUP(B450,AmmoTypeFactors,8,FALSE),J450,C450)*VLOOKUP('Ammo Input'!B450,AmmoTypeFactors,2,FALSE)</f>
        <v>18.3292572117043</v>
      </c>
      <c r="E450" s="16">
        <f>IF(OR(VLOOKUP(B450,AmmoTypeFactors,6,FALSE)="Bomb",VLOOKUP(B450,AmmoTypeFactors,6,FALSE)="Thermobaric"),J450*VLOOKUP(B450,AmmoTypeFactors,4,FALSE),IF(VLOOKUP(B450,AmmoTypeFactors,11,FALSE),P450,C450*VLOOKUP(B450,AmmoTypeFactors,4,FALSE)))</f>
        <v>0</v>
      </c>
      <c r="F450" s="16">
        <f>'Ammo Stats'!G450/0.005</f>
        <v>506000</v>
      </c>
      <c r="G450" s="16">
        <f>(IF(B450="HEAT",10,'Ammo Input'!F450)*VLOOKUP(B450,AmmoTypeFactors,7,FALSE)*0.5)^2*PI()/100</f>
        <v>0.578181853559319</v>
      </c>
      <c r="H450" s="10">
        <f t="shared" si="15"/>
        <v>50.6</v>
      </c>
      <c r="I450" s="10">
        <f>IF(B450&lt;&gt;"Arrow (Flaming)",39493.49*'Ammo Input'!M450^0.6/1000,0)</f>
        <v>0</v>
      </c>
      <c r="J450">
        <f t="shared" si="16"/>
        <v>0</v>
      </c>
      <c r="K450">
        <f t="shared" si="17"/>
        <v>8</v>
      </c>
      <c r="L450">
        <f>200000/('Ammo Stats'!C450*(MAX('Ammo Input'!D450,'Ammo Input'!F450)*0.5)^2*PI())</f>
        <v>61481.3119534106</v>
      </c>
      <c r="M450">
        <f>IF(B450="Frag",1,('Ammo Input'!M450/1.33)/('Ammo Input'!H450/1000))</f>
        <v>0</v>
      </c>
      <c r="N450" t="s">
        <v>353</v>
      </c>
      <c r="O450" t="s">
        <v>353</v>
      </c>
      <c r="P450" s="3">
        <f>(39493.49*(IF((VLOOKUP(B450,AmmoTypeFactors,6,FALSE)="Bomb_Secondary"),1.33,1)*('Ammo Input'!H450*0.35)/1000)^0.6/1000)*10/3*VLOOKUP(B450,AmmoTypeFactors,4,FALSE)</f>
        <v>0</v>
      </c>
    </row>
    <row r="451" ht="14.4" spans="1:16">
      <c r="A451" t="str">
        <f>'Ammo Input'!A451</f>
        <v>8.6mm Blackout</v>
      </c>
      <c r="B451" s="1" t="str">
        <f>'Ammo Input'!B451</f>
        <v>AP</v>
      </c>
      <c r="C451">
        <f>(0.579*('Ammo Stats'!G451*IF(OR(B451="HEAT",B451="HEDP"),10,'Ammo Input'!F451)*VLOOKUP(B451,AmmoTypeFactors,7,FALSE))^(0.346))^IF(B451="HEDP",2.1,1)/IF(B451="HEDP",50,1)</f>
        <v>14.4207712253949</v>
      </c>
      <c r="D451" s="16">
        <f>IF(VLOOKUP(B451,AmmoTypeFactors,8,FALSE),J451,C451)*VLOOKUP('Ammo Input'!B451,AmmoTypeFactors,2,FALSE)</f>
        <v>11.536616980316</v>
      </c>
      <c r="E451" s="16">
        <f>IF(OR(VLOOKUP(B451,AmmoTypeFactors,6,FALSE)="Bomb",VLOOKUP(B451,AmmoTypeFactors,6,FALSE)="Thermobaric"),J451*VLOOKUP(B451,AmmoTypeFactors,4,FALSE),IF(VLOOKUP(B451,AmmoTypeFactors,11,FALSE),P451,C451*VLOOKUP(B451,AmmoTypeFactors,4,FALSE)))</f>
        <v>0</v>
      </c>
      <c r="F451" s="16">
        <f>'Ammo Stats'!G451/0.005</f>
        <v>506000</v>
      </c>
      <c r="G451" s="16">
        <f>(IF(B451="HEAT",10,'Ammo Input'!F451)*VLOOKUP(B451,AmmoTypeFactors,7,FALSE)*0.5)^2*PI()/100</f>
        <v>0.14454546338983</v>
      </c>
      <c r="H451" s="10">
        <f t="shared" si="15"/>
        <v>50.6</v>
      </c>
      <c r="I451" s="10">
        <f>IF(B451&lt;&gt;"Arrow (Flaming)",39493.49*'Ammo Input'!M451^0.6/1000,0)</f>
        <v>0</v>
      </c>
      <c r="J451">
        <f t="shared" si="16"/>
        <v>0</v>
      </c>
      <c r="K451">
        <f t="shared" si="17"/>
        <v>8</v>
      </c>
      <c r="L451">
        <f>200000/('Ammo Stats'!C451*(MAX('Ammo Input'!D451,'Ammo Input'!F451)*0.5)^2*PI())</f>
        <v>61481.3119534106</v>
      </c>
      <c r="M451">
        <f>IF(B451="Frag",1,('Ammo Input'!M451/1.33)/('Ammo Input'!H451/1000))</f>
        <v>0</v>
      </c>
      <c r="N451" t="s">
        <v>353</v>
      </c>
      <c r="O451" t="s">
        <v>353</v>
      </c>
      <c r="P451" s="3">
        <f>(39493.49*(IF((VLOOKUP(B451,AmmoTypeFactors,6,FALSE)="Bomb_Secondary"),1.33,1)*('Ammo Input'!H451*0.35)/1000)^0.6/1000)*10/3*VLOOKUP(B451,AmmoTypeFactors,4,FALSE)</f>
        <v>0</v>
      </c>
    </row>
    <row r="452" ht="14.4" spans="1:16">
      <c r="A452" t="str">
        <f>'Ammo Input'!A452</f>
        <v>8.6mm Blackout</v>
      </c>
      <c r="B452" s="1" t="str">
        <f>'Ammo Input'!B452</f>
        <v>HP</v>
      </c>
      <c r="C452">
        <f>(0.579*('Ammo Stats'!G452*IF(OR(B452="HEAT",B452="HEDP"),10,'Ammo Input'!F452)*VLOOKUP(B452,AmmoTypeFactors,7,FALSE))^(0.346))^IF(B452="HEDP",2.1,1)/IF(B452="HEDP",50,1)</f>
        <v>23.2970667575106</v>
      </c>
      <c r="D452" s="16">
        <f>IF(VLOOKUP(B452,AmmoTypeFactors,8,FALSE),J452,C452)*VLOOKUP('Ammo Input'!B452,AmmoTypeFactors,2,FALSE)</f>
        <v>23.2970667575106</v>
      </c>
      <c r="E452" s="16">
        <f>IF(OR(VLOOKUP(B452,AmmoTypeFactors,6,FALSE)="Bomb",VLOOKUP(B452,AmmoTypeFactors,6,FALSE)="Thermobaric"),J452*VLOOKUP(B452,AmmoTypeFactors,4,FALSE),IF(VLOOKUP(B452,AmmoTypeFactors,11,FALSE),P452,C452*VLOOKUP(B452,AmmoTypeFactors,4,FALSE)))</f>
        <v>0</v>
      </c>
      <c r="F452" s="16">
        <f>'Ammo Stats'!G452/0.005</f>
        <v>506000</v>
      </c>
      <c r="G452" s="16">
        <f>(IF(B452="HEAT",10,'Ammo Input'!F452)*VLOOKUP(B452,AmmoTypeFactors,7,FALSE)*0.5)^2*PI()/100</f>
        <v>2.31272741423728</v>
      </c>
      <c r="H452" s="10">
        <f t="shared" si="15"/>
        <v>50.6</v>
      </c>
      <c r="I452" s="10">
        <f>IF(B452&lt;&gt;"Arrow (Flaming)",39493.49*'Ammo Input'!M452^0.6/1000,0)</f>
        <v>0</v>
      </c>
      <c r="J452">
        <f t="shared" si="16"/>
        <v>0</v>
      </c>
      <c r="K452">
        <f t="shared" si="17"/>
        <v>8</v>
      </c>
      <c r="L452">
        <f>200000/('Ammo Stats'!C452*(MAX('Ammo Input'!D452,'Ammo Input'!F452)*0.5)^2*PI())</f>
        <v>61481.3119534106</v>
      </c>
      <c r="M452">
        <f>IF(B452="Frag",1,('Ammo Input'!M452/1.33)/('Ammo Input'!H452/1000))</f>
        <v>0</v>
      </c>
      <c r="N452" t="s">
        <v>353</v>
      </c>
      <c r="O452" t="s">
        <v>353</v>
      </c>
      <c r="P452" s="3">
        <f>(39493.49*(IF((VLOOKUP(B452,AmmoTypeFactors,6,FALSE)="Bomb_Secondary"),1.33,1)*('Ammo Input'!H452*0.35)/1000)^0.6/1000)*10/3*VLOOKUP(B452,AmmoTypeFactors,4,FALSE)</f>
        <v>0</v>
      </c>
    </row>
    <row r="453" ht="14.4" spans="1:16">
      <c r="A453" t="str">
        <f>'Ammo Input'!A453</f>
        <v>8.6mm Blackout</v>
      </c>
      <c r="B453" s="1" t="str">
        <f>'Ammo Input'!B453</f>
        <v>AP-I</v>
      </c>
      <c r="C453">
        <f>(0.579*('Ammo Stats'!G453*IF(OR(B453="HEAT",B453="HEDP"),10,'Ammo Input'!F453)*VLOOKUP(B453,AmmoTypeFactors,7,FALSE))^(0.346))^IF(B453="HEDP",2.1,1)/IF(B453="HEDP",50,1)</f>
        <v>14.4207712253949</v>
      </c>
      <c r="D453" s="16">
        <f>IF(VLOOKUP(B453,AmmoTypeFactors,8,FALSE),J453,C453)*VLOOKUP('Ammo Input'!B453,AmmoTypeFactors,2,FALSE)</f>
        <v>11.536616980316</v>
      </c>
      <c r="E453" s="16">
        <f>IF(OR(VLOOKUP(B453,AmmoTypeFactors,6,FALSE)="Bomb",VLOOKUP(B453,AmmoTypeFactors,6,FALSE)="Thermobaric"),J453*VLOOKUP(B453,AmmoTypeFactors,4,FALSE),IF(VLOOKUP(B453,AmmoTypeFactors,11,FALSE),P453,C453*VLOOKUP(B453,AmmoTypeFactors,4,FALSE)))</f>
        <v>6.91690455248794</v>
      </c>
      <c r="F453" s="16">
        <f>'Ammo Stats'!G453/0.005</f>
        <v>506000</v>
      </c>
      <c r="G453" s="16">
        <f>(IF(B453="HEAT",10,'Ammo Input'!F453)*VLOOKUP(B453,AmmoTypeFactors,7,FALSE)*0.5)^2*PI()/100</f>
        <v>0.14454546338983</v>
      </c>
      <c r="H453" s="10">
        <f t="shared" si="15"/>
        <v>50.6</v>
      </c>
      <c r="I453" s="10">
        <f>IF(B453&lt;&gt;"Arrow (Flaming)",39493.49*'Ammo Input'!M453^0.6/1000,0)</f>
        <v>0</v>
      </c>
      <c r="J453">
        <f t="shared" si="16"/>
        <v>0</v>
      </c>
      <c r="K453">
        <f t="shared" si="17"/>
        <v>8</v>
      </c>
      <c r="L453">
        <f>200000/('Ammo Stats'!C453*(MAX('Ammo Input'!D453,'Ammo Input'!F453)*0.5)^2*PI())</f>
        <v>61481.3119534106</v>
      </c>
      <c r="M453">
        <f>IF(B453="Frag",1,('Ammo Input'!M453/1.33)/('Ammo Input'!H453/1000))</f>
        <v>0</v>
      </c>
      <c r="N453" t="s">
        <v>353</v>
      </c>
      <c r="O453" t="s">
        <v>353</v>
      </c>
      <c r="P453" s="3">
        <f>(39493.49*(IF((VLOOKUP(B453,AmmoTypeFactors,6,FALSE)="Bomb_Secondary"),1.33,1)*('Ammo Input'!H453*0.35)/1000)^0.6/1000)*10/3*VLOOKUP(B453,AmmoTypeFactors,4,FALSE)</f>
        <v>6.91690455248794</v>
      </c>
    </row>
    <row r="454" ht="14.4" spans="1:16">
      <c r="A454" t="str">
        <f>'Ammo Input'!A454</f>
        <v>8.6mm Blackout</v>
      </c>
      <c r="B454" s="1" t="str">
        <f>'Ammo Input'!B454</f>
        <v>AP-HE</v>
      </c>
      <c r="C454">
        <f>(0.579*('Ammo Stats'!G454*IF(OR(B454="HEAT",B454="HEDP"),10,'Ammo Input'!F454)*VLOOKUP(B454,AmmoTypeFactors,7,FALSE))^(0.346))^IF(B454="HEDP",2.1,1)/IF(B454="HEDP",50,1)</f>
        <v>18.3292572117043</v>
      </c>
      <c r="D454" s="16">
        <f>IF(VLOOKUP(B454,AmmoTypeFactors,8,FALSE),J454,C454)*VLOOKUP('Ammo Input'!B454,AmmoTypeFactors,2,FALSE)</f>
        <v>18.3292572117043</v>
      </c>
      <c r="E454" s="16">
        <f>IF(OR(VLOOKUP(B454,AmmoTypeFactors,6,FALSE)="Bomb",VLOOKUP(B454,AmmoTypeFactors,6,FALSE)="Thermobaric"),J454*VLOOKUP(B454,AmmoTypeFactors,4,FALSE),IF(VLOOKUP(B454,AmmoTypeFactors,11,FALSE),P454,C454*VLOOKUP(B454,AmmoTypeFactors,4,FALSE)))</f>
        <v>9.47045127832519</v>
      </c>
      <c r="F454" s="16">
        <f>'Ammo Stats'!G454/0.005</f>
        <v>506000</v>
      </c>
      <c r="G454" s="16">
        <f>(IF(B454="HEAT",10,'Ammo Input'!F454)*VLOOKUP(B454,AmmoTypeFactors,7,FALSE)*0.5)^2*PI()/100</f>
        <v>0.578181853559319</v>
      </c>
      <c r="H454" s="10">
        <f t="shared" si="15"/>
        <v>50.6</v>
      </c>
      <c r="I454" s="10">
        <f>IF(B454&lt;&gt;"Arrow (Flaming)",39493.49*'Ammo Input'!M454^0.6/1000,0)</f>
        <v>0</v>
      </c>
      <c r="J454">
        <f t="shared" si="16"/>
        <v>0</v>
      </c>
      <c r="K454">
        <f t="shared" si="17"/>
        <v>8</v>
      </c>
      <c r="L454">
        <f>200000/('Ammo Stats'!C454*(MAX('Ammo Input'!D454,'Ammo Input'!F454)*0.5)^2*PI())</f>
        <v>61481.3119534106</v>
      </c>
      <c r="M454">
        <f>IF(B454="Frag",1,('Ammo Input'!M454/1.33)/('Ammo Input'!H454/1000))</f>
        <v>0</v>
      </c>
      <c r="N454" t="s">
        <v>353</v>
      </c>
      <c r="O454" t="s">
        <v>353</v>
      </c>
      <c r="P454" s="3">
        <f>(39493.49*(IF((VLOOKUP(B454,AmmoTypeFactors,6,FALSE)="Bomb_Secondary"),1.33,1)*('Ammo Input'!H454*0.35)/1000)^0.6/1000)*10/3*VLOOKUP(B454,AmmoTypeFactors,4,FALSE)</f>
        <v>9.47045127832519</v>
      </c>
    </row>
    <row r="455" ht="14.4" spans="1:16">
      <c r="A455" t="str">
        <f>'Ammo Input'!A455</f>
        <v>8.6mm Blackout</v>
      </c>
      <c r="B455" s="1" t="str">
        <f>'Ammo Input'!B455</f>
        <v>Sabot</v>
      </c>
      <c r="C455">
        <f>(0.579*('Ammo Stats'!G455*IF(OR(B455="HEAT",B455="HEDP"),10,'Ammo Input'!F455)*VLOOKUP(B455,AmmoTypeFactors,7,FALSE))^(0.346))^IF(B455="HEDP",2.1,1)/IF(B455="HEDP",50,1)</f>
        <v>15.7310993086611</v>
      </c>
      <c r="D455" s="16">
        <f>IF(VLOOKUP(B455,AmmoTypeFactors,8,FALSE),J455,C455)*VLOOKUP('Ammo Input'!B455,AmmoTypeFactors,2,FALSE)</f>
        <v>11.0117695160628</v>
      </c>
      <c r="E455" s="16">
        <f>IF(OR(VLOOKUP(B455,AmmoTypeFactors,6,FALSE)="Bomb",VLOOKUP(B455,AmmoTypeFactors,6,FALSE)="Thermobaric"),J455*VLOOKUP(B455,AmmoTypeFactors,4,FALSE),IF(VLOOKUP(B455,AmmoTypeFactors,11,FALSE),P455,C455*VLOOKUP(B455,AmmoTypeFactors,4,FALSE)))</f>
        <v>0</v>
      </c>
      <c r="F455" s="16">
        <f>'Ammo Stats'!G455/0.005</f>
        <v>650600</v>
      </c>
      <c r="G455" s="16">
        <f>(IF(B455="HEAT",10,'Ammo Input'!F455)*VLOOKUP(B455,AmmoTypeFactors,7,FALSE)*0.5)^2*PI()/100</f>
        <v>0.14454546338983</v>
      </c>
      <c r="H455" s="10">
        <f t="shared" si="15"/>
        <v>65.06</v>
      </c>
      <c r="I455" s="10">
        <f>IF(B455&lt;&gt;"Arrow (Flaming)",39493.49*'Ammo Input'!M455^0.6/1000,0)</f>
        <v>0</v>
      </c>
      <c r="J455">
        <f t="shared" si="16"/>
        <v>0</v>
      </c>
      <c r="K455">
        <f t="shared" si="17"/>
        <v>9</v>
      </c>
      <c r="L455">
        <f>200000/('Ammo Stats'!C455*(MAX('Ammo Input'!D455,'Ammo Input'!F455)*0.5)^2*PI())</f>
        <v>61481.3119534106</v>
      </c>
      <c r="M455">
        <f>IF(B455="Frag",1,('Ammo Input'!M455/1.33)/('Ammo Input'!H455/1000))</f>
        <v>0</v>
      </c>
      <c r="N455" t="s">
        <v>353</v>
      </c>
      <c r="O455" t="s">
        <v>353</v>
      </c>
      <c r="P455" s="3">
        <f>(39493.49*(IF((VLOOKUP(B455,AmmoTypeFactors,6,FALSE)="Bomb_Secondary"),1.33,1)*('Ammo Input'!H455*0.35)/1000)^0.6/1000)*10/3*VLOOKUP(B455,AmmoTypeFactors,4,FALSE)</f>
        <v>0</v>
      </c>
    </row>
    <row r="456" ht="14.4" spans="1:16">
      <c r="A456" t="str">
        <f>'Ammo Input'!A456</f>
        <v>.300 AAC Blackout</v>
      </c>
      <c r="B456" s="1" t="str">
        <f>'Ammo Input'!B456</f>
        <v>FMJ</v>
      </c>
      <c r="C456">
        <f>(0.579*('Ammo Stats'!G456*IF(OR(B456="HEAT",B456="HEDP"),10,'Ammo Input'!F456)*VLOOKUP(B456,AmmoTypeFactors,7,FALSE))^(0.346))^IF(B456="HEDP",2.1,1)/IF(B456="HEDP",50,1)</f>
        <v>15.8334473989118</v>
      </c>
      <c r="D456" s="16">
        <f>IF(VLOOKUP(B456,AmmoTypeFactors,8,FALSE),J456,C456)*VLOOKUP('Ammo Input'!B456,AmmoTypeFactors,2,FALSE)</f>
        <v>15.8334473989118</v>
      </c>
      <c r="E456" s="16">
        <f>IF(OR(VLOOKUP(B456,AmmoTypeFactors,6,FALSE)="Bomb",VLOOKUP(B456,AmmoTypeFactors,6,FALSE)="Thermobaric"),J456*VLOOKUP(B456,AmmoTypeFactors,4,FALSE),IF(VLOOKUP(B456,AmmoTypeFactors,11,FALSE),P456,C456*VLOOKUP(B456,AmmoTypeFactors,4,FALSE)))</f>
        <v>0</v>
      </c>
      <c r="F456" s="16">
        <f>'Ammo Stats'!G456/0.005</f>
        <v>364600</v>
      </c>
      <c r="G456" s="16">
        <f>(IF(B456="HEAT",10,'Ammo Input'!F456)*VLOOKUP(B456,AmmoTypeFactors,7,FALSE)*0.5)^2*PI()/100</f>
        <v>0.477836242611007</v>
      </c>
      <c r="H456" s="10">
        <f t="shared" si="15"/>
        <v>36.46</v>
      </c>
      <c r="I456" s="10">
        <f>IF(B456&lt;&gt;"Arrow (Flaming)",39493.49*'Ammo Input'!M456^0.6/1000,0)</f>
        <v>0</v>
      </c>
      <c r="J456">
        <f t="shared" si="16"/>
        <v>0</v>
      </c>
      <c r="K456">
        <f t="shared" si="17"/>
        <v>7</v>
      </c>
      <c r="L456">
        <f>200000/('Ammo Stats'!C456*(MAX('Ammo Input'!D456,'Ammo Input'!F456)*0.5)^2*PI())</f>
        <v>138155.332545048</v>
      </c>
      <c r="M456">
        <f>IF(B456="Frag",1,('Ammo Input'!M456/1.33)/('Ammo Input'!H456/1000))</f>
        <v>0</v>
      </c>
      <c r="N456" t="s">
        <v>353</v>
      </c>
      <c r="O456" t="s">
        <v>353</v>
      </c>
      <c r="P456" s="3">
        <f>(39493.49*(IF((VLOOKUP(B456,AmmoTypeFactors,6,FALSE)="Bomb_Secondary"),1.33,1)*('Ammo Input'!H456*0.35)/1000)^0.6/1000)*10/3*VLOOKUP(B456,AmmoTypeFactors,4,FALSE)</f>
        <v>0</v>
      </c>
    </row>
    <row r="457" ht="14.4" spans="1:16">
      <c r="A457" t="str">
        <f>'Ammo Input'!A457</f>
        <v>.300 AAC Blackout</v>
      </c>
      <c r="B457" s="1" t="str">
        <f>'Ammo Input'!B457</f>
        <v>AP</v>
      </c>
      <c r="C457">
        <f>(0.579*('Ammo Stats'!G457*IF(OR(B457="HEAT",B457="HEDP"),10,'Ammo Input'!F457)*VLOOKUP(B457,AmmoTypeFactors,7,FALSE))^(0.346))^IF(B457="HEDP",2.1,1)/IF(B457="HEDP",50,1)</f>
        <v>12.4571617939449</v>
      </c>
      <c r="D457" s="16">
        <f>IF(VLOOKUP(B457,AmmoTypeFactors,8,FALSE),J457,C457)*VLOOKUP('Ammo Input'!B457,AmmoTypeFactors,2,FALSE)</f>
        <v>9.96572943515593</v>
      </c>
      <c r="E457" s="16">
        <f>IF(OR(VLOOKUP(B457,AmmoTypeFactors,6,FALSE)="Bomb",VLOOKUP(B457,AmmoTypeFactors,6,FALSE)="Thermobaric"),J457*VLOOKUP(B457,AmmoTypeFactors,4,FALSE),IF(VLOOKUP(B457,AmmoTypeFactors,11,FALSE),P457,C457*VLOOKUP(B457,AmmoTypeFactors,4,FALSE)))</f>
        <v>0</v>
      </c>
      <c r="F457" s="16">
        <f>'Ammo Stats'!G457/0.005</f>
        <v>364600</v>
      </c>
      <c r="G457" s="16">
        <f>(IF(B457="HEAT",10,'Ammo Input'!F457)*VLOOKUP(B457,AmmoTypeFactors,7,FALSE)*0.5)^2*PI()/100</f>
        <v>0.119459060652752</v>
      </c>
      <c r="H457" s="10">
        <f t="shared" si="15"/>
        <v>36.46</v>
      </c>
      <c r="I457" s="10">
        <f>IF(B457&lt;&gt;"Arrow (Flaming)",39493.49*'Ammo Input'!M457^0.6/1000,0)</f>
        <v>0</v>
      </c>
      <c r="J457">
        <f t="shared" si="16"/>
        <v>0</v>
      </c>
      <c r="K457">
        <f t="shared" si="17"/>
        <v>7</v>
      </c>
      <c r="L457">
        <f>200000/('Ammo Stats'!C457*(MAX('Ammo Input'!D457,'Ammo Input'!F457)*0.5)^2*PI())</f>
        <v>138155.332545048</v>
      </c>
      <c r="M457">
        <f>IF(B457="Frag",1,('Ammo Input'!M457/1.33)/('Ammo Input'!H457/1000))</f>
        <v>0</v>
      </c>
      <c r="N457" t="s">
        <v>353</v>
      </c>
      <c r="O457" t="s">
        <v>353</v>
      </c>
      <c r="P457" s="3">
        <f>(39493.49*(IF((VLOOKUP(B457,AmmoTypeFactors,6,FALSE)="Bomb_Secondary"),1.33,1)*('Ammo Input'!H457*0.35)/1000)^0.6/1000)*10/3*VLOOKUP(B457,AmmoTypeFactors,4,FALSE)</f>
        <v>0</v>
      </c>
    </row>
    <row r="458" ht="14.4" spans="1:16">
      <c r="A458" t="str">
        <f>'Ammo Input'!A458</f>
        <v>.300 AAC Blackout</v>
      </c>
      <c r="B458" s="1" t="str">
        <f>'Ammo Input'!B458</f>
        <v>HP</v>
      </c>
      <c r="C458">
        <f>(0.579*('Ammo Stats'!G458*IF(OR(B458="HEAT",B458="HEDP"),10,'Ammo Input'!F458)*VLOOKUP(B458,AmmoTypeFactors,7,FALSE))^(0.346))^IF(B458="HEDP",2.1,1)/IF(B458="HEDP",50,1)</f>
        <v>20.1248133949713</v>
      </c>
      <c r="D458" s="16">
        <f>IF(VLOOKUP(B458,AmmoTypeFactors,8,FALSE),J458,C458)*VLOOKUP('Ammo Input'!B458,AmmoTypeFactors,2,FALSE)</f>
        <v>20.1248133949713</v>
      </c>
      <c r="E458" s="16">
        <f>IF(OR(VLOOKUP(B458,AmmoTypeFactors,6,FALSE)="Bomb",VLOOKUP(B458,AmmoTypeFactors,6,FALSE)="Thermobaric"),J458*VLOOKUP(B458,AmmoTypeFactors,4,FALSE),IF(VLOOKUP(B458,AmmoTypeFactors,11,FALSE),P458,C458*VLOOKUP(B458,AmmoTypeFactors,4,FALSE)))</f>
        <v>0</v>
      </c>
      <c r="F458" s="16">
        <f>'Ammo Stats'!G458/0.005</f>
        <v>364600</v>
      </c>
      <c r="G458" s="16">
        <f>(IF(B458="HEAT",10,'Ammo Input'!F458)*VLOOKUP(B458,AmmoTypeFactors,7,FALSE)*0.5)^2*PI()/100</f>
        <v>1.91134497044403</v>
      </c>
      <c r="H458" s="10">
        <f t="shared" si="15"/>
        <v>36.46</v>
      </c>
      <c r="I458" s="10">
        <f>IF(B458&lt;&gt;"Arrow (Flaming)",39493.49*'Ammo Input'!M458^0.6/1000,0)</f>
        <v>0</v>
      </c>
      <c r="J458">
        <f t="shared" si="16"/>
        <v>0</v>
      </c>
      <c r="K458">
        <f t="shared" si="17"/>
        <v>7</v>
      </c>
      <c r="L458">
        <f>200000/('Ammo Stats'!C458*(MAX('Ammo Input'!D458,'Ammo Input'!F458)*0.5)^2*PI())</f>
        <v>138155.332545048</v>
      </c>
      <c r="M458">
        <f>IF(B458="Frag",1,('Ammo Input'!M458/1.33)/('Ammo Input'!H458/1000))</f>
        <v>0</v>
      </c>
      <c r="N458" t="s">
        <v>353</v>
      </c>
      <c r="O458" t="s">
        <v>353</v>
      </c>
      <c r="P458" s="3">
        <f>(39493.49*(IF((VLOOKUP(B458,AmmoTypeFactors,6,FALSE)="Bomb_Secondary"),1.33,1)*('Ammo Input'!H458*0.35)/1000)^0.6/1000)*10/3*VLOOKUP(B458,AmmoTypeFactors,4,FALSE)</f>
        <v>0</v>
      </c>
    </row>
    <row r="459" ht="14.4" spans="1:16">
      <c r="A459" t="str">
        <f>'Ammo Input'!A459</f>
        <v>.300 AAC Blackout</v>
      </c>
      <c r="B459" s="1" t="str">
        <f>'Ammo Input'!B459</f>
        <v>AP-I</v>
      </c>
      <c r="C459">
        <f>(0.579*('Ammo Stats'!G459*IF(OR(B459="HEAT",B459="HEDP"),10,'Ammo Input'!F459)*VLOOKUP(B459,AmmoTypeFactors,7,FALSE))^(0.346))^IF(B459="HEDP",2.1,1)/IF(B459="HEDP",50,1)</f>
        <v>12.4571617939449</v>
      </c>
      <c r="D459" s="16">
        <f>IF(VLOOKUP(B459,AmmoTypeFactors,8,FALSE),J459,C459)*VLOOKUP('Ammo Input'!B459,AmmoTypeFactors,2,FALSE)</f>
        <v>9.96572943515593</v>
      </c>
      <c r="E459" s="16">
        <f>IF(OR(VLOOKUP(B459,AmmoTypeFactors,6,FALSE)="Bomb",VLOOKUP(B459,AmmoTypeFactors,6,FALSE)="Thermobaric"),J459*VLOOKUP(B459,AmmoTypeFactors,4,FALSE),IF(VLOOKUP(B459,AmmoTypeFactors,11,FALSE),P459,C459*VLOOKUP(B459,AmmoTypeFactors,4,FALSE)))</f>
        <v>5.03086229537241</v>
      </c>
      <c r="F459" s="16">
        <f>'Ammo Stats'!G459/0.005</f>
        <v>364600</v>
      </c>
      <c r="G459" s="16">
        <f>(IF(B459="HEAT",10,'Ammo Input'!F459)*VLOOKUP(B459,AmmoTypeFactors,7,FALSE)*0.5)^2*PI()/100</f>
        <v>0.119459060652752</v>
      </c>
      <c r="H459" s="10">
        <f t="shared" si="15"/>
        <v>36.46</v>
      </c>
      <c r="I459" s="10">
        <f>IF(B459&lt;&gt;"Arrow (Flaming)",39493.49*'Ammo Input'!M459^0.6/1000,0)</f>
        <v>0</v>
      </c>
      <c r="J459">
        <f t="shared" si="16"/>
        <v>0</v>
      </c>
      <c r="K459">
        <f t="shared" si="17"/>
        <v>7</v>
      </c>
      <c r="L459">
        <f>200000/('Ammo Stats'!C459*(MAX('Ammo Input'!D459,'Ammo Input'!F459)*0.5)^2*PI())</f>
        <v>138155.332545048</v>
      </c>
      <c r="M459">
        <f>IF(B459="Frag",1,('Ammo Input'!M459/1.33)/('Ammo Input'!H459/1000))</f>
        <v>0</v>
      </c>
      <c r="N459" t="s">
        <v>353</v>
      </c>
      <c r="O459" t="s">
        <v>353</v>
      </c>
      <c r="P459" s="3">
        <f>(39493.49*(IF((VLOOKUP(B459,AmmoTypeFactors,6,FALSE)="Bomb_Secondary"),1.33,1)*('Ammo Input'!H459*0.35)/1000)^0.6/1000)*10/3*VLOOKUP(B459,AmmoTypeFactors,4,FALSE)</f>
        <v>5.03086229537241</v>
      </c>
    </row>
    <row r="460" ht="14.4" spans="1:16">
      <c r="A460" t="str">
        <f>'Ammo Input'!A460</f>
        <v>.300 AAC Blackout</v>
      </c>
      <c r="B460" s="1" t="str">
        <f>'Ammo Input'!B460</f>
        <v>AP-HE</v>
      </c>
      <c r="C460">
        <f>(0.579*('Ammo Stats'!G460*IF(OR(B460="HEAT",B460="HEDP"),10,'Ammo Input'!F460)*VLOOKUP(B460,AmmoTypeFactors,7,FALSE))^(0.346))^IF(B460="HEDP",2.1,1)/IF(B460="HEDP",50,1)</f>
        <v>15.8334473989118</v>
      </c>
      <c r="D460" s="16">
        <f>IF(VLOOKUP(B460,AmmoTypeFactors,8,FALSE),J460,C460)*VLOOKUP('Ammo Input'!B460,AmmoTypeFactors,2,FALSE)</f>
        <v>15.8334473989118</v>
      </c>
      <c r="E460" s="16">
        <f>IF(OR(VLOOKUP(B460,AmmoTypeFactors,6,FALSE)="Bomb",VLOOKUP(B460,AmmoTypeFactors,6,FALSE)="Thermobaric"),J460*VLOOKUP(B460,AmmoTypeFactors,4,FALSE),IF(VLOOKUP(B460,AmmoTypeFactors,11,FALSE),P460,C460*VLOOKUP(B460,AmmoTypeFactors,4,FALSE)))</f>
        <v>6.88812978330752</v>
      </c>
      <c r="F460" s="16">
        <f>'Ammo Stats'!G460/0.005</f>
        <v>364600</v>
      </c>
      <c r="G460" s="16">
        <f>(IF(B460="HEAT",10,'Ammo Input'!F460)*VLOOKUP(B460,AmmoTypeFactors,7,FALSE)*0.5)^2*PI()/100</f>
        <v>0.477836242611007</v>
      </c>
      <c r="H460" s="10">
        <f t="shared" si="15"/>
        <v>36.46</v>
      </c>
      <c r="I460" s="10">
        <f>IF(B460&lt;&gt;"Arrow (Flaming)",39493.49*'Ammo Input'!M460^0.6/1000,0)</f>
        <v>0</v>
      </c>
      <c r="J460">
        <f t="shared" si="16"/>
        <v>0</v>
      </c>
      <c r="K460">
        <f t="shared" si="17"/>
        <v>7</v>
      </c>
      <c r="L460">
        <f>200000/('Ammo Stats'!C460*(MAX('Ammo Input'!D460,'Ammo Input'!F460)*0.5)^2*PI())</f>
        <v>138155.332545048</v>
      </c>
      <c r="M460">
        <f>IF(B460="Frag",1,('Ammo Input'!M460/1.33)/('Ammo Input'!H460/1000))</f>
        <v>0</v>
      </c>
      <c r="N460" t="s">
        <v>353</v>
      </c>
      <c r="O460" t="s">
        <v>353</v>
      </c>
      <c r="P460" s="3">
        <f>(39493.49*(IF((VLOOKUP(B460,AmmoTypeFactors,6,FALSE)="Bomb_Secondary"),1.33,1)*('Ammo Input'!H460*0.35)/1000)^0.6/1000)*10/3*VLOOKUP(B460,AmmoTypeFactors,4,FALSE)</f>
        <v>6.88812978330752</v>
      </c>
    </row>
    <row r="461" ht="14.4" spans="1:16">
      <c r="A461" t="str">
        <f>'Ammo Input'!A461</f>
        <v>.300 AAC Blackout</v>
      </c>
      <c r="B461" s="1" t="str">
        <f>'Ammo Input'!B461</f>
        <v>Sabot</v>
      </c>
      <c r="C461">
        <f>(0.579*('Ammo Stats'!G461*IF(OR(B461="HEAT",B461="HEDP"),10,'Ammo Input'!F461)*VLOOKUP(B461,AmmoTypeFactors,7,FALSE))^(0.346))^IF(B461="HEDP",2.1,1)/IF(B461="HEDP",50,1)</f>
        <v>11.9990469898699</v>
      </c>
      <c r="D461" s="16">
        <f>IF(VLOOKUP(B461,AmmoTypeFactors,8,FALSE),J461,C461)*VLOOKUP('Ammo Input'!B461,AmmoTypeFactors,2,FALSE)</f>
        <v>8.39933289290891</v>
      </c>
      <c r="E461" s="16">
        <f>IF(OR(VLOOKUP(B461,AmmoTypeFactors,6,FALSE)="Bomb",VLOOKUP(B461,AmmoTypeFactors,6,FALSE)="Thermobaric"),J461*VLOOKUP(B461,AmmoTypeFactors,4,FALSE),IF(VLOOKUP(B461,AmmoTypeFactors,11,FALSE),P461,C461*VLOOKUP(B461,AmmoTypeFactors,4,FALSE)))</f>
        <v>0</v>
      </c>
      <c r="F461" s="16">
        <f>'Ammo Stats'!G461/0.005</f>
        <v>467400</v>
      </c>
      <c r="G461" s="16">
        <f>(IF(B461="HEAT",10,'Ammo Input'!F461)*VLOOKUP(B461,AmmoTypeFactors,7,FALSE)*0.5)^2*PI()/100</f>
        <v>0.0585349397198484</v>
      </c>
      <c r="H461" s="10">
        <f t="shared" si="15"/>
        <v>46.74</v>
      </c>
      <c r="I461" s="10">
        <f>IF(B461&lt;&gt;"Arrow (Flaming)",39493.49*'Ammo Input'!M461^0.6/1000,0)</f>
        <v>0</v>
      </c>
      <c r="J461">
        <f t="shared" si="16"/>
        <v>0</v>
      </c>
      <c r="K461">
        <f t="shared" si="17"/>
        <v>8</v>
      </c>
      <c r="L461">
        <f>200000/('Ammo Stats'!C461*(MAX('Ammo Input'!D461,'Ammo Input'!F461)*0.5)^2*PI())</f>
        <v>138155.332545048</v>
      </c>
      <c r="M461">
        <f>IF(B461="Frag",1,('Ammo Input'!M461/1.33)/('Ammo Input'!H461/1000))</f>
        <v>0</v>
      </c>
      <c r="N461" t="s">
        <v>353</v>
      </c>
      <c r="O461" t="s">
        <v>353</v>
      </c>
      <c r="P461" s="3">
        <f>(39493.49*(IF((VLOOKUP(B461,AmmoTypeFactors,6,FALSE)="Bomb_Secondary"),1.33,1)*('Ammo Input'!H461*0.35)/1000)^0.6/1000)*10/3*VLOOKUP(B461,AmmoTypeFactors,4,FALSE)</f>
        <v>0</v>
      </c>
    </row>
    <row r="462" ht="14.4" spans="1:16">
      <c r="A462" t="str">
        <f>'Ammo Input'!A462</f>
        <v>.30 Carbine</v>
      </c>
      <c r="B462" s="1" t="str">
        <f>'Ammo Input'!B462</f>
        <v>FMJ</v>
      </c>
      <c r="C462">
        <f>(0.579*('Ammo Stats'!G462*IF(OR(B462="HEAT",B462="HEDP"),10,'Ammo Input'!F462)*VLOOKUP(B462,AmmoTypeFactors,7,FALSE))^(0.346))^IF(B462="HEDP",2.1,1)/IF(B462="HEDP",50,1)</f>
        <v>13.9235237848652</v>
      </c>
      <c r="D462" s="16">
        <f>IF(VLOOKUP(B462,AmmoTypeFactors,8,FALSE),J462,C462)*VLOOKUP('Ammo Input'!B462,AmmoTypeFactors,2,FALSE)</f>
        <v>13.9235237848652</v>
      </c>
      <c r="E462" s="16">
        <f>IF(OR(VLOOKUP(B462,AmmoTypeFactors,6,FALSE)="Bomb",VLOOKUP(B462,AmmoTypeFactors,6,FALSE)="Thermobaric"),J462*VLOOKUP(B462,AmmoTypeFactors,4,FALSE),IF(VLOOKUP(B462,AmmoTypeFactors,11,FALSE),P462,C462*VLOOKUP(B462,AmmoTypeFactors,4,FALSE)))</f>
        <v>0</v>
      </c>
      <c r="F462" s="16">
        <f>'Ammo Stats'!G462/0.005</f>
        <v>257400</v>
      </c>
      <c r="G462" s="16">
        <f>(IF(B462="HEAT",10,'Ammo Input'!F462)*VLOOKUP(B462,AmmoTypeFactors,7,FALSE)*0.5)^2*PI()/100</f>
        <v>0.456036731187748</v>
      </c>
      <c r="H462" s="10">
        <f t="shared" si="15"/>
        <v>25.74</v>
      </c>
      <c r="I462" s="10">
        <f>IF(B462&lt;&gt;"Arrow (Flaming)",39493.49*'Ammo Input'!M462^0.6/1000,0)</f>
        <v>0</v>
      </c>
      <c r="J462">
        <f t="shared" si="16"/>
        <v>0</v>
      </c>
      <c r="K462">
        <f t="shared" si="17"/>
        <v>6</v>
      </c>
      <c r="L462">
        <f>200000/('Ammo Stats'!C462*(MAX('Ammo Input'!D462,'Ammo Input'!F462)*0.5)^2*PI())</f>
        <v>315079.923121887</v>
      </c>
      <c r="M462">
        <f>IF(B462="Frag",1,('Ammo Input'!M462/1.33)/('Ammo Input'!H462/1000))</f>
        <v>0</v>
      </c>
      <c r="N462" t="s">
        <v>353</v>
      </c>
      <c r="O462" t="s">
        <v>353</v>
      </c>
      <c r="P462" s="3">
        <f>(39493.49*(IF((VLOOKUP(B462,AmmoTypeFactors,6,FALSE)="Bomb_Secondary"),1.33,1)*('Ammo Input'!H462*0.35)/1000)^0.6/1000)*10/3*VLOOKUP(B462,AmmoTypeFactors,4,FALSE)</f>
        <v>0</v>
      </c>
    </row>
    <row r="463" ht="14.4" spans="1:16">
      <c r="A463" t="str">
        <f>'Ammo Input'!A463</f>
        <v>.30 Carbine</v>
      </c>
      <c r="B463" s="1" t="str">
        <f>'Ammo Input'!B463</f>
        <v>AP</v>
      </c>
      <c r="C463">
        <f>(0.579*('Ammo Stats'!G463*IF(OR(B463="HEAT",B463="HEDP"),10,'Ammo Input'!F463)*VLOOKUP(B463,AmmoTypeFactors,7,FALSE))^(0.346))^IF(B463="HEDP",2.1,1)/IF(B463="HEDP",50,1)</f>
        <v>10.954505620919</v>
      </c>
      <c r="D463" s="16">
        <f>IF(VLOOKUP(B463,AmmoTypeFactors,8,FALSE),J463,C463)*VLOOKUP('Ammo Input'!B463,AmmoTypeFactors,2,FALSE)</f>
        <v>8.76360449673524</v>
      </c>
      <c r="E463" s="16">
        <f>IF(OR(VLOOKUP(B463,AmmoTypeFactors,6,FALSE)="Bomb",VLOOKUP(B463,AmmoTypeFactors,6,FALSE)="Thermobaric"),J463*VLOOKUP(B463,AmmoTypeFactors,4,FALSE),IF(VLOOKUP(B463,AmmoTypeFactors,11,FALSE),P463,C463*VLOOKUP(B463,AmmoTypeFactors,4,FALSE)))</f>
        <v>0</v>
      </c>
      <c r="F463" s="16">
        <f>'Ammo Stats'!G463/0.005</f>
        <v>257400</v>
      </c>
      <c r="G463" s="16">
        <f>(IF(B463="HEAT",10,'Ammo Input'!F463)*VLOOKUP(B463,AmmoTypeFactors,7,FALSE)*0.5)^2*PI()/100</f>
        <v>0.114009182796937</v>
      </c>
      <c r="H463" s="10">
        <f t="shared" si="15"/>
        <v>25.74</v>
      </c>
      <c r="I463" s="10">
        <f>IF(B463&lt;&gt;"Arrow (Flaming)",39493.49*'Ammo Input'!M463^0.6/1000,0)</f>
        <v>0</v>
      </c>
      <c r="J463">
        <f t="shared" si="16"/>
        <v>0</v>
      </c>
      <c r="K463">
        <f t="shared" si="17"/>
        <v>6</v>
      </c>
      <c r="L463">
        <f>200000/('Ammo Stats'!C463*(MAX('Ammo Input'!D463,'Ammo Input'!F463)*0.5)^2*PI())</f>
        <v>315079.923121887</v>
      </c>
      <c r="M463">
        <f>IF(B463="Frag",1,('Ammo Input'!M463/1.33)/('Ammo Input'!H463/1000))</f>
        <v>0</v>
      </c>
      <c r="N463" t="s">
        <v>353</v>
      </c>
      <c r="O463" t="s">
        <v>353</v>
      </c>
      <c r="P463" s="3">
        <f>(39493.49*(IF((VLOOKUP(B463,AmmoTypeFactors,6,FALSE)="Bomb_Secondary"),1.33,1)*('Ammo Input'!H463*0.35)/1000)^0.6/1000)*10/3*VLOOKUP(B463,AmmoTypeFactors,4,FALSE)</f>
        <v>0</v>
      </c>
    </row>
    <row r="464" ht="14.4" spans="1:16">
      <c r="A464" t="str">
        <f>'Ammo Input'!A464</f>
        <v>.30 Carbine</v>
      </c>
      <c r="B464" s="1" t="str">
        <f>'Ammo Input'!B464</f>
        <v>HP</v>
      </c>
      <c r="C464">
        <f>(0.579*('Ammo Stats'!G464*IF(OR(B464="HEAT",B464="HEDP"),10,'Ammo Input'!F464)*VLOOKUP(B464,AmmoTypeFactors,7,FALSE))^(0.346))^IF(B464="HEDP",2.1,1)/IF(B464="HEDP",50,1)</f>
        <v>17.6972399573648</v>
      </c>
      <c r="D464" s="16">
        <f>IF(VLOOKUP(B464,AmmoTypeFactors,8,FALSE),J464,C464)*VLOOKUP('Ammo Input'!B464,AmmoTypeFactors,2,FALSE)</f>
        <v>17.6972399573648</v>
      </c>
      <c r="E464" s="16">
        <f>IF(OR(VLOOKUP(B464,AmmoTypeFactors,6,FALSE)="Bomb",VLOOKUP(B464,AmmoTypeFactors,6,FALSE)="Thermobaric"),J464*VLOOKUP(B464,AmmoTypeFactors,4,FALSE),IF(VLOOKUP(B464,AmmoTypeFactors,11,FALSE),P464,C464*VLOOKUP(B464,AmmoTypeFactors,4,FALSE)))</f>
        <v>0</v>
      </c>
      <c r="F464" s="16">
        <f>'Ammo Stats'!G464/0.005</f>
        <v>257400</v>
      </c>
      <c r="G464" s="16">
        <f>(IF(B464="HEAT",10,'Ammo Input'!F464)*VLOOKUP(B464,AmmoTypeFactors,7,FALSE)*0.5)^2*PI()/100</f>
        <v>1.82414692475099</v>
      </c>
      <c r="H464" s="10">
        <f t="shared" si="15"/>
        <v>25.74</v>
      </c>
      <c r="I464" s="10">
        <f>IF(B464&lt;&gt;"Arrow (Flaming)",39493.49*'Ammo Input'!M464^0.6/1000,0)</f>
        <v>0</v>
      </c>
      <c r="J464">
        <f t="shared" si="16"/>
        <v>0</v>
      </c>
      <c r="K464">
        <f t="shared" si="17"/>
        <v>6</v>
      </c>
      <c r="L464">
        <f>200000/('Ammo Stats'!C464*(MAX('Ammo Input'!D464,'Ammo Input'!F464)*0.5)^2*PI())</f>
        <v>315079.923121887</v>
      </c>
      <c r="M464">
        <f>IF(B464="Frag",1,('Ammo Input'!M464/1.33)/('Ammo Input'!H464/1000))</f>
        <v>0</v>
      </c>
      <c r="N464" t="s">
        <v>353</v>
      </c>
      <c r="O464" t="s">
        <v>353</v>
      </c>
      <c r="P464" s="3">
        <f>(39493.49*(IF((VLOOKUP(B464,AmmoTypeFactors,6,FALSE)="Bomb_Secondary"),1.33,1)*('Ammo Input'!H464*0.35)/1000)^0.6/1000)*10/3*VLOOKUP(B464,AmmoTypeFactors,4,FALSE)</f>
        <v>0</v>
      </c>
    </row>
    <row r="465" ht="14.4" spans="1:16">
      <c r="A465" t="str">
        <f>'Ammo Input'!A465</f>
        <v>.30 Carbine</v>
      </c>
      <c r="B465" s="1" t="str">
        <f>'Ammo Input'!B465</f>
        <v>AP-I</v>
      </c>
      <c r="C465">
        <f>(0.579*('Ammo Stats'!G465*IF(OR(B465="HEAT",B465="HEDP"),10,'Ammo Input'!F465)*VLOOKUP(B465,AmmoTypeFactors,7,FALSE))^(0.346))^IF(B465="HEDP",2.1,1)/IF(B465="HEDP",50,1)</f>
        <v>10.954505620919</v>
      </c>
      <c r="D465" s="16">
        <f>IF(VLOOKUP(B465,AmmoTypeFactors,8,FALSE),J465,C465)*VLOOKUP('Ammo Input'!B465,AmmoTypeFactors,2,FALSE)</f>
        <v>8.76360449673524</v>
      </c>
      <c r="E465" s="16">
        <f>IF(OR(VLOOKUP(B465,AmmoTypeFactors,6,FALSE)="Bomb",VLOOKUP(B465,AmmoTypeFactors,6,FALSE)="Thermobaric"),J465*VLOOKUP(B465,AmmoTypeFactors,4,FALSE),IF(VLOOKUP(B465,AmmoTypeFactors,11,FALSE),P465,C465*VLOOKUP(B465,AmmoTypeFactors,4,FALSE)))</f>
        <v>4.64351937319611</v>
      </c>
      <c r="F465" s="16">
        <f>'Ammo Stats'!G465/0.005</f>
        <v>257400</v>
      </c>
      <c r="G465" s="16">
        <f>(IF(B465="HEAT",10,'Ammo Input'!F465)*VLOOKUP(B465,AmmoTypeFactors,7,FALSE)*0.5)^2*PI()/100</f>
        <v>0.114009182796937</v>
      </c>
      <c r="H465" s="10">
        <f t="shared" si="15"/>
        <v>25.74</v>
      </c>
      <c r="I465" s="10">
        <f>IF(B465&lt;&gt;"Arrow (Flaming)",39493.49*'Ammo Input'!M465^0.6/1000,0)</f>
        <v>0</v>
      </c>
      <c r="J465">
        <f t="shared" si="16"/>
        <v>0</v>
      </c>
      <c r="K465">
        <f t="shared" si="17"/>
        <v>6</v>
      </c>
      <c r="L465">
        <f>200000/('Ammo Stats'!C465*(MAX('Ammo Input'!D465,'Ammo Input'!F465)*0.5)^2*PI())</f>
        <v>315079.923121887</v>
      </c>
      <c r="M465">
        <f>IF(B465="Frag",1,('Ammo Input'!M465/1.33)/('Ammo Input'!H465/1000))</f>
        <v>0</v>
      </c>
      <c r="N465" t="s">
        <v>353</v>
      </c>
      <c r="O465" t="s">
        <v>353</v>
      </c>
      <c r="P465" s="3">
        <f>(39493.49*(IF((VLOOKUP(B465,AmmoTypeFactors,6,FALSE)="Bomb_Secondary"),1.33,1)*('Ammo Input'!H465*0.35)/1000)^0.6/1000)*10/3*VLOOKUP(B465,AmmoTypeFactors,4,FALSE)</f>
        <v>4.64351937319611</v>
      </c>
    </row>
    <row r="466" ht="14.4" spans="1:16">
      <c r="A466" t="str">
        <f>'Ammo Input'!A466</f>
        <v>.30 Carbine</v>
      </c>
      <c r="B466" s="1" t="str">
        <f>'Ammo Input'!B466</f>
        <v>AP-HE</v>
      </c>
      <c r="C466">
        <f>(0.579*('Ammo Stats'!G466*IF(OR(B466="HEAT",B466="HEDP"),10,'Ammo Input'!F466)*VLOOKUP(B466,AmmoTypeFactors,7,FALSE))^(0.346))^IF(B466="HEDP",2.1,1)/IF(B466="HEDP",50,1)</f>
        <v>13.9235237848652</v>
      </c>
      <c r="D466" s="16">
        <f>IF(VLOOKUP(B466,AmmoTypeFactors,8,FALSE),J466,C466)*VLOOKUP('Ammo Input'!B466,AmmoTypeFactors,2,FALSE)</f>
        <v>13.9235237848652</v>
      </c>
      <c r="E466" s="16">
        <f>IF(OR(VLOOKUP(B466,AmmoTypeFactors,6,FALSE)="Bomb",VLOOKUP(B466,AmmoTypeFactors,6,FALSE)="Thermobaric"),J466*VLOOKUP(B466,AmmoTypeFactors,4,FALSE),IF(VLOOKUP(B466,AmmoTypeFactors,11,FALSE),P466,C466*VLOOKUP(B466,AmmoTypeFactors,4,FALSE)))</f>
        <v>6.35778962252631</v>
      </c>
      <c r="F466" s="16">
        <f>'Ammo Stats'!G466/0.005</f>
        <v>257400</v>
      </c>
      <c r="G466" s="16">
        <f>(IF(B466="HEAT",10,'Ammo Input'!F466)*VLOOKUP(B466,AmmoTypeFactors,7,FALSE)*0.5)^2*PI()/100</f>
        <v>0.456036731187748</v>
      </c>
      <c r="H466" s="10">
        <f t="shared" si="15"/>
        <v>25.74</v>
      </c>
      <c r="I466" s="10">
        <f>IF(B466&lt;&gt;"Arrow (Flaming)",39493.49*'Ammo Input'!M466^0.6/1000,0)</f>
        <v>0</v>
      </c>
      <c r="J466">
        <f t="shared" si="16"/>
        <v>0</v>
      </c>
      <c r="K466">
        <f t="shared" si="17"/>
        <v>6</v>
      </c>
      <c r="L466">
        <f>200000/('Ammo Stats'!C466*(MAX('Ammo Input'!D466,'Ammo Input'!F466)*0.5)^2*PI())</f>
        <v>315079.923121887</v>
      </c>
      <c r="M466">
        <f>IF(B466="Frag",1,('Ammo Input'!M466/1.33)/('Ammo Input'!H466/1000))</f>
        <v>0</v>
      </c>
      <c r="N466" t="s">
        <v>353</v>
      </c>
      <c r="O466" t="s">
        <v>353</v>
      </c>
      <c r="P466" s="3">
        <f>(39493.49*(IF((VLOOKUP(B466,AmmoTypeFactors,6,FALSE)="Bomb_Secondary"),1.33,1)*('Ammo Input'!H466*0.35)/1000)^0.6/1000)*10/3*VLOOKUP(B466,AmmoTypeFactors,4,FALSE)</f>
        <v>6.35778962252631</v>
      </c>
    </row>
    <row r="467" ht="14.4" spans="1:16">
      <c r="A467" t="str">
        <f>'Ammo Input'!A467</f>
        <v>.30 Carbine</v>
      </c>
      <c r="B467" s="1" t="str">
        <f>'Ammo Input'!B467</f>
        <v>Sabot</v>
      </c>
      <c r="C467">
        <f>(0.579*('Ammo Stats'!G467*IF(OR(B467="HEAT",B467="HEDP"),10,'Ammo Input'!F467)*VLOOKUP(B467,AmmoTypeFactors,7,FALSE))^(0.346))^IF(B467="HEDP",2.1,1)/IF(B467="HEDP",50,1)</f>
        <v>10.5514048492469</v>
      </c>
      <c r="D467" s="16">
        <f>IF(VLOOKUP(B467,AmmoTypeFactors,8,FALSE),J467,C467)*VLOOKUP('Ammo Input'!B467,AmmoTypeFactors,2,FALSE)</f>
        <v>7.38598339447282</v>
      </c>
      <c r="E467" s="16">
        <f>IF(OR(VLOOKUP(B467,AmmoTypeFactors,6,FALSE)="Bomb",VLOOKUP(B467,AmmoTypeFactors,6,FALSE)="Thermobaric"),J467*VLOOKUP(B467,AmmoTypeFactors,4,FALSE),IF(VLOOKUP(B467,AmmoTypeFactors,11,FALSE),P467,C467*VLOOKUP(B467,AmmoTypeFactors,4,FALSE)))</f>
        <v>0</v>
      </c>
      <c r="F467" s="16">
        <f>'Ammo Stats'!G467/0.005</f>
        <v>330200</v>
      </c>
      <c r="G467" s="16">
        <f>(IF(B467="HEAT",10,'Ammo Input'!F467)*VLOOKUP(B467,AmmoTypeFactors,7,FALSE)*0.5)^2*PI()/100</f>
        <v>0.0557807447103544</v>
      </c>
      <c r="H467" s="10">
        <f t="shared" si="15"/>
        <v>33.02</v>
      </c>
      <c r="I467" s="10">
        <f>IF(B467&lt;&gt;"Arrow (Flaming)",39493.49*'Ammo Input'!M467^0.6/1000,0)</f>
        <v>0</v>
      </c>
      <c r="J467">
        <f t="shared" si="16"/>
        <v>0</v>
      </c>
      <c r="K467">
        <f t="shared" si="17"/>
        <v>7</v>
      </c>
      <c r="L467">
        <f>200000/('Ammo Stats'!C467*(MAX('Ammo Input'!D467,'Ammo Input'!F467)*0.5)^2*PI())</f>
        <v>315079.923121887</v>
      </c>
      <c r="M467">
        <f>IF(B467="Frag",1,('Ammo Input'!M467/1.33)/('Ammo Input'!H467/1000))</f>
        <v>0</v>
      </c>
      <c r="N467" t="s">
        <v>353</v>
      </c>
      <c r="O467" t="s">
        <v>353</v>
      </c>
      <c r="P467" s="3">
        <f>(39493.49*(IF((VLOOKUP(B467,AmmoTypeFactors,6,FALSE)="Bomb_Secondary"),1.33,1)*('Ammo Input'!H467*0.35)/1000)^0.6/1000)*10/3*VLOOKUP(B467,AmmoTypeFactors,4,FALSE)</f>
        <v>0</v>
      </c>
    </row>
    <row r="468" ht="14.4" spans="1:16">
      <c r="A468" t="str">
        <f>'Ammo Input'!A468</f>
        <v>.30-30 Winchester</v>
      </c>
      <c r="B468" s="1" t="str">
        <f>'Ammo Input'!B468</f>
        <v>FMJ</v>
      </c>
      <c r="C468">
        <f>(0.579*('Ammo Stats'!G468*IF(OR(B468="HEAT",B468="HEDP"),10,'Ammo Input'!F468)*VLOOKUP(B468,AmmoTypeFactors,7,FALSE))^(0.346))^IF(B468="HEDP",2.1,1)/IF(B468="HEDP",50,1)</f>
        <v>17.9243463700015</v>
      </c>
      <c r="D468" s="16">
        <f>IF(VLOOKUP(B468,AmmoTypeFactors,8,FALSE),J468,C468)*VLOOKUP('Ammo Input'!B468,AmmoTypeFactors,2,FALSE)</f>
        <v>17.9243463700015</v>
      </c>
      <c r="E468" s="16">
        <f>IF(OR(VLOOKUP(B468,AmmoTypeFactors,6,FALSE)="Bomb",VLOOKUP(B468,AmmoTypeFactors,6,FALSE)="Thermobaric"),J468*VLOOKUP(B468,AmmoTypeFactors,4,FALSE),IF(VLOOKUP(B468,AmmoTypeFactors,11,FALSE),P468,C468*VLOOKUP(B468,AmmoTypeFactors,4,FALSE)))</f>
        <v>0</v>
      </c>
      <c r="F468" s="16">
        <f>'Ammo Stats'!G468/0.005</f>
        <v>521800</v>
      </c>
      <c r="G468" s="16">
        <f>(IF(B468="HEAT",10,'Ammo Input'!F468)*VLOOKUP(B468,AmmoTypeFactors,7,FALSE)*0.5)^2*PI()/100</f>
        <v>0.477836242611007</v>
      </c>
      <c r="H468" s="10">
        <f t="shared" si="15"/>
        <v>52.18</v>
      </c>
      <c r="I468" s="10">
        <f>IF(B468&lt;&gt;"Arrow (Flaming)",39493.49*'Ammo Input'!M468^0.6/1000,0)</f>
        <v>0</v>
      </c>
      <c r="J468">
        <f t="shared" si="16"/>
        <v>0</v>
      </c>
      <c r="K468">
        <f t="shared" si="17"/>
        <v>8</v>
      </c>
      <c r="L468">
        <f>200000/('Ammo Stats'!C468*(MAX('Ammo Input'!D468,'Ammo Input'!F468)*0.5)^2*PI())</f>
        <v>111209.672874064</v>
      </c>
      <c r="M468">
        <f>IF(B468="Frag",1,('Ammo Input'!M468/1.33)/('Ammo Input'!H468/1000))</f>
        <v>0</v>
      </c>
      <c r="N468" t="s">
        <v>353</v>
      </c>
      <c r="O468" t="s">
        <v>353</v>
      </c>
      <c r="P468" s="3">
        <f>(39493.49*(IF((VLOOKUP(B468,AmmoTypeFactors,6,FALSE)="Bomb_Secondary"),1.33,1)*('Ammo Input'!H468*0.35)/1000)^0.6/1000)*10/3*VLOOKUP(B468,AmmoTypeFactors,4,FALSE)</f>
        <v>0</v>
      </c>
    </row>
    <row r="469" ht="14.4" spans="1:16">
      <c r="A469" t="str">
        <f>'Ammo Input'!A469</f>
        <v>.30-30 Winchester</v>
      </c>
      <c r="B469" s="1" t="str">
        <f>'Ammo Input'!B469</f>
        <v>AP</v>
      </c>
      <c r="C469">
        <f>(0.579*('Ammo Stats'!G469*IF(OR(B469="HEAT",B469="HEDP"),10,'Ammo Input'!F469)*VLOOKUP(B469,AmmoTypeFactors,7,FALSE))^(0.346))^IF(B469="HEDP",2.1,1)/IF(B469="HEDP",50,1)</f>
        <v>14.1022025814267</v>
      </c>
      <c r="D469" s="16">
        <f>IF(VLOOKUP(B469,AmmoTypeFactors,8,FALSE),J469,C469)*VLOOKUP('Ammo Input'!B469,AmmoTypeFactors,2,FALSE)</f>
        <v>11.2817620651413</v>
      </c>
      <c r="E469" s="16">
        <f>IF(OR(VLOOKUP(B469,AmmoTypeFactors,6,FALSE)="Bomb",VLOOKUP(B469,AmmoTypeFactors,6,FALSE)="Thermobaric"),J469*VLOOKUP(B469,AmmoTypeFactors,4,FALSE),IF(VLOOKUP(B469,AmmoTypeFactors,11,FALSE),P469,C469*VLOOKUP(B469,AmmoTypeFactors,4,FALSE)))</f>
        <v>0</v>
      </c>
      <c r="F469" s="16">
        <f>'Ammo Stats'!G469/0.005</f>
        <v>521800</v>
      </c>
      <c r="G469" s="16">
        <f>(IF(B469="HEAT",10,'Ammo Input'!F469)*VLOOKUP(B469,AmmoTypeFactors,7,FALSE)*0.5)^2*PI()/100</f>
        <v>0.119459060652752</v>
      </c>
      <c r="H469" s="10">
        <f t="shared" si="15"/>
        <v>52.18</v>
      </c>
      <c r="I469" s="10">
        <f>IF(B469&lt;&gt;"Arrow (Flaming)",39493.49*'Ammo Input'!M469^0.6/1000,0)</f>
        <v>0</v>
      </c>
      <c r="J469">
        <f t="shared" si="16"/>
        <v>0</v>
      </c>
      <c r="K469">
        <f t="shared" si="17"/>
        <v>8</v>
      </c>
      <c r="L469">
        <f>200000/('Ammo Stats'!C469*(MAX('Ammo Input'!D469,'Ammo Input'!F469)*0.5)^2*PI())</f>
        <v>111209.672874064</v>
      </c>
      <c r="M469">
        <f>IF(B469="Frag",1,('Ammo Input'!M469/1.33)/('Ammo Input'!H469/1000))</f>
        <v>0</v>
      </c>
      <c r="N469" t="s">
        <v>353</v>
      </c>
      <c r="O469" t="s">
        <v>353</v>
      </c>
      <c r="P469" s="3">
        <f>(39493.49*(IF((VLOOKUP(B469,AmmoTypeFactors,6,FALSE)="Bomb_Secondary"),1.33,1)*('Ammo Input'!H469*0.35)/1000)^0.6/1000)*10/3*VLOOKUP(B469,AmmoTypeFactors,4,FALSE)</f>
        <v>0</v>
      </c>
    </row>
    <row r="470" ht="14.4" spans="1:16">
      <c r="A470" t="str">
        <f>'Ammo Input'!A470</f>
        <v>.30-30 Winchester</v>
      </c>
      <c r="B470" s="1" t="str">
        <f>'Ammo Input'!B470</f>
        <v>HP</v>
      </c>
      <c r="C470">
        <f>(0.579*('Ammo Stats'!G470*IF(OR(B470="HEAT",B470="HEDP"),10,'Ammo Input'!F470)*VLOOKUP(B470,AmmoTypeFactors,7,FALSE))^(0.346))^IF(B470="HEDP",2.1,1)/IF(B470="HEDP",50,1)</f>
        <v>22.7824122463628</v>
      </c>
      <c r="D470" s="16">
        <f>IF(VLOOKUP(B470,AmmoTypeFactors,8,FALSE),J470,C470)*VLOOKUP('Ammo Input'!B470,AmmoTypeFactors,2,FALSE)</f>
        <v>22.7824122463628</v>
      </c>
      <c r="E470" s="16">
        <f>IF(OR(VLOOKUP(B470,AmmoTypeFactors,6,FALSE)="Bomb",VLOOKUP(B470,AmmoTypeFactors,6,FALSE)="Thermobaric"),J470*VLOOKUP(B470,AmmoTypeFactors,4,FALSE),IF(VLOOKUP(B470,AmmoTypeFactors,11,FALSE),P470,C470*VLOOKUP(B470,AmmoTypeFactors,4,FALSE)))</f>
        <v>0</v>
      </c>
      <c r="F470" s="16">
        <f>'Ammo Stats'!G470/0.005</f>
        <v>521800</v>
      </c>
      <c r="G470" s="16">
        <f>(IF(B470="HEAT",10,'Ammo Input'!F470)*VLOOKUP(B470,AmmoTypeFactors,7,FALSE)*0.5)^2*PI()/100</f>
        <v>1.91134497044403</v>
      </c>
      <c r="H470" s="10">
        <f t="shared" si="15"/>
        <v>52.18</v>
      </c>
      <c r="I470" s="10">
        <f>IF(B470&lt;&gt;"Arrow (Flaming)",39493.49*'Ammo Input'!M470^0.6/1000,0)</f>
        <v>0</v>
      </c>
      <c r="J470">
        <f t="shared" si="16"/>
        <v>0</v>
      </c>
      <c r="K470">
        <f t="shared" si="17"/>
        <v>8</v>
      </c>
      <c r="L470">
        <f>200000/('Ammo Stats'!C470*(MAX('Ammo Input'!D470,'Ammo Input'!F470)*0.5)^2*PI())</f>
        <v>111209.672874064</v>
      </c>
      <c r="M470">
        <f>IF(B470="Frag",1,('Ammo Input'!M470/1.33)/('Ammo Input'!H470/1000))</f>
        <v>0</v>
      </c>
      <c r="N470" t="s">
        <v>353</v>
      </c>
      <c r="O470" t="s">
        <v>353</v>
      </c>
      <c r="P470" s="3">
        <f>(39493.49*(IF((VLOOKUP(B470,AmmoTypeFactors,6,FALSE)="Bomb_Secondary"),1.33,1)*('Ammo Input'!H470*0.35)/1000)^0.6/1000)*10/3*VLOOKUP(B470,AmmoTypeFactors,4,FALSE)</f>
        <v>0</v>
      </c>
    </row>
    <row r="471" ht="14.4" spans="1:16">
      <c r="A471" t="str">
        <f>'Ammo Input'!A471</f>
        <v>.30-30 Winchester</v>
      </c>
      <c r="B471" s="1" t="str">
        <f>'Ammo Input'!B471</f>
        <v>AP-I</v>
      </c>
      <c r="C471">
        <f>(0.579*('Ammo Stats'!G471*IF(OR(B471="HEAT",B471="HEDP"),10,'Ammo Input'!F471)*VLOOKUP(B471,AmmoTypeFactors,7,FALSE))^(0.346))^IF(B471="HEDP",2.1,1)/IF(B471="HEDP",50,1)</f>
        <v>14.1022025814267</v>
      </c>
      <c r="D471" s="16">
        <f>IF(VLOOKUP(B471,AmmoTypeFactors,8,FALSE),J471,C471)*VLOOKUP('Ammo Input'!B471,AmmoTypeFactors,2,FALSE)</f>
        <v>11.2817620651413</v>
      </c>
      <c r="E471" s="16">
        <f>IF(OR(VLOOKUP(B471,AmmoTypeFactors,6,FALSE)="Bomb",VLOOKUP(B471,AmmoTypeFactors,6,FALSE)="Thermobaric"),J471*VLOOKUP(B471,AmmoTypeFactors,4,FALSE),IF(VLOOKUP(B471,AmmoTypeFactors,11,FALSE),P471,C471*VLOOKUP(B471,AmmoTypeFactors,4,FALSE)))</f>
        <v>5.87154843365474</v>
      </c>
      <c r="F471" s="16">
        <f>'Ammo Stats'!G471/0.005</f>
        <v>521800</v>
      </c>
      <c r="G471" s="16">
        <f>(IF(B471="HEAT",10,'Ammo Input'!F471)*VLOOKUP(B471,AmmoTypeFactors,7,FALSE)*0.5)^2*PI()/100</f>
        <v>0.119459060652752</v>
      </c>
      <c r="H471" s="10">
        <f t="shared" si="15"/>
        <v>52.18</v>
      </c>
      <c r="I471" s="10">
        <f>IF(B471&lt;&gt;"Arrow (Flaming)",39493.49*'Ammo Input'!M471^0.6/1000,0)</f>
        <v>0</v>
      </c>
      <c r="J471">
        <f t="shared" si="16"/>
        <v>0</v>
      </c>
      <c r="K471">
        <f t="shared" si="17"/>
        <v>8</v>
      </c>
      <c r="L471">
        <f>200000/('Ammo Stats'!C471*(MAX('Ammo Input'!D471,'Ammo Input'!F471)*0.5)^2*PI())</f>
        <v>111209.672874064</v>
      </c>
      <c r="M471">
        <f>IF(B471="Frag",1,('Ammo Input'!M471/1.33)/('Ammo Input'!H471/1000))</f>
        <v>0</v>
      </c>
      <c r="N471" t="s">
        <v>353</v>
      </c>
      <c r="O471" t="s">
        <v>353</v>
      </c>
      <c r="P471" s="3">
        <f>(39493.49*(IF((VLOOKUP(B471,AmmoTypeFactors,6,FALSE)="Bomb_Secondary"),1.33,1)*('Ammo Input'!H471*0.35)/1000)^0.6/1000)*10/3*VLOOKUP(B471,AmmoTypeFactors,4,FALSE)</f>
        <v>5.87154843365474</v>
      </c>
    </row>
    <row r="472" ht="14.4" spans="1:16">
      <c r="A472" t="str">
        <f>'Ammo Input'!A472</f>
        <v>.30-30 Winchester</v>
      </c>
      <c r="B472" s="1" t="str">
        <f>'Ammo Input'!B472</f>
        <v>AP-HE</v>
      </c>
      <c r="C472">
        <f>(0.579*('Ammo Stats'!G472*IF(OR(B472="HEAT",B472="HEDP"),10,'Ammo Input'!F472)*VLOOKUP(B472,AmmoTypeFactors,7,FALSE))^(0.346))^IF(B472="HEDP",2.1,1)/IF(B472="HEDP",50,1)</f>
        <v>17.9243463700015</v>
      </c>
      <c r="D472" s="16">
        <f>IF(VLOOKUP(B472,AmmoTypeFactors,8,FALSE),J472,C472)*VLOOKUP('Ammo Input'!B472,AmmoTypeFactors,2,FALSE)</f>
        <v>17.9243463700015</v>
      </c>
      <c r="E472" s="16">
        <f>IF(OR(VLOOKUP(B472,AmmoTypeFactors,6,FALSE)="Bomb",VLOOKUP(B472,AmmoTypeFactors,6,FALSE)="Thermobaric"),J472*VLOOKUP(B472,AmmoTypeFactors,4,FALSE),IF(VLOOKUP(B472,AmmoTypeFactors,11,FALSE),P472,C472*VLOOKUP(B472,AmmoTypeFactors,4,FALSE)))</f>
        <v>8.03917604288074</v>
      </c>
      <c r="F472" s="16">
        <f>'Ammo Stats'!G472/0.005</f>
        <v>521800</v>
      </c>
      <c r="G472" s="16">
        <f>(IF(B472="HEAT",10,'Ammo Input'!F472)*VLOOKUP(B472,AmmoTypeFactors,7,FALSE)*0.5)^2*PI()/100</f>
        <v>0.477836242611007</v>
      </c>
      <c r="H472" s="10">
        <f t="shared" si="15"/>
        <v>52.18</v>
      </c>
      <c r="I472" s="10">
        <f>IF(B472&lt;&gt;"Arrow (Flaming)",39493.49*'Ammo Input'!M472^0.6/1000,0)</f>
        <v>0</v>
      </c>
      <c r="J472">
        <f t="shared" si="16"/>
        <v>0</v>
      </c>
      <c r="K472">
        <f t="shared" si="17"/>
        <v>8</v>
      </c>
      <c r="L472">
        <f>200000/('Ammo Stats'!C472*(MAX('Ammo Input'!D472,'Ammo Input'!F472)*0.5)^2*PI())</f>
        <v>111209.672874064</v>
      </c>
      <c r="M472">
        <f>IF(B472="Frag",1,('Ammo Input'!M472/1.33)/('Ammo Input'!H472/1000))</f>
        <v>0</v>
      </c>
      <c r="N472" t="s">
        <v>353</v>
      </c>
      <c r="O472" t="s">
        <v>353</v>
      </c>
      <c r="P472" s="3">
        <f>(39493.49*(IF((VLOOKUP(B472,AmmoTypeFactors,6,FALSE)="Bomb_Secondary"),1.33,1)*('Ammo Input'!H472*0.35)/1000)^0.6/1000)*10/3*VLOOKUP(B472,AmmoTypeFactors,4,FALSE)</f>
        <v>8.03917604288074</v>
      </c>
    </row>
    <row r="473" ht="14.4" spans="1:16">
      <c r="A473" t="str">
        <f>'Ammo Input'!A473</f>
        <v>.30-30 Winchester</v>
      </c>
      <c r="B473" s="1" t="str">
        <f>'Ammo Input'!B473</f>
        <v>Sabot</v>
      </c>
      <c r="C473">
        <f>(0.579*('Ammo Stats'!G473*IF(OR(B473="HEAT",B473="HEDP"),10,'Ammo Input'!F473)*VLOOKUP(B473,AmmoTypeFactors,7,FALSE))^(0.346))^IF(B473="HEDP",2.1,1)/IF(B473="HEDP",50,1)</f>
        <v>13.5939612321805</v>
      </c>
      <c r="D473" s="16">
        <f>IF(VLOOKUP(B473,AmmoTypeFactors,8,FALSE),J473,C473)*VLOOKUP('Ammo Input'!B473,AmmoTypeFactors,2,FALSE)</f>
        <v>9.51577286252637</v>
      </c>
      <c r="E473" s="16">
        <f>IF(OR(VLOOKUP(B473,AmmoTypeFactors,6,FALSE)="Bomb",VLOOKUP(B473,AmmoTypeFactors,6,FALSE)="Thermobaric"),J473*VLOOKUP(B473,AmmoTypeFactors,4,FALSE),IF(VLOOKUP(B473,AmmoTypeFactors,11,FALSE),P473,C473*VLOOKUP(B473,AmmoTypeFactors,4,FALSE)))</f>
        <v>0</v>
      </c>
      <c r="F473" s="16">
        <f>'Ammo Stats'!G473/0.005</f>
        <v>670400</v>
      </c>
      <c r="G473" s="16">
        <f>(IF(B473="HEAT",10,'Ammo Input'!F473)*VLOOKUP(B473,AmmoTypeFactors,7,FALSE)*0.5)^2*PI()/100</f>
        <v>0.0585349397198484</v>
      </c>
      <c r="H473" s="10">
        <f t="shared" si="15"/>
        <v>67.04</v>
      </c>
      <c r="I473" s="10">
        <f>IF(B473&lt;&gt;"Arrow (Flaming)",39493.49*'Ammo Input'!M473^0.6/1000,0)</f>
        <v>0</v>
      </c>
      <c r="J473">
        <f t="shared" si="16"/>
        <v>0</v>
      </c>
      <c r="K473">
        <f t="shared" si="17"/>
        <v>9</v>
      </c>
      <c r="L473">
        <f>200000/('Ammo Stats'!C473*(MAX('Ammo Input'!D473,'Ammo Input'!F473)*0.5)^2*PI())</f>
        <v>111209.672874064</v>
      </c>
      <c r="M473">
        <f>IF(B473="Frag",1,('Ammo Input'!M473/1.33)/('Ammo Input'!H473/1000))</f>
        <v>0</v>
      </c>
      <c r="N473" t="s">
        <v>353</v>
      </c>
      <c r="O473" t="s">
        <v>353</v>
      </c>
      <c r="P473" s="3">
        <f>(39493.49*(IF((VLOOKUP(B473,AmmoTypeFactors,6,FALSE)="Bomb_Secondary"),1.33,1)*('Ammo Input'!H473*0.35)/1000)^0.6/1000)*10/3*VLOOKUP(B473,AmmoTypeFactors,4,FALSE)</f>
        <v>0</v>
      </c>
    </row>
    <row r="474" ht="14.4" spans="1:16">
      <c r="A474" t="str">
        <f>'Ammo Input'!A474</f>
        <v>.38-55 Winchester</v>
      </c>
      <c r="B474" s="1" t="str">
        <f>'Ammo Input'!B474</f>
        <v>FMJ</v>
      </c>
      <c r="C474">
        <f>(0.579*('Ammo Stats'!G474*IF(OR(B474="HEAT",B474="HEDP"),10,'Ammo Input'!F474)*VLOOKUP(B474,AmmoTypeFactors,7,FALSE))^(0.346))^IF(B474="HEDP",2.1,1)/IF(B474="HEDP",50,1)</f>
        <v>19.903049197286</v>
      </c>
      <c r="D474" s="16">
        <f>IF(VLOOKUP(B474,AmmoTypeFactors,8,FALSE),J474,C474)*VLOOKUP('Ammo Input'!B474,AmmoTypeFactors,2,FALSE)</f>
        <v>19.903049197286</v>
      </c>
      <c r="E474" s="16">
        <f>IF(OR(VLOOKUP(B474,AmmoTypeFactors,6,FALSE)="Bomb",VLOOKUP(B474,AmmoTypeFactors,6,FALSE)="Thermobaric"),J474*VLOOKUP(B474,AmmoTypeFactors,4,FALSE),IF(VLOOKUP(B474,AmmoTypeFactors,11,FALSE),P474,C474*VLOOKUP(B474,AmmoTypeFactors,4,FALSE)))</f>
        <v>0</v>
      </c>
      <c r="F474" s="16">
        <f>'Ammo Stats'!G474/0.005</f>
        <v>574400</v>
      </c>
      <c r="G474" s="16">
        <f>(IF(B474="HEAT",10,'Ammo Input'!F474)*VLOOKUP(B474,AmmoTypeFactors,7,FALSE)*0.5)^2*PI()/100</f>
        <v>0.722315768311529</v>
      </c>
      <c r="H474" s="10">
        <f t="shared" si="15"/>
        <v>57.44</v>
      </c>
      <c r="I474" s="10">
        <f>IF(B474&lt;&gt;"Arrow (Flaming)",39493.49*'Ammo Input'!M474^0.6/1000,0)</f>
        <v>0</v>
      </c>
      <c r="J474">
        <f t="shared" si="16"/>
        <v>0</v>
      </c>
      <c r="K474">
        <f t="shared" si="17"/>
        <v>8</v>
      </c>
      <c r="L474">
        <f>200000/('Ammo Stats'!C474*(MAX('Ammo Input'!D474,'Ammo Input'!F474)*0.5)^2*PI())</f>
        <v>111209.672874064</v>
      </c>
      <c r="M474">
        <f>IF(B474="Frag",1,('Ammo Input'!M474/1.33)/('Ammo Input'!H474/1000))</f>
        <v>0</v>
      </c>
      <c r="N474" t="s">
        <v>353</v>
      </c>
      <c r="O474" t="s">
        <v>353</v>
      </c>
      <c r="P474" s="3">
        <f>(39493.49*(IF((VLOOKUP(B474,AmmoTypeFactors,6,FALSE)="Bomb_Secondary"),1.33,1)*('Ammo Input'!H474*0.35)/1000)^0.6/1000)*10/3*VLOOKUP(B474,AmmoTypeFactors,4,FALSE)</f>
        <v>0</v>
      </c>
    </row>
    <row r="475" ht="14.4" spans="1:16">
      <c r="A475" t="str">
        <f>'Ammo Input'!A475</f>
        <v>.38-55 Winchester</v>
      </c>
      <c r="B475" s="1" t="str">
        <f>'Ammo Input'!B475</f>
        <v>AP</v>
      </c>
      <c r="C475">
        <f>(0.579*('Ammo Stats'!G475*IF(OR(B475="HEAT",B475="HEDP"),10,'Ammo Input'!F475)*VLOOKUP(B475,AmmoTypeFactors,7,FALSE))^(0.346))^IF(B475="HEDP",2.1,1)/IF(B475="HEDP",50,1)</f>
        <v>15.6589716564491</v>
      </c>
      <c r="D475" s="16">
        <f>IF(VLOOKUP(B475,AmmoTypeFactors,8,FALSE),J475,C475)*VLOOKUP('Ammo Input'!B475,AmmoTypeFactors,2,FALSE)</f>
        <v>12.5271773251593</v>
      </c>
      <c r="E475" s="16">
        <f>IF(OR(VLOOKUP(B475,AmmoTypeFactors,6,FALSE)="Bomb",VLOOKUP(B475,AmmoTypeFactors,6,FALSE)="Thermobaric"),J475*VLOOKUP(B475,AmmoTypeFactors,4,FALSE),IF(VLOOKUP(B475,AmmoTypeFactors,11,FALSE),P475,C475*VLOOKUP(B475,AmmoTypeFactors,4,FALSE)))</f>
        <v>0</v>
      </c>
      <c r="F475" s="16">
        <f>'Ammo Stats'!G475/0.005</f>
        <v>574400</v>
      </c>
      <c r="G475" s="16">
        <f>(IF(B475="HEAT",10,'Ammo Input'!F475)*VLOOKUP(B475,AmmoTypeFactors,7,FALSE)*0.5)^2*PI()/100</f>
        <v>0.180578942077882</v>
      </c>
      <c r="H475" s="10">
        <f t="shared" si="15"/>
        <v>57.44</v>
      </c>
      <c r="I475" s="10">
        <f>IF(B475&lt;&gt;"Arrow (Flaming)",39493.49*'Ammo Input'!M475^0.6/1000,0)</f>
        <v>0</v>
      </c>
      <c r="J475">
        <f t="shared" si="16"/>
        <v>0</v>
      </c>
      <c r="K475">
        <f t="shared" si="17"/>
        <v>8</v>
      </c>
      <c r="L475">
        <f>200000/('Ammo Stats'!C475*(MAX('Ammo Input'!D475,'Ammo Input'!F475)*0.5)^2*PI())</f>
        <v>111209.672874064</v>
      </c>
      <c r="M475">
        <f>IF(B475="Frag",1,('Ammo Input'!M475/1.33)/('Ammo Input'!H475/1000))</f>
        <v>0</v>
      </c>
      <c r="N475" t="s">
        <v>353</v>
      </c>
      <c r="O475" t="s">
        <v>353</v>
      </c>
      <c r="P475" s="3">
        <f>(39493.49*(IF((VLOOKUP(B475,AmmoTypeFactors,6,FALSE)="Bomb_Secondary"),1.33,1)*('Ammo Input'!H475*0.35)/1000)^0.6/1000)*10/3*VLOOKUP(B475,AmmoTypeFactors,4,FALSE)</f>
        <v>0</v>
      </c>
    </row>
    <row r="476" ht="14.4" spans="1:16">
      <c r="A476" t="str">
        <f>'Ammo Input'!A476</f>
        <v>.38-55 Winchester</v>
      </c>
      <c r="B476" s="1" t="str">
        <f>'Ammo Input'!B476</f>
        <v>HP</v>
      </c>
      <c r="C476">
        <f>(0.579*('Ammo Stats'!G476*IF(OR(B476="HEAT",B476="HEDP"),10,'Ammo Input'!F476)*VLOOKUP(B476,AmmoTypeFactors,7,FALSE))^(0.346))^IF(B476="HEDP",2.1,1)/IF(B476="HEDP",50,1)</f>
        <v>25.2974062435602</v>
      </c>
      <c r="D476" s="16">
        <f>IF(VLOOKUP(B476,AmmoTypeFactors,8,FALSE),J476,C476)*VLOOKUP('Ammo Input'!B476,AmmoTypeFactors,2,FALSE)</f>
        <v>25.2974062435602</v>
      </c>
      <c r="E476" s="16">
        <f>IF(OR(VLOOKUP(B476,AmmoTypeFactors,6,FALSE)="Bomb",VLOOKUP(B476,AmmoTypeFactors,6,FALSE)="Thermobaric"),J476*VLOOKUP(B476,AmmoTypeFactors,4,FALSE),IF(VLOOKUP(B476,AmmoTypeFactors,11,FALSE),P476,C476*VLOOKUP(B476,AmmoTypeFactors,4,FALSE)))</f>
        <v>0</v>
      </c>
      <c r="F476" s="16">
        <f>'Ammo Stats'!G476/0.005</f>
        <v>574400</v>
      </c>
      <c r="G476" s="16">
        <f>(IF(B476="HEAT",10,'Ammo Input'!F476)*VLOOKUP(B476,AmmoTypeFactors,7,FALSE)*0.5)^2*PI()/100</f>
        <v>2.88926307324611</v>
      </c>
      <c r="H476" s="10">
        <f t="shared" si="15"/>
        <v>57.44</v>
      </c>
      <c r="I476" s="10">
        <f>IF(B476&lt;&gt;"Arrow (Flaming)",39493.49*'Ammo Input'!M476^0.6/1000,0)</f>
        <v>0</v>
      </c>
      <c r="J476">
        <f t="shared" si="16"/>
        <v>0</v>
      </c>
      <c r="K476">
        <f t="shared" si="17"/>
        <v>8</v>
      </c>
      <c r="L476">
        <f>200000/('Ammo Stats'!C476*(MAX('Ammo Input'!D476,'Ammo Input'!F476)*0.5)^2*PI())</f>
        <v>111209.672874064</v>
      </c>
      <c r="M476">
        <f>IF(B476="Frag",1,('Ammo Input'!M476/1.33)/('Ammo Input'!H476/1000))</f>
        <v>0</v>
      </c>
      <c r="N476" t="s">
        <v>353</v>
      </c>
      <c r="O476" t="s">
        <v>353</v>
      </c>
      <c r="P476" s="3">
        <f>(39493.49*(IF((VLOOKUP(B476,AmmoTypeFactors,6,FALSE)="Bomb_Secondary"),1.33,1)*('Ammo Input'!H476*0.35)/1000)^0.6/1000)*10/3*VLOOKUP(B476,AmmoTypeFactors,4,FALSE)</f>
        <v>0</v>
      </c>
    </row>
    <row r="477" ht="14.4" spans="1:16">
      <c r="A477" t="str">
        <f>'Ammo Input'!A477</f>
        <v>.38-55 Winchester</v>
      </c>
      <c r="B477" s="1" t="str">
        <f>'Ammo Input'!B477</f>
        <v>AP-I</v>
      </c>
      <c r="C477">
        <f>(0.579*('Ammo Stats'!G477*IF(OR(B477="HEAT",B477="HEDP"),10,'Ammo Input'!F477)*VLOOKUP(B477,AmmoTypeFactors,7,FALSE))^(0.346))^IF(B477="HEDP",2.1,1)/IF(B477="HEDP",50,1)</f>
        <v>15.6589716564491</v>
      </c>
      <c r="D477" s="16">
        <f>IF(VLOOKUP(B477,AmmoTypeFactors,8,FALSE),J477,C477)*VLOOKUP('Ammo Input'!B477,AmmoTypeFactors,2,FALSE)</f>
        <v>12.5271773251593</v>
      </c>
      <c r="E477" s="16">
        <f>IF(OR(VLOOKUP(B477,AmmoTypeFactors,6,FALSE)="Bomb",VLOOKUP(B477,AmmoTypeFactors,6,FALSE)="Thermobaric"),J477*VLOOKUP(B477,AmmoTypeFactors,4,FALSE),IF(VLOOKUP(B477,AmmoTypeFactors,11,FALSE),P477,C477*VLOOKUP(B477,AmmoTypeFactors,4,FALSE)))</f>
        <v>7.76745604509714</v>
      </c>
      <c r="F477" s="16">
        <f>'Ammo Stats'!G477/0.005</f>
        <v>574400</v>
      </c>
      <c r="G477" s="16">
        <f>(IF(B477="HEAT",10,'Ammo Input'!F477)*VLOOKUP(B477,AmmoTypeFactors,7,FALSE)*0.5)^2*PI()/100</f>
        <v>0.180578942077882</v>
      </c>
      <c r="H477" s="10">
        <f t="shared" si="15"/>
        <v>57.44</v>
      </c>
      <c r="I477" s="10">
        <f>IF(B477&lt;&gt;"Arrow (Flaming)",39493.49*'Ammo Input'!M477^0.6/1000,0)</f>
        <v>0</v>
      </c>
      <c r="J477">
        <f t="shared" si="16"/>
        <v>0</v>
      </c>
      <c r="K477">
        <f t="shared" si="17"/>
        <v>8</v>
      </c>
      <c r="L477">
        <f>200000/('Ammo Stats'!C477*(MAX('Ammo Input'!D477,'Ammo Input'!F477)*0.5)^2*PI())</f>
        <v>111209.672874064</v>
      </c>
      <c r="M477">
        <f>IF(B477="Frag",1,('Ammo Input'!M477/1.33)/('Ammo Input'!H477/1000))</f>
        <v>0</v>
      </c>
      <c r="N477" t="s">
        <v>353</v>
      </c>
      <c r="O477" t="s">
        <v>353</v>
      </c>
      <c r="P477" s="3">
        <f>(39493.49*(IF((VLOOKUP(B477,AmmoTypeFactors,6,FALSE)="Bomb_Secondary"),1.33,1)*('Ammo Input'!H477*0.35)/1000)^0.6/1000)*10/3*VLOOKUP(B477,AmmoTypeFactors,4,FALSE)</f>
        <v>7.76745604509714</v>
      </c>
    </row>
    <row r="478" ht="14.4" spans="1:16">
      <c r="A478" t="str">
        <f>'Ammo Input'!A478</f>
        <v>.38-55 Winchester</v>
      </c>
      <c r="B478" s="1" t="str">
        <f>'Ammo Input'!B478</f>
        <v>AP-HE</v>
      </c>
      <c r="C478">
        <f>(0.579*('Ammo Stats'!G478*IF(OR(B478="HEAT",B478="HEDP"),10,'Ammo Input'!F478)*VLOOKUP(B478,AmmoTypeFactors,7,FALSE))^(0.346))^IF(B478="HEDP",2.1,1)/IF(B478="HEDP",50,1)</f>
        <v>19.903049197286</v>
      </c>
      <c r="D478" s="16">
        <f>IF(VLOOKUP(B478,AmmoTypeFactors,8,FALSE),J478,C478)*VLOOKUP('Ammo Input'!B478,AmmoTypeFactors,2,FALSE)</f>
        <v>19.903049197286</v>
      </c>
      <c r="E478" s="16">
        <f>IF(OR(VLOOKUP(B478,AmmoTypeFactors,6,FALSE)="Bomb",VLOOKUP(B478,AmmoTypeFactors,6,FALSE)="Thermobaric"),J478*VLOOKUP(B478,AmmoTypeFactors,4,FALSE),IF(VLOOKUP(B478,AmmoTypeFactors,11,FALSE),P478,C478*VLOOKUP(B478,AmmoTypeFactors,4,FALSE)))</f>
        <v>10.6350049322519</v>
      </c>
      <c r="F478" s="16">
        <f>'Ammo Stats'!G478/0.005</f>
        <v>574400</v>
      </c>
      <c r="G478" s="16">
        <f>(IF(B478="HEAT",10,'Ammo Input'!F478)*VLOOKUP(B478,AmmoTypeFactors,7,FALSE)*0.5)^2*PI()/100</f>
        <v>0.722315768311529</v>
      </c>
      <c r="H478" s="10">
        <f t="shared" si="15"/>
        <v>57.44</v>
      </c>
      <c r="I478" s="10">
        <f>IF(B478&lt;&gt;"Arrow (Flaming)",39493.49*'Ammo Input'!M478^0.6/1000,0)</f>
        <v>0</v>
      </c>
      <c r="J478">
        <f t="shared" si="16"/>
        <v>0</v>
      </c>
      <c r="K478">
        <f t="shared" si="17"/>
        <v>8</v>
      </c>
      <c r="L478">
        <f>200000/('Ammo Stats'!C478*(MAX('Ammo Input'!D478,'Ammo Input'!F478)*0.5)^2*PI())</f>
        <v>111209.672874064</v>
      </c>
      <c r="M478">
        <f>IF(B478="Frag",1,('Ammo Input'!M478/1.33)/('Ammo Input'!H478/1000))</f>
        <v>0</v>
      </c>
      <c r="N478" t="s">
        <v>353</v>
      </c>
      <c r="O478" t="s">
        <v>353</v>
      </c>
      <c r="P478" s="3">
        <f>(39493.49*(IF((VLOOKUP(B478,AmmoTypeFactors,6,FALSE)="Bomb_Secondary"),1.33,1)*('Ammo Input'!H478*0.35)/1000)^0.6/1000)*10/3*VLOOKUP(B478,AmmoTypeFactors,4,FALSE)</f>
        <v>10.6350049322519</v>
      </c>
    </row>
    <row r="479" ht="14.4" spans="1:16">
      <c r="A479" t="str">
        <f>'Ammo Input'!A479</f>
        <v>.38-55 Winchester</v>
      </c>
      <c r="B479" s="1" t="str">
        <f>'Ammo Input'!B479</f>
        <v>Sabot</v>
      </c>
      <c r="C479">
        <f>(0.579*('Ammo Stats'!G479*IF(OR(B479="HEAT",B479="HEDP"),10,'Ammo Input'!F479)*VLOOKUP(B479,AmmoTypeFactors,7,FALSE))^(0.346))^IF(B479="HEDP",2.1,1)/IF(B479="HEDP",50,1)</f>
        <v>15.0990139235305</v>
      </c>
      <c r="D479" s="16">
        <f>IF(VLOOKUP(B479,AmmoTypeFactors,8,FALSE),J479,C479)*VLOOKUP('Ammo Input'!B479,AmmoTypeFactors,2,FALSE)</f>
        <v>10.5693097464714</v>
      </c>
      <c r="E479" s="16">
        <f>IF(OR(VLOOKUP(B479,AmmoTypeFactors,6,FALSE)="Bomb",VLOOKUP(B479,AmmoTypeFactors,6,FALSE)="Thermobaric"),J479*VLOOKUP(B479,AmmoTypeFactors,4,FALSE),IF(VLOOKUP(B479,AmmoTypeFactors,11,FALSE),P479,C479*VLOOKUP(B479,AmmoTypeFactors,4,FALSE)))</f>
        <v>0</v>
      </c>
      <c r="F479" s="16">
        <f>'Ammo Stats'!G479/0.005</f>
        <v>738600</v>
      </c>
      <c r="G479" s="16">
        <f>(IF(B479="HEAT",10,'Ammo Input'!F479)*VLOOKUP(B479,AmmoTypeFactors,7,FALSE)*0.5)^2*PI()/100</f>
        <v>0.0884836816181623</v>
      </c>
      <c r="H479" s="10">
        <f t="shared" si="15"/>
        <v>73.86</v>
      </c>
      <c r="I479" s="10">
        <f>IF(B479&lt;&gt;"Arrow (Flaming)",39493.49*'Ammo Input'!M479^0.6/1000,0)</f>
        <v>0</v>
      </c>
      <c r="J479">
        <f t="shared" si="16"/>
        <v>0</v>
      </c>
      <c r="K479">
        <f t="shared" si="17"/>
        <v>9</v>
      </c>
      <c r="L479">
        <f>200000/('Ammo Stats'!C479*(MAX('Ammo Input'!D479,'Ammo Input'!F479)*0.5)^2*PI())</f>
        <v>111209.672874064</v>
      </c>
      <c r="M479">
        <f>IF(B479="Frag",1,('Ammo Input'!M479/1.33)/('Ammo Input'!H479/1000))</f>
        <v>0</v>
      </c>
      <c r="N479" t="s">
        <v>353</v>
      </c>
      <c r="O479" t="s">
        <v>353</v>
      </c>
      <c r="P479" s="3">
        <f>(39493.49*(IF((VLOOKUP(B479,AmmoTypeFactors,6,FALSE)="Bomb_Secondary"),1.33,1)*('Ammo Input'!H479*0.35)/1000)^0.6/1000)*10/3*VLOOKUP(B479,AmmoTypeFactors,4,FALSE)</f>
        <v>0</v>
      </c>
    </row>
    <row r="480" ht="14.4" spans="1:16">
      <c r="A480" t="str">
        <f>'Ammo Input'!A480</f>
        <v>.44-40 Winchester</v>
      </c>
      <c r="B480" s="1" t="str">
        <f>'Ammo Input'!B480</f>
        <v>FMJ</v>
      </c>
      <c r="C480">
        <f>(0.579*('Ammo Stats'!G480*IF(OR(B480="HEAT",B480="HEDP"),10,'Ammo Input'!F480)*VLOOKUP(B480,AmmoTypeFactors,7,FALSE))^(0.346))^IF(B480="HEDP",2.1,1)/IF(B480="HEDP",50,1)</f>
        <v>14.0599314189258</v>
      </c>
      <c r="D480" s="16">
        <f>IF(VLOOKUP(B480,AmmoTypeFactors,8,FALSE),J480,C480)*VLOOKUP('Ammo Input'!B480,AmmoTypeFactors,2,FALSE)</f>
        <v>14.0599314189258</v>
      </c>
      <c r="E480" s="16">
        <f>IF(OR(VLOOKUP(B480,AmmoTypeFactors,6,FALSE)="Bomb",VLOOKUP(B480,AmmoTypeFactors,6,FALSE)="Thermobaric"),J480*VLOOKUP(B480,AmmoTypeFactors,4,FALSE),IF(VLOOKUP(B480,AmmoTypeFactors,11,FALSE),P480,C480*VLOOKUP(B480,AmmoTypeFactors,4,FALSE)))</f>
        <v>0</v>
      </c>
      <c r="F480" s="16">
        <f>'Ammo Stats'!G480/0.005</f>
        <v>186800</v>
      </c>
      <c r="G480" s="16">
        <f>(IF(B480="HEAT",10,'Ammo Input'!F480)*VLOOKUP(B480,AmmoTypeFactors,7,FALSE)*0.5)^2*PI()/100</f>
        <v>0.916088417786784</v>
      </c>
      <c r="H480" s="10">
        <f t="shared" si="15"/>
        <v>18.68</v>
      </c>
      <c r="I480" s="10">
        <f>IF(B480&lt;&gt;"Arrow (Flaming)",39493.49*'Ammo Input'!M480^0.6/1000,0)</f>
        <v>0</v>
      </c>
      <c r="J480">
        <f t="shared" si="16"/>
        <v>0</v>
      </c>
      <c r="K480">
        <f t="shared" si="17"/>
        <v>6</v>
      </c>
      <c r="L480">
        <f>200000/('Ammo Stats'!C480*(MAX('Ammo Input'!D480,'Ammo Input'!F480)*0.5)^2*PI())</f>
        <v>88419.4128288307</v>
      </c>
      <c r="M480">
        <f>IF(B480="Frag",1,('Ammo Input'!M480/1.33)/('Ammo Input'!H480/1000))</f>
        <v>0</v>
      </c>
      <c r="N480" t="s">
        <v>353</v>
      </c>
      <c r="O480" t="s">
        <v>353</v>
      </c>
      <c r="P480" s="3">
        <f>(39493.49*(IF((VLOOKUP(B480,AmmoTypeFactors,6,FALSE)="Bomb_Secondary"),1.33,1)*('Ammo Input'!H480*0.35)/1000)^0.6/1000)*10/3*VLOOKUP(B480,AmmoTypeFactors,4,FALSE)</f>
        <v>0</v>
      </c>
    </row>
    <row r="481" ht="14.4" spans="1:16">
      <c r="A481" t="str">
        <f>'Ammo Input'!A481</f>
        <v>.44-40 Winchester</v>
      </c>
      <c r="B481" s="1" t="str">
        <f>'Ammo Input'!B481</f>
        <v>AP</v>
      </c>
      <c r="C481">
        <f>(0.579*('Ammo Stats'!G481*IF(OR(B481="HEAT",B481="HEDP"),10,'Ammo Input'!F481)*VLOOKUP(B481,AmmoTypeFactors,7,FALSE))^(0.346))^IF(B481="HEDP",2.1,1)/IF(B481="HEDP",50,1)</f>
        <v>11.0618260246575</v>
      </c>
      <c r="D481" s="16">
        <f>IF(VLOOKUP(B481,AmmoTypeFactors,8,FALSE),J481,C481)*VLOOKUP('Ammo Input'!B481,AmmoTypeFactors,2,FALSE)</f>
        <v>8.84946081972597</v>
      </c>
      <c r="E481" s="16">
        <f>IF(OR(VLOOKUP(B481,AmmoTypeFactors,6,FALSE)="Bomb",VLOOKUP(B481,AmmoTypeFactors,6,FALSE)="Thermobaric"),J481*VLOOKUP(B481,AmmoTypeFactors,4,FALSE),IF(VLOOKUP(B481,AmmoTypeFactors,11,FALSE),P481,C481*VLOOKUP(B481,AmmoTypeFactors,4,FALSE)))</f>
        <v>0</v>
      </c>
      <c r="F481" s="16">
        <f>'Ammo Stats'!G481/0.005</f>
        <v>186800</v>
      </c>
      <c r="G481" s="16">
        <f>(IF(B481="HEAT",10,'Ammo Input'!F481)*VLOOKUP(B481,AmmoTypeFactors,7,FALSE)*0.5)^2*PI()/100</f>
        <v>0.229022104446696</v>
      </c>
      <c r="H481" s="10">
        <f t="shared" si="15"/>
        <v>18.68</v>
      </c>
      <c r="I481" s="10">
        <f>IF(B481&lt;&gt;"Arrow (Flaming)",39493.49*'Ammo Input'!M481^0.6/1000,0)</f>
        <v>0</v>
      </c>
      <c r="J481">
        <f t="shared" si="16"/>
        <v>0</v>
      </c>
      <c r="K481">
        <f t="shared" si="17"/>
        <v>6</v>
      </c>
      <c r="L481">
        <f>200000/('Ammo Stats'!C481*(MAX('Ammo Input'!D481,'Ammo Input'!F481)*0.5)^2*PI())</f>
        <v>88419.4128288307</v>
      </c>
      <c r="M481">
        <f>IF(B481="Frag",1,('Ammo Input'!M481/1.33)/('Ammo Input'!H481/1000))</f>
        <v>0</v>
      </c>
      <c r="N481" t="s">
        <v>353</v>
      </c>
      <c r="O481" t="s">
        <v>353</v>
      </c>
      <c r="P481" s="3">
        <f>(39493.49*(IF((VLOOKUP(B481,AmmoTypeFactors,6,FALSE)="Bomb_Secondary"),1.33,1)*('Ammo Input'!H481*0.35)/1000)^0.6/1000)*10/3*VLOOKUP(B481,AmmoTypeFactors,4,FALSE)</f>
        <v>0</v>
      </c>
    </row>
    <row r="482" ht="14.4" spans="1:16">
      <c r="A482" t="str">
        <f>'Ammo Input'!A482</f>
        <v>.44-40 Winchester</v>
      </c>
      <c r="B482" s="1" t="str">
        <f>'Ammo Input'!B482</f>
        <v>HP</v>
      </c>
      <c r="C482">
        <f>(0.579*('Ammo Stats'!G482*IF(OR(B482="HEAT",B482="HEDP"),10,'Ammo Input'!F482)*VLOOKUP(B482,AmmoTypeFactors,7,FALSE))^(0.346))^IF(B482="HEDP",2.1,1)/IF(B482="HEDP",50,1)</f>
        <v>17.870618382919</v>
      </c>
      <c r="D482" s="16">
        <f>IF(VLOOKUP(B482,AmmoTypeFactors,8,FALSE),J482,C482)*VLOOKUP('Ammo Input'!B482,AmmoTypeFactors,2,FALSE)</f>
        <v>17.870618382919</v>
      </c>
      <c r="E482" s="16">
        <f>IF(OR(VLOOKUP(B482,AmmoTypeFactors,6,FALSE)="Bomb",VLOOKUP(B482,AmmoTypeFactors,6,FALSE)="Thermobaric"),J482*VLOOKUP(B482,AmmoTypeFactors,4,FALSE),IF(VLOOKUP(B482,AmmoTypeFactors,11,FALSE),P482,C482*VLOOKUP(B482,AmmoTypeFactors,4,FALSE)))</f>
        <v>0</v>
      </c>
      <c r="F482" s="16">
        <f>'Ammo Stats'!G482/0.005</f>
        <v>186800</v>
      </c>
      <c r="G482" s="16">
        <f>(IF(B482="HEAT",10,'Ammo Input'!F482)*VLOOKUP(B482,AmmoTypeFactors,7,FALSE)*0.5)^2*PI()/100</f>
        <v>3.66435367114714</v>
      </c>
      <c r="H482" s="10">
        <f t="shared" si="15"/>
        <v>18.68</v>
      </c>
      <c r="I482" s="10">
        <f>IF(B482&lt;&gt;"Arrow (Flaming)",39493.49*'Ammo Input'!M482^0.6/1000,0)</f>
        <v>0</v>
      </c>
      <c r="J482">
        <f t="shared" si="16"/>
        <v>0</v>
      </c>
      <c r="K482">
        <f t="shared" si="17"/>
        <v>6</v>
      </c>
      <c r="L482">
        <f>200000/('Ammo Stats'!C482*(MAX('Ammo Input'!D482,'Ammo Input'!F482)*0.5)^2*PI())</f>
        <v>88419.4128288307</v>
      </c>
      <c r="M482">
        <f>IF(B482="Frag",1,('Ammo Input'!M482/1.33)/('Ammo Input'!H482/1000))</f>
        <v>0</v>
      </c>
      <c r="N482" t="s">
        <v>353</v>
      </c>
      <c r="O482" t="s">
        <v>353</v>
      </c>
      <c r="P482" s="3">
        <f>(39493.49*(IF((VLOOKUP(B482,AmmoTypeFactors,6,FALSE)="Bomb_Secondary"),1.33,1)*('Ammo Input'!H482*0.35)/1000)^0.6/1000)*10/3*VLOOKUP(B482,AmmoTypeFactors,4,FALSE)</f>
        <v>0</v>
      </c>
    </row>
    <row r="483" ht="14.4" spans="1:16">
      <c r="A483" t="str">
        <f>'Ammo Input'!A483</f>
        <v>.44-40 Winchester</v>
      </c>
      <c r="B483" s="1" t="str">
        <f>'Ammo Input'!B483</f>
        <v>AP-I</v>
      </c>
      <c r="C483">
        <f>(0.579*('Ammo Stats'!G483*IF(OR(B483="HEAT",B483="HEDP"),10,'Ammo Input'!F483)*VLOOKUP(B483,AmmoTypeFactors,7,FALSE))^(0.346))^IF(B483="HEDP",2.1,1)/IF(B483="HEDP",50,1)</f>
        <v>11.0618260246575</v>
      </c>
      <c r="D483" s="16">
        <f>IF(VLOOKUP(B483,AmmoTypeFactors,8,FALSE),J483,C483)*VLOOKUP('Ammo Input'!B483,AmmoTypeFactors,2,FALSE)</f>
        <v>8.84946081972597</v>
      </c>
      <c r="E483" s="16">
        <f>IF(OR(VLOOKUP(B483,AmmoTypeFactors,6,FALSE)="Bomb",VLOOKUP(B483,AmmoTypeFactors,6,FALSE)="Thermobaric"),J483*VLOOKUP(B483,AmmoTypeFactors,4,FALSE),IF(VLOOKUP(B483,AmmoTypeFactors,11,FALSE),P483,C483*VLOOKUP(B483,AmmoTypeFactors,4,FALSE)))</f>
        <v>6.73216031136884</v>
      </c>
      <c r="F483" s="16">
        <f>'Ammo Stats'!G483/0.005</f>
        <v>186800</v>
      </c>
      <c r="G483" s="16">
        <f>(IF(B483="HEAT",10,'Ammo Input'!F483)*VLOOKUP(B483,AmmoTypeFactors,7,FALSE)*0.5)^2*PI()/100</f>
        <v>0.229022104446696</v>
      </c>
      <c r="H483" s="10">
        <f t="shared" si="15"/>
        <v>18.68</v>
      </c>
      <c r="I483" s="10">
        <f>IF(B483&lt;&gt;"Arrow (Flaming)",39493.49*'Ammo Input'!M483^0.6/1000,0)</f>
        <v>0</v>
      </c>
      <c r="J483">
        <f t="shared" si="16"/>
        <v>0</v>
      </c>
      <c r="K483">
        <f t="shared" si="17"/>
        <v>6</v>
      </c>
      <c r="L483">
        <f>200000/('Ammo Stats'!C483*(MAX('Ammo Input'!D483,'Ammo Input'!F483)*0.5)^2*PI())</f>
        <v>88419.4128288307</v>
      </c>
      <c r="M483">
        <f>IF(B483="Frag",1,('Ammo Input'!M483/1.33)/('Ammo Input'!H483/1000))</f>
        <v>0</v>
      </c>
      <c r="N483" t="s">
        <v>353</v>
      </c>
      <c r="O483" t="s">
        <v>353</v>
      </c>
      <c r="P483" s="3">
        <f>(39493.49*(IF((VLOOKUP(B483,AmmoTypeFactors,6,FALSE)="Bomb_Secondary"),1.33,1)*('Ammo Input'!H483*0.35)/1000)^0.6/1000)*10/3*VLOOKUP(B483,AmmoTypeFactors,4,FALSE)</f>
        <v>6.73216031136884</v>
      </c>
    </row>
    <row r="484" ht="14.4" spans="1:16">
      <c r="A484" t="str">
        <f>'Ammo Input'!A484</f>
        <v>.44-40 Winchester</v>
      </c>
      <c r="B484" s="1" t="str">
        <f>'Ammo Input'!B484</f>
        <v>AP-HE</v>
      </c>
      <c r="C484">
        <f>(0.579*('Ammo Stats'!G484*IF(OR(B484="HEAT",B484="HEDP"),10,'Ammo Input'!F484)*VLOOKUP(B484,AmmoTypeFactors,7,FALSE))^(0.346))^IF(B484="HEDP",2.1,1)/IF(B484="HEDP",50,1)</f>
        <v>14.0599314189258</v>
      </c>
      <c r="D484" s="16">
        <f>IF(VLOOKUP(B484,AmmoTypeFactors,8,FALSE),J484,C484)*VLOOKUP('Ammo Input'!B484,AmmoTypeFactors,2,FALSE)</f>
        <v>14.0599314189258</v>
      </c>
      <c r="E484" s="16">
        <f>IF(OR(VLOOKUP(B484,AmmoTypeFactors,6,FALSE)="Bomb",VLOOKUP(B484,AmmoTypeFactors,6,FALSE)="Thermobaric"),J484*VLOOKUP(B484,AmmoTypeFactors,4,FALSE),IF(VLOOKUP(B484,AmmoTypeFactors,11,FALSE),P484,C484*VLOOKUP(B484,AmmoTypeFactors,4,FALSE)))</f>
        <v>9.21750412238383</v>
      </c>
      <c r="F484" s="16">
        <f>'Ammo Stats'!G484/0.005</f>
        <v>186800</v>
      </c>
      <c r="G484" s="16">
        <f>(IF(B484="HEAT",10,'Ammo Input'!F484)*VLOOKUP(B484,AmmoTypeFactors,7,FALSE)*0.5)^2*PI()/100</f>
        <v>0.916088417786784</v>
      </c>
      <c r="H484" s="10">
        <f t="shared" si="15"/>
        <v>18.68</v>
      </c>
      <c r="I484" s="10">
        <f>IF(B484&lt;&gt;"Arrow (Flaming)",39493.49*'Ammo Input'!M484^0.6/1000,0)</f>
        <v>0</v>
      </c>
      <c r="J484">
        <f t="shared" si="16"/>
        <v>0</v>
      </c>
      <c r="K484">
        <f t="shared" si="17"/>
        <v>6</v>
      </c>
      <c r="L484">
        <f>200000/('Ammo Stats'!C484*(MAX('Ammo Input'!D484,'Ammo Input'!F484)*0.5)^2*PI())</f>
        <v>88419.4128288307</v>
      </c>
      <c r="M484">
        <f>IF(B484="Frag",1,('Ammo Input'!M484/1.33)/('Ammo Input'!H484/1000))</f>
        <v>0</v>
      </c>
      <c r="N484" t="s">
        <v>353</v>
      </c>
      <c r="O484" t="s">
        <v>353</v>
      </c>
      <c r="P484" s="3">
        <f>(39493.49*(IF((VLOOKUP(B484,AmmoTypeFactors,6,FALSE)="Bomb_Secondary"),1.33,1)*('Ammo Input'!H484*0.35)/1000)^0.6/1000)*10/3*VLOOKUP(B484,AmmoTypeFactors,4,FALSE)</f>
        <v>9.21750412238383</v>
      </c>
    </row>
    <row r="485" ht="14.4" spans="1:16">
      <c r="A485" t="str">
        <f>'Ammo Input'!A485</f>
        <v>.44-40 Winchester</v>
      </c>
      <c r="B485" s="1" t="str">
        <f>'Ammo Input'!B485</f>
        <v>Sabot</v>
      </c>
      <c r="C485">
        <f>(0.579*('Ammo Stats'!G485*IF(OR(B485="HEAT",B485="HEDP"),10,'Ammo Input'!F485)*VLOOKUP(B485,AmmoTypeFactors,7,FALSE))^(0.346))^IF(B485="HEDP",2.1,1)/IF(B485="HEDP",50,1)</f>
        <v>10.6539659024774</v>
      </c>
      <c r="D485" s="16">
        <f>IF(VLOOKUP(B485,AmmoTypeFactors,8,FALSE),J485,C485)*VLOOKUP('Ammo Input'!B485,AmmoTypeFactors,2,FALSE)</f>
        <v>7.45777613173417</v>
      </c>
      <c r="E485" s="16">
        <f>IF(OR(VLOOKUP(B485,AmmoTypeFactors,6,FALSE)="Bomb",VLOOKUP(B485,AmmoTypeFactors,6,FALSE)="Thermobaric"),J485*VLOOKUP(B485,AmmoTypeFactors,4,FALSE),IF(VLOOKUP(B485,AmmoTypeFactors,11,FALSE),P485,C485*VLOOKUP(B485,AmmoTypeFactors,4,FALSE)))</f>
        <v>0</v>
      </c>
      <c r="F485" s="16">
        <f>'Ammo Stats'!G485/0.005</f>
        <v>239400</v>
      </c>
      <c r="G485" s="16">
        <f>(IF(B485="HEAT",10,'Ammo Input'!F485)*VLOOKUP(B485,AmmoTypeFactors,7,FALSE)*0.5)^2*PI()/100</f>
        <v>0.112220831178881</v>
      </c>
      <c r="H485" s="10">
        <f t="shared" si="15"/>
        <v>23.94</v>
      </c>
      <c r="I485" s="10">
        <f>IF(B485&lt;&gt;"Arrow (Flaming)",39493.49*'Ammo Input'!M485^0.6/1000,0)</f>
        <v>0</v>
      </c>
      <c r="J485">
        <f t="shared" si="16"/>
        <v>0</v>
      </c>
      <c r="K485">
        <f t="shared" si="17"/>
        <v>6</v>
      </c>
      <c r="L485">
        <f>200000/('Ammo Stats'!C485*(MAX('Ammo Input'!D485,'Ammo Input'!F485)*0.5)^2*PI())</f>
        <v>88419.4128288307</v>
      </c>
      <c r="M485">
        <f>IF(B485="Frag",1,('Ammo Input'!M485/1.33)/('Ammo Input'!H485/1000))</f>
        <v>0</v>
      </c>
      <c r="N485" t="s">
        <v>353</v>
      </c>
      <c r="O485" t="s">
        <v>353</v>
      </c>
      <c r="P485" s="3">
        <f>(39493.49*(IF((VLOOKUP(B485,AmmoTypeFactors,6,FALSE)="Bomb_Secondary"),1.33,1)*('Ammo Input'!H485*0.35)/1000)^0.6/1000)*10/3*VLOOKUP(B485,AmmoTypeFactors,4,FALSE)</f>
        <v>0</v>
      </c>
    </row>
    <row r="486" ht="14.4" spans="1:16">
      <c r="A486" s="3" t="str">
        <f>'Ammo Input'!A486</f>
        <v>.45-70 Government</v>
      </c>
      <c r="B486" s="2" t="str">
        <f>'Ammo Input'!B486</f>
        <v>FMJ</v>
      </c>
      <c r="C486">
        <f>(0.579*('Ammo Stats'!G486*IF(OR(B486="HEAT",B486="HEDP"),10,'Ammo Input'!F486)*VLOOKUP(B486,AmmoTypeFactors,7,FALSE))^(0.346))^IF(B486="HEDP",2.1,1)/IF(B486="HEDP",50,1)</f>
        <v>19.8787983443835</v>
      </c>
      <c r="D486" s="16">
        <f>IF(VLOOKUP(B486,AmmoTypeFactors,8,FALSE),J486,C486)*VLOOKUP('Ammo Input'!B486,AmmoTypeFactors,2,FALSE)</f>
        <v>19.8787983443835</v>
      </c>
      <c r="E486" s="16">
        <f>IF(OR(VLOOKUP(B486,AmmoTypeFactors,6,FALSE)="Bomb",VLOOKUP(B486,AmmoTypeFactors,6,FALSE)="Thermobaric"),J486*VLOOKUP(B486,AmmoTypeFactors,4,FALSE),IF(VLOOKUP(B486,AmmoTypeFactors,11,FALSE),P486,C486*VLOOKUP(B486,AmmoTypeFactors,4,FALSE)))</f>
        <v>0</v>
      </c>
      <c r="F486" s="20">
        <f>'Ammo Stats'!G486/0.005</f>
        <v>473200</v>
      </c>
      <c r="G486" s="20">
        <f>(IF(B486="HEAT",10,'Ammo Input'!F486)*VLOOKUP(B486,AmmoTypeFactors,7,FALSE)*0.5)^2*PI()/100</f>
        <v>1.05683176866761</v>
      </c>
      <c r="H486" s="8">
        <f t="shared" si="15"/>
        <v>47.32</v>
      </c>
      <c r="I486" s="10">
        <f>IF(B486&lt;&gt;"Arrow (Flaming)",39493.49*'Ammo Input'!M486^0.6/1000,0)</f>
        <v>0</v>
      </c>
      <c r="J486" s="8">
        <f t="shared" si="16"/>
        <v>0</v>
      </c>
      <c r="K486" s="8">
        <f t="shared" si="17"/>
        <v>8</v>
      </c>
      <c r="L486" s="8">
        <f>200000/('Ammo Stats'!C486*(MAX('Ammo Input'!D486,'Ammo Input'!F486)*0.5)^2*PI())</f>
        <v>51808.249704393</v>
      </c>
      <c r="M486" s="8">
        <f>IF(B486="Frag",1,('Ammo Input'!M486/1.33)/('Ammo Input'!H486/1000))</f>
        <v>0</v>
      </c>
      <c r="N486" t="s">
        <v>353</v>
      </c>
      <c r="O486" t="s">
        <v>353</v>
      </c>
      <c r="P486" s="3">
        <f>(39493.49*(IF((VLOOKUP(B486,AmmoTypeFactors,6,FALSE)="Bomb_Secondary"),1.33,1)*('Ammo Input'!H486*0.35)/1000)^0.6/1000)*10/3*VLOOKUP(B486,AmmoTypeFactors,4,FALSE)</f>
        <v>0</v>
      </c>
    </row>
    <row r="487" ht="14.4" spans="1:16">
      <c r="A487" s="3" t="str">
        <f>'Ammo Input'!A487</f>
        <v>.45-70 Government</v>
      </c>
      <c r="B487" s="2" t="str">
        <f>'Ammo Input'!B487</f>
        <v>AP</v>
      </c>
      <c r="C487">
        <f>(0.579*('Ammo Stats'!G487*IF(OR(B487="HEAT",B487="HEDP"),10,'Ammo Input'!F487)*VLOOKUP(B487,AmmoTypeFactors,7,FALSE))^(0.346))^IF(B487="HEDP",2.1,1)/IF(B487="HEDP",50,1)</f>
        <v>15.6398919961176</v>
      </c>
      <c r="D487" s="16">
        <f>IF(VLOOKUP(B487,AmmoTypeFactors,8,FALSE),J487,C487)*VLOOKUP('Ammo Input'!B487,AmmoTypeFactors,2,FALSE)</f>
        <v>12.5119135968941</v>
      </c>
      <c r="E487" s="16">
        <f>IF(OR(VLOOKUP(B487,AmmoTypeFactors,6,FALSE)="Bomb",VLOOKUP(B487,AmmoTypeFactors,6,FALSE)="Thermobaric"),J487*VLOOKUP(B487,AmmoTypeFactors,4,FALSE),IF(VLOOKUP(B487,AmmoTypeFactors,11,FALSE),P487,C487*VLOOKUP(B487,AmmoTypeFactors,4,FALSE)))</f>
        <v>0</v>
      </c>
      <c r="F487" s="20">
        <f>'Ammo Stats'!G487/0.005</f>
        <v>473200</v>
      </c>
      <c r="G487" s="20">
        <f>(IF(B487="HEAT",10,'Ammo Input'!F487)*VLOOKUP(B487,AmmoTypeFactors,7,FALSE)*0.5)^2*PI()/100</f>
        <v>0.264207942166902</v>
      </c>
      <c r="H487" s="8">
        <f t="shared" si="15"/>
        <v>47.32</v>
      </c>
      <c r="I487" s="10">
        <f>IF(B487&lt;&gt;"Arrow (Flaming)",39493.49*'Ammo Input'!M487^0.6/1000,0)</f>
        <v>0</v>
      </c>
      <c r="J487" s="8">
        <f t="shared" si="16"/>
        <v>0</v>
      </c>
      <c r="K487" s="8">
        <f t="shared" si="17"/>
        <v>8</v>
      </c>
      <c r="L487" s="8">
        <f>200000/('Ammo Stats'!C487*(MAX('Ammo Input'!D487,'Ammo Input'!F487)*0.5)^2*PI())</f>
        <v>51808.249704393</v>
      </c>
      <c r="M487" s="8">
        <f>IF(B487="Frag",1,('Ammo Input'!M487/1.33)/('Ammo Input'!H487/1000))</f>
        <v>0</v>
      </c>
      <c r="N487" t="s">
        <v>353</v>
      </c>
      <c r="O487" t="s">
        <v>353</v>
      </c>
      <c r="P487" s="3">
        <f>(39493.49*(IF((VLOOKUP(B487,AmmoTypeFactors,6,FALSE)="Bomb_Secondary"),1.33,1)*('Ammo Input'!H487*0.35)/1000)^0.6/1000)*10/3*VLOOKUP(B487,AmmoTypeFactors,4,FALSE)</f>
        <v>0</v>
      </c>
    </row>
    <row r="488" ht="14.4" spans="1:16">
      <c r="A488" s="3" t="str">
        <f>'Ammo Input'!A488</f>
        <v>.45-70 Government</v>
      </c>
      <c r="B488" s="2" t="str">
        <f>'Ammo Input'!B488</f>
        <v>HP</v>
      </c>
      <c r="C488">
        <f>(0.579*('Ammo Stats'!G488*IF(OR(B488="HEAT",B488="HEDP"),10,'Ammo Input'!F488)*VLOOKUP(B488,AmmoTypeFactors,7,FALSE))^(0.346))^IF(B488="HEDP",2.1,1)/IF(B488="HEDP",50,1)</f>
        <v>25.2665826410285</v>
      </c>
      <c r="D488" s="16">
        <f>IF(VLOOKUP(B488,AmmoTypeFactors,8,FALSE),J488,C488)*VLOOKUP('Ammo Input'!B488,AmmoTypeFactors,2,FALSE)</f>
        <v>25.2665826410285</v>
      </c>
      <c r="E488" s="16">
        <f>IF(OR(VLOOKUP(B488,AmmoTypeFactors,6,FALSE)="Bomb",VLOOKUP(B488,AmmoTypeFactors,6,FALSE)="Thermobaric"),J488*VLOOKUP(B488,AmmoTypeFactors,4,FALSE),IF(VLOOKUP(B488,AmmoTypeFactors,11,FALSE),P488,C488*VLOOKUP(B488,AmmoTypeFactors,4,FALSE)))</f>
        <v>0</v>
      </c>
      <c r="F488" s="20">
        <f>'Ammo Stats'!G488/0.005</f>
        <v>473200</v>
      </c>
      <c r="G488" s="20">
        <f>(IF(B488="HEAT",10,'Ammo Input'!F488)*VLOOKUP(B488,AmmoTypeFactors,7,FALSE)*0.5)^2*PI()/100</f>
        <v>4.22732707467043</v>
      </c>
      <c r="H488" s="8">
        <f t="shared" si="15"/>
        <v>47.32</v>
      </c>
      <c r="I488" s="10">
        <f>IF(B488&lt;&gt;"Arrow (Flaming)",39493.49*'Ammo Input'!M488^0.6/1000,0)</f>
        <v>0</v>
      </c>
      <c r="J488" s="8">
        <f t="shared" si="16"/>
        <v>0</v>
      </c>
      <c r="K488" s="8">
        <f t="shared" si="17"/>
        <v>8</v>
      </c>
      <c r="L488" s="8">
        <f>200000/('Ammo Stats'!C488*(MAX('Ammo Input'!D488,'Ammo Input'!F488)*0.5)^2*PI())</f>
        <v>51808.249704393</v>
      </c>
      <c r="M488" s="8">
        <f>IF(B488="Frag",1,('Ammo Input'!M488/1.33)/('Ammo Input'!H488/1000))</f>
        <v>0</v>
      </c>
      <c r="N488" t="s">
        <v>353</v>
      </c>
      <c r="O488" t="s">
        <v>353</v>
      </c>
      <c r="P488" s="3">
        <f>(39493.49*(IF((VLOOKUP(B488,AmmoTypeFactors,6,FALSE)="Bomb_Secondary"),1.33,1)*('Ammo Input'!H488*0.35)/1000)^0.6/1000)*10/3*VLOOKUP(B488,AmmoTypeFactors,4,FALSE)</f>
        <v>0</v>
      </c>
    </row>
    <row r="489" ht="14.4" spans="1:16">
      <c r="A489" s="3" t="str">
        <f>'Ammo Input'!A489</f>
        <v>.45-70 Government</v>
      </c>
      <c r="B489" s="2" t="str">
        <f>'Ammo Input'!B489</f>
        <v>AP-I</v>
      </c>
      <c r="C489">
        <f>(0.579*('Ammo Stats'!G489*IF(OR(B489="HEAT",B489="HEDP"),10,'Ammo Input'!F489)*VLOOKUP(B489,AmmoTypeFactors,7,FALSE))^(0.346))^IF(B489="HEDP",2.1,1)/IF(B489="HEDP",50,1)</f>
        <v>15.6398919961176</v>
      </c>
      <c r="D489" s="16">
        <f>IF(VLOOKUP(B489,AmmoTypeFactors,8,FALSE),J489,C489)*VLOOKUP('Ammo Input'!B489,AmmoTypeFactors,2,FALSE)</f>
        <v>12.5119135968941</v>
      </c>
      <c r="E489" s="16">
        <f>IF(OR(VLOOKUP(B489,AmmoTypeFactors,6,FALSE)="Bomb",VLOOKUP(B489,AmmoTypeFactors,6,FALSE)="Thermobaric"),J489*VLOOKUP(B489,AmmoTypeFactors,4,FALSE),IF(VLOOKUP(B489,AmmoTypeFactors,11,FALSE),P489,C489*VLOOKUP(B489,AmmoTypeFactors,4,FALSE)))</f>
        <v>10.2510703176083</v>
      </c>
      <c r="F489" s="20">
        <f>'Ammo Stats'!G489/0.005</f>
        <v>473200</v>
      </c>
      <c r="G489" s="20">
        <f>(IF(B489="HEAT",10,'Ammo Input'!F489)*VLOOKUP(B489,AmmoTypeFactors,7,FALSE)*0.5)^2*PI()/100</f>
        <v>0.264207942166902</v>
      </c>
      <c r="H489" s="8">
        <f t="shared" si="15"/>
        <v>47.32</v>
      </c>
      <c r="I489" s="10">
        <f>IF(B489&lt;&gt;"Arrow (Flaming)",39493.49*'Ammo Input'!M489^0.6/1000,0)</f>
        <v>0</v>
      </c>
      <c r="J489" s="8">
        <f t="shared" si="16"/>
        <v>0</v>
      </c>
      <c r="K489" s="8">
        <f t="shared" si="17"/>
        <v>8</v>
      </c>
      <c r="L489" s="8">
        <f>200000/('Ammo Stats'!C489*(MAX('Ammo Input'!D489,'Ammo Input'!F489)*0.5)^2*PI())</f>
        <v>51808.249704393</v>
      </c>
      <c r="M489" s="8">
        <f>IF(B489="Frag",1,('Ammo Input'!M489/1.33)/('Ammo Input'!H489/1000))</f>
        <v>0</v>
      </c>
      <c r="N489" t="s">
        <v>353</v>
      </c>
      <c r="O489" t="s">
        <v>353</v>
      </c>
      <c r="P489" s="3">
        <f>(39493.49*(IF((VLOOKUP(B489,AmmoTypeFactors,6,FALSE)="Bomb_Secondary"),1.33,1)*('Ammo Input'!H489*0.35)/1000)^0.6/1000)*10/3*VLOOKUP(B489,AmmoTypeFactors,4,FALSE)</f>
        <v>10.2510703176083</v>
      </c>
    </row>
    <row r="490" ht="14.4" spans="1:16">
      <c r="A490" s="3" t="str">
        <f>'Ammo Input'!A490</f>
        <v>.45-70 Government</v>
      </c>
      <c r="B490" s="2" t="str">
        <f>'Ammo Input'!B490</f>
        <v>AP-HE</v>
      </c>
      <c r="C490">
        <f>(0.579*('Ammo Stats'!G490*IF(OR(B490="HEAT",B490="HEDP"),10,'Ammo Input'!F490)*VLOOKUP(B490,AmmoTypeFactors,7,FALSE))^(0.346))^IF(B490="HEDP",2.1,1)/IF(B490="HEDP",50,1)</f>
        <v>19.8787983443835</v>
      </c>
      <c r="D490" s="16">
        <f>IF(VLOOKUP(B490,AmmoTypeFactors,8,FALSE),J490,C490)*VLOOKUP('Ammo Input'!B490,AmmoTypeFactors,2,FALSE)</f>
        <v>19.8787983443835</v>
      </c>
      <c r="E490" s="16">
        <f>IF(OR(VLOOKUP(B490,AmmoTypeFactors,6,FALSE)="Bomb",VLOOKUP(B490,AmmoTypeFactors,6,FALSE)="Thermobaric"),J490*VLOOKUP(B490,AmmoTypeFactors,4,FALSE),IF(VLOOKUP(B490,AmmoTypeFactors,11,FALSE),P490,C490*VLOOKUP(B490,AmmoTypeFactors,4,FALSE)))</f>
        <v>14.0355069607944</v>
      </c>
      <c r="F490" s="20">
        <f>'Ammo Stats'!G490/0.005</f>
        <v>473200</v>
      </c>
      <c r="G490" s="20">
        <f>(IF(B490="HEAT",10,'Ammo Input'!F490)*VLOOKUP(B490,AmmoTypeFactors,7,FALSE)*0.5)^2*PI()/100</f>
        <v>1.05683176866761</v>
      </c>
      <c r="H490" s="8">
        <f t="shared" si="15"/>
        <v>47.32</v>
      </c>
      <c r="I490" s="10">
        <f>IF(B490&lt;&gt;"Arrow (Flaming)",39493.49*'Ammo Input'!M490^0.6/1000,0)</f>
        <v>0</v>
      </c>
      <c r="J490" s="8">
        <f t="shared" si="16"/>
        <v>0</v>
      </c>
      <c r="K490" s="8">
        <f t="shared" si="17"/>
        <v>8</v>
      </c>
      <c r="L490" s="8">
        <f>200000/('Ammo Stats'!C490*(MAX('Ammo Input'!D490,'Ammo Input'!F490)*0.5)^2*PI())</f>
        <v>51808.249704393</v>
      </c>
      <c r="M490" s="8">
        <f>IF(B490="Frag",1,('Ammo Input'!M490/1.33)/('Ammo Input'!H490/1000))</f>
        <v>0</v>
      </c>
      <c r="N490" t="s">
        <v>353</v>
      </c>
      <c r="O490" t="s">
        <v>353</v>
      </c>
      <c r="P490" s="3">
        <f>(39493.49*(IF((VLOOKUP(B490,AmmoTypeFactors,6,FALSE)="Bomb_Secondary"),1.33,1)*('Ammo Input'!H490*0.35)/1000)^0.6/1000)*10/3*VLOOKUP(B490,AmmoTypeFactors,4,FALSE)</f>
        <v>14.0355069607944</v>
      </c>
    </row>
    <row r="491" ht="14.4" spans="1:16">
      <c r="A491" s="3" t="str">
        <f>'Ammo Input'!A491</f>
        <v>.45-70 Government</v>
      </c>
      <c r="B491" s="2" t="str">
        <f>'Ammo Input'!B491</f>
        <v>Sabot</v>
      </c>
      <c r="C491">
        <f>(0.579*('Ammo Stats'!G491*IF(OR(B491="HEAT",B491="HEDP"),10,'Ammo Input'!F491)*VLOOKUP(B491,AmmoTypeFactors,7,FALSE))^(0.346))^IF(B491="HEDP",2.1,1)/IF(B491="HEDP",50,1)</f>
        <v>15.0662774487603</v>
      </c>
      <c r="D491" s="16">
        <f>IF(VLOOKUP(B491,AmmoTypeFactors,8,FALSE),J491,C491)*VLOOKUP('Ammo Input'!B491,AmmoTypeFactors,2,FALSE)</f>
        <v>10.5463942141322</v>
      </c>
      <c r="E491" s="16">
        <f>IF(OR(VLOOKUP(B491,AmmoTypeFactors,6,FALSE)="Bomb",VLOOKUP(B491,AmmoTypeFactors,6,FALSE)="Thermobaric"),J491*VLOOKUP(B491,AmmoTypeFactors,4,FALSE),IF(VLOOKUP(B491,AmmoTypeFactors,11,FALSE),P491,C491*VLOOKUP(B491,AmmoTypeFactors,4,FALSE)))</f>
        <v>0</v>
      </c>
      <c r="F491" s="20">
        <f>'Ammo Stats'!G491/0.005</f>
        <v>606800</v>
      </c>
      <c r="G491" s="20">
        <f>(IF(B491="HEAT",10,'Ammo Input'!F491)*VLOOKUP(B491,AmmoTypeFactors,7,FALSE)*0.5)^2*PI()/100</f>
        <v>0.129461891661782</v>
      </c>
      <c r="H491" s="8">
        <f t="shared" si="15"/>
        <v>60.68</v>
      </c>
      <c r="I491" s="10">
        <f>IF(B491&lt;&gt;"Arrow (Flaming)",39493.49*'Ammo Input'!M491^0.6/1000,0)</f>
        <v>0</v>
      </c>
      <c r="J491" s="8">
        <f t="shared" si="16"/>
        <v>0</v>
      </c>
      <c r="K491" s="8">
        <f t="shared" si="17"/>
        <v>8</v>
      </c>
      <c r="L491" s="8">
        <f>200000/('Ammo Stats'!C491*(MAX('Ammo Input'!D491,'Ammo Input'!F491)*0.5)^2*PI())</f>
        <v>51808.249704393</v>
      </c>
      <c r="M491" s="8">
        <f>IF(B491="Frag",1,('Ammo Input'!M491/1.33)/('Ammo Input'!H491/1000))</f>
        <v>0</v>
      </c>
      <c r="N491" t="s">
        <v>353</v>
      </c>
      <c r="O491" t="s">
        <v>353</v>
      </c>
      <c r="P491" s="3">
        <f>(39493.49*(IF((VLOOKUP(B491,AmmoTypeFactors,6,FALSE)="Bomb_Secondary"),1.33,1)*('Ammo Input'!H491*0.35)/1000)^0.6/1000)*10/3*VLOOKUP(B491,AmmoTypeFactors,4,FALSE)</f>
        <v>0</v>
      </c>
    </row>
    <row r="492" ht="14.4" spans="1:16">
      <c r="A492" s="3" t="str">
        <f>'Ammo Input'!A492</f>
        <v>.458 SOCOM</v>
      </c>
      <c r="B492" s="2" t="str">
        <f>'Ammo Input'!B492</f>
        <v>FMJ</v>
      </c>
      <c r="C492">
        <f>(0.579*('Ammo Stats'!G492*IF(OR(B492="HEAT",B492="HEDP"),10,'Ammo Input'!F492)*VLOOKUP(B492,AmmoTypeFactors,7,FALSE))^(0.346))^IF(B492="HEDP",2.1,1)/IF(B492="HEDP",50,1)</f>
        <v>22.2372281846882</v>
      </c>
      <c r="D492" s="16">
        <f>IF(VLOOKUP(B492,AmmoTypeFactors,8,FALSE),J492,C492)*VLOOKUP('Ammo Input'!B492,AmmoTypeFactors,2,FALSE)</f>
        <v>22.2372281846882</v>
      </c>
      <c r="E492" s="16">
        <f>IF(OR(VLOOKUP(B492,AmmoTypeFactors,6,FALSE)="Bomb",VLOOKUP(B492,AmmoTypeFactors,6,FALSE)="Thermobaric"),J492*VLOOKUP(B492,AmmoTypeFactors,4,FALSE),IF(VLOOKUP(B492,AmmoTypeFactors,11,FALSE),P492,C492*VLOOKUP(B492,AmmoTypeFactors,4,FALSE)))</f>
        <v>0</v>
      </c>
      <c r="F492" s="20">
        <f>'Ammo Stats'!G492/0.005</f>
        <v>652600</v>
      </c>
      <c r="G492" s="20">
        <f>(IF(B492="HEAT",10,'Ammo Input'!F492)*VLOOKUP(B492,AmmoTypeFactors,7,FALSE)*0.5)^2*PI()/100</f>
        <v>1.06230520846832</v>
      </c>
      <c r="H492" s="8">
        <f t="shared" si="15"/>
        <v>65.26</v>
      </c>
      <c r="I492" s="10">
        <f>IF(B492&lt;&gt;"Arrow (Flaming)",39493.49*'Ammo Input'!M492^0.6/1000,0)</f>
        <v>0</v>
      </c>
      <c r="J492" s="8">
        <f t="shared" si="16"/>
        <v>0</v>
      </c>
      <c r="K492" s="8">
        <f t="shared" si="17"/>
        <v>9</v>
      </c>
      <c r="L492" s="8">
        <f>200000/('Ammo Stats'!C492*(MAX('Ammo Input'!D492,'Ammo Input'!F492)*0.5)^2*PI())</f>
        <v>44961.9764834542</v>
      </c>
      <c r="M492" s="8">
        <f>IF(B492="Frag",1,('Ammo Input'!M492/1.33)/('Ammo Input'!H492/1000))</f>
        <v>0</v>
      </c>
      <c r="N492" t="s">
        <v>353</v>
      </c>
      <c r="O492" t="s">
        <v>353</v>
      </c>
      <c r="P492" s="3">
        <f>(39493.49*(IF((VLOOKUP(B492,AmmoTypeFactors,6,FALSE)="Bomb_Secondary"),1.33,1)*('Ammo Input'!H492*0.35)/1000)^0.6/1000)*10/3*VLOOKUP(B492,AmmoTypeFactors,4,FALSE)</f>
        <v>0</v>
      </c>
    </row>
    <row r="493" ht="14.4" spans="1:16">
      <c r="A493" s="3" t="str">
        <f>'Ammo Input'!A493</f>
        <v>.458 SOCOM</v>
      </c>
      <c r="B493" s="2" t="str">
        <f>'Ammo Input'!B493</f>
        <v>AP</v>
      </c>
      <c r="C493">
        <f>(0.579*('Ammo Stats'!G493*IF(OR(B493="HEAT",B493="HEDP"),10,'Ammo Input'!F493)*VLOOKUP(B493,AmmoTypeFactors,7,FALSE))^(0.346))^IF(B493="HEDP",2.1,1)/IF(B493="HEDP",50,1)</f>
        <v>17.4954160244705</v>
      </c>
      <c r="D493" s="16">
        <f>IF(VLOOKUP(B493,AmmoTypeFactors,8,FALSE),J493,C493)*VLOOKUP('Ammo Input'!B493,AmmoTypeFactors,2,FALSE)</f>
        <v>13.9963328195764</v>
      </c>
      <c r="E493" s="16">
        <f>IF(OR(VLOOKUP(B493,AmmoTypeFactors,6,FALSE)="Bomb",VLOOKUP(B493,AmmoTypeFactors,6,FALSE)="Thermobaric"),J493*VLOOKUP(B493,AmmoTypeFactors,4,FALSE),IF(VLOOKUP(B493,AmmoTypeFactors,11,FALSE),P493,C493*VLOOKUP(B493,AmmoTypeFactors,4,FALSE)))</f>
        <v>0</v>
      </c>
      <c r="F493" s="20">
        <f>'Ammo Stats'!G493/0.005</f>
        <v>652600</v>
      </c>
      <c r="G493" s="20">
        <f>(IF(B493="HEAT",10,'Ammo Input'!F493)*VLOOKUP(B493,AmmoTypeFactors,7,FALSE)*0.5)^2*PI()/100</f>
        <v>0.265576302117081</v>
      </c>
      <c r="H493" s="8">
        <f t="shared" si="15"/>
        <v>65.26</v>
      </c>
      <c r="I493" s="10">
        <f>IF(B493&lt;&gt;"Arrow (Flaming)",39493.49*'Ammo Input'!M493^0.6/1000,0)</f>
        <v>0</v>
      </c>
      <c r="J493" s="8">
        <f t="shared" si="16"/>
        <v>0</v>
      </c>
      <c r="K493" s="8">
        <f t="shared" si="17"/>
        <v>9</v>
      </c>
      <c r="L493" s="8">
        <f>200000/('Ammo Stats'!C493*(MAX('Ammo Input'!D493,'Ammo Input'!F493)*0.5)^2*PI())</f>
        <v>44961.9764834542</v>
      </c>
      <c r="M493" s="8">
        <f>IF(B493="Frag",1,('Ammo Input'!M493/1.33)/('Ammo Input'!H493/1000))</f>
        <v>0</v>
      </c>
      <c r="N493" t="s">
        <v>353</v>
      </c>
      <c r="O493" t="s">
        <v>353</v>
      </c>
      <c r="P493" s="3">
        <f>(39493.49*(IF((VLOOKUP(B493,AmmoTypeFactors,6,FALSE)="Bomb_Secondary"),1.33,1)*('Ammo Input'!H493*0.35)/1000)^0.6/1000)*10/3*VLOOKUP(B493,AmmoTypeFactors,4,FALSE)</f>
        <v>0</v>
      </c>
    </row>
    <row r="494" ht="14.4" spans="1:16">
      <c r="A494" s="3" t="str">
        <f>'Ammo Input'!A494</f>
        <v>.458 SOCOM</v>
      </c>
      <c r="B494" s="2" t="str">
        <f>'Ammo Input'!B494</f>
        <v>HP</v>
      </c>
      <c r="C494">
        <f>(0.579*('Ammo Stats'!G494*IF(OR(B494="HEAT",B494="HEDP"),10,'Ammo Input'!F494)*VLOOKUP(B494,AmmoTypeFactors,7,FALSE))^(0.346))^IF(B494="HEDP",2.1,1)/IF(B494="HEDP",50,1)</f>
        <v>28.2642217050598</v>
      </c>
      <c r="D494" s="16">
        <f>IF(VLOOKUP(B494,AmmoTypeFactors,8,FALSE),J494,C494)*VLOOKUP('Ammo Input'!B494,AmmoTypeFactors,2,FALSE)</f>
        <v>28.2642217050598</v>
      </c>
      <c r="E494" s="16">
        <f>IF(OR(VLOOKUP(B494,AmmoTypeFactors,6,FALSE)="Bomb",VLOOKUP(B494,AmmoTypeFactors,6,FALSE)="Thermobaric"),J494*VLOOKUP(B494,AmmoTypeFactors,4,FALSE),IF(VLOOKUP(B494,AmmoTypeFactors,11,FALSE),P494,C494*VLOOKUP(B494,AmmoTypeFactors,4,FALSE)))</f>
        <v>0</v>
      </c>
      <c r="F494" s="20">
        <f>'Ammo Stats'!G494/0.005</f>
        <v>652600</v>
      </c>
      <c r="G494" s="20">
        <f>(IF(B494="HEAT",10,'Ammo Input'!F494)*VLOOKUP(B494,AmmoTypeFactors,7,FALSE)*0.5)^2*PI()/100</f>
        <v>4.24922083387329</v>
      </c>
      <c r="H494" s="8">
        <f t="shared" si="15"/>
        <v>65.26</v>
      </c>
      <c r="I494" s="10">
        <f>IF(B494&lt;&gt;"Arrow (Flaming)",39493.49*'Ammo Input'!M494^0.6/1000,0)</f>
        <v>0</v>
      </c>
      <c r="J494" s="8">
        <f t="shared" si="16"/>
        <v>0</v>
      </c>
      <c r="K494" s="8">
        <f t="shared" si="17"/>
        <v>9</v>
      </c>
      <c r="L494" s="8">
        <f>200000/('Ammo Stats'!C494*(MAX('Ammo Input'!D494,'Ammo Input'!F494)*0.5)^2*PI())</f>
        <v>44961.9764834542</v>
      </c>
      <c r="M494" s="8">
        <f>IF(B494="Frag",1,('Ammo Input'!M494/1.33)/('Ammo Input'!H494/1000))</f>
        <v>0</v>
      </c>
      <c r="N494" t="s">
        <v>353</v>
      </c>
      <c r="O494" t="s">
        <v>353</v>
      </c>
      <c r="P494" s="3">
        <f>(39493.49*(IF((VLOOKUP(B494,AmmoTypeFactors,6,FALSE)="Bomb_Secondary"),1.33,1)*('Ammo Input'!H494*0.35)/1000)^0.6/1000)*10/3*VLOOKUP(B494,AmmoTypeFactors,4,FALSE)</f>
        <v>0</v>
      </c>
    </row>
    <row r="495" ht="14.4" spans="1:16">
      <c r="A495" s="3" t="str">
        <f>'Ammo Input'!A495</f>
        <v>.458 SOCOM</v>
      </c>
      <c r="B495" s="2" t="str">
        <f>'Ammo Input'!B495</f>
        <v>AP-I</v>
      </c>
      <c r="C495">
        <f>(0.579*('Ammo Stats'!G495*IF(OR(B495="HEAT",B495="HEDP"),10,'Ammo Input'!F495)*VLOOKUP(B495,AmmoTypeFactors,7,FALSE))^(0.346))^IF(B495="HEDP",2.1,1)/IF(B495="HEDP",50,1)</f>
        <v>17.4954160244705</v>
      </c>
      <c r="D495" s="16">
        <f>IF(VLOOKUP(B495,AmmoTypeFactors,8,FALSE),J495,C495)*VLOOKUP('Ammo Input'!B495,AmmoTypeFactors,2,FALSE)</f>
        <v>13.9963328195764</v>
      </c>
      <c r="E495" s="16">
        <f>IF(OR(VLOOKUP(B495,AmmoTypeFactors,6,FALSE)="Bomb",VLOOKUP(B495,AmmoTypeFactors,6,FALSE)="Thermobaric"),J495*VLOOKUP(B495,AmmoTypeFactors,4,FALSE),IF(VLOOKUP(B495,AmmoTypeFactors,11,FALSE),P495,C495*VLOOKUP(B495,AmmoTypeFactors,4,FALSE)))</f>
        <v>8.55991546520155</v>
      </c>
      <c r="F495" s="20">
        <f>'Ammo Stats'!G495/0.005</f>
        <v>652600</v>
      </c>
      <c r="G495" s="20">
        <f>(IF(B495="HEAT",10,'Ammo Input'!F495)*VLOOKUP(B495,AmmoTypeFactors,7,FALSE)*0.5)^2*PI()/100</f>
        <v>0.265576302117081</v>
      </c>
      <c r="H495" s="8">
        <f t="shared" si="15"/>
        <v>65.26</v>
      </c>
      <c r="I495" s="10">
        <f>IF(B495&lt;&gt;"Arrow (Flaming)",39493.49*'Ammo Input'!M495^0.6/1000,0)</f>
        <v>0</v>
      </c>
      <c r="J495" s="8">
        <f t="shared" si="16"/>
        <v>0</v>
      </c>
      <c r="K495" s="8">
        <f t="shared" si="17"/>
        <v>9</v>
      </c>
      <c r="L495" s="8">
        <f>200000/('Ammo Stats'!C495*(MAX('Ammo Input'!D495,'Ammo Input'!F495)*0.5)^2*PI())</f>
        <v>44961.9764834542</v>
      </c>
      <c r="M495" s="8">
        <f>IF(B495="Frag",1,('Ammo Input'!M495/1.33)/('Ammo Input'!H495/1000))</f>
        <v>0</v>
      </c>
      <c r="N495" t="s">
        <v>353</v>
      </c>
      <c r="O495" t="s">
        <v>353</v>
      </c>
      <c r="P495" s="3">
        <f>(39493.49*(IF((VLOOKUP(B495,AmmoTypeFactors,6,FALSE)="Bomb_Secondary"),1.33,1)*('Ammo Input'!H495*0.35)/1000)^0.6/1000)*10/3*VLOOKUP(B495,AmmoTypeFactors,4,FALSE)</f>
        <v>8.55991546520155</v>
      </c>
    </row>
    <row r="496" ht="14.4" spans="1:16">
      <c r="A496" s="3" t="str">
        <f>'Ammo Input'!A496</f>
        <v>.458 SOCOM</v>
      </c>
      <c r="B496" s="2" t="str">
        <f>'Ammo Input'!B496</f>
        <v>AP-HE</v>
      </c>
      <c r="C496">
        <f>(0.579*('Ammo Stats'!G496*IF(OR(B496="HEAT",B496="HEDP"),10,'Ammo Input'!F496)*VLOOKUP(B496,AmmoTypeFactors,7,FALSE))^(0.346))^IF(B496="HEDP",2.1,1)/IF(B496="HEDP",50,1)</f>
        <v>22.2372281846882</v>
      </c>
      <c r="D496" s="16">
        <f>IF(VLOOKUP(B496,AmmoTypeFactors,8,FALSE),J496,C496)*VLOOKUP('Ammo Input'!B496,AmmoTypeFactors,2,FALSE)</f>
        <v>22.2372281846882</v>
      </c>
      <c r="E496" s="16">
        <f>IF(OR(VLOOKUP(B496,AmmoTypeFactors,6,FALSE)="Bomb",VLOOKUP(B496,AmmoTypeFactors,6,FALSE)="Thermobaric"),J496*VLOOKUP(B496,AmmoTypeFactors,4,FALSE),IF(VLOOKUP(B496,AmmoTypeFactors,11,FALSE),P496,C496*VLOOKUP(B496,AmmoTypeFactors,4,FALSE)))</f>
        <v>11.7200203855083</v>
      </c>
      <c r="F496" s="20">
        <f>'Ammo Stats'!G496/0.005</f>
        <v>652600</v>
      </c>
      <c r="G496" s="20">
        <f>(IF(B496="HEAT",10,'Ammo Input'!F496)*VLOOKUP(B496,AmmoTypeFactors,7,FALSE)*0.5)^2*PI()/100</f>
        <v>1.06230520846832</v>
      </c>
      <c r="H496" s="8">
        <f t="shared" si="15"/>
        <v>65.26</v>
      </c>
      <c r="I496" s="10">
        <f>IF(B496&lt;&gt;"Arrow (Flaming)",39493.49*'Ammo Input'!M496^0.6/1000,0)</f>
        <v>0</v>
      </c>
      <c r="J496" s="8">
        <f t="shared" si="16"/>
        <v>0</v>
      </c>
      <c r="K496" s="8">
        <f t="shared" si="17"/>
        <v>9</v>
      </c>
      <c r="L496" s="8">
        <f>200000/('Ammo Stats'!C496*(MAX('Ammo Input'!D496,'Ammo Input'!F496)*0.5)^2*PI())</f>
        <v>44961.9764834542</v>
      </c>
      <c r="M496" s="8">
        <f>IF(B496="Frag",1,('Ammo Input'!M496/1.33)/('Ammo Input'!H496/1000))</f>
        <v>0</v>
      </c>
      <c r="N496" t="s">
        <v>353</v>
      </c>
      <c r="O496" t="s">
        <v>353</v>
      </c>
      <c r="P496" s="3">
        <f>(39493.49*(IF((VLOOKUP(B496,AmmoTypeFactors,6,FALSE)="Bomb_Secondary"),1.33,1)*('Ammo Input'!H496*0.35)/1000)^0.6/1000)*10/3*VLOOKUP(B496,AmmoTypeFactors,4,FALSE)</f>
        <v>11.7200203855083</v>
      </c>
    </row>
    <row r="497" ht="14.4" spans="1:16">
      <c r="A497" s="3" t="str">
        <f>'Ammo Input'!A497</f>
        <v>.458 SOCOM</v>
      </c>
      <c r="B497" s="2" t="str">
        <f>'Ammo Input'!B497</f>
        <v>Sabot</v>
      </c>
      <c r="C497">
        <f>(0.579*('Ammo Stats'!G497*IF(OR(B497="HEAT",B497="HEDP"),10,'Ammo Input'!F497)*VLOOKUP(B497,AmmoTypeFactors,7,FALSE))^(0.346))^IF(B497="HEDP",2.1,1)/IF(B497="HEDP",50,1)</f>
        <v>16.8652130469333</v>
      </c>
      <c r="D497" s="16">
        <f>IF(VLOOKUP(B497,AmmoTypeFactors,8,FALSE),J497,C497)*VLOOKUP('Ammo Input'!B497,AmmoTypeFactors,2,FALSE)</f>
        <v>11.8056491328533</v>
      </c>
      <c r="E497" s="16">
        <f>IF(OR(VLOOKUP(B497,AmmoTypeFactors,6,FALSE)="Bomb",VLOOKUP(B497,AmmoTypeFactors,6,FALSE)="Thermobaric"),J497*VLOOKUP(B497,AmmoTypeFactors,4,FALSE),IF(VLOOKUP(B497,AmmoTypeFactors,11,FALSE),P497,C497*VLOOKUP(B497,AmmoTypeFactors,4,FALSE)))</f>
        <v>0</v>
      </c>
      <c r="F497" s="20">
        <f>'Ammo Stats'!G497/0.005</f>
        <v>838600</v>
      </c>
      <c r="G497" s="20">
        <f>(IF(B497="HEAT",10,'Ammo Input'!F497)*VLOOKUP(B497,AmmoTypeFactors,7,FALSE)*0.5)^2*PI()/100</f>
        <v>0.130100420368624</v>
      </c>
      <c r="H497" s="8">
        <f t="shared" si="15"/>
        <v>83.86</v>
      </c>
      <c r="I497" s="10">
        <f>IF(B497&lt;&gt;"Arrow (Flaming)",39493.49*'Ammo Input'!M497^0.6/1000,0)</f>
        <v>0</v>
      </c>
      <c r="J497" s="8">
        <f t="shared" si="16"/>
        <v>0</v>
      </c>
      <c r="K497" s="8">
        <f t="shared" si="17"/>
        <v>9</v>
      </c>
      <c r="L497" s="8">
        <f>200000/('Ammo Stats'!C497*(MAX('Ammo Input'!D497,'Ammo Input'!F497)*0.5)^2*PI())</f>
        <v>44961.9764834542</v>
      </c>
      <c r="M497" s="8">
        <f>IF(B497="Frag",1,('Ammo Input'!M497/1.33)/('Ammo Input'!H497/1000))</f>
        <v>0</v>
      </c>
      <c r="N497" t="s">
        <v>353</v>
      </c>
      <c r="O497" t="s">
        <v>353</v>
      </c>
      <c r="P497" s="3">
        <f>(39493.49*(IF((VLOOKUP(B497,AmmoTypeFactors,6,FALSE)="Bomb_Secondary"),1.33,1)*('Ammo Input'!H497*0.35)/1000)^0.6/1000)*10/3*VLOOKUP(B497,AmmoTypeFactors,4,FALSE)</f>
        <v>0</v>
      </c>
    </row>
    <row r="498" ht="14.4" spans="1:16">
      <c r="A498" s="3" t="str">
        <f>'Ammo Input'!A498</f>
        <v>.50 Beowulf</v>
      </c>
      <c r="B498" s="2" t="str">
        <f>'Ammo Input'!B498</f>
        <v>FMJ</v>
      </c>
      <c r="C498">
        <f>(0.579*('Ammo Stats'!G498*IF(OR(B498="HEAT",B498="HEDP"),10,'Ammo Input'!F498)*VLOOKUP(B498,AmmoTypeFactors,7,FALSE))^(0.346))^IF(B498="HEDP",2.1,1)/IF(B498="HEDP",50,1)</f>
        <v>22.6817454125716</v>
      </c>
      <c r="D498" s="16">
        <f>IF(VLOOKUP(B498,AmmoTypeFactors,8,FALSE),J498,C498)*VLOOKUP('Ammo Input'!B498,AmmoTypeFactors,2,FALSE)</f>
        <v>22.6817454125716</v>
      </c>
      <c r="E498" s="16">
        <f>IF(OR(VLOOKUP(B498,AmmoTypeFactors,6,FALSE)="Bomb",VLOOKUP(B498,AmmoTypeFactors,6,FALSE)="Thermobaric"),J498*VLOOKUP(B498,AmmoTypeFactors,4,FALSE),IF(VLOOKUP(B498,AmmoTypeFactors,11,FALSE),P498,C498*VLOOKUP(B498,AmmoTypeFactors,4,FALSE)))</f>
        <v>0</v>
      </c>
      <c r="F498" s="20">
        <f>'Ammo Stats'!G498/0.005</f>
        <v>632800</v>
      </c>
      <c r="G498" s="20">
        <f>(IF(B498="HEAT",10,'Ammo Input'!F498)*VLOOKUP(B498,AmmoTypeFactors,7,FALSE)*0.5)^2*PI()/100</f>
        <v>1.26676869774374</v>
      </c>
      <c r="H498" s="8">
        <f t="shared" si="15"/>
        <v>63.28</v>
      </c>
      <c r="I498" s="10">
        <f>IF(B498&lt;&gt;"Arrow (Flaming)",39493.49*'Ammo Input'!M498^0.6/1000,0)</f>
        <v>0</v>
      </c>
      <c r="J498" s="8">
        <f t="shared" si="16"/>
        <v>0</v>
      </c>
      <c r="K498" s="8">
        <f t="shared" si="17"/>
        <v>9</v>
      </c>
      <c r="L498" s="8">
        <f>200000/('Ammo Stats'!C498*(MAX('Ammo Input'!D498,'Ammo Input'!F498)*0.5)^2*PI())</f>
        <v>45892.4288038914</v>
      </c>
      <c r="M498" s="8">
        <f>IF(B498="Frag",1,('Ammo Input'!M498/1.33)/('Ammo Input'!H498/1000))</f>
        <v>0</v>
      </c>
      <c r="N498" t="s">
        <v>353</v>
      </c>
      <c r="O498" t="s">
        <v>353</v>
      </c>
      <c r="P498" s="3">
        <f>(39493.49*(IF((VLOOKUP(B498,AmmoTypeFactors,6,FALSE)="Bomb_Secondary"),1.33,1)*('Ammo Input'!H498*0.35)/1000)^0.6/1000)*10/3*VLOOKUP(B498,AmmoTypeFactors,4,FALSE)</f>
        <v>0</v>
      </c>
    </row>
    <row r="499" ht="14.4" spans="1:16">
      <c r="A499" s="3" t="str">
        <f>'Ammo Input'!A499</f>
        <v>.50 Beowulf</v>
      </c>
      <c r="B499" s="2" t="str">
        <f>'Ammo Input'!B499</f>
        <v>AP</v>
      </c>
      <c r="C499">
        <f>(0.579*('Ammo Stats'!G499*IF(OR(B499="HEAT",B499="HEDP"),10,'Ammo Input'!F499)*VLOOKUP(B499,AmmoTypeFactors,7,FALSE))^(0.346))^IF(B499="HEDP",2.1,1)/IF(B499="HEDP",50,1)</f>
        <v>17.8451454856819</v>
      </c>
      <c r="D499" s="16">
        <f>IF(VLOOKUP(B499,AmmoTypeFactors,8,FALSE),J499,C499)*VLOOKUP('Ammo Input'!B499,AmmoTypeFactors,2,FALSE)</f>
        <v>14.2761163885455</v>
      </c>
      <c r="E499" s="16">
        <f>IF(OR(VLOOKUP(B499,AmmoTypeFactors,6,FALSE)="Bomb",VLOOKUP(B499,AmmoTypeFactors,6,FALSE)="Thermobaric"),J499*VLOOKUP(B499,AmmoTypeFactors,4,FALSE),IF(VLOOKUP(B499,AmmoTypeFactors,11,FALSE),P499,C499*VLOOKUP(B499,AmmoTypeFactors,4,FALSE)))</f>
        <v>0</v>
      </c>
      <c r="F499" s="20">
        <f>'Ammo Stats'!G499/0.005</f>
        <v>632800</v>
      </c>
      <c r="G499" s="20">
        <f>(IF(B499="HEAT",10,'Ammo Input'!F499)*VLOOKUP(B499,AmmoTypeFactors,7,FALSE)*0.5)^2*PI()/100</f>
        <v>0.316692174435936</v>
      </c>
      <c r="H499" s="8">
        <f t="shared" si="15"/>
        <v>63.28</v>
      </c>
      <c r="I499" s="10">
        <f>IF(B499&lt;&gt;"Arrow (Flaming)",39493.49*'Ammo Input'!M499^0.6/1000,0)</f>
        <v>0</v>
      </c>
      <c r="J499" s="8">
        <f t="shared" si="16"/>
        <v>0</v>
      </c>
      <c r="K499" s="8">
        <f t="shared" si="17"/>
        <v>9</v>
      </c>
      <c r="L499" s="8">
        <f>200000/('Ammo Stats'!C499*(MAX('Ammo Input'!D499,'Ammo Input'!F499)*0.5)^2*PI())</f>
        <v>45892.4288038914</v>
      </c>
      <c r="M499" s="8">
        <f>IF(B499="Frag",1,('Ammo Input'!M499/1.33)/('Ammo Input'!H499/1000))</f>
        <v>0</v>
      </c>
      <c r="N499" t="s">
        <v>353</v>
      </c>
      <c r="O499" t="s">
        <v>353</v>
      </c>
      <c r="P499" s="3">
        <f>(39493.49*(IF((VLOOKUP(B499,AmmoTypeFactors,6,FALSE)="Bomb_Secondary"),1.33,1)*('Ammo Input'!H499*0.35)/1000)^0.6/1000)*10/3*VLOOKUP(B499,AmmoTypeFactors,4,FALSE)</f>
        <v>0</v>
      </c>
    </row>
    <row r="500" ht="14.4" spans="1:16">
      <c r="A500" s="3" t="str">
        <f>'Ammo Input'!A500</f>
        <v>.50 Beowulf</v>
      </c>
      <c r="B500" s="2" t="str">
        <f>'Ammo Input'!B500</f>
        <v>HP</v>
      </c>
      <c r="C500">
        <f>(0.579*('Ammo Stats'!G500*IF(OR(B500="HEAT",B500="HEDP"),10,'Ammo Input'!F500)*VLOOKUP(B500,AmmoTypeFactors,7,FALSE))^(0.346))^IF(B500="HEDP",2.1,1)/IF(B500="HEDP",50,1)</f>
        <v>28.829217188142</v>
      </c>
      <c r="D500" s="16">
        <f>IF(VLOOKUP(B500,AmmoTypeFactors,8,FALSE),J500,C500)*VLOOKUP('Ammo Input'!B500,AmmoTypeFactors,2,FALSE)</f>
        <v>28.829217188142</v>
      </c>
      <c r="E500" s="16">
        <f>IF(OR(VLOOKUP(B500,AmmoTypeFactors,6,FALSE)="Bomb",VLOOKUP(B500,AmmoTypeFactors,6,FALSE)="Thermobaric"),J500*VLOOKUP(B500,AmmoTypeFactors,4,FALSE),IF(VLOOKUP(B500,AmmoTypeFactors,11,FALSE),P500,C500*VLOOKUP(B500,AmmoTypeFactors,4,FALSE)))</f>
        <v>0</v>
      </c>
      <c r="F500" s="20">
        <f>'Ammo Stats'!G500/0.005</f>
        <v>632800</v>
      </c>
      <c r="G500" s="20">
        <f>(IF(B500="HEAT",10,'Ammo Input'!F500)*VLOOKUP(B500,AmmoTypeFactors,7,FALSE)*0.5)^2*PI()/100</f>
        <v>5.06707479097498</v>
      </c>
      <c r="H500" s="8">
        <f t="shared" si="15"/>
        <v>63.28</v>
      </c>
      <c r="I500" s="10">
        <f>IF(B500&lt;&gt;"Arrow (Flaming)",39493.49*'Ammo Input'!M500^0.6/1000,0)</f>
        <v>0</v>
      </c>
      <c r="J500" s="8">
        <f t="shared" si="16"/>
        <v>0</v>
      </c>
      <c r="K500" s="8">
        <f t="shared" si="17"/>
        <v>9</v>
      </c>
      <c r="L500" s="8">
        <f>200000/('Ammo Stats'!C500*(MAX('Ammo Input'!D500,'Ammo Input'!F500)*0.5)^2*PI())</f>
        <v>45892.4288038914</v>
      </c>
      <c r="M500" s="8">
        <f>IF(B500="Frag",1,('Ammo Input'!M500/1.33)/('Ammo Input'!H500/1000))</f>
        <v>0</v>
      </c>
      <c r="N500" t="s">
        <v>353</v>
      </c>
      <c r="O500" t="s">
        <v>353</v>
      </c>
      <c r="P500" s="3">
        <f>(39493.49*(IF((VLOOKUP(B500,AmmoTypeFactors,6,FALSE)="Bomb_Secondary"),1.33,1)*('Ammo Input'!H500*0.35)/1000)^0.6/1000)*10/3*VLOOKUP(B500,AmmoTypeFactors,4,FALSE)</f>
        <v>0</v>
      </c>
    </row>
    <row r="501" ht="14.4" spans="1:16">
      <c r="A501" s="3" t="str">
        <f>'Ammo Input'!A501</f>
        <v>.50 Beowulf</v>
      </c>
      <c r="B501" s="2" t="str">
        <f>'Ammo Input'!B501</f>
        <v>AP-I</v>
      </c>
      <c r="C501">
        <f>(0.579*('Ammo Stats'!G501*IF(OR(B501="HEAT",B501="HEDP"),10,'Ammo Input'!F501)*VLOOKUP(B501,AmmoTypeFactors,7,FALSE))^(0.346))^IF(B501="HEDP",2.1,1)/IF(B501="HEDP",50,1)</f>
        <v>17.8451454856819</v>
      </c>
      <c r="D501" s="16">
        <f>IF(VLOOKUP(B501,AmmoTypeFactors,8,FALSE),J501,C501)*VLOOKUP('Ammo Input'!B501,AmmoTypeFactors,2,FALSE)</f>
        <v>14.2761163885455</v>
      </c>
      <c r="E501" s="16">
        <f>IF(OR(VLOOKUP(B501,AmmoTypeFactors,6,FALSE)="Bomb",VLOOKUP(B501,AmmoTypeFactors,6,FALSE)="Thermobaric"),J501*VLOOKUP(B501,AmmoTypeFactors,4,FALSE),IF(VLOOKUP(B501,AmmoTypeFactors,11,FALSE),P501,C501*VLOOKUP(B501,AmmoTypeFactors,4,FALSE)))</f>
        <v>9.15512499502155</v>
      </c>
      <c r="F501" s="20">
        <f>'Ammo Stats'!G501/0.005</f>
        <v>632800</v>
      </c>
      <c r="G501" s="20">
        <f>(IF(B501="HEAT",10,'Ammo Input'!F501)*VLOOKUP(B501,AmmoTypeFactors,7,FALSE)*0.5)^2*PI()/100</f>
        <v>0.316692174435936</v>
      </c>
      <c r="H501" s="8">
        <f t="shared" si="15"/>
        <v>63.28</v>
      </c>
      <c r="I501" s="10">
        <f>IF(B501&lt;&gt;"Arrow (Flaming)",39493.49*'Ammo Input'!M501^0.6/1000,0)</f>
        <v>0</v>
      </c>
      <c r="J501" s="8">
        <f t="shared" si="16"/>
        <v>0</v>
      </c>
      <c r="K501" s="8">
        <f t="shared" si="17"/>
        <v>9</v>
      </c>
      <c r="L501" s="8">
        <f>200000/('Ammo Stats'!C501*(MAX('Ammo Input'!D501,'Ammo Input'!F501)*0.5)^2*PI())</f>
        <v>45892.4288038914</v>
      </c>
      <c r="M501" s="8">
        <f>IF(B501="Frag",1,('Ammo Input'!M501/1.33)/('Ammo Input'!H501/1000))</f>
        <v>0</v>
      </c>
      <c r="N501" t="s">
        <v>353</v>
      </c>
      <c r="O501" t="s">
        <v>353</v>
      </c>
      <c r="P501" s="3">
        <f>(39493.49*(IF((VLOOKUP(B501,AmmoTypeFactors,6,FALSE)="Bomb_Secondary"),1.33,1)*('Ammo Input'!H501*0.35)/1000)^0.6/1000)*10/3*VLOOKUP(B501,AmmoTypeFactors,4,FALSE)</f>
        <v>9.15512499502155</v>
      </c>
    </row>
    <row r="502" ht="14.4" spans="1:16">
      <c r="A502" s="3" t="str">
        <f>'Ammo Input'!A502</f>
        <v>.50 Beowulf</v>
      </c>
      <c r="B502" s="2" t="str">
        <f>'Ammo Input'!B502</f>
        <v>AP-HE</v>
      </c>
      <c r="C502">
        <f>(0.579*('Ammo Stats'!G502*IF(OR(B502="HEAT",B502="HEDP"),10,'Ammo Input'!F502)*VLOOKUP(B502,AmmoTypeFactors,7,FALSE))^(0.346))^IF(B502="HEDP",2.1,1)/IF(B502="HEDP",50,1)</f>
        <v>22.6817454125716</v>
      </c>
      <c r="D502" s="16">
        <f>IF(VLOOKUP(B502,AmmoTypeFactors,8,FALSE),J502,C502)*VLOOKUP('Ammo Input'!B502,AmmoTypeFactors,2,FALSE)</f>
        <v>22.6817454125716</v>
      </c>
      <c r="E502" s="16">
        <f>IF(OR(VLOOKUP(B502,AmmoTypeFactors,6,FALSE)="Bomb",VLOOKUP(B502,AmmoTypeFactors,6,FALSE)="Thermobaric"),J502*VLOOKUP(B502,AmmoTypeFactors,4,FALSE),IF(VLOOKUP(B502,AmmoTypeFactors,11,FALSE),P502,C502*VLOOKUP(B502,AmmoTypeFactors,4,FALSE)))</f>
        <v>12.5349662633616</v>
      </c>
      <c r="F502" s="20">
        <f>'Ammo Stats'!G502/0.005</f>
        <v>632800</v>
      </c>
      <c r="G502" s="20">
        <f>(IF(B502="HEAT",10,'Ammo Input'!F502)*VLOOKUP(B502,AmmoTypeFactors,7,FALSE)*0.5)^2*PI()/100</f>
        <v>1.26676869774374</v>
      </c>
      <c r="H502" s="8">
        <f t="shared" si="15"/>
        <v>63.28</v>
      </c>
      <c r="I502" s="10">
        <f>IF(B502&lt;&gt;"Arrow (Flaming)",39493.49*'Ammo Input'!M502^0.6/1000,0)</f>
        <v>0</v>
      </c>
      <c r="J502" s="8">
        <f t="shared" si="16"/>
        <v>0</v>
      </c>
      <c r="K502" s="8">
        <f t="shared" si="17"/>
        <v>9</v>
      </c>
      <c r="L502" s="8">
        <f>200000/('Ammo Stats'!C502*(MAX('Ammo Input'!D502,'Ammo Input'!F502)*0.5)^2*PI())</f>
        <v>45892.4288038914</v>
      </c>
      <c r="M502" s="8">
        <f>IF(B502="Frag",1,('Ammo Input'!M502/1.33)/('Ammo Input'!H502/1000))</f>
        <v>0</v>
      </c>
      <c r="N502" t="s">
        <v>353</v>
      </c>
      <c r="O502" t="s">
        <v>353</v>
      </c>
      <c r="P502" s="3">
        <f>(39493.49*(IF((VLOOKUP(B502,AmmoTypeFactors,6,FALSE)="Bomb_Secondary"),1.33,1)*('Ammo Input'!H502*0.35)/1000)^0.6/1000)*10/3*VLOOKUP(B502,AmmoTypeFactors,4,FALSE)</f>
        <v>12.5349662633616</v>
      </c>
    </row>
    <row r="503" ht="14.4" spans="1:16">
      <c r="A503" s="3" t="str">
        <f>'Ammo Input'!A503</f>
        <v>.50 Beowulf</v>
      </c>
      <c r="B503" s="2" t="str">
        <f>'Ammo Input'!B503</f>
        <v>Sabot</v>
      </c>
      <c r="C503">
        <f>(0.579*('Ammo Stats'!G503*IF(OR(B503="HEAT",B503="HEDP"),10,'Ammo Input'!F503)*VLOOKUP(B503,AmmoTypeFactors,7,FALSE))^(0.346))^IF(B503="HEDP",2.1,1)/IF(B503="HEDP",50,1)</f>
        <v>17.2063202244339</v>
      </c>
      <c r="D503" s="16">
        <f>IF(VLOOKUP(B503,AmmoTypeFactors,8,FALSE),J503,C503)*VLOOKUP('Ammo Input'!B503,AmmoTypeFactors,2,FALSE)</f>
        <v>12.0444241571037</v>
      </c>
      <c r="E503" s="16">
        <f>IF(OR(VLOOKUP(B503,AmmoTypeFactors,6,FALSE)="Bomb",VLOOKUP(B503,AmmoTypeFactors,6,FALSE)="Thermobaric"),J503*VLOOKUP(B503,AmmoTypeFactors,4,FALSE),IF(VLOOKUP(B503,AmmoTypeFactors,11,FALSE),P503,C503*VLOOKUP(B503,AmmoTypeFactors,4,FALSE)))</f>
        <v>0</v>
      </c>
      <c r="F503" s="20">
        <f>'Ammo Stats'!G503/0.005</f>
        <v>813600</v>
      </c>
      <c r="G503" s="20">
        <f>(IF(B503="HEAT",10,'Ammo Input'!F503)*VLOOKUP(B503,AmmoTypeFactors,7,FALSE)*0.5)^2*PI()/100</f>
        <v>0.155179165473609</v>
      </c>
      <c r="H503" s="8">
        <f t="shared" si="15"/>
        <v>81.36</v>
      </c>
      <c r="I503" s="10">
        <f>IF(B503&lt;&gt;"Arrow (Flaming)",39493.49*'Ammo Input'!M503^0.6/1000,0)</f>
        <v>0</v>
      </c>
      <c r="J503" s="8">
        <f t="shared" si="16"/>
        <v>0</v>
      </c>
      <c r="K503" s="8">
        <f t="shared" si="17"/>
        <v>9</v>
      </c>
      <c r="L503" s="8">
        <f>200000/('Ammo Stats'!C503*(MAX('Ammo Input'!D503,'Ammo Input'!F503)*0.5)^2*PI())</f>
        <v>45892.4288038914</v>
      </c>
      <c r="M503" s="8">
        <f>IF(B503="Frag",1,('Ammo Input'!M503/1.33)/('Ammo Input'!H503/1000))</f>
        <v>0</v>
      </c>
      <c r="N503" t="s">
        <v>353</v>
      </c>
      <c r="O503" t="s">
        <v>353</v>
      </c>
      <c r="P503" s="3">
        <f>(39493.49*(IF((VLOOKUP(B503,AmmoTypeFactors,6,FALSE)="Bomb_Secondary"),1.33,1)*('Ammo Input'!H503*0.35)/1000)^0.6/1000)*10/3*VLOOKUP(B503,AmmoTypeFactors,4,FALSE)</f>
        <v>0</v>
      </c>
    </row>
    <row r="504" ht="14.4" spans="1:16">
      <c r="A504" t="str">
        <f>'Ammo Input'!A504</f>
        <v>4.73x33mm caseless</v>
      </c>
      <c r="B504" s="1" t="str">
        <f>'Ammo Input'!B504</f>
        <v>FMJ</v>
      </c>
      <c r="C504">
        <f>(0.579*('Ammo Stats'!G504*IF(OR(B504="HEAT",B504="HEDP"),10,'Ammo Input'!F504)*VLOOKUP(B504,AmmoTypeFactors,7,FALSE))^(0.346))^IF(B504="HEDP",2.1,1)/IF(B504="HEDP",50,1)</f>
        <v>12.2023749482321</v>
      </c>
      <c r="D504" s="16">
        <f>IF(VLOOKUP(B504,AmmoTypeFactors,8,FALSE),J504,C504)*VLOOKUP('Ammo Input'!B504,AmmoTypeFactors,2,FALSE)</f>
        <v>12.2023749482321</v>
      </c>
      <c r="E504" s="16">
        <f>IF(OR(VLOOKUP(B504,AmmoTypeFactors,6,FALSE)="Bomb",VLOOKUP(B504,AmmoTypeFactors,6,FALSE)="Thermobaric"),J504*VLOOKUP(B504,AmmoTypeFactors,4,FALSE),IF(VLOOKUP(B504,AmmoTypeFactors,11,FALSE),P504,C504*VLOOKUP(B504,AmmoTypeFactors,4,FALSE)))</f>
        <v>0</v>
      </c>
      <c r="F504" s="16">
        <f>'Ammo Stats'!G504/0.005</f>
        <v>285000</v>
      </c>
      <c r="G504" s="16">
        <f>(IF(B504="HEAT",10,'Ammo Input'!F504)*VLOOKUP(B504,AmmoTypeFactors,7,FALSE)*0.5)^2*PI()/100</f>
        <v>0.173494454294496</v>
      </c>
      <c r="H504" s="10">
        <f t="shared" si="15"/>
        <v>28.5</v>
      </c>
      <c r="I504" s="10">
        <f>IF(B504&lt;&gt;"Arrow (Flaming)",39493.49*'Ammo Input'!M504^0.6/1000,0)</f>
        <v>0</v>
      </c>
      <c r="J504">
        <f t="shared" si="16"/>
        <v>0</v>
      </c>
      <c r="K504">
        <f t="shared" si="17"/>
        <v>7</v>
      </c>
      <c r="L504">
        <f>200000/('Ammo Stats'!C504*(MAX('Ammo Input'!D504,'Ammo Input'!F504)*0.5)^2*PI())</f>
        <v>422879.538452267</v>
      </c>
      <c r="M504">
        <f>IF(B504="Frag",1,('Ammo Input'!M504/1.33)/('Ammo Input'!H504/1000))</f>
        <v>0</v>
      </c>
      <c r="N504" t="s">
        <v>353</v>
      </c>
      <c r="O504" t="s">
        <v>353</v>
      </c>
      <c r="P504" s="3">
        <f>(39493.49*(IF((VLOOKUP(B504,AmmoTypeFactors,6,FALSE)="Bomb_Secondary"),1.33,1)*('Ammo Input'!H504*0.35)/1000)^0.6/1000)*10/3*VLOOKUP(B504,AmmoTypeFactors,4,FALSE)</f>
        <v>0</v>
      </c>
    </row>
    <row r="505" ht="14.4" spans="1:16">
      <c r="A505" t="str">
        <f>'Ammo Input'!A505</f>
        <v>4.73x33mm caseless</v>
      </c>
      <c r="B505" s="1" t="str">
        <f>'Ammo Input'!B505</f>
        <v>AP</v>
      </c>
      <c r="C505">
        <f>(0.579*('Ammo Stats'!G505*IF(OR(B505="HEAT",B505="HEDP"),10,'Ammo Input'!F505)*VLOOKUP(B505,AmmoTypeFactors,7,FALSE))^(0.346))^IF(B505="HEDP",2.1,1)/IF(B505="HEDP",50,1)</f>
        <v>9.60037035339215</v>
      </c>
      <c r="D505" s="16">
        <f>IF(VLOOKUP(B505,AmmoTypeFactors,8,FALSE),J505,C505)*VLOOKUP('Ammo Input'!B505,AmmoTypeFactors,2,FALSE)</f>
        <v>7.68029628271372</v>
      </c>
      <c r="E505" s="16">
        <f>IF(OR(VLOOKUP(B505,AmmoTypeFactors,6,FALSE)="Bomb",VLOOKUP(B505,AmmoTypeFactors,6,FALSE)="Thermobaric"),J505*VLOOKUP(B505,AmmoTypeFactors,4,FALSE),IF(VLOOKUP(B505,AmmoTypeFactors,11,FALSE),P505,C505*VLOOKUP(B505,AmmoTypeFactors,4,FALSE)))</f>
        <v>0</v>
      </c>
      <c r="F505" s="16">
        <f>'Ammo Stats'!G505/0.005</f>
        <v>285000</v>
      </c>
      <c r="G505" s="16">
        <f>(IF(B505="HEAT",10,'Ammo Input'!F505)*VLOOKUP(B505,AmmoTypeFactors,7,FALSE)*0.5)^2*PI()/100</f>
        <v>0.0433736135736241</v>
      </c>
      <c r="H505" s="10">
        <f t="shared" si="15"/>
        <v>28.5</v>
      </c>
      <c r="I505" s="10">
        <f>IF(B505&lt;&gt;"Arrow (Flaming)",39493.49*'Ammo Input'!M505^0.6/1000,0)</f>
        <v>0</v>
      </c>
      <c r="J505">
        <f t="shared" si="16"/>
        <v>0</v>
      </c>
      <c r="K505">
        <f t="shared" si="17"/>
        <v>7</v>
      </c>
      <c r="L505">
        <f>200000/('Ammo Stats'!C505*(MAX('Ammo Input'!D505,'Ammo Input'!F505)*0.5)^2*PI())</f>
        <v>422879.538452267</v>
      </c>
      <c r="M505">
        <f>IF(B505="Frag",1,('Ammo Input'!M505/1.33)/('Ammo Input'!H505/1000))</f>
        <v>0</v>
      </c>
      <c r="N505" t="s">
        <v>353</v>
      </c>
      <c r="O505" t="s">
        <v>353</v>
      </c>
      <c r="P505" s="3">
        <f>(39493.49*(IF((VLOOKUP(B505,AmmoTypeFactors,6,FALSE)="Bomb_Secondary"),1.33,1)*('Ammo Input'!H505*0.35)/1000)^0.6/1000)*10/3*VLOOKUP(B505,AmmoTypeFactors,4,FALSE)</f>
        <v>0</v>
      </c>
    </row>
    <row r="506" ht="14.4" spans="1:16">
      <c r="A506" t="str">
        <f>'Ammo Input'!A506</f>
        <v>4.73x33mm caseless</v>
      </c>
      <c r="B506" s="1" t="str">
        <f>'Ammo Input'!B506</f>
        <v>HP</v>
      </c>
      <c r="C506">
        <f>(0.579*('Ammo Stats'!G506*IF(OR(B506="HEAT",B506="HEDP"),10,'Ammo Input'!F506)*VLOOKUP(B506,AmmoTypeFactors,7,FALSE))^(0.346))^IF(B506="HEDP",2.1,1)/IF(B506="HEDP",50,1)</f>
        <v>15.5096052439925</v>
      </c>
      <c r="D506" s="16">
        <f>IF(VLOOKUP(B506,AmmoTypeFactors,8,FALSE),J506,C506)*VLOOKUP('Ammo Input'!B506,AmmoTypeFactors,2,FALSE)</f>
        <v>15.5096052439925</v>
      </c>
      <c r="E506" s="16">
        <f>IF(OR(VLOOKUP(B506,AmmoTypeFactors,6,FALSE)="Bomb",VLOOKUP(B506,AmmoTypeFactors,6,FALSE)="Thermobaric"),J506*VLOOKUP(B506,AmmoTypeFactors,4,FALSE),IF(VLOOKUP(B506,AmmoTypeFactors,11,FALSE),P506,C506*VLOOKUP(B506,AmmoTypeFactors,4,FALSE)))</f>
        <v>0</v>
      </c>
      <c r="F506" s="16">
        <f>'Ammo Stats'!G506/0.005</f>
        <v>285000</v>
      </c>
      <c r="G506" s="16">
        <f>(IF(B506="HEAT",10,'Ammo Input'!F506)*VLOOKUP(B506,AmmoTypeFactors,7,FALSE)*0.5)^2*PI()/100</f>
        <v>0.693977817177985</v>
      </c>
      <c r="H506" s="10">
        <f t="shared" si="15"/>
        <v>28.5</v>
      </c>
      <c r="I506" s="10">
        <f>IF(B506&lt;&gt;"Arrow (Flaming)",39493.49*'Ammo Input'!M506^0.6/1000,0)</f>
        <v>0</v>
      </c>
      <c r="J506">
        <f t="shared" si="16"/>
        <v>0</v>
      </c>
      <c r="K506">
        <f t="shared" si="17"/>
        <v>7</v>
      </c>
      <c r="L506">
        <f>200000/('Ammo Stats'!C506*(MAX('Ammo Input'!D506,'Ammo Input'!F506)*0.5)^2*PI())</f>
        <v>422879.538452267</v>
      </c>
      <c r="M506">
        <f>IF(B506="Frag",1,('Ammo Input'!M506/1.33)/('Ammo Input'!H506/1000))</f>
        <v>0</v>
      </c>
      <c r="N506" t="s">
        <v>353</v>
      </c>
      <c r="O506" t="s">
        <v>353</v>
      </c>
      <c r="P506" s="3">
        <f>(39493.49*(IF((VLOOKUP(B506,AmmoTypeFactors,6,FALSE)="Bomb_Secondary"),1.33,1)*('Ammo Input'!H506*0.35)/1000)^0.6/1000)*10/3*VLOOKUP(B506,AmmoTypeFactors,4,FALSE)</f>
        <v>0</v>
      </c>
    </row>
    <row r="507" ht="14.4" spans="1:16">
      <c r="A507" t="str">
        <f>'Ammo Input'!A507</f>
        <v>4.73x33mm caseless</v>
      </c>
      <c r="B507" s="1" t="str">
        <f>'Ammo Input'!B507</f>
        <v>AP-I</v>
      </c>
      <c r="C507">
        <f>(0.579*('Ammo Stats'!G507*IF(OR(B507="HEAT",B507="HEDP"),10,'Ammo Input'!F507)*VLOOKUP(B507,AmmoTypeFactors,7,FALSE))^(0.346))^IF(B507="HEDP",2.1,1)/IF(B507="HEDP",50,1)</f>
        <v>9.60037035339215</v>
      </c>
      <c r="D507" s="16">
        <f>IF(VLOOKUP(B507,AmmoTypeFactors,8,FALSE),J507,C507)*VLOOKUP('Ammo Input'!B507,AmmoTypeFactors,2,FALSE)</f>
        <v>7.68029628271372</v>
      </c>
      <c r="E507" s="16">
        <f>IF(OR(VLOOKUP(B507,AmmoTypeFactors,6,FALSE)="Bomb",VLOOKUP(B507,AmmoTypeFactors,6,FALSE)="Thermobaric"),J507*VLOOKUP(B507,AmmoTypeFactors,4,FALSE),IF(VLOOKUP(B507,AmmoTypeFactors,11,FALSE),P507,C507*VLOOKUP(B507,AmmoTypeFactors,4,FALSE)))</f>
        <v>2.97341123382688</v>
      </c>
      <c r="F507" s="16">
        <f>'Ammo Stats'!G507/0.005</f>
        <v>285000</v>
      </c>
      <c r="G507" s="16">
        <f>(IF(B507="HEAT",10,'Ammo Input'!F507)*VLOOKUP(B507,AmmoTypeFactors,7,FALSE)*0.5)^2*PI()/100</f>
        <v>0.0433736135736241</v>
      </c>
      <c r="H507" s="10">
        <f t="shared" si="15"/>
        <v>28.5</v>
      </c>
      <c r="I507" s="10">
        <f>IF(B507&lt;&gt;"Arrow (Flaming)",39493.49*'Ammo Input'!M507^0.6/1000,0)</f>
        <v>0</v>
      </c>
      <c r="J507">
        <f t="shared" si="16"/>
        <v>0</v>
      </c>
      <c r="K507">
        <f t="shared" si="17"/>
        <v>7</v>
      </c>
      <c r="L507">
        <f>200000/('Ammo Stats'!C507*(MAX('Ammo Input'!D507,'Ammo Input'!F507)*0.5)^2*PI())</f>
        <v>422879.538452267</v>
      </c>
      <c r="M507">
        <f>IF(B507="Frag",1,('Ammo Input'!M507/1.33)/('Ammo Input'!H507/1000))</f>
        <v>0</v>
      </c>
      <c r="N507" t="s">
        <v>353</v>
      </c>
      <c r="O507" t="s">
        <v>353</v>
      </c>
      <c r="P507" s="3">
        <f>(39493.49*(IF((VLOOKUP(B507,AmmoTypeFactors,6,FALSE)="Bomb_Secondary"),1.33,1)*('Ammo Input'!H507*0.35)/1000)^0.6/1000)*10/3*VLOOKUP(B507,AmmoTypeFactors,4,FALSE)</f>
        <v>2.97341123382688</v>
      </c>
    </row>
    <row r="508" ht="14.4" spans="1:16">
      <c r="A508" t="str">
        <f>'Ammo Input'!A508</f>
        <v>4.73x33mm caseless</v>
      </c>
      <c r="B508" s="1" t="str">
        <f>'Ammo Input'!B508</f>
        <v>AP-HE</v>
      </c>
      <c r="C508">
        <f>(0.579*('Ammo Stats'!G508*IF(OR(B508="HEAT",B508="HEDP"),10,'Ammo Input'!F508)*VLOOKUP(B508,AmmoTypeFactors,7,FALSE))^(0.346))^IF(B508="HEDP",2.1,1)/IF(B508="HEDP",50,1)</f>
        <v>12.2023749482321</v>
      </c>
      <c r="D508" s="16">
        <f>IF(VLOOKUP(B508,AmmoTypeFactors,8,FALSE),J508,C508)*VLOOKUP('Ammo Input'!B508,AmmoTypeFactors,2,FALSE)</f>
        <v>12.2023749482321</v>
      </c>
      <c r="E508" s="16">
        <f>IF(OR(VLOOKUP(B508,AmmoTypeFactors,6,FALSE)="Bomb",VLOOKUP(B508,AmmoTypeFactors,6,FALSE)="Thermobaric"),J508*VLOOKUP(B508,AmmoTypeFactors,4,FALSE),IF(VLOOKUP(B508,AmmoTypeFactors,11,FALSE),P508,C508*VLOOKUP(B508,AmmoTypeFactors,4,FALSE)))</f>
        <v>4.07111967596163</v>
      </c>
      <c r="F508" s="16">
        <f>'Ammo Stats'!G508/0.005</f>
        <v>285000</v>
      </c>
      <c r="G508" s="16">
        <f>(IF(B508="HEAT",10,'Ammo Input'!F508)*VLOOKUP(B508,AmmoTypeFactors,7,FALSE)*0.5)^2*PI()/100</f>
        <v>0.173494454294496</v>
      </c>
      <c r="H508" s="10">
        <f t="shared" si="15"/>
        <v>28.5</v>
      </c>
      <c r="I508" s="10">
        <f>IF(B508&lt;&gt;"Arrow (Flaming)",39493.49*'Ammo Input'!M508^0.6/1000,0)</f>
        <v>0</v>
      </c>
      <c r="J508">
        <f t="shared" si="16"/>
        <v>0</v>
      </c>
      <c r="K508">
        <f t="shared" si="17"/>
        <v>7</v>
      </c>
      <c r="L508">
        <f>200000/('Ammo Stats'!C508*(MAX('Ammo Input'!D508,'Ammo Input'!F508)*0.5)^2*PI())</f>
        <v>422879.538452267</v>
      </c>
      <c r="M508">
        <f>IF(B508="Frag",1,('Ammo Input'!M508/1.33)/('Ammo Input'!H508/1000))</f>
        <v>0</v>
      </c>
      <c r="N508" t="s">
        <v>353</v>
      </c>
      <c r="O508" t="s">
        <v>353</v>
      </c>
      <c r="P508" s="3">
        <f>(39493.49*(IF((VLOOKUP(B508,AmmoTypeFactors,6,FALSE)="Bomb_Secondary"),1.33,1)*('Ammo Input'!H508*0.35)/1000)^0.6/1000)*10/3*VLOOKUP(B508,AmmoTypeFactors,4,FALSE)</f>
        <v>4.07111967596163</v>
      </c>
    </row>
    <row r="509" ht="14.4" spans="1:16">
      <c r="A509" t="str">
        <f>'Ammo Input'!A509</f>
        <v>4.73x33mm caseless</v>
      </c>
      <c r="B509" s="1" t="str">
        <f>'Ammo Input'!B509</f>
        <v>Sabot</v>
      </c>
      <c r="C509">
        <f>(0.579*('Ammo Stats'!G509*IF(OR(B509="HEAT",B509="HEDP"),10,'Ammo Input'!F509)*VLOOKUP(B509,AmmoTypeFactors,7,FALSE))^(0.346))^IF(B509="HEDP",2.1,1)/IF(B509="HEDP",50,1)</f>
        <v>9.25119654961209</v>
      </c>
      <c r="D509" s="16">
        <f>IF(VLOOKUP(B509,AmmoTypeFactors,8,FALSE),J509,C509)*VLOOKUP('Ammo Input'!B509,AmmoTypeFactors,2,FALSE)</f>
        <v>6.47583758472846</v>
      </c>
      <c r="E509" s="16">
        <f>IF(OR(VLOOKUP(B509,AmmoTypeFactors,6,FALSE)="Bomb",VLOOKUP(B509,AmmoTypeFactors,6,FALSE)="Thermobaric"),J509*VLOOKUP(B509,AmmoTypeFactors,4,FALSE),IF(VLOOKUP(B509,AmmoTypeFactors,11,FALSE),P509,C509*VLOOKUP(B509,AmmoTypeFactors,4,FALSE)))</f>
        <v>0</v>
      </c>
      <c r="F509" s="16">
        <f>'Ammo Stats'!G509/0.005</f>
        <v>365800</v>
      </c>
      <c r="G509" s="16">
        <f>(IF(B509="HEAT",10,'Ammo Input'!F509)*VLOOKUP(B509,AmmoTypeFactors,7,FALSE)*0.5)^2*PI()/100</f>
        <v>0.0212530706510758</v>
      </c>
      <c r="H509" s="10">
        <f t="shared" si="15"/>
        <v>36.58</v>
      </c>
      <c r="I509" s="10">
        <f>IF(B509&lt;&gt;"Arrow (Flaming)",39493.49*'Ammo Input'!M509^0.6/1000,0)</f>
        <v>0</v>
      </c>
      <c r="J509">
        <f t="shared" si="16"/>
        <v>0</v>
      </c>
      <c r="K509">
        <f t="shared" si="17"/>
        <v>7</v>
      </c>
      <c r="L509">
        <f>200000/('Ammo Stats'!C509*(MAX('Ammo Input'!D509,'Ammo Input'!F509)*0.5)^2*PI())</f>
        <v>422879.538452267</v>
      </c>
      <c r="M509">
        <f>IF(B509="Frag",1,('Ammo Input'!M509/1.33)/('Ammo Input'!H509/1000))</f>
        <v>0</v>
      </c>
      <c r="N509" t="s">
        <v>353</v>
      </c>
      <c r="O509" t="s">
        <v>353</v>
      </c>
      <c r="P509" s="3">
        <f>(39493.49*(IF((VLOOKUP(B509,AmmoTypeFactors,6,FALSE)="Bomb_Secondary"),1.33,1)*('Ammo Input'!H509*0.35)/1000)^0.6/1000)*10/3*VLOOKUP(B509,AmmoTypeFactors,4,FALSE)</f>
        <v>0</v>
      </c>
    </row>
    <row r="510" ht="14.4" spans="1:16">
      <c r="A510" t="str">
        <f>'Ammo Input'!A510</f>
        <v>5.8x42mm DBP10</v>
      </c>
      <c r="B510" s="1" t="str">
        <f>'Ammo Input'!B510</f>
        <v>FMJ</v>
      </c>
      <c r="C510">
        <f>(0.579*('Ammo Stats'!G510*IF(OR(B510="HEAT",B510="HEDP"),10,'Ammo Input'!F510)*VLOOKUP(B510,AmmoTypeFactors,7,FALSE))^(0.346))^IF(B510="HEDP",2.1,1)/IF(B510="HEDP",50,1)</f>
        <v>14.3821958033835</v>
      </c>
      <c r="D510" s="16">
        <f>IF(VLOOKUP(B510,AmmoTypeFactors,8,FALSE),J510,C510)*VLOOKUP('Ammo Input'!B510,AmmoTypeFactors,2,FALSE)</f>
        <v>14.3821958033835</v>
      </c>
      <c r="E510" s="16">
        <f>IF(OR(VLOOKUP(B510,AmmoTypeFactors,6,FALSE)="Bomb",VLOOKUP(B510,AmmoTypeFactors,6,FALSE)="Thermobaric"),J510*VLOOKUP(B510,AmmoTypeFactors,4,FALSE),IF(VLOOKUP(B510,AmmoTypeFactors,11,FALSE),P510,C510*VLOOKUP(B510,AmmoTypeFactors,4,FALSE)))</f>
        <v>0</v>
      </c>
      <c r="F510" s="16">
        <f>'Ammo Stats'!G510/0.005</f>
        <v>359000</v>
      </c>
      <c r="G510" s="16">
        <f>(IF(B510="HEAT",10,'Ammo Input'!F510)*VLOOKUP(B510,AmmoTypeFactors,7,FALSE)*0.5)^2*PI()/100</f>
        <v>0.282743338823081</v>
      </c>
      <c r="H510" s="10">
        <f t="shared" si="15"/>
        <v>35.9</v>
      </c>
      <c r="I510" s="10">
        <f>IF(B510&lt;&gt;"Arrow (Flaming)",39493.49*'Ammo Input'!M510^0.6/1000,0)</f>
        <v>0</v>
      </c>
      <c r="J510">
        <f t="shared" si="16"/>
        <v>0</v>
      </c>
      <c r="K510">
        <f t="shared" si="17"/>
        <v>7</v>
      </c>
      <c r="L510">
        <f>200000/('Ammo Stats'!C510*(MAX('Ammo Input'!D510,'Ammo Input'!F510)*0.5)^2*PI())</f>
        <v>117718.153174479</v>
      </c>
      <c r="M510">
        <f>IF(B510="Frag",1,('Ammo Input'!M510/1.33)/('Ammo Input'!H510/1000))</f>
        <v>0</v>
      </c>
      <c r="N510" t="s">
        <v>353</v>
      </c>
      <c r="O510" t="s">
        <v>353</v>
      </c>
      <c r="P510" s="3">
        <f>(39493.49*(IF((VLOOKUP(B510,AmmoTypeFactors,6,FALSE)="Bomb_Secondary"),1.33,1)*('Ammo Input'!H510*0.35)/1000)^0.6/1000)*10/3*VLOOKUP(B510,AmmoTypeFactors,4,FALSE)</f>
        <v>0</v>
      </c>
    </row>
    <row r="511" ht="14.4" spans="1:16">
      <c r="A511" t="str">
        <f>'Ammo Input'!A511</f>
        <v>5.8x42mm DBP10</v>
      </c>
      <c r="B511" s="1" t="str">
        <f>'Ammo Input'!B511</f>
        <v>AP</v>
      </c>
      <c r="C511">
        <f>(0.579*('Ammo Stats'!G511*IF(OR(B511="HEAT",B511="HEDP"),10,'Ammo Input'!F511)*VLOOKUP(B511,AmmoTypeFactors,7,FALSE))^(0.346))^IF(B511="HEDP",2.1,1)/IF(B511="HEDP",50,1)</f>
        <v>11.3153715398238</v>
      </c>
      <c r="D511" s="16">
        <f>IF(VLOOKUP(B511,AmmoTypeFactors,8,FALSE),J511,C511)*VLOOKUP('Ammo Input'!B511,AmmoTypeFactors,2,FALSE)</f>
        <v>9.05229723185904</v>
      </c>
      <c r="E511" s="16">
        <f>IF(OR(VLOOKUP(B511,AmmoTypeFactors,6,FALSE)="Bomb",VLOOKUP(B511,AmmoTypeFactors,6,FALSE)="Thermobaric"),J511*VLOOKUP(B511,AmmoTypeFactors,4,FALSE),IF(VLOOKUP(B511,AmmoTypeFactors,11,FALSE),P511,C511*VLOOKUP(B511,AmmoTypeFactors,4,FALSE)))</f>
        <v>0</v>
      </c>
      <c r="F511" s="16">
        <f>'Ammo Stats'!G511/0.005</f>
        <v>359000</v>
      </c>
      <c r="G511" s="16">
        <f>(IF(B511="HEAT",10,'Ammo Input'!F511)*VLOOKUP(B511,AmmoTypeFactors,7,FALSE)*0.5)^2*PI()/100</f>
        <v>0.0706858347057703</v>
      </c>
      <c r="H511" s="10">
        <f t="shared" si="15"/>
        <v>35.9</v>
      </c>
      <c r="I511" s="10">
        <f>IF(B511&lt;&gt;"Arrow (Flaming)",39493.49*'Ammo Input'!M511^0.6/1000,0)</f>
        <v>0</v>
      </c>
      <c r="J511">
        <f t="shared" si="16"/>
        <v>0</v>
      </c>
      <c r="K511">
        <f t="shared" si="17"/>
        <v>7</v>
      </c>
      <c r="L511">
        <f>200000/('Ammo Stats'!C511*(MAX('Ammo Input'!D511,'Ammo Input'!F511)*0.5)^2*PI())</f>
        <v>117718.153174479</v>
      </c>
      <c r="M511">
        <f>IF(B511="Frag",1,('Ammo Input'!M511/1.33)/('Ammo Input'!H511/1000))</f>
        <v>0</v>
      </c>
      <c r="N511" t="s">
        <v>353</v>
      </c>
      <c r="O511" t="s">
        <v>353</v>
      </c>
      <c r="P511" s="3">
        <f>(39493.49*(IF((VLOOKUP(B511,AmmoTypeFactors,6,FALSE)="Bomb_Secondary"),1.33,1)*('Ammo Input'!H511*0.35)/1000)^0.6/1000)*10/3*VLOOKUP(B511,AmmoTypeFactors,4,FALSE)</f>
        <v>0</v>
      </c>
    </row>
    <row r="512" ht="14.4" spans="1:16">
      <c r="A512" t="str">
        <f>'Ammo Input'!A512</f>
        <v>5.8x42mm DBP10</v>
      </c>
      <c r="B512" s="1" t="str">
        <f>'Ammo Input'!B512</f>
        <v>HP</v>
      </c>
      <c r="C512">
        <f>(0.579*('Ammo Stats'!G512*IF(OR(B512="HEAT",B512="HEDP"),10,'Ammo Input'!F512)*VLOOKUP(B512,AmmoTypeFactors,7,FALSE))^(0.346))^IF(B512="HEDP",2.1,1)/IF(B512="HEDP",50,1)</f>
        <v>18.2802266278994</v>
      </c>
      <c r="D512" s="16">
        <f>IF(VLOOKUP(B512,AmmoTypeFactors,8,FALSE),J512,C512)*VLOOKUP('Ammo Input'!B512,AmmoTypeFactors,2,FALSE)</f>
        <v>18.2802266278994</v>
      </c>
      <c r="E512" s="16">
        <f>IF(OR(VLOOKUP(B512,AmmoTypeFactors,6,FALSE)="Bomb",VLOOKUP(B512,AmmoTypeFactors,6,FALSE)="Thermobaric"),J512*VLOOKUP(B512,AmmoTypeFactors,4,FALSE),IF(VLOOKUP(B512,AmmoTypeFactors,11,FALSE),P512,C512*VLOOKUP(B512,AmmoTypeFactors,4,FALSE)))</f>
        <v>0</v>
      </c>
      <c r="F512" s="16">
        <f>'Ammo Stats'!G512/0.005</f>
        <v>359000</v>
      </c>
      <c r="G512" s="16">
        <f>(IF(B512="HEAT",10,'Ammo Input'!F512)*VLOOKUP(B512,AmmoTypeFactors,7,FALSE)*0.5)^2*PI()/100</f>
        <v>1.13097335529233</v>
      </c>
      <c r="H512" s="10">
        <f t="shared" si="15"/>
        <v>35.9</v>
      </c>
      <c r="I512" s="10">
        <f>IF(B512&lt;&gt;"Arrow (Flaming)",39493.49*'Ammo Input'!M512^0.6/1000,0)</f>
        <v>0</v>
      </c>
      <c r="J512">
        <f t="shared" si="16"/>
        <v>0</v>
      </c>
      <c r="K512">
        <f t="shared" si="17"/>
        <v>7</v>
      </c>
      <c r="L512">
        <f>200000/('Ammo Stats'!C512*(MAX('Ammo Input'!D512,'Ammo Input'!F512)*0.5)^2*PI())</f>
        <v>117718.153174479</v>
      </c>
      <c r="M512">
        <f>IF(B512="Frag",1,('Ammo Input'!M512/1.33)/('Ammo Input'!H512/1000))</f>
        <v>0</v>
      </c>
      <c r="N512" t="s">
        <v>353</v>
      </c>
      <c r="O512" t="s">
        <v>353</v>
      </c>
      <c r="P512" s="3">
        <f>(39493.49*(IF((VLOOKUP(B512,AmmoTypeFactors,6,FALSE)="Bomb_Secondary"),1.33,1)*('Ammo Input'!H512*0.35)/1000)^0.6/1000)*10/3*VLOOKUP(B512,AmmoTypeFactors,4,FALSE)</f>
        <v>0</v>
      </c>
    </row>
    <row r="513" ht="14.4" spans="1:16">
      <c r="A513" t="str">
        <f>'Ammo Input'!A513</f>
        <v>5.8x42mm DBP10</v>
      </c>
      <c r="B513" s="1" t="str">
        <f>'Ammo Input'!B513</f>
        <v>AP-I</v>
      </c>
      <c r="C513">
        <f>(0.579*('Ammo Stats'!G513*IF(OR(B513="HEAT",B513="HEDP"),10,'Ammo Input'!F513)*VLOOKUP(B513,AmmoTypeFactors,7,FALSE))^(0.346))^IF(B513="HEDP",2.1,1)/IF(B513="HEDP",50,1)</f>
        <v>11.3153715398238</v>
      </c>
      <c r="D513" s="16">
        <f>IF(VLOOKUP(B513,AmmoTypeFactors,8,FALSE),J513,C513)*VLOOKUP('Ammo Input'!B513,AmmoTypeFactors,2,FALSE)</f>
        <v>9.05229723185904</v>
      </c>
      <c r="E513" s="16">
        <f>IF(OR(VLOOKUP(B513,AmmoTypeFactors,6,FALSE)="Bomb",VLOOKUP(B513,AmmoTypeFactors,6,FALSE)="Thermobaric"),J513*VLOOKUP(B513,AmmoTypeFactors,4,FALSE),IF(VLOOKUP(B513,AmmoTypeFactors,11,FALSE),P513,C513*VLOOKUP(B513,AmmoTypeFactors,4,FALSE)))</f>
        <v>3.39326123592573</v>
      </c>
      <c r="F513" s="16">
        <f>'Ammo Stats'!G513/0.005</f>
        <v>359000</v>
      </c>
      <c r="G513" s="16">
        <f>(IF(B513="HEAT",10,'Ammo Input'!F513)*VLOOKUP(B513,AmmoTypeFactors,7,FALSE)*0.5)^2*PI()/100</f>
        <v>0.0706858347057703</v>
      </c>
      <c r="H513" s="10">
        <f t="shared" si="15"/>
        <v>35.9</v>
      </c>
      <c r="I513" s="10">
        <f>IF(B513&lt;&gt;"Arrow (Flaming)",39493.49*'Ammo Input'!M513^0.6/1000,0)</f>
        <v>0</v>
      </c>
      <c r="J513">
        <f t="shared" si="16"/>
        <v>0</v>
      </c>
      <c r="K513">
        <f t="shared" si="17"/>
        <v>7</v>
      </c>
      <c r="L513">
        <f>200000/('Ammo Stats'!C513*(MAX('Ammo Input'!D513,'Ammo Input'!F513)*0.5)^2*PI())</f>
        <v>117718.153174479</v>
      </c>
      <c r="M513">
        <f>IF(B513="Frag",1,('Ammo Input'!M513/1.33)/('Ammo Input'!H513/1000))</f>
        <v>0</v>
      </c>
      <c r="N513" t="s">
        <v>353</v>
      </c>
      <c r="O513" t="s">
        <v>353</v>
      </c>
      <c r="P513" s="3">
        <f>(39493.49*(IF((VLOOKUP(B513,AmmoTypeFactors,6,FALSE)="Bomb_Secondary"),1.33,1)*('Ammo Input'!H513*0.35)/1000)^0.6/1000)*10/3*VLOOKUP(B513,AmmoTypeFactors,4,FALSE)</f>
        <v>3.39326123592573</v>
      </c>
    </row>
    <row r="514" ht="14.4" spans="1:16">
      <c r="A514" t="str">
        <f>'Ammo Input'!A514</f>
        <v>5.8x42mm DBP10</v>
      </c>
      <c r="B514" s="1" t="str">
        <f>'Ammo Input'!B514</f>
        <v>AP-HE</v>
      </c>
      <c r="C514">
        <f>(0.579*('Ammo Stats'!G514*IF(OR(B514="HEAT",B514="HEDP"),10,'Ammo Input'!F514)*VLOOKUP(B514,AmmoTypeFactors,7,FALSE))^(0.346))^IF(B514="HEDP",2.1,1)/IF(B514="HEDP",50,1)</f>
        <v>14.3821958033835</v>
      </c>
      <c r="D514" s="16">
        <f>IF(VLOOKUP(B514,AmmoTypeFactors,8,FALSE),J514,C514)*VLOOKUP('Ammo Input'!B514,AmmoTypeFactors,2,FALSE)</f>
        <v>14.3821958033835</v>
      </c>
      <c r="E514" s="16">
        <f>IF(OR(VLOOKUP(B514,AmmoTypeFactors,6,FALSE)="Bomb",VLOOKUP(B514,AmmoTypeFactors,6,FALSE)="Thermobaric"),J514*VLOOKUP(B514,AmmoTypeFactors,4,FALSE),IF(VLOOKUP(B514,AmmoTypeFactors,11,FALSE),P514,C514*VLOOKUP(B514,AmmoTypeFactors,4,FALSE)))</f>
        <v>4.64596771078838</v>
      </c>
      <c r="F514" s="16">
        <f>'Ammo Stats'!G514/0.005</f>
        <v>359000</v>
      </c>
      <c r="G514" s="16">
        <f>(IF(B514="HEAT",10,'Ammo Input'!F514)*VLOOKUP(B514,AmmoTypeFactors,7,FALSE)*0.5)^2*PI()/100</f>
        <v>0.282743338823081</v>
      </c>
      <c r="H514" s="10">
        <f t="shared" si="15"/>
        <v>35.9</v>
      </c>
      <c r="I514" s="10">
        <f>IF(B514&lt;&gt;"Arrow (Flaming)",39493.49*'Ammo Input'!M514^0.6/1000,0)</f>
        <v>0</v>
      </c>
      <c r="J514">
        <f t="shared" si="16"/>
        <v>0</v>
      </c>
      <c r="K514">
        <f t="shared" si="17"/>
        <v>7</v>
      </c>
      <c r="L514">
        <f>200000/('Ammo Stats'!C514*(MAX('Ammo Input'!D514,'Ammo Input'!F514)*0.5)^2*PI())</f>
        <v>117718.153174479</v>
      </c>
      <c r="M514">
        <f>IF(B514="Frag",1,('Ammo Input'!M514/1.33)/('Ammo Input'!H514/1000))</f>
        <v>0</v>
      </c>
      <c r="N514" t="s">
        <v>353</v>
      </c>
      <c r="O514" t="s">
        <v>353</v>
      </c>
      <c r="P514" s="3">
        <f>(39493.49*(IF((VLOOKUP(B514,AmmoTypeFactors,6,FALSE)="Bomb_Secondary"),1.33,1)*('Ammo Input'!H514*0.35)/1000)^0.6/1000)*10/3*VLOOKUP(B514,AmmoTypeFactors,4,FALSE)</f>
        <v>4.64596771078838</v>
      </c>
    </row>
    <row r="515" ht="14.4" spans="1:16">
      <c r="A515" t="str">
        <f>'Ammo Input'!A515</f>
        <v>5.8x42mm DBP10</v>
      </c>
      <c r="B515" s="1" t="str">
        <f>'Ammo Input'!B515</f>
        <v>Sabot</v>
      </c>
      <c r="C515">
        <f>(0.579*('Ammo Stats'!G515*IF(OR(B515="HEAT",B515="HEDP"),10,'Ammo Input'!F515)*VLOOKUP(B515,AmmoTypeFactors,7,FALSE))^(0.346))^IF(B515="HEDP",2.1,1)/IF(B515="HEDP",50,1)</f>
        <v>10.9072623318558</v>
      </c>
      <c r="D515" s="16">
        <f>IF(VLOOKUP(B515,AmmoTypeFactors,8,FALSE),J515,C515)*VLOOKUP('Ammo Input'!B515,AmmoTypeFactors,2,FALSE)</f>
        <v>7.63508363229905</v>
      </c>
      <c r="E515" s="16">
        <f>IF(OR(VLOOKUP(B515,AmmoTypeFactors,6,FALSE)="Bomb",VLOOKUP(B515,AmmoTypeFactors,6,FALSE)="Thermobaric"),J515*VLOOKUP(B515,AmmoTypeFactors,4,FALSE),IF(VLOOKUP(B515,AmmoTypeFactors,11,FALSE),P515,C515*VLOOKUP(B515,AmmoTypeFactors,4,FALSE)))</f>
        <v>0</v>
      </c>
      <c r="F515" s="16">
        <f>'Ammo Stats'!G515/0.005</f>
        <v>461200</v>
      </c>
      <c r="G515" s="16">
        <f>(IF(B515="HEAT",10,'Ammo Input'!F515)*VLOOKUP(B515,AmmoTypeFactors,7,FALSE)*0.5)^2*PI()/100</f>
        <v>0.0346360590058275</v>
      </c>
      <c r="H515" s="10">
        <f t="shared" si="15"/>
        <v>46.12</v>
      </c>
      <c r="I515" s="10">
        <f>IF(B515&lt;&gt;"Arrow (Flaming)",39493.49*'Ammo Input'!M515^0.6/1000,0)</f>
        <v>0</v>
      </c>
      <c r="J515">
        <f t="shared" si="16"/>
        <v>0</v>
      </c>
      <c r="K515">
        <f t="shared" si="17"/>
        <v>8</v>
      </c>
      <c r="L515">
        <f>200000/('Ammo Stats'!C515*(MAX('Ammo Input'!D515,'Ammo Input'!F515)*0.5)^2*PI())</f>
        <v>117718.153174479</v>
      </c>
      <c r="M515">
        <f>IF(B515="Frag",1,('Ammo Input'!M515/1.33)/('Ammo Input'!H515/1000))</f>
        <v>0</v>
      </c>
      <c r="N515" t="s">
        <v>353</v>
      </c>
      <c r="O515" t="s">
        <v>353</v>
      </c>
      <c r="P515" s="3">
        <f>(39493.49*(IF((VLOOKUP(B515,AmmoTypeFactors,6,FALSE)="Bomb_Secondary"),1.33,1)*('Ammo Input'!H515*0.35)/1000)^0.6/1000)*10/3*VLOOKUP(B515,AmmoTypeFactors,4,FALSE)</f>
        <v>0</v>
      </c>
    </row>
    <row r="516" ht="14.4" spans="1:16">
      <c r="A516" t="str">
        <f>'Ammo Input'!A516</f>
        <v>6.5×50mmSR Arisaka</v>
      </c>
      <c r="B516" s="1" t="str">
        <f>'Ammo Input'!B516</f>
        <v>FMJ</v>
      </c>
      <c r="C516">
        <f>(0.579*('Ammo Stats'!G516*IF(OR(B516="HEAT",B516="HEDP"),10,'Ammo Input'!F516)*VLOOKUP(B516,AmmoTypeFactors,7,FALSE))^(0.346))^IF(B516="HEDP",2.1,1)/IF(B516="HEDP",50,1)</f>
        <v>17.2088978015516</v>
      </c>
      <c r="D516" s="16">
        <f>IF(VLOOKUP(B516,AmmoTypeFactors,8,FALSE),J516,C516)*VLOOKUP('Ammo Input'!B516,AmmoTypeFactors,2,FALSE)</f>
        <v>17.2088978015516</v>
      </c>
      <c r="E516" s="16">
        <f>IF(OR(VLOOKUP(B516,AmmoTypeFactors,6,FALSE)="Bomb",VLOOKUP(B516,AmmoTypeFactors,6,FALSE)="Thermobaric"),J516*VLOOKUP(B516,AmmoTypeFactors,4,FALSE),IF(VLOOKUP(B516,AmmoTypeFactors,11,FALSE),P516,C516*VLOOKUP(B516,AmmoTypeFactors,4,FALSE)))</f>
        <v>0</v>
      </c>
      <c r="F516" s="16">
        <f>'Ammo Stats'!G516/0.005</f>
        <v>539600</v>
      </c>
      <c r="G516" s="16">
        <f>(IF(B516="HEAT",10,'Ammo Input'!F516)*VLOOKUP(B516,AmmoTypeFactors,7,FALSE)*0.5)^2*PI()/100</f>
        <v>0.353091648668132</v>
      </c>
      <c r="H516" s="10">
        <f t="shared" si="15"/>
        <v>53.96</v>
      </c>
      <c r="I516" s="10">
        <f>IF(B516&lt;&gt;"Arrow (Flaming)",39493.49*'Ammo Input'!M516^0.6/1000,0)</f>
        <v>0</v>
      </c>
      <c r="J516">
        <f t="shared" si="16"/>
        <v>0</v>
      </c>
      <c r="K516">
        <f t="shared" si="17"/>
        <v>8</v>
      </c>
      <c r="L516">
        <f>200000/('Ammo Stats'!C516*(MAX('Ammo Input'!D516,'Ammo Input'!F516)*0.5)^2*PI())</f>
        <v>65891.1574574919</v>
      </c>
      <c r="M516">
        <f>IF(B516="Frag",1,('Ammo Input'!M516/1.33)/('Ammo Input'!H516/1000))</f>
        <v>0</v>
      </c>
      <c r="N516" t="s">
        <v>353</v>
      </c>
      <c r="O516" t="s">
        <v>353</v>
      </c>
      <c r="P516" s="3">
        <f>(39493.49*(IF((VLOOKUP(B516,AmmoTypeFactors,6,FALSE)="Bomb_Secondary"),1.33,1)*('Ammo Input'!H516*0.35)/1000)^0.6/1000)*10/3*VLOOKUP(B516,AmmoTypeFactors,4,FALSE)</f>
        <v>0</v>
      </c>
    </row>
    <row r="517" ht="14.4" spans="1:16">
      <c r="A517" t="str">
        <f>'Ammo Input'!A517</f>
        <v>6.5×50mmSR Arisaka</v>
      </c>
      <c r="B517" s="1" t="str">
        <f>'Ammo Input'!B517</f>
        <v>AP</v>
      </c>
      <c r="C517">
        <f>(0.579*('Ammo Stats'!G517*IF(OR(B517="HEAT",B517="HEDP"),10,'Ammo Input'!F517)*VLOOKUP(B517,AmmoTypeFactors,7,FALSE))^(0.346))^IF(B517="HEDP",2.1,1)/IF(B517="HEDP",50,1)</f>
        <v>13.5393145161883</v>
      </c>
      <c r="D517" s="16">
        <f>IF(VLOOKUP(B517,AmmoTypeFactors,8,FALSE),J517,C517)*VLOOKUP('Ammo Input'!B517,AmmoTypeFactors,2,FALSE)</f>
        <v>10.8314516129507</v>
      </c>
      <c r="E517" s="16">
        <f>IF(OR(VLOOKUP(B517,AmmoTypeFactors,6,FALSE)="Bomb",VLOOKUP(B517,AmmoTypeFactors,6,FALSE)="Thermobaric"),J517*VLOOKUP(B517,AmmoTypeFactors,4,FALSE),IF(VLOOKUP(B517,AmmoTypeFactors,11,FALSE),P517,C517*VLOOKUP(B517,AmmoTypeFactors,4,FALSE)))</f>
        <v>0</v>
      </c>
      <c r="F517" s="16">
        <f>'Ammo Stats'!G517/0.005</f>
        <v>539600</v>
      </c>
      <c r="G517" s="16">
        <f>(IF(B517="HEAT",10,'Ammo Input'!F517)*VLOOKUP(B517,AmmoTypeFactors,7,FALSE)*0.5)^2*PI()/100</f>
        <v>0.0882729121670329</v>
      </c>
      <c r="H517" s="10">
        <f t="shared" si="15"/>
        <v>53.96</v>
      </c>
      <c r="I517" s="10">
        <f>IF(B517&lt;&gt;"Arrow (Flaming)",39493.49*'Ammo Input'!M517^0.6/1000,0)</f>
        <v>0</v>
      </c>
      <c r="J517">
        <f t="shared" si="16"/>
        <v>0</v>
      </c>
      <c r="K517">
        <f t="shared" si="17"/>
        <v>8</v>
      </c>
      <c r="L517">
        <f>200000/('Ammo Stats'!C517*(MAX('Ammo Input'!D517,'Ammo Input'!F517)*0.5)^2*PI())</f>
        <v>65891.1574574919</v>
      </c>
      <c r="M517">
        <f>IF(B517="Frag",1,('Ammo Input'!M517/1.33)/('Ammo Input'!H517/1000))</f>
        <v>0</v>
      </c>
      <c r="N517" t="s">
        <v>353</v>
      </c>
      <c r="O517" t="s">
        <v>353</v>
      </c>
      <c r="P517" s="3">
        <f>(39493.49*(IF((VLOOKUP(B517,AmmoTypeFactors,6,FALSE)="Bomb_Secondary"),1.33,1)*('Ammo Input'!H517*0.35)/1000)^0.6/1000)*10/3*VLOOKUP(B517,AmmoTypeFactors,4,FALSE)</f>
        <v>0</v>
      </c>
    </row>
    <row r="518" ht="14.4" spans="1:16">
      <c r="A518" t="str">
        <f>'Ammo Input'!A518</f>
        <v>6.5×50mmSR Arisaka</v>
      </c>
      <c r="B518" s="1" t="str">
        <f>'Ammo Input'!B518</f>
        <v>HP</v>
      </c>
      <c r="C518">
        <f>(0.579*('Ammo Stats'!G518*IF(OR(B518="HEAT",B518="HEDP"),10,'Ammo Input'!F518)*VLOOKUP(B518,AmmoTypeFactors,7,FALSE))^(0.346))^IF(B518="HEDP",2.1,1)/IF(B518="HEDP",50,1)</f>
        <v>21.8730544437947</v>
      </c>
      <c r="D518" s="16">
        <f>IF(VLOOKUP(B518,AmmoTypeFactors,8,FALSE),J518,C518)*VLOOKUP('Ammo Input'!B518,AmmoTypeFactors,2,FALSE)</f>
        <v>21.8730544437947</v>
      </c>
      <c r="E518" s="16">
        <f>IF(OR(VLOOKUP(B518,AmmoTypeFactors,6,FALSE)="Bomb",VLOOKUP(B518,AmmoTypeFactors,6,FALSE)="Thermobaric"),J518*VLOOKUP(B518,AmmoTypeFactors,4,FALSE),IF(VLOOKUP(B518,AmmoTypeFactors,11,FALSE),P518,C518*VLOOKUP(B518,AmmoTypeFactors,4,FALSE)))</f>
        <v>0</v>
      </c>
      <c r="F518" s="16">
        <f>'Ammo Stats'!G518/0.005</f>
        <v>539600</v>
      </c>
      <c r="G518" s="16">
        <f>(IF(B518="HEAT",10,'Ammo Input'!F518)*VLOOKUP(B518,AmmoTypeFactors,7,FALSE)*0.5)^2*PI()/100</f>
        <v>1.41236659467253</v>
      </c>
      <c r="H518" s="10">
        <f t="shared" si="15"/>
        <v>53.96</v>
      </c>
      <c r="I518" s="10">
        <f>IF(B518&lt;&gt;"Arrow (Flaming)",39493.49*'Ammo Input'!M518^0.6/1000,0)</f>
        <v>0</v>
      </c>
      <c r="J518">
        <f t="shared" si="16"/>
        <v>0</v>
      </c>
      <c r="K518">
        <f t="shared" si="17"/>
        <v>8</v>
      </c>
      <c r="L518">
        <f>200000/('Ammo Stats'!C518*(MAX('Ammo Input'!D518,'Ammo Input'!F518)*0.5)^2*PI())</f>
        <v>65891.1574574919</v>
      </c>
      <c r="M518">
        <f>IF(B518="Frag",1,('Ammo Input'!M518/1.33)/('Ammo Input'!H518/1000))</f>
        <v>0</v>
      </c>
      <c r="N518" t="s">
        <v>353</v>
      </c>
      <c r="O518" t="s">
        <v>353</v>
      </c>
      <c r="P518" s="3">
        <f>(39493.49*(IF((VLOOKUP(B518,AmmoTypeFactors,6,FALSE)="Bomb_Secondary"),1.33,1)*('Ammo Input'!H518*0.35)/1000)^0.6/1000)*10/3*VLOOKUP(B518,AmmoTypeFactors,4,FALSE)</f>
        <v>0</v>
      </c>
    </row>
    <row r="519" ht="14.4" spans="1:16">
      <c r="A519" t="str">
        <f>'Ammo Input'!A519</f>
        <v>6.5×50mmSR Arisaka</v>
      </c>
      <c r="B519" s="1" t="str">
        <f>'Ammo Input'!B519</f>
        <v>AP-I</v>
      </c>
      <c r="C519">
        <f>(0.579*('Ammo Stats'!G519*IF(OR(B519="HEAT",B519="HEDP"),10,'Ammo Input'!F519)*VLOOKUP(B519,AmmoTypeFactors,7,FALSE))^(0.346))^IF(B519="HEDP",2.1,1)/IF(B519="HEDP",50,1)</f>
        <v>13.5393145161883</v>
      </c>
      <c r="D519" s="16">
        <f>IF(VLOOKUP(B519,AmmoTypeFactors,8,FALSE),J519,C519)*VLOOKUP('Ammo Input'!B519,AmmoTypeFactors,2,FALSE)</f>
        <v>10.8314516129507</v>
      </c>
      <c r="E519" s="16">
        <f>IF(OR(VLOOKUP(B519,AmmoTypeFactors,6,FALSE)="Bomb",VLOOKUP(B519,AmmoTypeFactors,6,FALSE)="Thermobaric"),J519*VLOOKUP(B519,AmmoTypeFactors,4,FALSE),IF(VLOOKUP(B519,AmmoTypeFactors,11,FALSE),P519,C519*VLOOKUP(B519,AmmoTypeFactors,4,FALSE)))</f>
        <v>5.43517176199316</v>
      </c>
      <c r="F519" s="16">
        <f>'Ammo Stats'!G519/0.005</f>
        <v>539600</v>
      </c>
      <c r="G519" s="16">
        <f>(IF(B519="HEAT",10,'Ammo Input'!F519)*VLOOKUP(B519,AmmoTypeFactors,7,FALSE)*0.5)^2*PI()/100</f>
        <v>0.0882729121670329</v>
      </c>
      <c r="H519" s="10">
        <f t="shared" si="15"/>
        <v>53.96</v>
      </c>
      <c r="I519" s="10">
        <f>IF(B519&lt;&gt;"Arrow (Flaming)",39493.49*'Ammo Input'!M519^0.6/1000,0)</f>
        <v>0</v>
      </c>
      <c r="J519">
        <f t="shared" si="16"/>
        <v>0</v>
      </c>
      <c r="K519">
        <f t="shared" si="17"/>
        <v>8</v>
      </c>
      <c r="L519">
        <f>200000/('Ammo Stats'!C519*(MAX('Ammo Input'!D519,'Ammo Input'!F519)*0.5)^2*PI())</f>
        <v>65891.1574574919</v>
      </c>
      <c r="M519">
        <f>IF(B519="Frag",1,('Ammo Input'!M519/1.33)/('Ammo Input'!H519/1000))</f>
        <v>0</v>
      </c>
      <c r="N519" t="s">
        <v>353</v>
      </c>
      <c r="O519" t="s">
        <v>353</v>
      </c>
      <c r="P519" s="3">
        <f>(39493.49*(IF((VLOOKUP(B519,AmmoTypeFactors,6,FALSE)="Bomb_Secondary"),1.33,1)*('Ammo Input'!H519*0.35)/1000)^0.6/1000)*10/3*VLOOKUP(B519,AmmoTypeFactors,4,FALSE)</f>
        <v>5.43517176199316</v>
      </c>
    </row>
    <row r="520" ht="14.4" spans="1:16">
      <c r="A520" t="str">
        <f>'Ammo Input'!A520</f>
        <v>6.5×50mmSR Arisaka</v>
      </c>
      <c r="B520" s="1" t="str">
        <f>'Ammo Input'!B520</f>
        <v>AP-HE</v>
      </c>
      <c r="C520">
        <f>(0.579*('Ammo Stats'!G520*IF(OR(B520="HEAT",B520="HEDP"),10,'Ammo Input'!F520)*VLOOKUP(B520,AmmoTypeFactors,7,FALSE))^(0.346))^IF(B520="HEDP",2.1,1)/IF(B520="HEDP",50,1)</f>
        <v>17.2088978015516</v>
      </c>
      <c r="D520" s="16">
        <f>IF(VLOOKUP(B520,AmmoTypeFactors,8,FALSE),J520,C520)*VLOOKUP('Ammo Input'!B520,AmmoTypeFactors,2,FALSE)</f>
        <v>17.2088978015516</v>
      </c>
      <c r="E520" s="16">
        <f>IF(OR(VLOOKUP(B520,AmmoTypeFactors,6,FALSE)="Bomb",VLOOKUP(B520,AmmoTypeFactors,6,FALSE)="Thermobaric"),J520*VLOOKUP(B520,AmmoTypeFactors,4,FALSE),IF(VLOOKUP(B520,AmmoTypeFactors,11,FALSE),P520,C520*VLOOKUP(B520,AmmoTypeFactors,4,FALSE)))</f>
        <v>7.44170010886886</v>
      </c>
      <c r="F520" s="16">
        <f>'Ammo Stats'!G520/0.005</f>
        <v>539600</v>
      </c>
      <c r="G520" s="16">
        <f>(IF(B520="HEAT",10,'Ammo Input'!F520)*VLOOKUP(B520,AmmoTypeFactors,7,FALSE)*0.5)^2*PI()/100</f>
        <v>0.353091648668132</v>
      </c>
      <c r="H520" s="10">
        <f t="shared" si="15"/>
        <v>53.96</v>
      </c>
      <c r="I520" s="10">
        <f>IF(B520&lt;&gt;"Arrow (Flaming)",39493.49*'Ammo Input'!M520^0.6/1000,0)</f>
        <v>0</v>
      </c>
      <c r="J520">
        <f t="shared" si="16"/>
        <v>0</v>
      </c>
      <c r="K520">
        <f t="shared" si="17"/>
        <v>8</v>
      </c>
      <c r="L520">
        <f>200000/('Ammo Stats'!C520*(MAX('Ammo Input'!D520,'Ammo Input'!F520)*0.5)^2*PI())</f>
        <v>65891.1574574919</v>
      </c>
      <c r="M520">
        <f>IF(B520="Frag",1,('Ammo Input'!M520/1.33)/('Ammo Input'!H520/1000))</f>
        <v>0</v>
      </c>
      <c r="N520" t="s">
        <v>353</v>
      </c>
      <c r="O520" t="s">
        <v>353</v>
      </c>
      <c r="P520" s="3">
        <f>(39493.49*(IF((VLOOKUP(B520,AmmoTypeFactors,6,FALSE)="Bomb_Secondary"),1.33,1)*('Ammo Input'!H520*0.35)/1000)^0.6/1000)*10/3*VLOOKUP(B520,AmmoTypeFactors,4,FALSE)</f>
        <v>7.44170010886886</v>
      </c>
    </row>
    <row r="521" ht="14.4" spans="1:16">
      <c r="A521" t="str">
        <f>'Ammo Input'!A521</f>
        <v>6.5×50mmSR Arisaka</v>
      </c>
      <c r="B521" s="1" t="str">
        <f>'Ammo Input'!B521</f>
        <v>Sabot</v>
      </c>
      <c r="C521">
        <f>(0.579*('Ammo Stats'!G521*IF(OR(B521="HEAT",B521="HEDP"),10,'Ammo Input'!F521)*VLOOKUP(B521,AmmoTypeFactors,7,FALSE))^(0.346))^IF(B521="HEDP",2.1,1)/IF(B521="HEDP",50,1)</f>
        <v>13.0423290439164</v>
      </c>
      <c r="D521" s="16">
        <f>IF(VLOOKUP(B521,AmmoTypeFactors,8,FALSE),J521,C521)*VLOOKUP('Ammo Input'!B521,AmmoTypeFactors,2,FALSE)</f>
        <v>9.12963033074149</v>
      </c>
      <c r="E521" s="16">
        <f>IF(OR(VLOOKUP(B521,AmmoTypeFactors,6,FALSE)="Bomb",VLOOKUP(B521,AmmoTypeFactors,6,FALSE)="Thermobaric"),J521*VLOOKUP(B521,AmmoTypeFactors,4,FALSE),IF(VLOOKUP(B521,AmmoTypeFactors,11,FALSE),P521,C521*VLOOKUP(B521,AmmoTypeFactors,4,FALSE)))</f>
        <v>0</v>
      </c>
      <c r="F521" s="16">
        <f>'Ammo Stats'!G521/0.005</f>
        <v>692400</v>
      </c>
      <c r="G521" s="16">
        <f>(IF(B521="HEAT",10,'Ammo Input'!F521)*VLOOKUP(B521,AmmoTypeFactors,7,FALSE)*0.5)^2*PI()/100</f>
        <v>0.0431892413547665</v>
      </c>
      <c r="H521" s="10">
        <f t="shared" si="15"/>
        <v>69.24</v>
      </c>
      <c r="I521" s="10">
        <f>IF(B521&lt;&gt;"Arrow (Flaming)",39493.49*'Ammo Input'!M521^0.6/1000,0)</f>
        <v>0</v>
      </c>
      <c r="J521">
        <f t="shared" si="16"/>
        <v>0</v>
      </c>
      <c r="K521">
        <f t="shared" si="17"/>
        <v>9</v>
      </c>
      <c r="L521">
        <f>200000/('Ammo Stats'!C521*(MAX('Ammo Input'!D521,'Ammo Input'!F521)*0.5)^2*PI())</f>
        <v>65891.1574574919</v>
      </c>
      <c r="M521">
        <f>IF(B521="Frag",1,('Ammo Input'!M521/1.33)/('Ammo Input'!H521/1000))</f>
        <v>0</v>
      </c>
      <c r="N521" t="s">
        <v>353</v>
      </c>
      <c r="O521" t="s">
        <v>353</v>
      </c>
      <c r="P521" s="3">
        <f>(39493.49*(IF((VLOOKUP(B521,AmmoTypeFactors,6,FALSE)="Bomb_Secondary"),1.33,1)*('Ammo Input'!H521*0.35)/1000)^0.6/1000)*10/3*VLOOKUP(B521,AmmoTypeFactors,4,FALSE)</f>
        <v>0</v>
      </c>
    </row>
    <row r="522" ht="14.4" spans="1:16">
      <c r="A522" t="str">
        <f>'Ammo Input'!A522</f>
        <v>6.5×52mm Carcano</v>
      </c>
      <c r="B522" s="1" t="str">
        <f>'Ammo Input'!B522</f>
        <v>FMJ</v>
      </c>
      <c r="C522">
        <f>(0.579*('Ammo Stats'!G522*IF(OR(B522="HEAT",B522="HEDP"),10,'Ammo Input'!F522)*VLOOKUP(B522,AmmoTypeFactors,7,FALSE))^(0.346))^IF(B522="HEDP",2.1,1)/IF(B522="HEDP",50,1)</f>
        <v>16.9853464313519</v>
      </c>
      <c r="D522" s="16">
        <f>IF(VLOOKUP(B522,AmmoTypeFactors,8,FALSE),J522,C522)*VLOOKUP('Ammo Input'!B522,AmmoTypeFactors,2,FALSE)</f>
        <v>16.9853464313519</v>
      </c>
      <c r="E522" s="16">
        <f>IF(OR(VLOOKUP(B522,AmmoTypeFactors,6,FALSE)="Bomb",VLOOKUP(B522,AmmoTypeFactors,6,FALSE)="Thermobaric"),J522*VLOOKUP(B522,AmmoTypeFactors,4,FALSE),IF(VLOOKUP(B522,AmmoTypeFactors,11,FALSE),P522,C522*VLOOKUP(B522,AmmoTypeFactors,4,FALSE)))</f>
        <v>0</v>
      </c>
      <c r="F522" s="16">
        <f>'Ammo Stats'!G522/0.005</f>
        <v>514600</v>
      </c>
      <c r="G522" s="16">
        <f>(IF(B522="HEAT",10,'Ammo Input'!F522)*VLOOKUP(B522,AmmoTypeFactors,7,FALSE)*0.5)^2*PI()/100</f>
        <v>0.359970754831789</v>
      </c>
      <c r="H522" s="10">
        <f t="shared" si="15"/>
        <v>51.46</v>
      </c>
      <c r="I522" s="10">
        <f>IF(B522&lt;&gt;"Arrow (Flaming)",39493.49*'Ammo Input'!M522^0.6/1000,0)</f>
        <v>0</v>
      </c>
      <c r="J522">
        <f t="shared" si="16"/>
        <v>0</v>
      </c>
      <c r="K522">
        <f t="shared" si="17"/>
        <v>8</v>
      </c>
      <c r="L522">
        <f>200000/('Ammo Stats'!C522*(MAX('Ammo Input'!D522,'Ammo Input'!F522)*0.5)^2*PI())</f>
        <v>65085.860609308</v>
      </c>
      <c r="M522">
        <f>IF(B522="Frag",1,('Ammo Input'!M522/1.33)/('Ammo Input'!H522/1000))</f>
        <v>0</v>
      </c>
      <c r="N522" t="s">
        <v>353</v>
      </c>
      <c r="O522" t="s">
        <v>353</v>
      </c>
      <c r="P522" s="3">
        <f>(39493.49*(IF((VLOOKUP(B522,AmmoTypeFactors,6,FALSE)="Bomb_Secondary"),1.33,1)*('Ammo Input'!H522*0.35)/1000)^0.6/1000)*10/3*VLOOKUP(B522,AmmoTypeFactors,4,FALSE)</f>
        <v>0</v>
      </c>
    </row>
    <row r="523" ht="14.4" spans="1:16">
      <c r="A523" t="str">
        <f>'Ammo Input'!A523</f>
        <v>6.5×52mm Carcano</v>
      </c>
      <c r="B523" s="1" t="str">
        <f>'Ammo Input'!B523</f>
        <v>AP</v>
      </c>
      <c r="C523">
        <f>(0.579*('Ammo Stats'!G523*IF(OR(B523="HEAT",B523="HEDP"),10,'Ammo Input'!F523)*VLOOKUP(B523,AmmoTypeFactors,7,FALSE))^(0.346))^IF(B523="HEDP",2.1,1)/IF(B523="HEDP",50,1)</f>
        <v>13.3634326935079</v>
      </c>
      <c r="D523" s="16">
        <f>IF(VLOOKUP(B523,AmmoTypeFactors,8,FALSE),J523,C523)*VLOOKUP('Ammo Input'!B523,AmmoTypeFactors,2,FALSE)</f>
        <v>10.6907461548063</v>
      </c>
      <c r="E523" s="16">
        <f>IF(OR(VLOOKUP(B523,AmmoTypeFactors,6,FALSE)="Bomb",VLOOKUP(B523,AmmoTypeFactors,6,FALSE)="Thermobaric"),J523*VLOOKUP(B523,AmmoTypeFactors,4,FALSE),IF(VLOOKUP(B523,AmmoTypeFactors,11,FALSE),P523,C523*VLOOKUP(B523,AmmoTypeFactors,4,FALSE)))</f>
        <v>0</v>
      </c>
      <c r="F523" s="16">
        <f>'Ammo Stats'!G523/0.005</f>
        <v>514600</v>
      </c>
      <c r="G523" s="16">
        <f>(IF(B523="HEAT",10,'Ammo Input'!F523)*VLOOKUP(B523,AmmoTypeFactors,7,FALSE)*0.5)^2*PI()/100</f>
        <v>0.0899926887079473</v>
      </c>
      <c r="H523" s="10">
        <f t="shared" si="15"/>
        <v>51.46</v>
      </c>
      <c r="I523" s="10">
        <f>IF(B523&lt;&gt;"Arrow (Flaming)",39493.49*'Ammo Input'!M523^0.6/1000,0)</f>
        <v>0</v>
      </c>
      <c r="J523">
        <f t="shared" si="16"/>
        <v>0</v>
      </c>
      <c r="K523">
        <f t="shared" si="17"/>
        <v>8</v>
      </c>
      <c r="L523">
        <f>200000/('Ammo Stats'!C523*(MAX('Ammo Input'!D523,'Ammo Input'!F523)*0.5)^2*PI())</f>
        <v>65085.860609308</v>
      </c>
      <c r="M523">
        <f>IF(B523="Frag",1,('Ammo Input'!M523/1.33)/('Ammo Input'!H523/1000))</f>
        <v>0</v>
      </c>
      <c r="N523" t="s">
        <v>353</v>
      </c>
      <c r="O523" t="s">
        <v>353</v>
      </c>
      <c r="P523" s="3">
        <f>(39493.49*(IF((VLOOKUP(B523,AmmoTypeFactors,6,FALSE)="Bomb_Secondary"),1.33,1)*('Ammo Input'!H523*0.35)/1000)^0.6/1000)*10/3*VLOOKUP(B523,AmmoTypeFactors,4,FALSE)</f>
        <v>0</v>
      </c>
    </row>
    <row r="524" ht="14.4" spans="1:16">
      <c r="A524" t="str">
        <f>'Ammo Input'!A524</f>
        <v>6.5×52mm Carcano</v>
      </c>
      <c r="B524" s="1" t="str">
        <f>'Ammo Input'!B524</f>
        <v>HP</v>
      </c>
      <c r="C524">
        <f>(0.579*('Ammo Stats'!G524*IF(OR(B524="HEAT",B524="HEDP"),10,'Ammo Input'!F524)*VLOOKUP(B524,AmmoTypeFactors,7,FALSE))^(0.346))^IF(B524="HEDP",2.1,1)/IF(B524="HEDP",50,1)</f>
        <v>21.5889135680832</v>
      </c>
      <c r="D524" s="16">
        <f>IF(VLOOKUP(B524,AmmoTypeFactors,8,FALSE),J524,C524)*VLOOKUP('Ammo Input'!B524,AmmoTypeFactors,2,FALSE)</f>
        <v>21.5889135680832</v>
      </c>
      <c r="E524" s="16">
        <f>IF(OR(VLOOKUP(B524,AmmoTypeFactors,6,FALSE)="Bomb",VLOOKUP(B524,AmmoTypeFactors,6,FALSE)="Thermobaric"),J524*VLOOKUP(B524,AmmoTypeFactors,4,FALSE),IF(VLOOKUP(B524,AmmoTypeFactors,11,FALSE),P524,C524*VLOOKUP(B524,AmmoTypeFactors,4,FALSE)))</f>
        <v>0</v>
      </c>
      <c r="F524" s="16">
        <f>'Ammo Stats'!G524/0.005</f>
        <v>514600</v>
      </c>
      <c r="G524" s="16">
        <f>(IF(B524="HEAT",10,'Ammo Input'!F524)*VLOOKUP(B524,AmmoTypeFactors,7,FALSE)*0.5)^2*PI()/100</f>
        <v>1.43988301932716</v>
      </c>
      <c r="H524" s="10">
        <f t="shared" si="15"/>
        <v>51.46</v>
      </c>
      <c r="I524" s="10">
        <f>IF(B524&lt;&gt;"Arrow (Flaming)",39493.49*'Ammo Input'!M524^0.6/1000,0)</f>
        <v>0</v>
      </c>
      <c r="J524">
        <f t="shared" si="16"/>
        <v>0</v>
      </c>
      <c r="K524">
        <f t="shared" si="17"/>
        <v>8</v>
      </c>
      <c r="L524">
        <f>200000/('Ammo Stats'!C524*(MAX('Ammo Input'!D524,'Ammo Input'!F524)*0.5)^2*PI())</f>
        <v>65085.860609308</v>
      </c>
      <c r="M524">
        <f>IF(B524="Frag",1,('Ammo Input'!M524/1.33)/('Ammo Input'!H524/1000))</f>
        <v>0</v>
      </c>
      <c r="N524" t="s">
        <v>353</v>
      </c>
      <c r="O524" t="s">
        <v>353</v>
      </c>
      <c r="P524" s="3">
        <f>(39493.49*(IF((VLOOKUP(B524,AmmoTypeFactors,6,FALSE)="Bomb_Secondary"),1.33,1)*('Ammo Input'!H524*0.35)/1000)^0.6/1000)*10/3*VLOOKUP(B524,AmmoTypeFactors,4,FALSE)</f>
        <v>0</v>
      </c>
    </row>
    <row r="525" ht="14.4" spans="1:16">
      <c r="A525" t="str">
        <f>'Ammo Input'!A525</f>
        <v>6.5×52mm Carcano</v>
      </c>
      <c r="B525" s="1" t="str">
        <f>'Ammo Input'!B525</f>
        <v>AP-I</v>
      </c>
      <c r="C525">
        <f>(0.579*('Ammo Stats'!G525*IF(OR(B525="HEAT",B525="HEDP"),10,'Ammo Input'!F525)*VLOOKUP(B525,AmmoTypeFactors,7,FALSE))^(0.346))^IF(B525="HEDP",2.1,1)/IF(B525="HEDP",50,1)</f>
        <v>13.3634326935079</v>
      </c>
      <c r="D525" s="16">
        <f>IF(VLOOKUP(B525,AmmoTypeFactors,8,FALSE),J525,C525)*VLOOKUP('Ammo Input'!B525,AmmoTypeFactors,2,FALSE)</f>
        <v>10.6907461548063</v>
      </c>
      <c r="E525" s="16">
        <f>IF(OR(VLOOKUP(B525,AmmoTypeFactors,6,FALSE)="Bomb",VLOOKUP(B525,AmmoTypeFactors,6,FALSE)="Thermobaric"),J525*VLOOKUP(B525,AmmoTypeFactors,4,FALSE),IF(VLOOKUP(B525,AmmoTypeFactors,11,FALSE),P525,C525*VLOOKUP(B525,AmmoTypeFactors,4,FALSE)))</f>
        <v>5.92245837770483</v>
      </c>
      <c r="F525" s="16">
        <f>'Ammo Stats'!G525/0.005</f>
        <v>514600</v>
      </c>
      <c r="G525" s="16">
        <f>(IF(B525="HEAT",10,'Ammo Input'!F525)*VLOOKUP(B525,AmmoTypeFactors,7,FALSE)*0.5)^2*PI()/100</f>
        <v>0.0899926887079473</v>
      </c>
      <c r="H525" s="10">
        <f t="shared" si="15"/>
        <v>51.46</v>
      </c>
      <c r="I525" s="10">
        <f>IF(B525&lt;&gt;"Arrow (Flaming)",39493.49*'Ammo Input'!M525^0.6/1000,0)</f>
        <v>0</v>
      </c>
      <c r="J525">
        <f t="shared" si="16"/>
        <v>0</v>
      </c>
      <c r="K525">
        <f t="shared" si="17"/>
        <v>8</v>
      </c>
      <c r="L525">
        <f>200000/('Ammo Stats'!C525*(MAX('Ammo Input'!D525,'Ammo Input'!F525)*0.5)^2*PI())</f>
        <v>65085.860609308</v>
      </c>
      <c r="M525">
        <f>IF(B525="Frag",1,('Ammo Input'!M525/1.33)/('Ammo Input'!H525/1000))</f>
        <v>0</v>
      </c>
      <c r="N525" t="s">
        <v>353</v>
      </c>
      <c r="O525" t="s">
        <v>353</v>
      </c>
      <c r="P525" s="3">
        <f>(39493.49*(IF((VLOOKUP(B525,AmmoTypeFactors,6,FALSE)="Bomb_Secondary"),1.33,1)*('Ammo Input'!H525*0.35)/1000)^0.6/1000)*10/3*VLOOKUP(B525,AmmoTypeFactors,4,FALSE)</f>
        <v>5.92245837770483</v>
      </c>
    </row>
    <row r="526" ht="14.4" spans="1:16">
      <c r="A526" t="str">
        <f>'Ammo Input'!A526</f>
        <v>6.5×52mm Carcano</v>
      </c>
      <c r="B526" s="1" t="str">
        <f>'Ammo Input'!B526</f>
        <v>AP-HE</v>
      </c>
      <c r="C526">
        <f>(0.579*('Ammo Stats'!G526*IF(OR(B526="HEAT",B526="HEDP"),10,'Ammo Input'!F526)*VLOOKUP(B526,AmmoTypeFactors,7,FALSE))^(0.346))^IF(B526="HEDP",2.1,1)/IF(B526="HEDP",50,1)</f>
        <v>16.9853464313519</v>
      </c>
      <c r="D526" s="16">
        <f>IF(VLOOKUP(B526,AmmoTypeFactors,8,FALSE),J526,C526)*VLOOKUP('Ammo Input'!B526,AmmoTypeFactors,2,FALSE)</f>
        <v>16.9853464313519</v>
      </c>
      <c r="E526" s="16">
        <f>IF(OR(VLOOKUP(B526,AmmoTypeFactors,6,FALSE)="Bomb",VLOOKUP(B526,AmmoTypeFactors,6,FALSE)="Thermobaric"),J526*VLOOKUP(B526,AmmoTypeFactors,4,FALSE),IF(VLOOKUP(B526,AmmoTypeFactors,11,FALSE),P526,C526*VLOOKUP(B526,AmmoTypeFactors,4,FALSE)))</f>
        <v>8.10888065439446</v>
      </c>
      <c r="F526" s="16">
        <f>'Ammo Stats'!G526/0.005</f>
        <v>514600</v>
      </c>
      <c r="G526" s="16">
        <f>(IF(B526="HEAT",10,'Ammo Input'!F526)*VLOOKUP(B526,AmmoTypeFactors,7,FALSE)*0.5)^2*PI()/100</f>
        <v>0.359970754831789</v>
      </c>
      <c r="H526" s="10">
        <f t="shared" si="15"/>
        <v>51.46</v>
      </c>
      <c r="I526" s="10">
        <f>IF(B526&lt;&gt;"Arrow (Flaming)",39493.49*'Ammo Input'!M526^0.6/1000,0)</f>
        <v>0</v>
      </c>
      <c r="J526">
        <f t="shared" si="16"/>
        <v>0</v>
      </c>
      <c r="K526">
        <f t="shared" si="17"/>
        <v>8</v>
      </c>
      <c r="L526">
        <f>200000/('Ammo Stats'!C526*(MAX('Ammo Input'!D526,'Ammo Input'!F526)*0.5)^2*PI())</f>
        <v>65085.860609308</v>
      </c>
      <c r="M526">
        <f>IF(B526="Frag",1,('Ammo Input'!M526/1.33)/('Ammo Input'!H526/1000))</f>
        <v>0</v>
      </c>
      <c r="N526" t="s">
        <v>353</v>
      </c>
      <c r="O526" t="s">
        <v>353</v>
      </c>
      <c r="P526" s="3">
        <f>(39493.49*(IF((VLOOKUP(B526,AmmoTypeFactors,6,FALSE)="Bomb_Secondary"),1.33,1)*('Ammo Input'!H526*0.35)/1000)^0.6/1000)*10/3*VLOOKUP(B526,AmmoTypeFactors,4,FALSE)</f>
        <v>8.10888065439446</v>
      </c>
    </row>
    <row r="527" ht="14.4" spans="1:16">
      <c r="A527" t="str">
        <f>'Ammo Input'!A527</f>
        <v>6.5×52mm Carcano</v>
      </c>
      <c r="B527" s="1" t="str">
        <f>'Ammo Input'!B527</f>
        <v>Sabot</v>
      </c>
      <c r="C527">
        <f>(0.579*('Ammo Stats'!G527*IF(OR(B527="HEAT",B527="HEDP"),10,'Ammo Input'!F527)*VLOOKUP(B527,AmmoTypeFactors,7,FALSE))^(0.346))^IF(B527="HEDP",2.1,1)/IF(B527="HEDP",50,1)</f>
        <v>12.8682949234859</v>
      </c>
      <c r="D527" s="16">
        <f>IF(VLOOKUP(B527,AmmoTypeFactors,8,FALSE),J527,C527)*VLOOKUP('Ammo Input'!B527,AmmoTypeFactors,2,FALSE)</f>
        <v>9.00780644644016</v>
      </c>
      <c r="E527" s="16">
        <f>IF(OR(VLOOKUP(B527,AmmoTypeFactors,6,FALSE)="Bomb",VLOOKUP(B527,AmmoTypeFactors,6,FALSE)="Thermobaric"),J527*VLOOKUP(B527,AmmoTypeFactors,4,FALSE),IF(VLOOKUP(B527,AmmoTypeFactors,11,FALSE),P527,C527*VLOOKUP(B527,AmmoTypeFactors,4,FALSE)))</f>
        <v>0</v>
      </c>
      <c r="F527" s="16">
        <f>'Ammo Stats'!G527/0.005</f>
        <v>660400</v>
      </c>
      <c r="G527" s="16">
        <f>(IF(B527="HEAT",10,'Ammo Input'!F527)*VLOOKUP(B527,AmmoTypeFactors,7,FALSE)*0.5)^2*PI()/100</f>
        <v>0.0439290864246869</v>
      </c>
      <c r="H527" s="10">
        <f t="shared" si="15"/>
        <v>66.04</v>
      </c>
      <c r="I527" s="10">
        <f>IF(B527&lt;&gt;"Arrow (Flaming)",39493.49*'Ammo Input'!M527^0.6/1000,0)</f>
        <v>0</v>
      </c>
      <c r="J527">
        <f t="shared" si="16"/>
        <v>0</v>
      </c>
      <c r="K527">
        <f t="shared" si="17"/>
        <v>9</v>
      </c>
      <c r="L527">
        <f>200000/('Ammo Stats'!C527*(MAX('Ammo Input'!D527,'Ammo Input'!F527)*0.5)^2*PI())</f>
        <v>65085.860609308</v>
      </c>
      <c r="M527">
        <f>IF(B527="Frag",1,('Ammo Input'!M527/1.33)/('Ammo Input'!H527/1000))</f>
        <v>0</v>
      </c>
      <c r="N527" t="s">
        <v>353</v>
      </c>
      <c r="O527" t="s">
        <v>353</v>
      </c>
      <c r="P527" s="3">
        <f>(39493.49*(IF((VLOOKUP(B527,AmmoTypeFactors,6,FALSE)="Bomb_Secondary"),1.33,1)*('Ammo Input'!H527*0.35)/1000)^0.6/1000)*10/3*VLOOKUP(B527,AmmoTypeFactors,4,FALSE)</f>
        <v>0</v>
      </c>
    </row>
    <row r="528" ht="14.4" spans="1:16">
      <c r="A528" t="str">
        <f>'Ammo Input'!A528</f>
        <v>7.92x57mm Mauser</v>
      </c>
      <c r="B528" s="1" t="str">
        <f>'Ammo Input'!B528</f>
        <v>FMJ</v>
      </c>
      <c r="C528">
        <f>(0.579*('Ammo Stats'!G528*IF(OR(B528="HEAT",B528="HEDP"),10,'Ammo Input'!F528)*VLOOKUP(B528,AmmoTypeFactors,7,FALSE))^(0.346))^IF(B528="HEDP",2.1,1)/IF(B528="HEDP",50,1)</f>
        <v>21.0395719391429</v>
      </c>
      <c r="D528" s="16">
        <f>IF(VLOOKUP(B528,AmmoTypeFactors,8,FALSE),J528,C528)*VLOOKUP('Ammo Input'!B528,AmmoTypeFactors,2,FALSE)</f>
        <v>21.0395719391429</v>
      </c>
      <c r="E528" s="16">
        <f>IF(OR(VLOOKUP(B528,AmmoTypeFactors,6,FALSE)="Bomb",VLOOKUP(B528,AmmoTypeFactors,6,FALSE)="Thermobaric"),J528*VLOOKUP(B528,AmmoTypeFactors,4,FALSE),IF(VLOOKUP(B528,AmmoTypeFactors,11,FALSE),P528,C528*VLOOKUP(B528,AmmoTypeFactors,4,FALSE)))</f>
        <v>0</v>
      </c>
      <c r="F528" s="16">
        <f>'Ammo Stats'!G528/0.005</f>
        <v>786800</v>
      </c>
      <c r="G528" s="16">
        <f>(IF(B528="HEAT",10,'Ammo Input'!F528)*VLOOKUP(B528,AmmoTypeFactors,7,FALSE)*0.5)^2*PI()/100</f>
        <v>0.530680972637042</v>
      </c>
      <c r="H528" s="10">
        <f t="shared" si="15"/>
        <v>78.68</v>
      </c>
      <c r="I528" s="10">
        <f>IF(B528&lt;&gt;"Arrow (Flaming)",39493.49*'Ammo Input'!M528^0.6/1000,0)</f>
        <v>0</v>
      </c>
      <c r="J528">
        <f t="shared" si="16"/>
        <v>0</v>
      </c>
      <c r="K528">
        <f t="shared" si="17"/>
        <v>9</v>
      </c>
      <c r="L528">
        <f>200000/('Ammo Stats'!C528*(MAX('Ammo Input'!D528,'Ammo Input'!F528)*0.5)^2*PI())</f>
        <v>59540.1886005106</v>
      </c>
      <c r="M528">
        <f>IF(B528="Frag",1,('Ammo Input'!M528/1.33)/('Ammo Input'!H528/1000))</f>
        <v>0</v>
      </c>
      <c r="N528" t="s">
        <v>353</v>
      </c>
      <c r="O528" t="s">
        <v>353</v>
      </c>
      <c r="P528" s="3">
        <f>(39493.49*(IF((VLOOKUP(B528,AmmoTypeFactors,6,FALSE)="Bomb_Secondary"),1.33,1)*('Ammo Input'!H528*0.35)/1000)^0.6/1000)*10/3*VLOOKUP(B528,AmmoTypeFactors,4,FALSE)</f>
        <v>0</v>
      </c>
    </row>
    <row r="529" ht="14.4" spans="1:16">
      <c r="A529" t="str">
        <f>'Ammo Input'!A529</f>
        <v>7.92x57mm Mauser</v>
      </c>
      <c r="B529" s="1" t="str">
        <f>'Ammo Input'!B529</f>
        <v>AP</v>
      </c>
      <c r="C529">
        <f>(0.579*('Ammo Stats'!G529*IF(OR(B529="HEAT",B529="HEDP"),10,'Ammo Input'!F529)*VLOOKUP(B529,AmmoTypeFactors,7,FALSE))^(0.346))^IF(B529="HEDP",2.1,1)/IF(B529="HEDP",50,1)</f>
        <v>16.5531450680323</v>
      </c>
      <c r="D529" s="16">
        <f>IF(VLOOKUP(B529,AmmoTypeFactors,8,FALSE),J529,C529)*VLOOKUP('Ammo Input'!B529,AmmoTypeFactors,2,FALSE)</f>
        <v>13.2425160544258</v>
      </c>
      <c r="E529" s="16">
        <f>IF(OR(VLOOKUP(B529,AmmoTypeFactors,6,FALSE)="Bomb",VLOOKUP(B529,AmmoTypeFactors,6,FALSE)="Thermobaric"),J529*VLOOKUP(B529,AmmoTypeFactors,4,FALSE),IF(VLOOKUP(B529,AmmoTypeFactors,11,FALSE),P529,C529*VLOOKUP(B529,AmmoTypeFactors,4,FALSE)))</f>
        <v>0</v>
      </c>
      <c r="F529" s="16">
        <f>'Ammo Stats'!G529/0.005</f>
        <v>786800</v>
      </c>
      <c r="G529" s="16">
        <f>(IF(B529="HEAT",10,'Ammo Input'!F529)*VLOOKUP(B529,AmmoTypeFactors,7,FALSE)*0.5)^2*PI()/100</f>
        <v>0.13267024315926</v>
      </c>
      <c r="H529" s="10">
        <f t="shared" si="15"/>
        <v>78.68</v>
      </c>
      <c r="I529" s="10">
        <f>IF(B529&lt;&gt;"Arrow (Flaming)",39493.49*'Ammo Input'!M529^0.6/1000,0)</f>
        <v>0</v>
      </c>
      <c r="J529">
        <f t="shared" si="16"/>
        <v>0</v>
      </c>
      <c r="K529">
        <f t="shared" si="17"/>
        <v>9</v>
      </c>
      <c r="L529">
        <f>200000/('Ammo Stats'!C529*(MAX('Ammo Input'!D529,'Ammo Input'!F529)*0.5)^2*PI())</f>
        <v>59540.1886005106</v>
      </c>
      <c r="M529">
        <f>IF(B529="Frag",1,('Ammo Input'!M529/1.33)/('Ammo Input'!H529/1000))</f>
        <v>0</v>
      </c>
      <c r="N529" t="s">
        <v>353</v>
      </c>
      <c r="O529" t="s">
        <v>353</v>
      </c>
      <c r="P529" s="3">
        <f>(39493.49*(IF((VLOOKUP(B529,AmmoTypeFactors,6,FALSE)="Bomb_Secondary"),1.33,1)*('Ammo Input'!H529*0.35)/1000)^0.6/1000)*10/3*VLOOKUP(B529,AmmoTypeFactors,4,FALSE)</f>
        <v>0</v>
      </c>
    </row>
    <row r="530" ht="14.4" spans="1:16">
      <c r="A530" t="str">
        <f>'Ammo Input'!A530</f>
        <v>7.92x57mm Mauser</v>
      </c>
      <c r="B530" s="1" t="str">
        <f>'Ammo Input'!B530</f>
        <v>HP</v>
      </c>
      <c r="C530">
        <f>(0.579*('Ammo Stats'!G530*IF(OR(B530="HEAT",B530="HEDP"),10,'Ammo Input'!F530)*VLOOKUP(B530,AmmoTypeFactors,7,FALSE))^(0.346))^IF(B530="HEDP",2.1,1)/IF(B530="HEDP",50,1)</f>
        <v>26.7419626640768</v>
      </c>
      <c r="D530" s="16">
        <f>IF(VLOOKUP(B530,AmmoTypeFactors,8,FALSE),J530,C530)*VLOOKUP('Ammo Input'!B530,AmmoTypeFactors,2,FALSE)</f>
        <v>26.7419626640768</v>
      </c>
      <c r="E530" s="16">
        <f>IF(OR(VLOOKUP(B530,AmmoTypeFactors,6,FALSE)="Bomb",VLOOKUP(B530,AmmoTypeFactors,6,FALSE)="Thermobaric"),J530*VLOOKUP(B530,AmmoTypeFactors,4,FALSE),IF(VLOOKUP(B530,AmmoTypeFactors,11,FALSE),P530,C530*VLOOKUP(B530,AmmoTypeFactors,4,FALSE)))</f>
        <v>0</v>
      </c>
      <c r="F530" s="16">
        <f>'Ammo Stats'!G530/0.005</f>
        <v>786800</v>
      </c>
      <c r="G530" s="16">
        <f>(IF(B530="HEAT",10,'Ammo Input'!F530)*VLOOKUP(B530,AmmoTypeFactors,7,FALSE)*0.5)^2*PI()/100</f>
        <v>2.12272389054817</v>
      </c>
      <c r="H530" s="10">
        <f t="shared" si="15"/>
        <v>78.68</v>
      </c>
      <c r="I530" s="10">
        <f>IF(B530&lt;&gt;"Arrow (Flaming)",39493.49*'Ammo Input'!M530^0.6/1000,0)</f>
        <v>0</v>
      </c>
      <c r="J530">
        <f t="shared" si="16"/>
        <v>0</v>
      </c>
      <c r="K530">
        <f t="shared" si="17"/>
        <v>9</v>
      </c>
      <c r="L530">
        <f>200000/('Ammo Stats'!C530*(MAX('Ammo Input'!D530,'Ammo Input'!F530)*0.5)^2*PI())</f>
        <v>59540.1886005106</v>
      </c>
      <c r="M530">
        <f>IF(B530="Frag",1,('Ammo Input'!M530/1.33)/('Ammo Input'!H530/1000))</f>
        <v>0</v>
      </c>
      <c r="N530" t="s">
        <v>353</v>
      </c>
      <c r="O530" t="s">
        <v>353</v>
      </c>
      <c r="P530" s="3">
        <f>(39493.49*(IF((VLOOKUP(B530,AmmoTypeFactors,6,FALSE)="Bomb_Secondary"),1.33,1)*('Ammo Input'!H530*0.35)/1000)^0.6/1000)*10/3*VLOOKUP(B530,AmmoTypeFactors,4,FALSE)</f>
        <v>0</v>
      </c>
    </row>
    <row r="531" ht="14.4" spans="1:16">
      <c r="A531" t="str">
        <f>'Ammo Input'!A531</f>
        <v>7.92x57mm Mauser</v>
      </c>
      <c r="B531" s="1" t="str">
        <f>'Ammo Input'!B531</f>
        <v>AP-I</v>
      </c>
      <c r="C531">
        <f>(0.579*('Ammo Stats'!G531*IF(OR(B531="HEAT",B531="HEDP"),10,'Ammo Input'!F531)*VLOOKUP(B531,AmmoTypeFactors,7,FALSE))^(0.346))^IF(B531="HEDP",2.1,1)/IF(B531="HEDP",50,1)</f>
        <v>16.5531450680323</v>
      </c>
      <c r="D531" s="16">
        <f>IF(VLOOKUP(B531,AmmoTypeFactors,8,FALSE),J531,C531)*VLOOKUP('Ammo Input'!B531,AmmoTypeFactors,2,FALSE)</f>
        <v>13.2425160544258</v>
      </c>
      <c r="E531" s="16">
        <f>IF(OR(VLOOKUP(B531,AmmoTypeFactors,6,FALSE)="Bomb",VLOOKUP(B531,AmmoTypeFactors,6,FALSE)="Thermobaric"),J531*VLOOKUP(B531,AmmoTypeFactors,4,FALSE),IF(VLOOKUP(B531,AmmoTypeFactors,11,FALSE),P531,C531*VLOOKUP(B531,AmmoTypeFactors,4,FALSE)))</f>
        <v>6.31975081885406</v>
      </c>
      <c r="F531" s="16">
        <f>'Ammo Stats'!G531/0.005</f>
        <v>786800</v>
      </c>
      <c r="G531" s="16">
        <f>(IF(B531="HEAT",10,'Ammo Input'!F531)*VLOOKUP(B531,AmmoTypeFactors,7,FALSE)*0.5)^2*PI()/100</f>
        <v>0.13267024315926</v>
      </c>
      <c r="H531" s="10">
        <f t="shared" si="15"/>
        <v>78.68</v>
      </c>
      <c r="I531" s="10">
        <f>IF(B531&lt;&gt;"Arrow (Flaming)",39493.49*'Ammo Input'!M531^0.6/1000,0)</f>
        <v>0</v>
      </c>
      <c r="J531">
        <f t="shared" si="16"/>
        <v>0</v>
      </c>
      <c r="K531">
        <f t="shared" si="17"/>
        <v>9</v>
      </c>
      <c r="L531">
        <f>200000/('Ammo Stats'!C531*(MAX('Ammo Input'!D531,'Ammo Input'!F531)*0.5)^2*PI())</f>
        <v>59540.1886005106</v>
      </c>
      <c r="M531">
        <f>IF(B531="Frag",1,('Ammo Input'!M531/1.33)/('Ammo Input'!H531/1000))</f>
        <v>0</v>
      </c>
      <c r="N531" t="s">
        <v>353</v>
      </c>
      <c r="O531" t="s">
        <v>353</v>
      </c>
      <c r="P531" s="3">
        <f>(39493.49*(IF((VLOOKUP(B531,AmmoTypeFactors,6,FALSE)="Bomb_Secondary"),1.33,1)*('Ammo Input'!H531*0.35)/1000)^0.6/1000)*10/3*VLOOKUP(B531,AmmoTypeFactors,4,FALSE)</f>
        <v>6.31975081885406</v>
      </c>
    </row>
    <row r="532" ht="14.4" spans="1:16">
      <c r="A532" t="str">
        <f>'Ammo Input'!A532</f>
        <v>7.92x57mm Mauser</v>
      </c>
      <c r="B532" s="1" t="str">
        <f>'Ammo Input'!B532</f>
        <v>AP-HE</v>
      </c>
      <c r="C532">
        <f>(0.579*('Ammo Stats'!G532*IF(OR(B532="HEAT",B532="HEDP"),10,'Ammo Input'!F532)*VLOOKUP(B532,AmmoTypeFactors,7,FALSE))^(0.346))^IF(B532="HEDP",2.1,1)/IF(B532="HEDP",50,1)</f>
        <v>21.0395719391429</v>
      </c>
      <c r="D532" s="16">
        <f>IF(VLOOKUP(B532,AmmoTypeFactors,8,FALSE),J532,C532)*VLOOKUP('Ammo Input'!B532,AmmoTypeFactors,2,FALSE)</f>
        <v>21.0395719391429</v>
      </c>
      <c r="E532" s="16">
        <f>IF(OR(VLOOKUP(B532,AmmoTypeFactors,6,FALSE)="Bomb",VLOOKUP(B532,AmmoTypeFactors,6,FALSE)="Thermobaric"),J532*VLOOKUP(B532,AmmoTypeFactors,4,FALSE),IF(VLOOKUP(B532,AmmoTypeFactors,11,FALSE),P532,C532*VLOOKUP(B532,AmmoTypeFactors,4,FALSE)))</f>
        <v>8.65284344564005</v>
      </c>
      <c r="F532" s="16">
        <f>'Ammo Stats'!G532/0.005</f>
        <v>786800</v>
      </c>
      <c r="G532" s="16">
        <f>(IF(B532="HEAT",10,'Ammo Input'!F532)*VLOOKUP(B532,AmmoTypeFactors,7,FALSE)*0.5)^2*PI()/100</f>
        <v>0.530680972637042</v>
      </c>
      <c r="H532" s="10">
        <f t="shared" si="15"/>
        <v>78.68</v>
      </c>
      <c r="I532" s="10">
        <f>IF(B532&lt;&gt;"Arrow (Flaming)",39493.49*'Ammo Input'!M532^0.6/1000,0)</f>
        <v>0</v>
      </c>
      <c r="J532">
        <f t="shared" si="16"/>
        <v>0</v>
      </c>
      <c r="K532">
        <f t="shared" si="17"/>
        <v>9</v>
      </c>
      <c r="L532">
        <f>200000/('Ammo Stats'!C532*(MAX('Ammo Input'!D532,'Ammo Input'!F532)*0.5)^2*PI())</f>
        <v>59540.1886005106</v>
      </c>
      <c r="M532">
        <f>IF(B532="Frag",1,('Ammo Input'!M532/1.33)/('Ammo Input'!H532/1000))</f>
        <v>0</v>
      </c>
      <c r="N532" t="s">
        <v>353</v>
      </c>
      <c r="O532" t="s">
        <v>353</v>
      </c>
      <c r="P532" s="3">
        <f>(39493.49*(IF((VLOOKUP(B532,AmmoTypeFactors,6,FALSE)="Bomb_Secondary"),1.33,1)*('Ammo Input'!H532*0.35)/1000)^0.6/1000)*10/3*VLOOKUP(B532,AmmoTypeFactors,4,FALSE)</f>
        <v>8.65284344564005</v>
      </c>
    </row>
    <row r="533" ht="14.4" spans="1:16">
      <c r="A533" t="str">
        <f>'Ammo Input'!A533</f>
        <v>7.92x57mm Mauser</v>
      </c>
      <c r="B533" s="1" t="str">
        <f>'Ammo Input'!B533</f>
        <v>Sabot</v>
      </c>
      <c r="C533">
        <f>(0.579*('Ammo Stats'!G533*IF(OR(B533="HEAT",B533="HEDP"),10,'Ammo Input'!F533)*VLOOKUP(B533,AmmoTypeFactors,7,FALSE))^(0.346))^IF(B533="HEDP",2.1,1)/IF(B533="HEDP",50,1)</f>
        <v>18.0421205917558</v>
      </c>
      <c r="D533" s="16">
        <f>IF(VLOOKUP(B533,AmmoTypeFactors,8,FALSE),J533,C533)*VLOOKUP('Ammo Input'!B533,AmmoTypeFactors,2,FALSE)</f>
        <v>12.629484414229</v>
      </c>
      <c r="E533" s="16">
        <f>IF(OR(VLOOKUP(B533,AmmoTypeFactors,6,FALSE)="Bomb",VLOOKUP(B533,AmmoTypeFactors,6,FALSE)="Thermobaric"),J533*VLOOKUP(B533,AmmoTypeFactors,4,FALSE),IF(VLOOKUP(B533,AmmoTypeFactors,11,FALSE),P533,C533*VLOOKUP(B533,AmmoTypeFactors,4,FALSE)))</f>
        <v>0</v>
      </c>
      <c r="F533" s="16">
        <f>'Ammo Stats'!G533/0.005</f>
        <v>1009200</v>
      </c>
      <c r="G533" s="16">
        <f>(IF(B533="HEAT",10,'Ammo Input'!F533)*VLOOKUP(B533,AmmoTypeFactors,7,FALSE)*0.5)^2*PI()/100</f>
        <v>0.13267024315926</v>
      </c>
      <c r="H533" s="10">
        <f t="shared" si="15"/>
        <v>100.92</v>
      </c>
      <c r="I533" s="10">
        <f>IF(B533&lt;&gt;"Arrow (Flaming)",39493.49*'Ammo Input'!M533^0.6/1000,0)</f>
        <v>0</v>
      </c>
      <c r="J533">
        <f t="shared" si="16"/>
        <v>0</v>
      </c>
      <c r="K533">
        <f t="shared" si="17"/>
        <v>10</v>
      </c>
      <c r="L533">
        <f>200000/('Ammo Stats'!C533*(MAX('Ammo Input'!D533,'Ammo Input'!F533)*0.5)^2*PI())</f>
        <v>59540.1886005106</v>
      </c>
      <c r="M533">
        <f>IF(B533="Frag",1,('Ammo Input'!M533/1.33)/('Ammo Input'!H533/1000))</f>
        <v>0</v>
      </c>
      <c r="N533" t="s">
        <v>353</v>
      </c>
      <c r="O533" t="s">
        <v>353</v>
      </c>
      <c r="P533" s="3">
        <f>(39493.49*(IF((VLOOKUP(B533,AmmoTypeFactors,6,FALSE)="Bomb_Secondary"),1.33,1)*('Ammo Input'!H533*0.35)/1000)^0.6/1000)*10/3*VLOOKUP(B533,AmmoTypeFactors,4,FALSE)</f>
        <v>0</v>
      </c>
    </row>
    <row r="534" ht="14.4" spans="1:16">
      <c r="A534" t="str">
        <f>'Ammo Input'!A534</f>
        <v>7.5x54mm French</v>
      </c>
      <c r="B534" s="1" t="str">
        <f>'Ammo Input'!B534</f>
        <v>FMJ</v>
      </c>
      <c r="C534">
        <f>(0.579*('Ammo Stats'!G534*IF(OR(B534="HEAT",B534="HEDP"),10,'Ammo Input'!F534)*VLOOKUP(B534,AmmoTypeFactors,7,FALSE))^(0.346))^IF(B534="HEDP",2.1,1)/IF(B534="HEDP",50,1)</f>
        <v>18.90133889808</v>
      </c>
      <c r="D534" s="16">
        <f>IF(VLOOKUP(B534,AmmoTypeFactors,8,FALSE),J534,C534)*VLOOKUP('Ammo Input'!B534,AmmoTypeFactors,2,FALSE)</f>
        <v>18.90133889808</v>
      </c>
      <c r="E534" s="16">
        <f>IF(OR(VLOOKUP(B534,AmmoTypeFactors,6,FALSE)="Bomb",VLOOKUP(B534,AmmoTypeFactors,6,FALSE)="Thermobaric"),J534*VLOOKUP(B534,AmmoTypeFactors,4,FALSE),IF(VLOOKUP(B534,AmmoTypeFactors,11,FALSE),P534,C534*VLOOKUP(B534,AmmoTypeFactors,4,FALSE)))</f>
        <v>0</v>
      </c>
      <c r="F534" s="16">
        <f>'Ammo Stats'!G534/0.005</f>
        <v>605200</v>
      </c>
      <c r="G534" s="16">
        <f>(IF(B534="HEAT",10,'Ammo Input'!F534)*VLOOKUP(B534,AmmoTypeFactors,7,FALSE)*0.5)^2*PI()/100</f>
        <v>0.482749693521222</v>
      </c>
      <c r="H534" s="10">
        <f t="shared" si="15"/>
        <v>60.52</v>
      </c>
      <c r="I534" s="10">
        <f>IF(B534&lt;&gt;"Arrow (Flaming)",39493.49*'Ammo Input'!M534^0.6/1000,0)</f>
        <v>0</v>
      </c>
      <c r="J534">
        <f t="shared" si="16"/>
        <v>0</v>
      </c>
      <c r="K534">
        <f t="shared" si="17"/>
        <v>8</v>
      </c>
      <c r="L534">
        <f>200000/('Ammo Stats'!C534*(MAX('Ammo Input'!D534,'Ammo Input'!F534)*0.5)^2*PI())</f>
        <v>56564.8555206514</v>
      </c>
      <c r="M534">
        <f>IF(B534="Frag",1,('Ammo Input'!M534/1.33)/('Ammo Input'!H534/1000))</f>
        <v>0</v>
      </c>
      <c r="N534" t="s">
        <v>353</v>
      </c>
      <c r="O534" t="s">
        <v>353</v>
      </c>
      <c r="P534" s="3">
        <f>(39493.49*(IF((VLOOKUP(B534,AmmoTypeFactors,6,FALSE)="Bomb_Secondary"),1.33,1)*('Ammo Input'!H534*0.35)/1000)^0.6/1000)*10/3*VLOOKUP(B534,AmmoTypeFactors,4,FALSE)</f>
        <v>0</v>
      </c>
    </row>
    <row r="535" ht="14.4" spans="1:16">
      <c r="A535" t="str">
        <f>'Ammo Input'!A535</f>
        <v>7.5x54mm French</v>
      </c>
      <c r="B535" s="1" t="str">
        <f>'Ammo Input'!B535</f>
        <v>AP</v>
      </c>
      <c r="C535">
        <f>(0.579*('Ammo Stats'!G535*IF(OR(B535="HEAT",B535="HEDP"),10,'Ammo Input'!F535)*VLOOKUP(B535,AmmoTypeFactors,7,FALSE))^(0.346))^IF(B535="HEDP",2.1,1)/IF(B535="HEDP",50,1)</f>
        <v>14.8708636119099</v>
      </c>
      <c r="D535" s="16">
        <f>IF(VLOOKUP(B535,AmmoTypeFactors,8,FALSE),J535,C535)*VLOOKUP('Ammo Input'!B535,AmmoTypeFactors,2,FALSE)</f>
        <v>11.8966908895279</v>
      </c>
      <c r="E535" s="16">
        <f>IF(OR(VLOOKUP(B535,AmmoTypeFactors,6,FALSE)="Bomb",VLOOKUP(B535,AmmoTypeFactors,6,FALSE)="Thermobaric"),J535*VLOOKUP(B535,AmmoTypeFactors,4,FALSE),IF(VLOOKUP(B535,AmmoTypeFactors,11,FALSE),P535,C535*VLOOKUP(B535,AmmoTypeFactors,4,FALSE)))</f>
        <v>0</v>
      </c>
      <c r="F535" s="16">
        <f>'Ammo Stats'!G535/0.005</f>
        <v>605200</v>
      </c>
      <c r="G535" s="16">
        <f>(IF(B535="HEAT",10,'Ammo Input'!F535)*VLOOKUP(B535,AmmoTypeFactors,7,FALSE)*0.5)^2*PI()/100</f>
        <v>0.120687423380305</v>
      </c>
      <c r="H535" s="10">
        <f t="shared" si="15"/>
        <v>60.52</v>
      </c>
      <c r="I535" s="10">
        <f>IF(B535&lt;&gt;"Arrow (Flaming)",39493.49*'Ammo Input'!M535^0.6/1000,0)</f>
        <v>0</v>
      </c>
      <c r="J535">
        <f t="shared" si="16"/>
        <v>0</v>
      </c>
      <c r="K535">
        <f t="shared" si="17"/>
        <v>8</v>
      </c>
      <c r="L535">
        <f>200000/('Ammo Stats'!C535*(MAX('Ammo Input'!D535,'Ammo Input'!F535)*0.5)^2*PI())</f>
        <v>56564.8555206514</v>
      </c>
      <c r="M535">
        <f>IF(B535="Frag",1,('Ammo Input'!M535/1.33)/('Ammo Input'!H535/1000))</f>
        <v>0</v>
      </c>
      <c r="N535" t="s">
        <v>353</v>
      </c>
      <c r="O535" t="s">
        <v>353</v>
      </c>
      <c r="P535" s="3">
        <f>(39493.49*(IF((VLOOKUP(B535,AmmoTypeFactors,6,FALSE)="Bomb_Secondary"),1.33,1)*('Ammo Input'!H535*0.35)/1000)^0.6/1000)*10/3*VLOOKUP(B535,AmmoTypeFactors,4,FALSE)</f>
        <v>0</v>
      </c>
    </row>
    <row r="536" ht="14.4" spans="1:16">
      <c r="A536" t="str">
        <f>'Ammo Input'!A536</f>
        <v>7.5x54mm French</v>
      </c>
      <c r="B536" s="1" t="str">
        <f>'Ammo Input'!B536</f>
        <v>HP</v>
      </c>
      <c r="C536">
        <f>(0.579*('Ammo Stats'!G536*IF(OR(B536="HEAT",B536="HEDP"),10,'Ammo Input'!F536)*VLOOKUP(B536,AmmoTypeFactors,7,FALSE))^(0.346))^IF(B536="HEDP",2.1,1)/IF(B536="HEDP",50,1)</f>
        <v>24.0242007097655</v>
      </c>
      <c r="D536" s="16">
        <f>IF(VLOOKUP(B536,AmmoTypeFactors,8,FALSE),J536,C536)*VLOOKUP('Ammo Input'!B536,AmmoTypeFactors,2,FALSE)</f>
        <v>24.0242007097655</v>
      </c>
      <c r="E536" s="16">
        <f>IF(OR(VLOOKUP(B536,AmmoTypeFactors,6,FALSE)="Bomb",VLOOKUP(B536,AmmoTypeFactors,6,FALSE)="Thermobaric"),J536*VLOOKUP(B536,AmmoTypeFactors,4,FALSE),IF(VLOOKUP(B536,AmmoTypeFactors,11,FALSE),P536,C536*VLOOKUP(B536,AmmoTypeFactors,4,FALSE)))</f>
        <v>0</v>
      </c>
      <c r="F536" s="16">
        <f>'Ammo Stats'!G536/0.005</f>
        <v>605200</v>
      </c>
      <c r="G536" s="16">
        <f>(IF(B536="HEAT",10,'Ammo Input'!F536)*VLOOKUP(B536,AmmoTypeFactors,7,FALSE)*0.5)^2*PI()/100</f>
        <v>1.93099877408489</v>
      </c>
      <c r="H536" s="10">
        <f t="shared" si="15"/>
        <v>60.52</v>
      </c>
      <c r="I536" s="10">
        <f>IF(B536&lt;&gt;"Arrow (Flaming)",39493.49*'Ammo Input'!M536^0.6/1000,0)</f>
        <v>0</v>
      </c>
      <c r="J536">
        <f t="shared" si="16"/>
        <v>0</v>
      </c>
      <c r="K536">
        <f t="shared" si="17"/>
        <v>8</v>
      </c>
      <c r="L536">
        <f>200000/('Ammo Stats'!C536*(MAX('Ammo Input'!D536,'Ammo Input'!F536)*0.5)^2*PI())</f>
        <v>56564.8555206514</v>
      </c>
      <c r="M536">
        <f>IF(B536="Frag",1,('Ammo Input'!M536/1.33)/('Ammo Input'!H536/1000))</f>
        <v>0</v>
      </c>
      <c r="N536" t="s">
        <v>353</v>
      </c>
      <c r="O536" t="s">
        <v>353</v>
      </c>
      <c r="P536" s="3">
        <f>(39493.49*(IF((VLOOKUP(B536,AmmoTypeFactors,6,FALSE)="Bomb_Secondary"),1.33,1)*('Ammo Input'!H536*0.35)/1000)^0.6/1000)*10/3*VLOOKUP(B536,AmmoTypeFactors,4,FALSE)</f>
        <v>0</v>
      </c>
    </row>
    <row r="537" ht="14.4" spans="1:16">
      <c r="A537" t="str">
        <f>'Ammo Input'!A537</f>
        <v>7.5x54mm French</v>
      </c>
      <c r="B537" s="1" t="str">
        <f>'Ammo Input'!B537</f>
        <v>AP-I</v>
      </c>
      <c r="C537">
        <f>(0.579*('Ammo Stats'!G537*IF(OR(B537="HEAT",B537="HEDP"),10,'Ammo Input'!F537)*VLOOKUP(B537,AmmoTypeFactors,7,FALSE))^(0.346))^IF(B537="HEDP",2.1,1)/IF(B537="HEDP",50,1)</f>
        <v>14.8708636119099</v>
      </c>
      <c r="D537" s="16">
        <f>IF(VLOOKUP(B537,AmmoTypeFactors,8,FALSE),J537,C537)*VLOOKUP('Ammo Input'!B537,AmmoTypeFactors,2,FALSE)</f>
        <v>11.8966908895279</v>
      </c>
      <c r="E537" s="16">
        <f>IF(OR(VLOOKUP(B537,AmmoTypeFactors,6,FALSE)="Bomb",VLOOKUP(B537,AmmoTypeFactors,6,FALSE)="Thermobaric"),J537*VLOOKUP(B537,AmmoTypeFactors,4,FALSE),IF(VLOOKUP(B537,AmmoTypeFactors,11,FALSE),P537,C537*VLOOKUP(B537,AmmoTypeFactors,4,FALSE)))</f>
        <v>5.3992562969821</v>
      </c>
      <c r="F537" s="16">
        <f>'Ammo Stats'!G537/0.005</f>
        <v>605200</v>
      </c>
      <c r="G537" s="16">
        <f>(IF(B537="HEAT",10,'Ammo Input'!F537)*VLOOKUP(B537,AmmoTypeFactors,7,FALSE)*0.5)^2*PI()/100</f>
        <v>0.120687423380305</v>
      </c>
      <c r="H537" s="10">
        <f t="shared" si="15"/>
        <v>60.52</v>
      </c>
      <c r="I537" s="10">
        <f>IF(B537&lt;&gt;"Arrow (Flaming)",39493.49*'Ammo Input'!M537^0.6/1000,0)</f>
        <v>0</v>
      </c>
      <c r="J537">
        <f t="shared" si="16"/>
        <v>0</v>
      </c>
      <c r="K537">
        <f t="shared" si="17"/>
        <v>8</v>
      </c>
      <c r="L537">
        <f>200000/('Ammo Stats'!C537*(MAX('Ammo Input'!D537,'Ammo Input'!F537)*0.5)^2*PI())</f>
        <v>56564.8555206514</v>
      </c>
      <c r="M537">
        <f>IF(B537="Frag",1,('Ammo Input'!M537/1.33)/('Ammo Input'!H537/1000))</f>
        <v>0</v>
      </c>
      <c r="N537" t="s">
        <v>353</v>
      </c>
      <c r="O537" t="s">
        <v>353</v>
      </c>
      <c r="P537" s="3">
        <f>(39493.49*(IF((VLOOKUP(B537,AmmoTypeFactors,6,FALSE)="Bomb_Secondary"),1.33,1)*('Ammo Input'!H537*0.35)/1000)^0.6/1000)*10/3*VLOOKUP(B537,AmmoTypeFactors,4,FALSE)</f>
        <v>5.3992562969821</v>
      </c>
    </row>
    <row r="538" ht="14.4" spans="1:16">
      <c r="A538" t="str">
        <f>'Ammo Input'!A538</f>
        <v>7.5x54mm French</v>
      </c>
      <c r="B538" s="1" t="str">
        <f>'Ammo Input'!B538</f>
        <v>AP-HE</v>
      </c>
      <c r="C538">
        <f>(0.579*('Ammo Stats'!G538*IF(OR(B538="HEAT",B538="HEDP"),10,'Ammo Input'!F538)*VLOOKUP(B538,AmmoTypeFactors,7,FALSE))^(0.346))^IF(B538="HEDP",2.1,1)/IF(B538="HEDP",50,1)</f>
        <v>18.90133889808</v>
      </c>
      <c r="D538" s="16">
        <f>IF(VLOOKUP(B538,AmmoTypeFactors,8,FALSE),J538,C538)*VLOOKUP('Ammo Input'!B538,AmmoTypeFactors,2,FALSE)</f>
        <v>18.90133889808</v>
      </c>
      <c r="E538" s="16">
        <f>IF(OR(VLOOKUP(B538,AmmoTypeFactors,6,FALSE)="Bomb",VLOOKUP(B538,AmmoTypeFactors,6,FALSE)="Thermobaric"),J538*VLOOKUP(B538,AmmoTypeFactors,4,FALSE),IF(VLOOKUP(B538,AmmoTypeFactors,11,FALSE),P538,C538*VLOOKUP(B538,AmmoTypeFactors,4,FALSE)))</f>
        <v>7.39252555991498</v>
      </c>
      <c r="F538" s="16">
        <f>'Ammo Stats'!G538/0.005</f>
        <v>605200</v>
      </c>
      <c r="G538" s="16">
        <f>(IF(B538="HEAT",10,'Ammo Input'!F538)*VLOOKUP(B538,AmmoTypeFactors,7,FALSE)*0.5)^2*PI()/100</f>
        <v>0.482749693521222</v>
      </c>
      <c r="H538" s="10">
        <f t="shared" si="15"/>
        <v>60.52</v>
      </c>
      <c r="I538" s="10">
        <f>IF(B538&lt;&gt;"Arrow (Flaming)",39493.49*'Ammo Input'!M538^0.6/1000,0)</f>
        <v>0</v>
      </c>
      <c r="J538">
        <f t="shared" si="16"/>
        <v>0</v>
      </c>
      <c r="K538">
        <f t="shared" si="17"/>
        <v>8</v>
      </c>
      <c r="L538">
        <f>200000/('Ammo Stats'!C538*(MAX('Ammo Input'!D538,'Ammo Input'!F538)*0.5)^2*PI())</f>
        <v>56564.8555206514</v>
      </c>
      <c r="M538">
        <f>IF(B538="Frag",1,('Ammo Input'!M538/1.33)/('Ammo Input'!H538/1000))</f>
        <v>0</v>
      </c>
      <c r="N538" t="s">
        <v>353</v>
      </c>
      <c r="O538" t="s">
        <v>353</v>
      </c>
      <c r="P538" s="3">
        <f>(39493.49*(IF((VLOOKUP(B538,AmmoTypeFactors,6,FALSE)="Bomb_Secondary"),1.33,1)*('Ammo Input'!H538*0.35)/1000)^0.6/1000)*10/3*VLOOKUP(B538,AmmoTypeFactors,4,FALSE)</f>
        <v>7.39252555991498</v>
      </c>
    </row>
    <row r="539" ht="14.4" spans="1:16">
      <c r="A539" t="str">
        <f>'Ammo Input'!A539</f>
        <v>7.5x54mm French</v>
      </c>
      <c r="B539" s="1" t="str">
        <f>'Ammo Input'!B539</f>
        <v>Sabot</v>
      </c>
      <c r="C539">
        <f>(0.579*('Ammo Stats'!G539*IF(OR(B539="HEAT",B539="HEDP"),10,'Ammo Input'!F539)*VLOOKUP(B539,AmmoTypeFactors,7,FALSE))^(0.346))^IF(B539="HEDP",2.1,1)/IF(B539="HEDP",50,1)</f>
        <v>14.3281037239592</v>
      </c>
      <c r="D539" s="16">
        <f>IF(VLOOKUP(B539,AmmoTypeFactors,8,FALSE),J539,C539)*VLOOKUP('Ammo Input'!B539,AmmoTypeFactors,2,FALSE)</f>
        <v>10.0296726067715</v>
      </c>
      <c r="E539" s="16">
        <f>IF(OR(VLOOKUP(B539,AmmoTypeFactors,6,FALSE)="Bomb",VLOOKUP(B539,AmmoTypeFactors,6,FALSE)="Thermobaric"),J539*VLOOKUP(B539,AmmoTypeFactors,4,FALSE),IF(VLOOKUP(B539,AmmoTypeFactors,11,FALSE),P539,C539*VLOOKUP(B539,AmmoTypeFactors,4,FALSE)))</f>
        <v>0</v>
      </c>
      <c r="F539" s="16">
        <f>'Ammo Stats'!G539/0.005</f>
        <v>776200</v>
      </c>
      <c r="G539" s="16">
        <f>(IF(B539="HEAT",10,'Ammo Input'!F539)*VLOOKUP(B539,AmmoTypeFactors,7,FALSE)*0.5)^2*PI()/100</f>
        <v>0.0591799479615386</v>
      </c>
      <c r="H539" s="10">
        <f t="shared" si="15"/>
        <v>77.62</v>
      </c>
      <c r="I539" s="10">
        <f>IF(B539&lt;&gt;"Arrow (Flaming)",39493.49*'Ammo Input'!M539^0.6/1000,0)</f>
        <v>0</v>
      </c>
      <c r="J539">
        <f t="shared" si="16"/>
        <v>0</v>
      </c>
      <c r="K539">
        <f t="shared" si="17"/>
        <v>9</v>
      </c>
      <c r="L539">
        <f>200000/('Ammo Stats'!C539*(MAX('Ammo Input'!D539,'Ammo Input'!F539)*0.5)^2*PI())</f>
        <v>56564.8555206514</v>
      </c>
      <c r="M539">
        <f>IF(B539="Frag",1,('Ammo Input'!M539/1.33)/('Ammo Input'!H539/1000))</f>
        <v>0</v>
      </c>
      <c r="N539" t="s">
        <v>353</v>
      </c>
      <c r="O539" t="s">
        <v>353</v>
      </c>
      <c r="P539" s="3">
        <f>(39493.49*(IF((VLOOKUP(B539,AmmoTypeFactors,6,FALSE)="Bomb_Secondary"),1.33,1)*('Ammo Input'!H539*0.35)/1000)^0.6/1000)*10/3*VLOOKUP(B539,AmmoTypeFactors,4,FALSE)</f>
        <v>0</v>
      </c>
    </row>
    <row r="540" ht="14.4" spans="1:16">
      <c r="A540" t="str">
        <f>'Ammo Input'!A540</f>
        <v>7.7×58mm Arisaka</v>
      </c>
      <c r="B540" s="1" t="str">
        <f>'Ammo Input'!B540</f>
        <v>FMJ</v>
      </c>
      <c r="C540">
        <f>(0.579*('Ammo Stats'!G540*IF(OR(B540="HEAT",B540="HEDP"),10,'Ammo Input'!F540)*VLOOKUP(B540,AmmoTypeFactors,7,FALSE))^(0.346))^IF(B540="HEDP",2.1,1)/IF(B540="HEDP",50,1)</f>
        <v>18.9125907783913</v>
      </c>
      <c r="D540" s="16">
        <f>IF(VLOOKUP(B540,AmmoTypeFactors,8,FALSE),J540,C540)*VLOOKUP('Ammo Input'!B540,AmmoTypeFactors,2,FALSE)</f>
        <v>18.9125907783913</v>
      </c>
      <c r="E540" s="16">
        <f>IF(OR(VLOOKUP(B540,AmmoTypeFactors,6,FALSE)="Bomb",VLOOKUP(B540,AmmoTypeFactors,6,FALSE)="Thermobaric"),J540*VLOOKUP(B540,AmmoTypeFactors,4,FALSE),IF(VLOOKUP(B540,AmmoTypeFactors,11,FALSE),P540,C540*VLOOKUP(B540,AmmoTypeFactors,4,FALSE)))</f>
        <v>0</v>
      </c>
      <c r="F540" s="16">
        <f>'Ammo Stats'!G540/0.005</f>
        <v>602400</v>
      </c>
      <c r="G540" s="16">
        <f>(IF(B540="HEAT",10,'Ammo Input'!F540)*VLOOKUP(B540,AmmoTypeFactors,7,FALSE)*0.5)^2*PI()/100</f>
        <v>0.488926850076343</v>
      </c>
      <c r="H540" s="10">
        <f t="shared" si="15"/>
        <v>60.24</v>
      </c>
      <c r="I540" s="10">
        <f>IF(B540&lt;&gt;"Arrow (Flaming)",39493.49*'Ammo Input'!M540^0.6/1000,0)</f>
        <v>0</v>
      </c>
      <c r="J540">
        <f t="shared" si="16"/>
        <v>0</v>
      </c>
      <c r="K540">
        <f t="shared" si="17"/>
        <v>8</v>
      </c>
      <c r="L540">
        <f>200000/('Ammo Stats'!C540*(MAX('Ammo Input'!D540,'Ammo Input'!F540)*0.5)^2*PI())</f>
        <v>59044.6419525846</v>
      </c>
      <c r="M540">
        <f>IF(B540="Frag",1,('Ammo Input'!M540/1.33)/('Ammo Input'!H540/1000))</f>
        <v>0</v>
      </c>
      <c r="N540" t="s">
        <v>353</v>
      </c>
      <c r="O540" t="s">
        <v>353</v>
      </c>
      <c r="P540" s="3">
        <f>(39493.49*(IF((VLOOKUP(B540,AmmoTypeFactors,6,FALSE)="Bomb_Secondary"),1.33,1)*('Ammo Input'!H540*0.35)/1000)^0.6/1000)*10/3*VLOOKUP(B540,AmmoTypeFactors,4,FALSE)</f>
        <v>0</v>
      </c>
    </row>
    <row r="541" ht="14.4" spans="1:16">
      <c r="A541" t="str">
        <f>'Ammo Input'!A541</f>
        <v>7.7×58mm Arisaka</v>
      </c>
      <c r="B541" s="1" t="str">
        <f>'Ammo Input'!B541</f>
        <v>AP</v>
      </c>
      <c r="C541">
        <f>(0.579*('Ammo Stats'!G541*IF(OR(B541="HEAT",B541="HEDP"),10,'Ammo Input'!F541)*VLOOKUP(B541,AmmoTypeFactors,7,FALSE))^(0.346))^IF(B541="HEDP",2.1,1)/IF(B541="HEDP",50,1)</f>
        <v>14.8797161687785</v>
      </c>
      <c r="D541" s="16">
        <f>IF(VLOOKUP(B541,AmmoTypeFactors,8,FALSE),J541,C541)*VLOOKUP('Ammo Input'!B541,AmmoTypeFactors,2,FALSE)</f>
        <v>11.9037729350228</v>
      </c>
      <c r="E541" s="16">
        <f>IF(OR(VLOOKUP(B541,AmmoTypeFactors,6,FALSE)="Bomb",VLOOKUP(B541,AmmoTypeFactors,6,FALSE)="Thermobaric"),J541*VLOOKUP(B541,AmmoTypeFactors,4,FALSE),IF(VLOOKUP(B541,AmmoTypeFactors,11,FALSE),P541,C541*VLOOKUP(B541,AmmoTypeFactors,4,FALSE)))</f>
        <v>0</v>
      </c>
      <c r="F541" s="16">
        <f>'Ammo Stats'!G541/0.005</f>
        <v>602400</v>
      </c>
      <c r="G541" s="16">
        <f>(IF(B541="HEAT",10,'Ammo Input'!F541)*VLOOKUP(B541,AmmoTypeFactors,7,FALSE)*0.5)^2*PI()/100</f>
        <v>0.122231712519086</v>
      </c>
      <c r="H541" s="10">
        <f t="shared" si="15"/>
        <v>60.24</v>
      </c>
      <c r="I541" s="10">
        <f>IF(B541&lt;&gt;"Arrow (Flaming)",39493.49*'Ammo Input'!M541^0.6/1000,0)</f>
        <v>0</v>
      </c>
      <c r="J541">
        <f t="shared" si="16"/>
        <v>0</v>
      </c>
      <c r="K541">
        <f t="shared" si="17"/>
        <v>8</v>
      </c>
      <c r="L541">
        <f>200000/('Ammo Stats'!C541*(MAX('Ammo Input'!D541,'Ammo Input'!F541)*0.5)^2*PI())</f>
        <v>59044.6419525846</v>
      </c>
      <c r="M541">
        <f>IF(B541="Frag",1,('Ammo Input'!M541/1.33)/('Ammo Input'!H541/1000))</f>
        <v>0</v>
      </c>
      <c r="N541" t="s">
        <v>353</v>
      </c>
      <c r="O541" t="s">
        <v>353</v>
      </c>
      <c r="P541" s="3">
        <f>(39493.49*(IF((VLOOKUP(B541,AmmoTypeFactors,6,FALSE)="Bomb_Secondary"),1.33,1)*('Ammo Input'!H541*0.35)/1000)^0.6/1000)*10/3*VLOOKUP(B541,AmmoTypeFactors,4,FALSE)</f>
        <v>0</v>
      </c>
    </row>
    <row r="542" ht="14.4" spans="1:16">
      <c r="A542" t="str">
        <f>'Ammo Input'!A542</f>
        <v>7.7×58mm Arisaka</v>
      </c>
      <c r="B542" s="1" t="str">
        <f>'Ammo Input'!B542</f>
        <v>HP</v>
      </c>
      <c r="C542">
        <f>(0.579*('Ammo Stats'!G542*IF(OR(B542="HEAT",B542="HEDP"),10,'Ammo Input'!F542)*VLOOKUP(B542,AmmoTypeFactors,7,FALSE))^(0.346))^IF(B542="HEDP",2.1,1)/IF(B542="HEDP",50,1)</f>
        <v>24.0385022062055</v>
      </c>
      <c r="D542" s="16">
        <f>IF(VLOOKUP(B542,AmmoTypeFactors,8,FALSE),J542,C542)*VLOOKUP('Ammo Input'!B542,AmmoTypeFactors,2,FALSE)</f>
        <v>24.0385022062055</v>
      </c>
      <c r="E542" s="16">
        <f>IF(OR(VLOOKUP(B542,AmmoTypeFactors,6,FALSE)="Bomb",VLOOKUP(B542,AmmoTypeFactors,6,FALSE)="Thermobaric"),J542*VLOOKUP(B542,AmmoTypeFactors,4,FALSE),IF(VLOOKUP(B542,AmmoTypeFactors,11,FALSE),P542,C542*VLOOKUP(B542,AmmoTypeFactors,4,FALSE)))</f>
        <v>0</v>
      </c>
      <c r="F542" s="16">
        <f>'Ammo Stats'!G542/0.005</f>
        <v>602400</v>
      </c>
      <c r="G542" s="16">
        <f>(IF(B542="HEAT",10,'Ammo Input'!F542)*VLOOKUP(B542,AmmoTypeFactors,7,FALSE)*0.5)^2*PI()/100</f>
        <v>1.95570740030537</v>
      </c>
      <c r="H542" s="10">
        <f t="shared" si="15"/>
        <v>60.24</v>
      </c>
      <c r="I542" s="10">
        <f>IF(B542&lt;&gt;"Arrow (Flaming)",39493.49*'Ammo Input'!M542^0.6/1000,0)</f>
        <v>0</v>
      </c>
      <c r="J542">
        <f t="shared" si="16"/>
        <v>0</v>
      </c>
      <c r="K542">
        <f t="shared" si="17"/>
        <v>8</v>
      </c>
      <c r="L542">
        <f>200000/('Ammo Stats'!C542*(MAX('Ammo Input'!D542,'Ammo Input'!F542)*0.5)^2*PI())</f>
        <v>59044.6419525846</v>
      </c>
      <c r="M542">
        <f>IF(B542="Frag",1,('Ammo Input'!M542/1.33)/('Ammo Input'!H542/1000))</f>
        <v>0</v>
      </c>
      <c r="N542" t="s">
        <v>353</v>
      </c>
      <c r="O542" t="s">
        <v>353</v>
      </c>
      <c r="P542" s="3">
        <f>(39493.49*(IF((VLOOKUP(B542,AmmoTypeFactors,6,FALSE)="Bomb_Secondary"),1.33,1)*('Ammo Input'!H542*0.35)/1000)^0.6/1000)*10/3*VLOOKUP(B542,AmmoTypeFactors,4,FALSE)</f>
        <v>0</v>
      </c>
    </row>
    <row r="543" ht="14.4" spans="1:16">
      <c r="A543" t="str">
        <f>'Ammo Input'!A543</f>
        <v>7.7×58mm Arisaka</v>
      </c>
      <c r="B543" s="1" t="str">
        <f>'Ammo Input'!B543</f>
        <v>AP-I</v>
      </c>
      <c r="C543">
        <f>(0.579*('Ammo Stats'!G543*IF(OR(B543="HEAT",B543="HEDP"),10,'Ammo Input'!F543)*VLOOKUP(B543,AmmoTypeFactors,7,FALSE))^(0.346))^IF(B543="HEDP",2.1,1)/IF(B543="HEDP",50,1)</f>
        <v>14.8797161687785</v>
      </c>
      <c r="D543" s="16">
        <f>IF(VLOOKUP(B543,AmmoTypeFactors,8,FALSE),J543,C543)*VLOOKUP('Ammo Input'!B543,AmmoTypeFactors,2,FALSE)</f>
        <v>11.9037729350228</v>
      </c>
      <c r="E543" s="16">
        <f>IF(OR(VLOOKUP(B543,AmmoTypeFactors,6,FALSE)="Bomb",VLOOKUP(B543,AmmoTypeFactors,6,FALSE)="Thermobaric"),J543*VLOOKUP(B543,AmmoTypeFactors,4,FALSE),IF(VLOOKUP(B543,AmmoTypeFactors,11,FALSE),P543,C543*VLOOKUP(B543,AmmoTypeFactors,4,FALSE)))</f>
        <v>6.09009474201415</v>
      </c>
      <c r="F543" s="16">
        <f>'Ammo Stats'!G543/0.005</f>
        <v>602400</v>
      </c>
      <c r="G543" s="16">
        <f>(IF(B543="HEAT",10,'Ammo Input'!F543)*VLOOKUP(B543,AmmoTypeFactors,7,FALSE)*0.5)^2*PI()/100</f>
        <v>0.122231712519086</v>
      </c>
      <c r="H543" s="10">
        <f t="shared" si="15"/>
        <v>60.24</v>
      </c>
      <c r="I543" s="10">
        <f>IF(B543&lt;&gt;"Arrow (Flaming)",39493.49*'Ammo Input'!M543^0.6/1000,0)</f>
        <v>0</v>
      </c>
      <c r="J543">
        <f t="shared" si="16"/>
        <v>0</v>
      </c>
      <c r="K543">
        <f t="shared" si="17"/>
        <v>8</v>
      </c>
      <c r="L543">
        <f>200000/('Ammo Stats'!C543*(MAX('Ammo Input'!D543,'Ammo Input'!F543)*0.5)^2*PI())</f>
        <v>59044.6419525846</v>
      </c>
      <c r="M543">
        <f>IF(B543="Frag",1,('Ammo Input'!M543/1.33)/('Ammo Input'!H543/1000))</f>
        <v>0</v>
      </c>
      <c r="N543" t="s">
        <v>353</v>
      </c>
      <c r="O543" t="s">
        <v>353</v>
      </c>
      <c r="P543" s="3">
        <f>(39493.49*(IF((VLOOKUP(B543,AmmoTypeFactors,6,FALSE)="Bomb_Secondary"),1.33,1)*('Ammo Input'!H543*0.35)/1000)^0.6/1000)*10/3*VLOOKUP(B543,AmmoTypeFactors,4,FALSE)</f>
        <v>6.09009474201415</v>
      </c>
    </row>
    <row r="544" ht="14.4" spans="1:16">
      <c r="A544" t="str">
        <f>'Ammo Input'!A544</f>
        <v>7.7×58mm Arisaka</v>
      </c>
      <c r="B544" s="1" t="str">
        <f>'Ammo Input'!B544</f>
        <v>AP-HE</v>
      </c>
      <c r="C544">
        <f>(0.579*('Ammo Stats'!G544*IF(OR(B544="HEAT",B544="HEDP"),10,'Ammo Input'!F544)*VLOOKUP(B544,AmmoTypeFactors,7,FALSE))^(0.346))^IF(B544="HEDP",2.1,1)/IF(B544="HEDP",50,1)</f>
        <v>18.9125907783913</v>
      </c>
      <c r="D544" s="16">
        <f>IF(VLOOKUP(B544,AmmoTypeFactors,8,FALSE),J544,C544)*VLOOKUP('Ammo Input'!B544,AmmoTypeFactors,2,FALSE)</f>
        <v>18.9125907783913</v>
      </c>
      <c r="E544" s="16">
        <f>IF(OR(VLOOKUP(B544,AmmoTypeFactors,6,FALSE)="Bomb",VLOOKUP(B544,AmmoTypeFactors,6,FALSE)="Thermobaric"),J544*VLOOKUP(B544,AmmoTypeFactors,4,FALSE),IF(VLOOKUP(B544,AmmoTypeFactors,11,FALSE),P544,C544*VLOOKUP(B544,AmmoTypeFactors,4,FALSE)))</f>
        <v>8.33840413684527</v>
      </c>
      <c r="F544" s="16">
        <f>'Ammo Stats'!G544/0.005</f>
        <v>602400</v>
      </c>
      <c r="G544" s="16">
        <f>(IF(B544="HEAT",10,'Ammo Input'!F544)*VLOOKUP(B544,AmmoTypeFactors,7,FALSE)*0.5)^2*PI()/100</f>
        <v>0.488926850076343</v>
      </c>
      <c r="H544" s="10">
        <f t="shared" si="15"/>
        <v>60.24</v>
      </c>
      <c r="I544" s="10">
        <f>IF(B544&lt;&gt;"Arrow (Flaming)",39493.49*'Ammo Input'!M544^0.6/1000,0)</f>
        <v>0</v>
      </c>
      <c r="J544">
        <f t="shared" si="16"/>
        <v>0</v>
      </c>
      <c r="K544">
        <f t="shared" si="17"/>
        <v>8</v>
      </c>
      <c r="L544">
        <f>200000/('Ammo Stats'!C544*(MAX('Ammo Input'!D544,'Ammo Input'!F544)*0.5)^2*PI())</f>
        <v>59044.6419525846</v>
      </c>
      <c r="M544">
        <f>IF(B544="Frag",1,('Ammo Input'!M544/1.33)/('Ammo Input'!H544/1000))</f>
        <v>0</v>
      </c>
      <c r="N544" t="s">
        <v>353</v>
      </c>
      <c r="O544" t="s">
        <v>353</v>
      </c>
      <c r="P544" s="3">
        <f>(39493.49*(IF((VLOOKUP(B544,AmmoTypeFactors,6,FALSE)="Bomb_Secondary"),1.33,1)*('Ammo Input'!H544*0.35)/1000)^0.6/1000)*10/3*VLOOKUP(B544,AmmoTypeFactors,4,FALSE)</f>
        <v>8.33840413684527</v>
      </c>
    </row>
    <row r="545" ht="14.4" spans="1:16">
      <c r="A545" t="str">
        <f>'Ammo Input'!A545</f>
        <v>7.7×58mm Arisaka</v>
      </c>
      <c r="B545" s="1" t="str">
        <f>'Ammo Input'!B545</f>
        <v>Sabot</v>
      </c>
      <c r="C545">
        <f>(0.579*('Ammo Stats'!G545*IF(OR(B545="HEAT",B545="HEDP"),10,'Ammo Input'!F545)*VLOOKUP(B545,AmmoTypeFactors,7,FALSE))^(0.346))^IF(B545="HEDP",2.1,1)/IF(B545="HEDP",50,1)</f>
        <v>14.3320744379777</v>
      </c>
      <c r="D545" s="16">
        <f>IF(VLOOKUP(B545,AmmoTypeFactors,8,FALSE),J545,C545)*VLOOKUP('Ammo Input'!B545,AmmoTypeFactors,2,FALSE)</f>
        <v>10.0324521065844</v>
      </c>
      <c r="E545" s="16">
        <f>IF(OR(VLOOKUP(B545,AmmoTypeFactors,6,FALSE)="Bomb",VLOOKUP(B545,AmmoTypeFactors,6,FALSE)="Thermobaric"),J545*VLOOKUP(B545,AmmoTypeFactors,4,FALSE),IF(VLOOKUP(B545,AmmoTypeFactors,11,FALSE),P545,C545*VLOOKUP(B545,AmmoTypeFactors,4,FALSE)))</f>
        <v>0</v>
      </c>
      <c r="F545" s="16">
        <f>'Ammo Stats'!G545/0.005</f>
        <v>772600</v>
      </c>
      <c r="G545" s="16">
        <f>(IF(B545="HEAT",10,'Ammo Input'!F545)*VLOOKUP(B545,AmmoTypeFactors,7,FALSE)*0.5)^2*PI()/100</f>
        <v>0.059828490494964</v>
      </c>
      <c r="H545" s="10">
        <f t="shared" si="15"/>
        <v>77.26</v>
      </c>
      <c r="I545" s="10">
        <f>IF(B545&lt;&gt;"Arrow (Flaming)",39493.49*'Ammo Input'!M545^0.6/1000,0)</f>
        <v>0</v>
      </c>
      <c r="J545">
        <f t="shared" si="16"/>
        <v>0</v>
      </c>
      <c r="K545">
        <f t="shared" si="17"/>
        <v>9</v>
      </c>
      <c r="L545">
        <f>200000/('Ammo Stats'!C545*(MAX('Ammo Input'!D545,'Ammo Input'!F545)*0.5)^2*PI())</f>
        <v>59044.6419525846</v>
      </c>
      <c r="M545">
        <f>IF(B545="Frag",1,('Ammo Input'!M545/1.33)/('Ammo Input'!H545/1000))</f>
        <v>0</v>
      </c>
      <c r="N545" t="s">
        <v>353</v>
      </c>
      <c r="O545" t="s">
        <v>353</v>
      </c>
      <c r="P545" s="3">
        <f>(39493.49*(IF((VLOOKUP(B545,AmmoTypeFactors,6,FALSE)="Bomb_Secondary"),1.33,1)*('Ammo Input'!H545*0.35)/1000)^0.6/1000)*10/3*VLOOKUP(B545,AmmoTypeFactors,4,FALSE)</f>
        <v>0</v>
      </c>
    </row>
    <row r="546" ht="14.4" spans="1:16">
      <c r="A546" t="str">
        <f>'Ammo Input'!A546</f>
        <v>7.92×33mm Kurz</v>
      </c>
      <c r="B546" s="1" t="str">
        <f>'Ammo Input'!B546</f>
        <v>FMJ</v>
      </c>
      <c r="C546">
        <f>(0.579*('Ammo Stats'!G546*IF(OR(B546="HEAT",B546="HEDP"),10,'Ammo Input'!F546)*VLOOKUP(B546,AmmoTypeFactors,7,FALSE))^(0.346))^IF(B546="HEDP",2.1,1)/IF(B546="HEDP",50,1)</f>
        <v>16.2870657995465</v>
      </c>
      <c r="D546" s="16">
        <f>IF(VLOOKUP(B546,AmmoTypeFactors,8,FALSE),J546,C546)*VLOOKUP('Ammo Input'!B546,AmmoTypeFactors,2,FALSE)</f>
        <v>16.2870657995465</v>
      </c>
      <c r="E546" s="16">
        <f>IF(OR(VLOOKUP(B546,AmmoTypeFactors,6,FALSE)="Bomb",VLOOKUP(B546,AmmoTypeFactors,6,FALSE)="Thermobaric"),J546*VLOOKUP(B546,AmmoTypeFactors,4,FALSE),IF(VLOOKUP(B546,AmmoTypeFactors,11,FALSE),P546,C546*VLOOKUP(B546,AmmoTypeFactors,4,FALSE)))</f>
        <v>0</v>
      </c>
      <c r="F546" s="16">
        <f>'Ammo Stats'!G546/0.005</f>
        <v>375400</v>
      </c>
      <c r="G546" s="16">
        <f>(IF(B546="HEAT",10,'Ammo Input'!F546)*VLOOKUP(B546,AmmoTypeFactors,7,FALSE)*0.5)^2*PI()/100</f>
        <v>0.530680972637042</v>
      </c>
      <c r="H546" s="10">
        <f t="shared" si="15"/>
        <v>37.54</v>
      </c>
      <c r="I546" s="10">
        <f>IF(B546&lt;&gt;"Arrow (Flaming)",39493.49*'Ammo Input'!M546^0.6/1000,0)</f>
        <v>0</v>
      </c>
      <c r="J546">
        <f t="shared" si="16"/>
        <v>0</v>
      </c>
      <c r="K546">
        <f t="shared" si="17"/>
        <v>7</v>
      </c>
      <c r="L546">
        <f>200000/('Ammo Stats'!C546*(MAX('Ammo Input'!D546,'Ammo Input'!F546)*0.5)^2*PI())</f>
        <v>89310.2829007659</v>
      </c>
      <c r="M546">
        <f>IF(B546="Frag",1,('Ammo Input'!M546/1.33)/('Ammo Input'!H546/1000))</f>
        <v>0</v>
      </c>
      <c r="N546" t="s">
        <v>353</v>
      </c>
      <c r="O546" t="s">
        <v>353</v>
      </c>
      <c r="P546" s="3">
        <f>(39493.49*(IF((VLOOKUP(B546,AmmoTypeFactors,6,FALSE)="Bomb_Secondary"),1.33,1)*('Ammo Input'!H546*0.35)/1000)^0.6/1000)*10/3*VLOOKUP(B546,AmmoTypeFactors,4,FALSE)</f>
        <v>0</v>
      </c>
    </row>
    <row r="547" ht="14.4" spans="1:16">
      <c r="A547" t="str">
        <f>'Ammo Input'!A547</f>
        <v>7.92×33mm Kurz</v>
      </c>
      <c r="B547" s="1" t="str">
        <f>'Ammo Input'!B547</f>
        <v>AP</v>
      </c>
      <c r="C547">
        <f>(0.579*('Ammo Stats'!G547*IF(OR(B547="HEAT",B547="HEDP"),10,'Ammo Input'!F547)*VLOOKUP(B547,AmmoTypeFactors,7,FALSE))^(0.346))^IF(B547="HEDP",2.1,1)/IF(B547="HEDP",50,1)</f>
        <v>12.8140517160857</v>
      </c>
      <c r="D547" s="16">
        <f>IF(VLOOKUP(B547,AmmoTypeFactors,8,FALSE),J547,C547)*VLOOKUP('Ammo Input'!B547,AmmoTypeFactors,2,FALSE)</f>
        <v>10.2512413728685</v>
      </c>
      <c r="E547" s="16">
        <f>IF(OR(VLOOKUP(B547,AmmoTypeFactors,6,FALSE)="Bomb",VLOOKUP(B547,AmmoTypeFactors,6,FALSE)="Thermobaric"),J547*VLOOKUP(B547,AmmoTypeFactors,4,FALSE),IF(VLOOKUP(B547,AmmoTypeFactors,11,FALSE),P547,C547*VLOOKUP(B547,AmmoTypeFactors,4,FALSE)))</f>
        <v>0</v>
      </c>
      <c r="F547" s="16">
        <f>'Ammo Stats'!G547/0.005</f>
        <v>375400</v>
      </c>
      <c r="G547" s="16">
        <f>(IF(B547="HEAT",10,'Ammo Input'!F547)*VLOOKUP(B547,AmmoTypeFactors,7,FALSE)*0.5)^2*PI()/100</f>
        <v>0.13267024315926</v>
      </c>
      <c r="H547" s="10">
        <f t="shared" si="15"/>
        <v>37.54</v>
      </c>
      <c r="I547" s="10">
        <f>IF(B547&lt;&gt;"Arrow (Flaming)",39493.49*'Ammo Input'!M547^0.6/1000,0)</f>
        <v>0</v>
      </c>
      <c r="J547">
        <f t="shared" si="16"/>
        <v>0</v>
      </c>
      <c r="K547">
        <f t="shared" si="17"/>
        <v>7</v>
      </c>
      <c r="L547">
        <f>200000/('Ammo Stats'!C547*(MAX('Ammo Input'!D547,'Ammo Input'!F547)*0.5)^2*PI())</f>
        <v>89310.2829007659</v>
      </c>
      <c r="M547">
        <f>IF(B547="Frag",1,('Ammo Input'!M547/1.33)/('Ammo Input'!H547/1000))</f>
        <v>0</v>
      </c>
      <c r="N547" t="s">
        <v>353</v>
      </c>
      <c r="O547" t="s">
        <v>353</v>
      </c>
      <c r="P547" s="3">
        <f>(39493.49*(IF((VLOOKUP(B547,AmmoTypeFactors,6,FALSE)="Bomb_Secondary"),1.33,1)*('Ammo Input'!H547*0.35)/1000)^0.6/1000)*10/3*VLOOKUP(B547,AmmoTypeFactors,4,FALSE)</f>
        <v>0</v>
      </c>
    </row>
    <row r="548" ht="14.4" spans="1:16">
      <c r="A548" t="str">
        <f>'Ammo Input'!A548</f>
        <v>7.92×33mm Kurz</v>
      </c>
      <c r="B548" s="1" t="str">
        <f>'Ammo Input'!B548</f>
        <v>HP</v>
      </c>
      <c r="C548">
        <f>(0.579*('Ammo Stats'!G548*IF(OR(B548="HEAT",B548="HEDP"),10,'Ammo Input'!F548)*VLOOKUP(B548,AmmoTypeFactors,7,FALSE))^(0.346))^IF(B548="HEDP",2.1,1)/IF(B548="HEDP",50,1)</f>
        <v>20.7013767570302</v>
      </c>
      <c r="D548" s="16">
        <f>IF(VLOOKUP(B548,AmmoTypeFactors,8,FALSE),J548,C548)*VLOOKUP('Ammo Input'!B548,AmmoTypeFactors,2,FALSE)</f>
        <v>20.7013767570302</v>
      </c>
      <c r="E548" s="16">
        <f>IF(OR(VLOOKUP(B548,AmmoTypeFactors,6,FALSE)="Bomb",VLOOKUP(B548,AmmoTypeFactors,6,FALSE)="Thermobaric"),J548*VLOOKUP(B548,AmmoTypeFactors,4,FALSE),IF(VLOOKUP(B548,AmmoTypeFactors,11,FALSE),P548,C548*VLOOKUP(B548,AmmoTypeFactors,4,FALSE)))</f>
        <v>0</v>
      </c>
      <c r="F548" s="16">
        <f>'Ammo Stats'!G548/0.005</f>
        <v>375400</v>
      </c>
      <c r="G548" s="16">
        <f>(IF(B548="HEAT",10,'Ammo Input'!F548)*VLOOKUP(B548,AmmoTypeFactors,7,FALSE)*0.5)^2*PI()/100</f>
        <v>2.12272389054817</v>
      </c>
      <c r="H548" s="10">
        <f t="shared" si="15"/>
        <v>37.54</v>
      </c>
      <c r="I548" s="10">
        <f>IF(B548&lt;&gt;"Arrow (Flaming)",39493.49*'Ammo Input'!M548^0.6/1000,0)</f>
        <v>0</v>
      </c>
      <c r="J548">
        <f t="shared" si="16"/>
        <v>0</v>
      </c>
      <c r="K548">
        <f t="shared" si="17"/>
        <v>7</v>
      </c>
      <c r="L548">
        <f>200000/('Ammo Stats'!C548*(MAX('Ammo Input'!D548,'Ammo Input'!F548)*0.5)^2*PI())</f>
        <v>89310.2829007659</v>
      </c>
      <c r="M548">
        <f>IF(B548="Frag",1,('Ammo Input'!M548/1.33)/('Ammo Input'!H548/1000))</f>
        <v>0</v>
      </c>
      <c r="N548" t="s">
        <v>353</v>
      </c>
      <c r="O548" t="s">
        <v>353</v>
      </c>
      <c r="P548" s="3">
        <f>(39493.49*(IF((VLOOKUP(B548,AmmoTypeFactors,6,FALSE)="Bomb_Secondary"),1.33,1)*('Ammo Input'!H548*0.35)/1000)^0.6/1000)*10/3*VLOOKUP(B548,AmmoTypeFactors,4,FALSE)</f>
        <v>0</v>
      </c>
    </row>
    <row r="549" ht="14.4" spans="1:16">
      <c r="A549" t="str">
        <f>'Ammo Input'!A549</f>
        <v>7.92×33mm Kurz</v>
      </c>
      <c r="B549" s="1" t="str">
        <f>'Ammo Input'!B549</f>
        <v>AP-I</v>
      </c>
      <c r="C549">
        <f>(0.579*('Ammo Stats'!G549*IF(OR(B549="HEAT",B549="HEDP"),10,'Ammo Input'!F549)*VLOOKUP(B549,AmmoTypeFactors,7,FALSE))^(0.346))^IF(B549="HEDP",2.1,1)/IF(B549="HEDP",50,1)</f>
        <v>12.8140517160857</v>
      </c>
      <c r="D549" s="16">
        <f>IF(VLOOKUP(B549,AmmoTypeFactors,8,FALSE),J549,C549)*VLOOKUP('Ammo Input'!B549,AmmoTypeFactors,2,FALSE)</f>
        <v>10.2512413728685</v>
      </c>
      <c r="E549" s="16">
        <f>IF(OR(VLOOKUP(B549,AmmoTypeFactors,6,FALSE)="Bomb",VLOOKUP(B549,AmmoTypeFactors,6,FALSE)="Thermobaric"),J549*VLOOKUP(B549,AmmoTypeFactors,4,FALSE),IF(VLOOKUP(B549,AmmoTypeFactors,11,FALSE),P549,C549*VLOOKUP(B549,AmmoTypeFactors,4,FALSE)))</f>
        <v>5.03086229537241</v>
      </c>
      <c r="F549" s="16">
        <f>'Ammo Stats'!G549/0.005</f>
        <v>375400</v>
      </c>
      <c r="G549" s="16">
        <f>(IF(B549="HEAT",10,'Ammo Input'!F549)*VLOOKUP(B549,AmmoTypeFactors,7,FALSE)*0.5)^2*PI()/100</f>
        <v>0.13267024315926</v>
      </c>
      <c r="H549" s="10">
        <f t="shared" si="15"/>
        <v>37.54</v>
      </c>
      <c r="I549" s="10">
        <f>IF(B549&lt;&gt;"Arrow (Flaming)",39493.49*'Ammo Input'!M549^0.6/1000,0)</f>
        <v>0</v>
      </c>
      <c r="J549">
        <f t="shared" si="16"/>
        <v>0</v>
      </c>
      <c r="K549">
        <f t="shared" si="17"/>
        <v>7</v>
      </c>
      <c r="L549">
        <f>200000/('Ammo Stats'!C549*(MAX('Ammo Input'!D549,'Ammo Input'!F549)*0.5)^2*PI())</f>
        <v>89310.2829007659</v>
      </c>
      <c r="M549">
        <f>IF(B549="Frag",1,('Ammo Input'!M549/1.33)/('Ammo Input'!H549/1000))</f>
        <v>0</v>
      </c>
      <c r="N549" t="s">
        <v>353</v>
      </c>
      <c r="O549" t="s">
        <v>353</v>
      </c>
      <c r="P549" s="3">
        <f>(39493.49*(IF((VLOOKUP(B549,AmmoTypeFactors,6,FALSE)="Bomb_Secondary"),1.33,1)*('Ammo Input'!H549*0.35)/1000)^0.6/1000)*10/3*VLOOKUP(B549,AmmoTypeFactors,4,FALSE)</f>
        <v>5.03086229537241</v>
      </c>
    </row>
    <row r="550" ht="14.4" spans="1:16">
      <c r="A550" t="str">
        <f>'Ammo Input'!A550</f>
        <v>7.92×33mm Kurz</v>
      </c>
      <c r="B550" s="1" t="str">
        <f>'Ammo Input'!B550</f>
        <v>AP-HE</v>
      </c>
      <c r="C550">
        <f>(0.579*('Ammo Stats'!G550*IF(OR(B550="HEAT",B550="HEDP"),10,'Ammo Input'!F550)*VLOOKUP(B550,AmmoTypeFactors,7,FALSE))^(0.346))^IF(B550="HEDP",2.1,1)/IF(B550="HEDP",50,1)</f>
        <v>16.2870657995465</v>
      </c>
      <c r="D550" s="16">
        <f>IF(VLOOKUP(B550,AmmoTypeFactors,8,FALSE),J550,C550)*VLOOKUP('Ammo Input'!B550,AmmoTypeFactors,2,FALSE)</f>
        <v>16.2870657995465</v>
      </c>
      <c r="E550" s="16">
        <f>IF(OR(VLOOKUP(B550,AmmoTypeFactors,6,FALSE)="Bomb",VLOOKUP(B550,AmmoTypeFactors,6,FALSE)="Thermobaric"),J550*VLOOKUP(B550,AmmoTypeFactors,4,FALSE),IF(VLOOKUP(B550,AmmoTypeFactors,11,FALSE),P550,C550*VLOOKUP(B550,AmmoTypeFactors,4,FALSE)))</f>
        <v>6.88812978330752</v>
      </c>
      <c r="F550" s="16">
        <f>'Ammo Stats'!G550/0.005</f>
        <v>375400</v>
      </c>
      <c r="G550" s="16">
        <f>(IF(B550="HEAT",10,'Ammo Input'!F550)*VLOOKUP(B550,AmmoTypeFactors,7,FALSE)*0.5)^2*PI()/100</f>
        <v>0.530680972637042</v>
      </c>
      <c r="H550" s="10">
        <f t="shared" si="15"/>
        <v>37.54</v>
      </c>
      <c r="I550" s="10">
        <f>IF(B550&lt;&gt;"Arrow (Flaming)",39493.49*'Ammo Input'!M550^0.6/1000,0)</f>
        <v>0</v>
      </c>
      <c r="J550">
        <f t="shared" si="16"/>
        <v>0</v>
      </c>
      <c r="K550">
        <f t="shared" si="17"/>
        <v>7</v>
      </c>
      <c r="L550">
        <f>200000/('Ammo Stats'!C550*(MAX('Ammo Input'!D550,'Ammo Input'!F550)*0.5)^2*PI())</f>
        <v>89310.2829007659</v>
      </c>
      <c r="M550">
        <f>IF(B550="Frag",1,('Ammo Input'!M550/1.33)/('Ammo Input'!H550/1000))</f>
        <v>0</v>
      </c>
      <c r="N550" t="s">
        <v>353</v>
      </c>
      <c r="O550" t="s">
        <v>353</v>
      </c>
      <c r="P550" s="3">
        <f>(39493.49*(IF((VLOOKUP(B550,AmmoTypeFactors,6,FALSE)="Bomb_Secondary"),1.33,1)*('Ammo Input'!H550*0.35)/1000)^0.6/1000)*10/3*VLOOKUP(B550,AmmoTypeFactors,4,FALSE)</f>
        <v>6.88812978330752</v>
      </c>
    </row>
    <row r="551" ht="14.4" spans="1:16">
      <c r="A551" t="str">
        <f>'Ammo Input'!A551</f>
        <v>7.92×33mm Kurz</v>
      </c>
      <c r="B551" s="1" t="str">
        <f>'Ammo Input'!B551</f>
        <v>Sabot</v>
      </c>
      <c r="C551">
        <f>(0.579*('Ammo Stats'!G551*IF(OR(B551="HEAT",B551="HEDP"),10,'Ammo Input'!F551)*VLOOKUP(B551,AmmoTypeFactors,7,FALSE))^(0.346))^IF(B551="HEDP",2.1,1)/IF(B551="HEDP",50,1)</f>
        <v>12.3607020511037</v>
      </c>
      <c r="D551" s="16">
        <f>IF(VLOOKUP(B551,AmmoTypeFactors,8,FALSE),J551,C551)*VLOOKUP('Ammo Input'!B551,AmmoTypeFactors,2,FALSE)</f>
        <v>8.65249143577259</v>
      </c>
      <c r="E551" s="16">
        <f>IF(OR(VLOOKUP(B551,AmmoTypeFactors,6,FALSE)="Bomb",VLOOKUP(B551,AmmoTypeFactors,6,FALSE)="Thermobaric"),J551*VLOOKUP(B551,AmmoTypeFactors,4,FALSE),IF(VLOOKUP(B551,AmmoTypeFactors,11,FALSE),P551,C551*VLOOKUP(B551,AmmoTypeFactors,4,FALSE)))</f>
        <v>0</v>
      </c>
      <c r="F551" s="16">
        <f>'Ammo Stats'!G551/0.005</f>
        <v>483600</v>
      </c>
      <c r="G551" s="16">
        <f>(IF(B551="HEAT",10,'Ammo Input'!F551)*VLOOKUP(B551,AmmoTypeFactors,7,FALSE)*0.5)^2*PI()/100</f>
        <v>0.0649180669433203</v>
      </c>
      <c r="H551" s="10">
        <f t="shared" si="15"/>
        <v>48.36</v>
      </c>
      <c r="I551" s="10">
        <f>IF(B551&lt;&gt;"Arrow (Flaming)",39493.49*'Ammo Input'!M551^0.6/1000,0)</f>
        <v>0</v>
      </c>
      <c r="J551">
        <f t="shared" si="16"/>
        <v>0</v>
      </c>
      <c r="K551">
        <f t="shared" si="17"/>
        <v>8</v>
      </c>
      <c r="L551">
        <f>200000/('Ammo Stats'!C551*(MAX('Ammo Input'!D551,'Ammo Input'!F551)*0.5)^2*PI())</f>
        <v>89310.2829007659</v>
      </c>
      <c r="M551">
        <f>IF(B551="Frag",1,('Ammo Input'!M551/1.33)/('Ammo Input'!H551/1000))</f>
        <v>0</v>
      </c>
      <c r="N551" t="s">
        <v>353</v>
      </c>
      <c r="O551" t="s">
        <v>353</v>
      </c>
      <c r="P551" s="3">
        <f>(39493.49*(IF((VLOOKUP(B551,AmmoTypeFactors,6,FALSE)="Bomb_Secondary"),1.33,1)*('Ammo Input'!H551*0.35)/1000)^0.6/1000)*10/3*VLOOKUP(B551,AmmoTypeFactors,4,FALSE)</f>
        <v>0</v>
      </c>
    </row>
    <row r="552" ht="14.4" spans="1:16">
      <c r="A552" t="str">
        <f>'Ammo Input'!A552</f>
        <v>8x50mmR Mannlicher</v>
      </c>
      <c r="B552" s="1" t="str">
        <f>'Ammo Input'!B552</f>
        <v>FMJ</v>
      </c>
      <c r="C552">
        <f>(0.579*('Ammo Stats'!G552*IF(OR(B552="HEAT",B552="HEDP"),10,'Ammo Input'!F552)*VLOOKUP(B552,AmmoTypeFactors,7,FALSE))^(0.346))^IF(B552="HEDP",2.1,1)/IF(B552="HEDP",50,1)</f>
        <v>18.6190058131349</v>
      </c>
      <c r="D552" s="16">
        <f>IF(VLOOKUP(B552,AmmoTypeFactors,8,FALSE),J552,C552)*VLOOKUP('Ammo Input'!B552,AmmoTypeFactors,2,FALSE)</f>
        <v>18.6190058131349</v>
      </c>
      <c r="E552" s="16">
        <f>IF(OR(VLOOKUP(B552,AmmoTypeFactors,6,FALSE)="Bomb",VLOOKUP(B552,AmmoTypeFactors,6,FALSE)="Thermobaric"),J552*VLOOKUP(B552,AmmoTypeFactors,4,FALSE),IF(VLOOKUP(B552,AmmoTypeFactors,11,FALSE),P552,C552*VLOOKUP(B552,AmmoTypeFactors,4,FALSE)))</f>
        <v>0</v>
      </c>
      <c r="F552" s="16">
        <f>'Ammo Stats'!G552/0.005</f>
        <v>557400</v>
      </c>
      <c r="G552" s="16">
        <f>(IF(B552="HEAT",10,'Ammo Input'!F552)*VLOOKUP(B552,AmmoTypeFactors,7,FALSE)*0.5)^2*PI()/100</f>
        <v>0.52168109508267</v>
      </c>
      <c r="H552" s="10">
        <f t="shared" si="15"/>
        <v>55.74</v>
      </c>
      <c r="I552" s="10">
        <f>IF(B552&lt;&gt;"Arrow (Flaming)",39493.49*'Ammo Input'!M552^0.6/1000,0)</f>
        <v>0</v>
      </c>
      <c r="J552">
        <f t="shared" si="16"/>
        <v>0</v>
      </c>
      <c r="K552">
        <f t="shared" si="17"/>
        <v>8</v>
      </c>
      <c r="L552">
        <f>200000/('Ammo Stats'!C552*(MAX('Ammo Input'!D552,'Ammo Input'!F552)*0.5)^2*PI())</f>
        <v>54499.1449881846</v>
      </c>
      <c r="M552">
        <f>IF(B552="Frag",1,('Ammo Input'!M552/1.33)/('Ammo Input'!H552/1000))</f>
        <v>0</v>
      </c>
      <c r="N552" t="s">
        <v>353</v>
      </c>
      <c r="O552" t="s">
        <v>353</v>
      </c>
      <c r="P552" s="3">
        <f>(39493.49*(IF((VLOOKUP(B552,AmmoTypeFactors,6,FALSE)="Bomb_Secondary"),1.33,1)*('Ammo Input'!H552*0.35)/1000)^0.6/1000)*10/3*VLOOKUP(B552,AmmoTypeFactors,4,FALSE)</f>
        <v>0</v>
      </c>
    </row>
    <row r="553" ht="14.4" spans="1:16">
      <c r="A553" t="str">
        <f>'Ammo Input'!A553</f>
        <v>8x50mmR Mannlicher</v>
      </c>
      <c r="B553" s="1" t="str">
        <f>'Ammo Input'!B553</f>
        <v>AP</v>
      </c>
      <c r="C553">
        <f>(0.579*('Ammo Stats'!G553*IF(OR(B553="HEAT",B553="HEDP"),10,'Ammo Input'!F553)*VLOOKUP(B553,AmmoTypeFactors,7,FALSE))^(0.346))^IF(B553="HEDP",2.1,1)/IF(B553="HEDP",50,1)</f>
        <v>14.6487345435943</v>
      </c>
      <c r="D553" s="16">
        <f>IF(VLOOKUP(B553,AmmoTypeFactors,8,FALSE),J553,C553)*VLOOKUP('Ammo Input'!B553,AmmoTypeFactors,2,FALSE)</f>
        <v>11.7189876348754</v>
      </c>
      <c r="E553" s="16">
        <f>IF(OR(VLOOKUP(B553,AmmoTypeFactors,6,FALSE)="Bomb",VLOOKUP(B553,AmmoTypeFactors,6,FALSE)="Thermobaric"),J553*VLOOKUP(B553,AmmoTypeFactors,4,FALSE),IF(VLOOKUP(B553,AmmoTypeFactors,11,FALSE),P553,C553*VLOOKUP(B553,AmmoTypeFactors,4,FALSE)))</f>
        <v>0</v>
      </c>
      <c r="F553" s="16">
        <f>'Ammo Stats'!G553/0.005</f>
        <v>557400</v>
      </c>
      <c r="G553" s="16">
        <f>(IF(B553="HEAT",10,'Ammo Input'!F553)*VLOOKUP(B553,AmmoTypeFactors,7,FALSE)*0.5)^2*PI()/100</f>
        <v>0.130420273770668</v>
      </c>
      <c r="H553" s="10">
        <f t="shared" si="15"/>
        <v>55.74</v>
      </c>
      <c r="I553" s="10">
        <f>IF(B553&lt;&gt;"Arrow (Flaming)",39493.49*'Ammo Input'!M553^0.6/1000,0)</f>
        <v>0</v>
      </c>
      <c r="J553">
        <f t="shared" si="16"/>
        <v>0</v>
      </c>
      <c r="K553">
        <f t="shared" si="17"/>
        <v>8</v>
      </c>
      <c r="L553">
        <f>200000/('Ammo Stats'!C553*(MAX('Ammo Input'!D553,'Ammo Input'!F553)*0.5)^2*PI())</f>
        <v>54499.1449881846</v>
      </c>
      <c r="M553">
        <f>IF(B553="Frag",1,('Ammo Input'!M553/1.33)/('Ammo Input'!H553/1000))</f>
        <v>0</v>
      </c>
      <c r="N553" t="s">
        <v>353</v>
      </c>
      <c r="O553" t="s">
        <v>353</v>
      </c>
      <c r="P553" s="3">
        <f>(39493.49*(IF((VLOOKUP(B553,AmmoTypeFactors,6,FALSE)="Bomb_Secondary"),1.33,1)*('Ammo Input'!H553*0.35)/1000)^0.6/1000)*10/3*VLOOKUP(B553,AmmoTypeFactors,4,FALSE)</f>
        <v>0</v>
      </c>
    </row>
    <row r="554" ht="14.4" spans="1:16">
      <c r="A554" t="str">
        <f>'Ammo Input'!A554</f>
        <v>8x50mmR Mannlicher</v>
      </c>
      <c r="B554" s="1" t="str">
        <f>'Ammo Input'!B554</f>
        <v>HP</v>
      </c>
      <c r="C554">
        <f>(0.579*('Ammo Stats'!G554*IF(OR(B554="HEAT",B554="HEDP"),10,'Ammo Input'!F554)*VLOOKUP(B554,AmmoTypeFactors,7,FALSE))^(0.346))^IF(B554="HEDP",2.1,1)/IF(B554="HEDP",50,1)</f>
        <v>23.6653464118609</v>
      </c>
      <c r="D554" s="16">
        <f>IF(VLOOKUP(B554,AmmoTypeFactors,8,FALSE),J554,C554)*VLOOKUP('Ammo Input'!B554,AmmoTypeFactors,2,FALSE)</f>
        <v>23.6653464118609</v>
      </c>
      <c r="E554" s="16">
        <f>IF(OR(VLOOKUP(B554,AmmoTypeFactors,6,FALSE)="Bomb",VLOOKUP(B554,AmmoTypeFactors,6,FALSE)="Thermobaric"),J554*VLOOKUP(B554,AmmoTypeFactors,4,FALSE),IF(VLOOKUP(B554,AmmoTypeFactors,11,FALSE),P554,C554*VLOOKUP(B554,AmmoTypeFactors,4,FALSE)))</f>
        <v>0</v>
      </c>
      <c r="F554" s="16">
        <f>'Ammo Stats'!G554/0.005</f>
        <v>557400</v>
      </c>
      <c r="G554" s="16">
        <f>(IF(B554="HEAT",10,'Ammo Input'!F554)*VLOOKUP(B554,AmmoTypeFactors,7,FALSE)*0.5)^2*PI()/100</f>
        <v>2.08672438033068</v>
      </c>
      <c r="H554" s="10">
        <f t="shared" si="15"/>
        <v>55.74</v>
      </c>
      <c r="I554" s="10">
        <f>IF(B554&lt;&gt;"Arrow (Flaming)",39493.49*'Ammo Input'!M554^0.6/1000,0)</f>
        <v>0</v>
      </c>
      <c r="J554">
        <f t="shared" si="16"/>
        <v>0</v>
      </c>
      <c r="K554">
        <f t="shared" si="17"/>
        <v>8</v>
      </c>
      <c r="L554">
        <f>200000/('Ammo Stats'!C554*(MAX('Ammo Input'!D554,'Ammo Input'!F554)*0.5)^2*PI())</f>
        <v>54499.1449881846</v>
      </c>
      <c r="M554">
        <f>IF(B554="Frag",1,('Ammo Input'!M554/1.33)/('Ammo Input'!H554/1000))</f>
        <v>0</v>
      </c>
      <c r="N554" t="s">
        <v>353</v>
      </c>
      <c r="O554" t="s">
        <v>353</v>
      </c>
      <c r="P554" s="3">
        <f>(39493.49*(IF((VLOOKUP(B554,AmmoTypeFactors,6,FALSE)="Bomb_Secondary"),1.33,1)*('Ammo Input'!H554*0.35)/1000)^0.6/1000)*10/3*VLOOKUP(B554,AmmoTypeFactors,4,FALSE)</f>
        <v>0</v>
      </c>
    </row>
    <row r="555" ht="14.4" spans="1:16">
      <c r="A555" t="str">
        <f>'Ammo Input'!A555</f>
        <v>8x50mmR Mannlicher</v>
      </c>
      <c r="B555" s="1" t="str">
        <f>'Ammo Input'!B555</f>
        <v>AP-I</v>
      </c>
      <c r="C555">
        <f>(0.579*('Ammo Stats'!G555*IF(OR(B555="HEAT",B555="HEDP"),10,'Ammo Input'!F555)*VLOOKUP(B555,AmmoTypeFactors,7,FALSE))^(0.346))^IF(B555="HEDP",2.1,1)/IF(B555="HEDP",50,1)</f>
        <v>14.6487345435943</v>
      </c>
      <c r="D555" s="16">
        <f>IF(VLOOKUP(B555,AmmoTypeFactors,8,FALSE),J555,C555)*VLOOKUP('Ammo Input'!B555,AmmoTypeFactors,2,FALSE)</f>
        <v>11.7189876348754</v>
      </c>
      <c r="E555" s="16">
        <f>IF(OR(VLOOKUP(B555,AmmoTypeFactors,6,FALSE)="Bomb",VLOOKUP(B555,AmmoTypeFactors,6,FALSE)="Thermobaric"),J555*VLOOKUP(B555,AmmoTypeFactors,4,FALSE),IF(VLOOKUP(B555,AmmoTypeFactors,11,FALSE),P555,C555*VLOOKUP(B555,AmmoTypeFactors,4,FALSE)))</f>
        <v>7.56802729913394</v>
      </c>
      <c r="F555" s="16">
        <f>'Ammo Stats'!G555/0.005</f>
        <v>557400</v>
      </c>
      <c r="G555" s="16">
        <f>(IF(B555="HEAT",10,'Ammo Input'!F555)*VLOOKUP(B555,AmmoTypeFactors,7,FALSE)*0.5)^2*PI()/100</f>
        <v>0.130420273770668</v>
      </c>
      <c r="H555" s="10">
        <f t="shared" si="15"/>
        <v>55.74</v>
      </c>
      <c r="I555" s="10">
        <f>IF(B555&lt;&gt;"Arrow (Flaming)",39493.49*'Ammo Input'!M555^0.6/1000,0)</f>
        <v>0</v>
      </c>
      <c r="J555">
        <f t="shared" si="16"/>
        <v>0</v>
      </c>
      <c r="K555">
        <f t="shared" si="17"/>
        <v>8</v>
      </c>
      <c r="L555">
        <f>200000/('Ammo Stats'!C555*(MAX('Ammo Input'!D555,'Ammo Input'!F555)*0.5)^2*PI())</f>
        <v>54499.1449881846</v>
      </c>
      <c r="M555">
        <f>IF(B555="Frag",1,('Ammo Input'!M555/1.33)/('Ammo Input'!H555/1000))</f>
        <v>0</v>
      </c>
      <c r="N555" t="s">
        <v>353</v>
      </c>
      <c r="O555" t="s">
        <v>353</v>
      </c>
      <c r="P555" s="3">
        <f>(39493.49*(IF((VLOOKUP(B555,AmmoTypeFactors,6,FALSE)="Bomb_Secondary"),1.33,1)*('Ammo Input'!H555*0.35)/1000)^0.6/1000)*10/3*VLOOKUP(B555,AmmoTypeFactors,4,FALSE)</f>
        <v>7.56802729913394</v>
      </c>
    </row>
    <row r="556" ht="14.4" spans="1:16">
      <c r="A556" t="str">
        <f>'Ammo Input'!A556</f>
        <v>8x50mmR Mannlicher</v>
      </c>
      <c r="B556" s="1" t="str">
        <f>'Ammo Input'!B556</f>
        <v>AP-HE</v>
      </c>
      <c r="C556">
        <f>(0.579*('Ammo Stats'!G556*IF(OR(B556="HEAT",B556="HEDP"),10,'Ammo Input'!F556)*VLOOKUP(B556,AmmoTypeFactors,7,FALSE))^(0.346))^IF(B556="HEDP",2.1,1)/IF(B556="HEDP",50,1)</f>
        <v>18.6190058131349</v>
      </c>
      <c r="D556" s="16">
        <f>IF(VLOOKUP(B556,AmmoTypeFactors,8,FALSE),J556,C556)*VLOOKUP('Ammo Input'!B556,AmmoTypeFactors,2,FALSE)</f>
        <v>18.6190058131349</v>
      </c>
      <c r="E556" s="16">
        <f>IF(OR(VLOOKUP(B556,AmmoTypeFactors,6,FALSE)="Bomb",VLOOKUP(B556,AmmoTypeFactors,6,FALSE)="Thermobaric"),J556*VLOOKUP(B556,AmmoTypeFactors,4,FALSE),IF(VLOOKUP(B556,AmmoTypeFactors,11,FALSE),P556,C556*VLOOKUP(B556,AmmoTypeFactors,4,FALSE)))</f>
        <v>10.3619521226013</v>
      </c>
      <c r="F556" s="16">
        <f>'Ammo Stats'!G556/0.005</f>
        <v>557400</v>
      </c>
      <c r="G556" s="16">
        <f>(IF(B556="HEAT",10,'Ammo Input'!F556)*VLOOKUP(B556,AmmoTypeFactors,7,FALSE)*0.5)^2*PI()/100</f>
        <v>0.52168109508267</v>
      </c>
      <c r="H556" s="10">
        <f t="shared" si="15"/>
        <v>55.74</v>
      </c>
      <c r="I556" s="10">
        <f>IF(B556&lt;&gt;"Arrow (Flaming)",39493.49*'Ammo Input'!M556^0.6/1000,0)</f>
        <v>0</v>
      </c>
      <c r="J556">
        <f t="shared" si="16"/>
        <v>0</v>
      </c>
      <c r="K556">
        <f t="shared" si="17"/>
        <v>8</v>
      </c>
      <c r="L556">
        <f>200000/('Ammo Stats'!C556*(MAX('Ammo Input'!D556,'Ammo Input'!F556)*0.5)^2*PI())</f>
        <v>54499.1449881846</v>
      </c>
      <c r="M556">
        <f>IF(B556="Frag",1,('Ammo Input'!M556/1.33)/('Ammo Input'!H556/1000))</f>
        <v>0</v>
      </c>
      <c r="N556" t="s">
        <v>353</v>
      </c>
      <c r="O556" t="s">
        <v>353</v>
      </c>
      <c r="P556" s="3">
        <f>(39493.49*(IF((VLOOKUP(B556,AmmoTypeFactors,6,FALSE)="Bomb_Secondary"),1.33,1)*('Ammo Input'!H556*0.35)/1000)^0.6/1000)*10/3*VLOOKUP(B556,AmmoTypeFactors,4,FALSE)</f>
        <v>10.3619521226013</v>
      </c>
    </row>
    <row r="557" ht="14.4" spans="1:16">
      <c r="A557" t="str">
        <f>'Ammo Input'!A557</f>
        <v>8x50mmR Mannlicher</v>
      </c>
      <c r="B557" s="1" t="str">
        <f>'Ammo Input'!B557</f>
        <v>Sabot</v>
      </c>
      <c r="C557">
        <f>(0.579*('Ammo Stats'!G557*IF(OR(B557="HEAT",B557="HEDP"),10,'Ammo Input'!F557)*VLOOKUP(B557,AmmoTypeFactors,7,FALSE))^(0.346))^IF(B557="HEDP",2.1,1)/IF(B557="HEDP",50,1)</f>
        <v>14.1198527256276</v>
      </c>
      <c r="D557" s="16">
        <f>IF(VLOOKUP(B557,AmmoTypeFactors,8,FALSE),J557,C557)*VLOOKUP('Ammo Input'!B557,AmmoTypeFactors,2,FALSE)</f>
        <v>9.88389690793933</v>
      </c>
      <c r="E557" s="16">
        <f>IF(OR(VLOOKUP(B557,AmmoTypeFactors,6,FALSE)="Bomb",VLOOKUP(B557,AmmoTypeFactors,6,FALSE)="Thermobaric"),J557*VLOOKUP(B557,AmmoTypeFactors,4,FALSE),IF(VLOOKUP(B557,AmmoTypeFactors,11,FALSE),P557,C557*VLOOKUP(B557,AmmoTypeFactors,4,FALSE)))</f>
        <v>0</v>
      </c>
      <c r="F557" s="16">
        <f>'Ammo Stats'!G557/0.005</f>
        <v>716000</v>
      </c>
      <c r="G557" s="16">
        <f>(IF(B557="HEAT",10,'Ammo Input'!F557)*VLOOKUP(B557,AmmoTypeFactors,7,FALSE)*0.5)^2*PI()/100</f>
        <v>0.0639059341476271</v>
      </c>
      <c r="H557" s="10">
        <f t="shared" si="15"/>
        <v>71.6</v>
      </c>
      <c r="I557" s="10">
        <f>IF(B557&lt;&gt;"Arrow (Flaming)",39493.49*'Ammo Input'!M557^0.6/1000,0)</f>
        <v>0</v>
      </c>
      <c r="J557">
        <f t="shared" si="16"/>
        <v>0</v>
      </c>
      <c r="K557">
        <f t="shared" si="17"/>
        <v>9</v>
      </c>
      <c r="L557">
        <f>200000/('Ammo Stats'!C557*(MAX('Ammo Input'!D557,'Ammo Input'!F557)*0.5)^2*PI())</f>
        <v>54499.1449881846</v>
      </c>
      <c r="M557">
        <f>IF(B557="Frag",1,('Ammo Input'!M557/1.33)/('Ammo Input'!H557/1000))</f>
        <v>0</v>
      </c>
      <c r="N557" t="s">
        <v>353</v>
      </c>
      <c r="O557" t="s">
        <v>353</v>
      </c>
      <c r="P557" s="3">
        <f>(39493.49*(IF((VLOOKUP(B557,AmmoTypeFactors,6,FALSE)="Bomb_Secondary"),1.33,1)*('Ammo Input'!H557*0.35)/1000)^0.6/1000)*10/3*VLOOKUP(B557,AmmoTypeFactors,4,FALSE)</f>
        <v>0</v>
      </c>
    </row>
    <row r="558" ht="14.4" spans="1:16">
      <c r="A558" t="str">
        <f>'Ammo Input'!A558</f>
        <v>8x50mmR Lebel</v>
      </c>
      <c r="B558" s="1" t="str">
        <f>'Ammo Input'!B558</f>
        <v>FMJ</v>
      </c>
      <c r="C558">
        <f>(0.579*('Ammo Stats'!G558*IF(OR(B558="HEAT",B558="HEDP"),10,'Ammo Input'!F558)*VLOOKUP(B558,AmmoTypeFactors,7,FALSE))^(0.346))^IF(B558="HEDP",2.1,1)/IF(B558="HEDP",50,1)</f>
        <v>20.0935493848307</v>
      </c>
      <c r="D558" s="16">
        <f>IF(VLOOKUP(B558,AmmoTypeFactors,8,FALSE),J558,C558)*VLOOKUP('Ammo Input'!B558,AmmoTypeFactors,2,FALSE)</f>
        <v>20.0935493848307</v>
      </c>
      <c r="E558" s="16">
        <f>IF(OR(VLOOKUP(B558,AmmoTypeFactors,6,FALSE)="Bomb",VLOOKUP(B558,AmmoTypeFactors,6,FALSE)="Thermobaric"),J558*VLOOKUP(B558,AmmoTypeFactors,4,FALSE),IF(VLOOKUP(B558,AmmoTypeFactors,11,FALSE),P558,C558*VLOOKUP(B558,AmmoTypeFactors,4,FALSE)))</f>
        <v>0</v>
      </c>
      <c r="F558" s="16">
        <f>'Ammo Stats'!G558/0.005</f>
        <v>682200</v>
      </c>
      <c r="G558" s="16">
        <f>(IF(B558="HEAT",10,'Ammo Input'!F558)*VLOOKUP(B558,AmmoTypeFactors,7,FALSE)*0.5)^2*PI()/100</f>
        <v>0.541060794764502</v>
      </c>
      <c r="H558" s="10">
        <f t="shared" si="15"/>
        <v>68.22</v>
      </c>
      <c r="I558" s="10">
        <f>IF(B558&lt;&gt;"Arrow (Flaming)",39493.49*'Ammo Input'!M558^0.6/1000,0)</f>
        <v>0</v>
      </c>
      <c r="J558">
        <f t="shared" si="16"/>
        <v>0</v>
      </c>
      <c r="K558">
        <f t="shared" si="17"/>
        <v>9</v>
      </c>
      <c r="L558">
        <f>200000/('Ammo Stats'!C558*(MAX('Ammo Input'!D558,'Ammo Input'!F558)*0.5)^2*PI())</f>
        <v>33574.7078583568</v>
      </c>
      <c r="M558">
        <f>IF(B558="Frag",1,('Ammo Input'!M558/1.33)/('Ammo Input'!H558/1000))</f>
        <v>0</v>
      </c>
      <c r="N558" t="s">
        <v>353</v>
      </c>
      <c r="O558" t="s">
        <v>353</v>
      </c>
      <c r="P558" s="3">
        <f>(39493.49*(IF((VLOOKUP(B558,AmmoTypeFactors,6,FALSE)="Bomb_Secondary"),1.33,1)*('Ammo Input'!H558*0.35)/1000)^0.6/1000)*10/3*VLOOKUP(B558,AmmoTypeFactors,4,FALSE)</f>
        <v>0</v>
      </c>
    </row>
    <row r="559" ht="14.4" spans="1:16">
      <c r="A559" t="str">
        <f>'Ammo Input'!A559</f>
        <v>8x50mmR Lebel</v>
      </c>
      <c r="B559" s="1" t="str">
        <f>'Ammo Input'!B559</f>
        <v>AP</v>
      </c>
      <c r="C559">
        <f>(0.579*('Ammo Stats'!G559*IF(OR(B559="HEAT",B559="HEDP"),10,'Ammo Input'!F559)*VLOOKUP(B559,AmmoTypeFactors,7,FALSE))^(0.346))^IF(B559="HEDP",2.1,1)/IF(B559="HEDP",50,1)</f>
        <v>15.808850049842</v>
      </c>
      <c r="D559" s="16">
        <f>IF(VLOOKUP(B559,AmmoTypeFactors,8,FALSE),J559,C559)*VLOOKUP('Ammo Input'!B559,AmmoTypeFactors,2,FALSE)</f>
        <v>12.6470800398736</v>
      </c>
      <c r="E559" s="16">
        <f>IF(OR(VLOOKUP(B559,AmmoTypeFactors,6,FALSE)="Bomb",VLOOKUP(B559,AmmoTypeFactors,6,FALSE)="Thermobaric"),J559*VLOOKUP(B559,AmmoTypeFactors,4,FALSE),IF(VLOOKUP(B559,AmmoTypeFactors,11,FALSE),P559,C559*VLOOKUP(B559,AmmoTypeFactors,4,FALSE)))</f>
        <v>0</v>
      </c>
      <c r="F559" s="16">
        <f>'Ammo Stats'!G559/0.005</f>
        <v>682200</v>
      </c>
      <c r="G559" s="16">
        <f>(IF(B559="HEAT",10,'Ammo Input'!F559)*VLOOKUP(B559,AmmoTypeFactors,7,FALSE)*0.5)^2*PI()/100</f>
        <v>0.135265198691126</v>
      </c>
      <c r="H559" s="10">
        <f t="shared" si="15"/>
        <v>68.22</v>
      </c>
      <c r="I559" s="10">
        <f>IF(B559&lt;&gt;"Arrow (Flaming)",39493.49*'Ammo Input'!M559^0.6/1000,0)</f>
        <v>0</v>
      </c>
      <c r="J559">
        <f t="shared" si="16"/>
        <v>0</v>
      </c>
      <c r="K559">
        <f t="shared" si="17"/>
        <v>9</v>
      </c>
      <c r="L559">
        <f>200000/('Ammo Stats'!C559*(MAX('Ammo Input'!D559,'Ammo Input'!F559)*0.5)^2*PI())</f>
        <v>33574.7078583568</v>
      </c>
      <c r="M559">
        <f>IF(B559="Frag",1,('Ammo Input'!M559/1.33)/('Ammo Input'!H559/1000))</f>
        <v>0</v>
      </c>
      <c r="N559" t="s">
        <v>353</v>
      </c>
      <c r="O559" t="s">
        <v>353</v>
      </c>
      <c r="P559" s="3">
        <f>(39493.49*(IF((VLOOKUP(B559,AmmoTypeFactors,6,FALSE)="Bomb_Secondary"),1.33,1)*('Ammo Input'!H559*0.35)/1000)^0.6/1000)*10/3*VLOOKUP(B559,AmmoTypeFactors,4,FALSE)</f>
        <v>0</v>
      </c>
    </row>
    <row r="560" ht="14.4" spans="1:16">
      <c r="A560" t="str">
        <f>'Ammo Input'!A560</f>
        <v>8x50mmR Lebel</v>
      </c>
      <c r="B560" s="1" t="str">
        <f>'Ammo Input'!B560</f>
        <v>HP</v>
      </c>
      <c r="C560">
        <f>(0.579*('Ammo Stats'!G560*IF(OR(B560="HEAT",B560="HEDP"),10,'Ammo Input'!F560)*VLOOKUP(B560,AmmoTypeFactors,7,FALSE))^(0.346))^IF(B560="HEDP",2.1,1)/IF(B560="HEDP",50,1)</f>
        <v>25.5395380187482</v>
      </c>
      <c r="D560" s="16">
        <f>IF(VLOOKUP(B560,AmmoTypeFactors,8,FALSE),J560,C560)*VLOOKUP('Ammo Input'!B560,AmmoTypeFactors,2,FALSE)</f>
        <v>25.5395380187482</v>
      </c>
      <c r="E560" s="16">
        <f>IF(OR(VLOOKUP(B560,AmmoTypeFactors,6,FALSE)="Bomb",VLOOKUP(B560,AmmoTypeFactors,6,FALSE)="Thermobaric"),J560*VLOOKUP(B560,AmmoTypeFactors,4,FALSE),IF(VLOOKUP(B560,AmmoTypeFactors,11,FALSE),P560,C560*VLOOKUP(B560,AmmoTypeFactors,4,FALSE)))</f>
        <v>0</v>
      </c>
      <c r="F560" s="16">
        <f>'Ammo Stats'!G560/0.005</f>
        <v>682200</v>
      </c>
      <c r="G560" s="16">
        <f>(IF(B560="HEAT",10,'Ammo Input'!F560)*VLOOKUP(B560,AmmoTypeFactors,7,FALSE)*0.5)^2*PI()/100</f>
        <v>2.16424317905801</v>
      </c>
      <c r="H560" s="10">
        <f t="shared" si="15"/>
        <v>68.22</v>
      </c>
      <c r="I560" s="10">
        <f>IF(B560&lt;&gt;"Arrow (Flaming)",39493.49*'Ammo Input'!M560^0.6/1000,0)</f>
        <v>0</v>
      </c>
      <c r="J560">
        <f t="shared" si="16"/>
        <v>0</v>
      </c>
      <c r="K560">
        <f t="shared" si="17"/>
        <v>9</v>
      </c>
      <c r="L560">
        <f>200000/('Ammo Stats'!C560*(MAX('Ammo Input'!D560,'Ammo Input'!F560)*0.5)^2*PI())</f>
        <v>33574.7078583568</v>
      </c>
      <c r="M560">
        <f>IF(B560="Frag",1,('Ammo Input'!M560/1.33)/('Ammo Input'!H560/1000))</f>
        <v>0</v>
      </c>
      <c r="N560" t="s">
        <v>353</v>
      </c>
      <c r="O560" t="s">
        <v>353</v>
      </c>
      <c r="P560" s="3">
        <f>(39493.49*(IF((VLOOKUP(B560,AmmoTypeFactors,6,FALSE)="Bomb_Secondary"),1.33,1)*('Ammo Input'!H560*0.35)/1000)^0.6/1000)*10/3*VLOOKUP(B560,AmmoTypeFactors,4,FALSE)</f>
        <v>0</v>
      </c>
    </row>
    <row r="561" ht="14.4" spans="1:16">
      <c r="A561" t="str">
        <f>'Ammo Input'!A561</f>
        <v>8x50mmR Lebel</v>
      </c>
      <c r="B561" s="1" t="str">
        <f>'Ammo Input'!B561</f>
        <v>AP-I</v>
      </c>
      <c r="C561">
        <f>(0.579*('Ammo Stats'!G561*IF(OR(B561="HEAT",B561="HEDP"),10,'Ammo Input'!F561)*VLOOKUP(B561,AmmoTypeFactors,7,FALSE))^(0.346))^IF(B561="HEDP",2.1,1)/IF(B561="HEDP",50,1)</f>
        <v>15.808850049842</v>
      </c>
      <c r="D561" s="16">
        <f>IF(VLOOKUP(B561,AmmoTypeFactors,8,FALSE),J561,C561)*VLOOKUP('Ammo Input'!B561,AmmoTypeFactors,2,FALSE)</f>
        <v>12.6470800398736</v>
      </c>
      <c r="E561" s="16">
        <f>IF(OR(VLOOKUP(B561,AmmoTypeFactors,6,FALSE)="Bomb",VLOOKUP(B561,AmmoTypeFactors,6,FALSE)="Thermobaric"),J561*VLOOKUP(B561,AmmoTypeFactors,4,FALSE),IF(VLOOKUP(B561,AmmoTypeFactors,11,FALSE),P561,C561*VLOOKUP(B561,AmmoTypeFactors,4,FALSE)))</f>
        <v>6.66982469823254</v>
      </c>
      <c r="F561" s="16">
        <f>'Ammo Stats'!G561/0.005</f>
        <v>682200</v>
      </c>
      <c r="G561" s="16">
        <f>(IF(B561="HEAT",10,'Ammo Input'!F561)*VLOOKUP(B561,AmmoTypeFactors,7,FALSE)*0.5)^2*PI()/100</f>
        <v>0.135265198691126</v>
      </c>
      <c r="H561" s="10">
        <f t="shared" si="15"/>
        <v>68.22</v>
      </c>
      <c r="I561" s="10">
        <f>IF(B561&lt;&gt;"Arrow (Flaming)",39493.49*'Ammo Input'!M561^0.6/1000,0)</f>
        <v>0</v>
      </c>
      <c r="J561">
        <f t="shared" si="16"/>
        <v>0</v>
      </c>
      <c r="K561">
        <f t="shared" si="17"/>
        <v>9</v>
      </c>
      <c r="L561">
        <f>200000/('Ammo Stats'!C561*(MAX('Ammo Input'!D561,'Ammo Input'!F561)*0.5)^2*PI())</f>
        <v>33574.7078583568</v>
      </c>
      <c r="M561">
        <f>IF(B561="Frag",1,('Ammo Input'!M561/1.33)/('Ammo Input'!H561/1000))</f>
        <v>0</v>
      </c>
      <c r="N561" t="s">
        <v>353</v>
      </c>
      <c r="O561" t="s">
        <v>353</v>
      </c>
      <c r="P561" s="3">
        <f>(39493.49*(IF((VLOOKUP(B561,AmmoTypeFactors,6,FALSE)="Bomb_Secondary"),1.33,1)*('Ammo Input'!H561*0.35)/1000)^0.6/1000)*10/3*VLOOKUP(B561,AmmoTypeFactors,4,FALSE)</f>
        <v>6.66982469823254</v>
      </c>
    </row>
    <row r="562" ht="14.4" spans="1:16">
      <c r="A562" t="str">
        <f>'Ammo Input'!A562</f>
        <v>8x50mmR Lebel</v>
      </c>
      <c r="B562" s="1" t="str">
        <f>'Ammo Input'!B562</f>
        <v>AP-HE</v>
      </c>
      <c r="C562">
        <f>(0.579*('Ammo Stats'!G562*IF(OR(B562="HEAT",B562="HEDP"),10,'Ammo Input'!F562)*VLOOKUP(B562,AmmoTypeFactors,7,FALSE))^(0.346))^IF(B562="HEDP",2.1,1)/IF(B562="HEDP",50,1)</f>
        <v>20.0935493848307</v>
      </c>
      <c r="D562" s="16">
        <f>IF(VLOOKUP(B562,AmmoTypeFactors,8,FALSE),J562,C562)*VLOOKUP('Ammo Input'!B562,AmmoTypeFactors,2,FALSE)</f>
        <v>20.0935493848307</v>
      </c>
      <c r="E562" s="16">
        <f>IF(OR(VLOOKUP(B562,AmmoTypeFactors,6,FALSE)="Bomb",VLOOKUP(B562,AmmoTypeFactors,6,FALSE)="Thermobaric"),J562*VLOOKUP(B562,AmmoTypeFactors,4,FALSE),IF(VLOOKUP(B562,AmmoTypeFactors,11,FALSE),P562,C562*VLOOKUP(B562,AmmoTypeFactors,4,FALSE)))</f>
        <v>9.13215577289713</v>
      </c>
      <c r="F562" s="16">
        <f>'Ammo Stats'!G562/0.005</f>
        <v>682200</v>
      </c>
      <c r="G562" s="16">
        <f>(IF(B562="HEAT",10,'Ammo Input'!F562)*VLOOKUP(B562,AmmoTypeFactors,7,FALSE)*0.5)^2*PI()/100</f>
        <v>0.541060794764502</v>
      </c>
      <c r="H562" s="10">
        <f t="shared" si="15"/>
        <v>68.22</v>
      </c>
      <c r="I562" s="10">
        <f>IF(B562&lt;&gt;"Arrow (Flaming)",39493.49*'Ammo Input'!M562^0.6/1000,0)</f>
        <v>0</v>
      </c>
      <c r="J562">
        <f t="shared" si="16"/>
        <v>0</v>
      </c>
      <c r="K562">
        <f t="shared" si="17"/>
        <v>9</v>
      </c>
      <c r="L562">
        <f>200000/('Ammo Stats'!C562*(MAX('Ammo Input'!D562,'Ammo Input'!F562)*0.5)^2*PI())</f>
        <v>33574.7078583568</v>
      </c>
      <c r="M562">
        <f>IF(B562="Frag",1,('Ammo Input'!M562/1.33)/('Ammo Input'!H562/1000))</f>
        <v>0</v>
      </c>
      <c r="N562" t="s">
        <v>353</v>
      </c>
      <c r="O562" t="s">
        <v>353</v>
      </c>
      <c r="P562" s="3">
        <f>(39493.49*(IF((VLOOKUP(B562,AmmoTypeFactors,6,FALSE)="Bomb_Secondary"),1.33,1)*('Ammo Input'!H562*0.35)/1000)^0.6/1000)*10/3*VLOOKUP(B562,AmmoTypeFactors,4,FALSE)</f>
        <v>9.13215577289713</v>
      </c>
    </row>
    <row r="563" ht="14.4" spans="1:16">
      <c r="A563" t="str">
        <f>'Ammo Input'!A563</f>
        <v>8x50mmR Lebel</v>
      </c>
      <c r="B563" s="1" t="str">
        <f>'Ammo Input'!B563</f>
        <v>Sabot</v>
      </c>
      <c r="C563">
        <f>(0.579*('Ammo Stats'!G563*IF(OR(B563="HEAT",B563="HEDP"),10,'Ammo Input'!F563)*VLOOKUP(B563,AmmoTypeFactors,7,FALSE))^(0.346))^IF(B563="HEDP",2.1,1)/IF(B563="HEDP",50,1)</f>
        <v>15.2314018914103</v>
      </c>
      <c r="D563" s="16">
        <f>IF(VLOOKUP(B563,AmmoTypeFactors,8,FALSE),J563,C563)*VLOOKUP('Ammo Input'!B563,AmmoTypeFactors,2,FALSE)</f>
        <v>10.6619813239872</v>
      </c>
      <c r="E563" s="16">
        <f>IF(OR(VLOOKUP(B563,AmmoTypeFactors,6,FALSE)="Bomb",VLOOKUP(B563,AmmoTypeFactors,6,FALSE)="Thermobaric"),J563*VLOOKUP(B563,AmmoTypeFactors,4,FALSE),IF(VLOOKUP(B563,AmmoTypeFactors,11,FALSE),P563,C563*VLOOKUP(B563,AmmoTypeFactors,4,FALSE)))</f>
        <v>0</v>
      </c>
      <c r="F563" s="16">
        <f>'Ammo Stats'!G563/0.005</f>
        <v>875200</v>
      </c>
      <c r="G563" s="16">
        <f>(IF(B563="HEAT",10,'Ammo Input'!F563)*VLOOKUP(B563,AmmoTypeFactors,7,FALSE)*0.5)^2*PI()/100</f>
        <v>0.0662799473586515</v>
      </c>
      <c r="H563" s="10">
        <f t="shared" si="15"/>
        <v>87.52</v>
      </c>
      <c r="I563" s="10">
        <f>IF(B563&lt;&gt;"Arrow (Flaming)",39493.49*'Ammo Input'!M563^0.6/1000,0)</f>
        <v>0</v>
      </c>
      <c r="J563">
        <f t="shared" si="16"/>
        <v>0</v>
      </c>
      <c r="K563">
        <f t="shared" si="17"/>
        <v>10</v>
      </c>
      <c r="L563">
        <f>200000/('Ammo Stats'!C563*(MAX('Ammo Input'!D563,'Ammo Input'!F563)*0.5)^2*PI())</f>
        <v>33574.7078583568</v>
      </c>
      <c r="M563">
        <f>IF(B563="Frag",1,('Ammo Input'!M563/1.33)/('Ammo Input'!H563/1000))</f>
        <v>0</v>
      </c>
      <c r="N563" t="s">
        <v>353</v>
      </c>
      <c r="O563" t="s">
        <v>353</v>
      </c>
      <c r="P563" s="3">
        <f>(39493.49*(IF((VLOOKUP(B563,AmmoTypeFactors,6,FALSE)="Bomb_Secondary"),1.33,1)*('Ammo Input'!H563*0.35)/1000)^0.6/1000)*10/3*VLOOKUP(B563,AmmoTypeFactors,4,FALSE)</f>
        <v>0</v>
      </c>
    </row>
    <row r="564" ht="14.4" spans="1:16">
      <c r="A564" t="str">
        <f>'Ammo Input'!A564</f>
        <v>9×39mm Soviet</v>
      </c>
      <c r="B564" s="1" t="str">
        <f>'Ammo Input'!B564</f>
        <v>FMJ</v>
      </c>
      <c r="C564">
        <f>(0.579*('Ammo Stats'!G564*IF(OR(B564="HEAT",B564="HEDP"),10,'Ammo Input'!F564)*VLOOKUP(B564,AmmoTypeFactors,7,FALSE))^(0.346))^IF(B564="HEDP",2.1,1)/IF(B564="HEDP",50,1)</f>
        <v>12.7606976446409</v>
      </c>
      <c r="D564" s="16">
        <f>IF(VLOOKUP(B564,AmmoTypeFactors,8,FALSE),J564,C564)*VLOOKUP('Ammo Input'!B564,AmmoTypeFactors,2,FALSE)</f>
        <v>12.7606976446409</v>
      </c>
      <c r="E564" s="16">
        <f>IF(OR(VLOOKUP(B564,AmmoTypeFactors,6,FALSE)="Bomb",VLOOKUP(B564,AmmoTypeFactors,6,FALSE)="Thermobaric"),J564*VLOOKUP(B564,AmmoTypeFactors,4,FALSE),IF(VLOOKUP(B564,AmmoTypeFactors,11,FALSE),P564,C564*VLOOKUP(B564,AmmoTypeFactors,4,FALSE)))</f>
        <v>0</v>
      </c>
      <c r="F564" s="16">
        <f>'Ammo Stats'!G564/0.005</f>
        <v>164800</v>
      </c>
      <c r="G564" s="16">
        <f>(IF(B564="HEAT",10,'Ammo Input'!F564)*VLOOKUP(B564,AmmoTypeFactors,7,FALSE)*0.5)^2*PI()/100</f>
        <v>0.672006303556942</v>
      </c>
      <c r="H564" s="10">
        <f t="shared" si="15"/>
        <v>16.48</v>
      </c>
      <c r="I564" s="10">
        <f>IF(B564&lt;&gt;"Arrow (Flaming)",39493.49*'Ammo Input'!M564^0.6/1000,0)</f>
        <v>0</v>
      </c>
      <c r="J564">
        <f t="shared" si="16"/>
        <v>0</v>
      </c>
      <c r="K564">
        <f t="shared" si="17"/>
        <v>5</v>
      </c>
      <c r="L564">
        <f>200000/('Ammo Stats'!C564*(MAX('Ammo Input'!D564,'Ammo Input'!F564)*0.5)^2*PI())</f>
        <v>98836.7361862379</v>
      </c>
      <c r="M564">
        <f>IF(B564="Frag",1,('Ammo Input'!M564/1.33)/('Ammo Input'!H564/1000))</f>
        <v>0</v>
      </c>
      <c r="N564" t="s">
        <v>353</v>
      </c>
      <c r="O564" t="s">
        <v>353</v>
      </c>
      <c r="P564" s="3">
        <f>(39493.49*(IF((VLOOKUP(B564,AmmoTypeFactors,6,FALSE)="Bomb_Secondary"),1.33,1)*('Ammo Input'!H564*0.35)/1000)^0.6/1000)*10/3*VLOOKUP(B564,AmmoTypeFactors,4,FALSE)</f>
        <v>0</v>
      </c>
    </row>
    <row r="565" ht="14.4" spans="1:16">
      <c r="A565" t="str">
        <f>'Ammo Input'!A565</f>
        <v>9×39mm Soviet</v>
      </c>
      <c r="B565" s="1" t="str">
        <f>'Ammo Input'!B565</f>
        <v>AP</v>
      </c>
      <c r="C565">
        <f>(0.579*('Ammo Stats'!G565*IF(OR(B565="HEAT",B565="HEDP"),10,'Ammo Input'!F565)*VLOOKUP(B565,AmmoTypeFactors,7,FALSE))^(0.346))^IF(B565="HEDP",2.1,1)/IF(B565="HEDP",50,1)</f>
        <v>10.0396376833152</v>
      </c>
      <c r="D565" s="16">
        <f>IF(VLOOKUP(B565,AmmoTypeFactors,8,FALSE),J565,C565)*VLOOKUP('Ammo Input'!B565,AmmoTypeFactors,2,FALSE)</f>
        <v>8.03171014665213</v>
      </c>
      <c r="E565" s="16">
        <f>IF(OR(VLOOKUP(B565,AmmoTypeFactors,6,FALSE)="Bomb",VLOOKUP(B565,AmmoTypeFactors,6,FALSE)="Thermobaric"),J565*VLOOKUP(B565,AmmoTypeFactors,4,FALSE),IF(VLOOKUP(B565,AmmoTypeFactors,11,FALSE),P565,C565*VLOOKUP(B565,AmmoTypeFactors,4,FALSE)))</f>
        <v>0</v>
      </c>
      <c r="F565" s="16">
        <f>'Ammo Stats'!G565/0.005</f>
        <v>164800</v>
      </c>
      <c r="G565" s="16">
        <f>(IF(B565="HEAT",10,'Ammo Input'!F565)*VLOOKUP(B565,AmmoTypeFactors,7,FALSE)*0.5)^2*PI()/100</f>
        <v>0.168001575889235</v>
      </c>
      <c r="H565" s="10">
        <f t="shared" si="15"/>
        <v>16.48</v>
      </c>
      <c r="I565" s="10">
        <f>IF(B565&lt;&gt;"Arrow (Flaming)",39493.49*'Ammo Input'!M565^0.6/1000,0)</f>
        <v>0</v>
      </c>
      <c r="J565">
        <f t="shared" si="16"/>
        <v>0</v>
      </c>
      <c r="K565">
        <f t="shared" si="17"/>
        <v>5</v>
      </c>
      <c r="L565">
        <f>200000/('Ammo Stats'!C565*(MAX('Ammo Input'!D565,'Ammo Input'!F565)*0.5)^2*PI())</f>
        <v>98836.7361862379</v>
      </c>
      <c r="M565">
        <f>IF(B565="Frag",1,('Ammo Input'!M565/1.33)/('Ammo Input'!H565/1000))</f>
        <v>0</v>
      </c>
      <c r="N565" t="s">
        <v>353</v>
      </c>
      <c r="O565" t="s">
        <v>353</v>
      </c>
      <c r="P565" s="3">
        <f>(39493.49*(IF((VLOOKUP(B565,AmmoTypeFactors,6,FALSE)="Bomb_Secondary"),1.33,1)*('Ammo Input'!H565*0.35)/1000)^0.6/1000)*10/3*VLOOKUP(B565,AmmoTypeFactors,4,FALSE)</f>
        <v>0</v>
      </c>
    </row>
    <row r="566" ht="14.4" spans="1:16">
      <c r="A566" t="str">
        <f>'Ammo Input'!A566</f>
        <v>9×39mm Soviet</v>
      </c>
      <c r="B566" s="1" t="str">
        <f>'Ammo Input'!B566</f>
        <v>HP</v>
      </c>
      <c r="C566">
        <f>(0.579*('Ammo Stats'!G566*IF(OR(B566="HEAT",B566="HEDP"),10,'Ammo Input'!F566)*VLOOKUP(B566,AmmoTypeFactors,7,FALSE))^(0.346))^IF(B566="HEDP",2.1,1)/IF(B566="HEDP",50,1)</f>
        <v>16.2192510839868</v>
      </c>
      <c r="D566" s="16">
        <f>IF(VLOOKUP(B566,AmmoTypeFactors,8,FALSE),J566,C566)*VLOOKUP('Ammo Input'!B566,AmmoTypeFactors,2,FALSE)</f>
        <v>16.2192510839868</v>
      </c>
      <c r="E566" s="16">
        <f>IF(OR(VLOOKUP(B566,AmmoTypeFactors,6,FALSE)="Bomb",VLOOKUP(B566,AmmoTypeFactors,6,FALSE)="Thermobaric"),J566*VLOOKUP(B566,AmmoTypeFactors,4,FALSE),IF(VLOOKUP(B566,AmmoTypeFactors,11,FALSE),P566,C566*VLOOKUP(B566,AmmoTypeFactors,4,FALSE)))</f>
        <v>0</v>
      </c>
      <c r="F566" s="16">
        <f>'Ammo Stats'!G566/0.005</f>
        <v>164800</v>
      </c>
      <c r="G566" s="16">
        <f>(IF(B566="HEAT",10,'Ammo Input'!F566)*VLOOKUP(B566,AmmoTypeFactors,7,FALSE)*0.5)^2*PI()/100</f>
        <v>2.68802521422777</v>
      </c>
      <c r="H566" s="10">
        <f t="shared" si="15"/>
        <v>16.48</v>
      </c>
      <c r="I566" s="10">
        <f>IF(B566&lt;&gt;"Arrow (Flaming)",39493.49*'Ammo Input'!M566^0.6/1000,0)</f>
        <v>0</v>
      </c>
      <c r="J566">
        <f t="shared" si="16"/>
        <v>0</v>
      </c>
      <c r="K566">
        <f t="shared" si="17"/>
        <v>5</v>
      </c>
      <c r="L566">
        <f>200000/('Ammo Stats'!C566*(MAX('Ammo Input'!D566,'Ammo Input'!F566)*0.5)^2*PI())</f>
        <v>98836.7361862379</v>
      </c>
      <c r="M566">
        <f>IF(B566="Frag",1,('Ammo Input'!M566/1.33)/('Ammo Input'!H566/1000))</f>
        <v>0</v>
      </c>
      <c r="N566" t="s">
        <v>353</v>
      </c>
      <c r="O566" t="s">
        <v>353</v>
      </c>
      <c r="P566" s="3">
        <f>(39493.49*(IF((VLOOKUP(B566,AmmoTypeFactors,6,FALSE)="Bomb_Secondary"),1.33,1)*('Ammo Input'!H566*0.35)/1000)^0.6/1000)*10/3*VLOOKUP(B566,AmmoTypeFactors,4,FALSE)</f>
        <v>0</v>
      </c>
    </row>
    <row r="567" ht="14.4" spans="1:16">
      <c r="A567" t="str">
        <f>'Ammo Input'!A567</f>
        <v>9×39mm Soviet</v>
      </c>
      <c r="B567" s="1" t="str">
        <f>'Ammo Input'!B567</f>
        <v>AP-I</v>
      </c>
      <c r="C567">
        <f>(0.579*('Ammo Stats'!G567*IF(OR(B567="HEAT",B567="HEDP"),10,'Ammo Input'!F567)*VLOOKUP(B567,AmmoTypeFactors,7,FALSE))^(0.346))^IF(B567="HEDP",2.1,1)/IF(B567="HEDP",50,1)</f>
        <v>10.0396376833152</v>
      </c>
      <c r="D567" s="16">
        <f>IF(VLOOKUP(B567,AmmoTypeFactors,8,FALSE),J567,C567)*VLOOKUP('Ammo Input'!B567,AmmoTypeFactors,2,FALSE)</f>
        <v>8.03171014665213</v>
      </c>
      <c r="E567" s="16">
        <f>IF(OR(VLOOKUP(B567,AmmoTypeFactors,6,FALSE)="Bomb",VLOOKUP(B567,AmmoTypeFactors,6,FALSE)="Thermobaric"),J567*VLOOKUP(B567,AmmoTypeFactors,4,FALSE),IF(VLOOKUP(B567,AmmoTypeFactors,11,FALSE),P567,C567*VLOOKUP(B567,AmmoTypeFactors,4,FALSE)))</f>
        <v>7.65392078987945</v>
      </c>
      <c r="F567" s="16">
        <f>'Ammo Stats'!G567/0.005</f>
        <v>164800</v>
      </c>
      <c r="G567" s="16">
        <f>(IF(B567="HEAT",10,'Ammo Input'!F567)*VLOOKUP(B567,AmmoTypeFactors,7,FALSE)*0.5)^2*PI()/100</f>
        <v>0.168001575889235</v>
      </c>
      <c r="H567" s="10">
        <f t="shared" si="15"/>
        <v>16.48</v>
      </c>
      <c r="I567" s="10">
        <f>IF(B567&lt;&gt;"Arrow (Flaming)",39493.49*'Ammo Input'!M567^0.6/1000,0)</f>
        <v>0</v>
      </c>
      <c r="J567">
        <f t="shared" si="16"/>
        <v>0</v>
      </c>
      <c r="K567">
        <f t="shared" si="17"/>
        <v>5</v>
      </c>
      <c r="L567">
        <f>200000/('Ammo Stats'!C567*(MAX('Ammo Input'!D567,'Ammo Input'!F567)*0.5)^2*PI())</f>
        <v>98836.7361862379</v>
      </c>
      <c r="M567">
        <f>IF(B567="Frag",1,('Ammo Input'!M567/1.33)/('Ammo Input'!H567/1000))</f>
        <v>0</v>
      </c>
      <c r="N567" t="s">
        <v>353</v>
      </c>
      <c r="O567" t="s">
        <v>353</v>
      </c>
      <c r="P567" s="3">
        <f>(39493.49*(IF((VLOOKUP(B567,AmmoTypeFactors,6,FALSE)="Bomb_Secondary"),1.33,1)*('Ammo Input'!H567*0.35)/1000)^0.6/1000)*10/3*VLOOKUP(B567,AmmoTypeFactors,4,FALSE)</f>
        <v>7.65392078987945</v>
      </c>
    </row>
    <row r="568" ht="14.4" spans="1:16">
      <c r="A568" t="str">
        <f>'Ammo Input'!A568</f>
        <v>9×39mm Soviet</v>
      </c>
      <c r="B568" s="1" t="str">
        <f>'Ammo Input'!B568</f>
        <v>AP-HE</v>
      </c>
      <c r="C568">
        <f>(0.579*('Ammo Stats'!G568*IF(OR(B568="HEAT",B568="HEDP"),10,'Ammo Input'!F568)*VLOOKUP(B568,AmmoTypeFactors,7,FALSE))^(0.346))^IF(B568="HEDP",2.1,1)/IF(B568="HEDP",50,1)</f>
        <v>12.7606976446409</v>
      </c>
      <c r="D568" s="16">
        <f>IF(VLOOKUP(B568,AmmoTypeFactors,8,FALSE),J568,C568)*VLOOKUP('Ammo Input'!B568,AmmoTypeFactors,2,FALSE)</f>
        <v>12.7606976446409</v>
      </c>
      <c r="E568" s="16">
        <f>IF(OR(VLOOKUP(B568,AmmoTypeFactors,6,FALSE)="Bomb",VLOOKUP(B568,AmmoTypeFactors,6,FALSE)="Thermobaric"),J568*VLOOKUP(B568,AmmoTypeFactors,4,FALSE),IF(VLOOKUP(B568,AmmoTypeFactors,11,FALSE),P568,C568*VLOOKUP(B568,AmmoTypeFactors,4,FALSE)))</f>
        <v>10.4795553240128</v>
      </c>
      <c r="F568" s="16">
        <f>'Ammo Stats'!G568/0.005</f>
        <v>164800</v>
      </c>
      <c r="G568" s="16">
        <f>(IF(B568="HEAT",10,'Ammo Input'!F568)*VLOOKUP(B568,AmmoTypeFactors,7,FALSE)*0.5)^2*PI()/100</f>
        <v>0.672006303556942</v>
      </c>
      <c r="H568" s="10">
        <f t="shared" si="15"/>
        <v>16.48</v>
      </c>
      <c r="I568" s="10">
        <f>IF(B568&lt;&gt;"Arrow (Flaming)",39493.49*'Ammo Input'!M568^0.6/1000,0)</f>
        <v>0</v>
      </c>
      <c r="J568">
        <f t="shared" si="16"/>
        <v>0</v>
      </c>
      <c r="K568">
        <f t="shared" si="17"/>
        <v>5</v>
      </c>
      <c r="L568">
        <f>200000/('Ammo Stats'!C568*(MAX('Ammo Input'!D568,'Ammo Input'!F568)*0.5)^2*PI())</f>
        <v>98836.7361862379</v>
      </c>
      <c r="M568">
        <f>IF(B568="Frag",1,('Ammo Input'!M568/1.33)/('Ammo Input'!H568/1000))</f>
        <v>0</v>
      </c>
      <c r="N568" t="s">
        <v>353</v>
      </c>
      <c r="O568" t="s">
        <v>353</v>
      </c>
      <c r="P568" s="3">
        <f>(39493.49*(IF((VLOOKUP(B568,AmmoTypeFactors,6,FALSE)="Bomb_Secondary"),1.33,1)*('Ammo Input'!H568*0.35)/1000)^0.6/1000)*10/3*VLOOKUP(B568,AmmoTypeFactors,4,FALSE)</f>
        <v>10.4795553240128</v>
      </c>
    </row>
    <row r="569" ht="14.4" spans="1:16">
      <c r="A569" t="str">
        <f>'Ammo Input'!A569</f>
        <v>9×39mm Soviet</v>
      </c>
      <c r="B569" s="1" t="str">
        <f>'Ammo Input'!B569</f>
        <v>Sabot</v>
      </c>
      <c r="C569">
        <f>(0.579*('Ammo Stats'!G569*IF(OR(B569="HEAT",B569="HEDP"),10,'Ammo Input'!F569)*VLOOKUP(B569,AmmoTypeFactors,7,FALSE))^(0.346))^IF(B569="HEDP",2.1,1)/IF(B569="HEDP",50,1)</f>
        <v>9.6783021928033</v>
      </c>
      <c r="D569" s="16">
        <f>IF(VLOOKUP(B569,AmmoTypeFactors,8,FALSE),J569,C569)*VLOOKUP('Ammo Input'!B569,AmmoTypeFactors,2,FALSE)</f>
        <v>6.77481153496231</v>
      </c>
      <c r="E569" s="16">
        <f>IF(OR(VLOOKUP(B569,AmmoTypeFactors,6,FALSE)="Bomb",VLOOKUP(B569,AmmoTypeFactors,6,FALSE)="Thermobaric"),J569*VLOOKUP(B569,AmmoTypeFactors,4,FALSE),IF(VLOOKUP(B569,AmmoTypeFactors,11,FALSE),P569,C569*VLOOKUP(B569,AmmoTypeFactors,4,FALSE)))</f>
        <v>0</v>
      </c>
      <c r="F569" s="16">
        <f>'Ammo Stats'!G569/0.005</f>
        <v>211600</v>
      </c>
      <c r="G569" s="16">
        <f>(IF(B569="HEAT",10,'Ammo Input'!F569)*VLOOKUP(B569,AmmoTypeFactors,7,FALSE)*0.5)^2*PI()/100</f>
        <v>0.0824479576008105</v>
      </c>
      <c r="H569" s="10">
        <f t="shared" si="15"/>
        <v>21.16</v>
      </c>
      <c r="I569" s="10">
        <f>IF(B569&lt;&gt;"Arrow (Flaming)",39493.49*'Ammo Input'!M569^0.6/1000,0)</f>
        <v>0</v>
      </c>
      <c r="J569">
        <f t="shared" si="16"/>
        <v>0</v>
      </c>
      <c r="K569">
        <f t="shared" si="17"/>
        <v>6</v>
      </c>
      <c r="L569">
        <f>200000/('Ammo Stats'!C569*(MAX('Ammo Input'!D569,'Ammo Input'!F569)*0.5)^2*PI())</f>
        <v>98836.7361862379</v>
      </c>
      <c r="M569">
        <f>IF(B569="Frag",1,('Ammo Input'!M569/1.33)/('Ammo Input'!H569/1000))</f>
        <v>0</v>
      </c>
      <c r="N569" t="s">
        <v>353</v>
      </c>
      <c r="O569" t="s">
        <v>353</v>
      </c>
      <c r="P569" s="3">
        <f>(39493.49*(IF((VLOOKUP(B569,AmmoTypeFactors,6,FALSE)="Bomb_Secondary"),1.33,1)*('Ammo Input'!H569*0.35)/1000)^0.6/1000)*10/3*VLOOKUP(B569,AmmoTypeFactors,4,FALSE)</f>
        <v>0</v>
      </c>
    </row>
    <row r="570" ht="14.4" spans="1:16">
      <c r="A570" s="14" t="s">
        <v>196</v>
      </c>
      <c r="B570" s="15"/>
      <c r="C570" s="15"/>
      <c r="D570" s="15"/>
      <c r="E570" s="15"/>
      <c r="F570" s="15"/>
      <c r="G570" s="15"/>
      <c r="H570" s="15"/>
      <c r="I570" s="15"/>
      <c r="J570" s="15"/>
      <c r="K570" s="15"/>
      <c r="L570" s="15"/>
      <c r="M570" s="15"/>
      <c r="N570" t="s">
        <v>338</v>
      </c>
      <c r="O570" t="s">
        <v>338</v>
      </c>
      <c r="P570" s="15"/>
    </row>
    <row r="571" ht="14.4" spans="1:16">
      <c r="A571" t="str">
        <f>'Ammo Input'!A571</f>
        <v>.410 Bore</v>
      </c>
      <c r="B571" s="1" t="str">
        <f>'Ammo Input'!B571</f>
        <v>Buck</v>
      </c>
      <c r="C571">
        <f>(0.579*('Ammo Stats'!G571*IF(OR(B571="HEAT",B571="HEDP"),10,'Ammo Input'!F571)*VLOOKUP(B571,AmmoTypeFactors,7,FALSE))^(0.346))^IF(B571="HEDP",2.1,1)/IF(B571="HEDP",50,1)</f>
        <v>9.11132208194867</v>
      </c>
      <c r="D571" s="16">
        <f>IF(VLOOKUP(B571,AmmoTypeFactors,8,FALSE),J571,C571)*VLOOKUP('Ammo Input'!B571,AmmoTypeFactors,2,FALSE)</f>
        <v>9.11132208194867</v>
      </c>
      <c r="E571" s="16">
        <f>IF(OR(VLOOKUP(B571,AmmoTypeFactors,6,FALSE)="Bomb",VLOOKUP(B571,AmmoTypeFactors,6,FALSE)="Thermobaric"),J571*VLOOKUP(B571,AmmoTypeFactors,4,FALSE),IF(VLOOKUP(B571,AmmoTypeFactors,11,FALSE),P571,C571*VLOOKUP(B571,AmmoTypeFactors,4,FALSE)))</f>
        <v>0</v>
      </c>
      <c r="F571" s="16">
        <f>'Ammo Stats'!G571/0.005</f>
        <v>63000</v>
      </c>
      <c r="G571" s="16">
        <f>(IF(B571="HEAT",10,'Ammo Input'!F571)*VLOOKUP(B571,AmmoTypeFactors,7,FALSE)*0.5)^2*PI()/100</f>
        <v>0.656118484109575</v>
      </c>
      <c r="H571" s="10">
        <f t="shared" ref="H571:H602" si="18">F571/10000</f>
        <v>6.3</v>
      </c>
      <c r="I571" s="10">
        <f>IF(B571&lt;&gt;"Arrow (Flaming)",39493.49*'Ammo Input'!M571^0.6/1000,0)</f>
        <v>0</v>
      </c>
      <c r="J571">
        <f t="shared" ref="J571:J602" si="19">I571*10/3</f>
        <v>0</v>
      </c>
      <c r="K571">
        <f t="shared" ref="K571:K602" si="20">ROUND(F571^(1/3)/10,0)</f>
        <v>4</v>
      </c>
      <c r="L571">
        <f>200000/('Ammo Stats'!C571*(MAX('Ammo Input'!D571,'Ammo Input'!F571)*0.5)^2*PI())</f>
        <v>59941.1314989602</v>
      </c>
      <c r="M571">
        <f>IF(B571="Frag",1,('Ammo Input'!M571/1.33)/('Ammo Input'!H571/1000))</f>
        <v>0</v>
      </c>
      <c r="N571" t="s">
        <v>353</v>
      </c>
      <c r="O571" t="s">
        <v>353</v>
      </c>
      <c r="P571" s="3">
        <f>(39493.49*(IF((VLOOKUP(B571,AmmoTypeFactors,6,FALSE)="Bomb_Secondary"),1.33,1)*('Ammo Input'!H571*0.35)/1000)^0.6/1000)*10/3*VLOOKUP(B571,AmmoTypeFactors,4,FALSE)</f>
        <v>0</v>
      </c>
    </row>
    <row r="572" ht="14.4" spans="1:16">
      <c r="A572" t="str">
        <f>'Ammo Input'!A572</f>
        <v>.410 Bore</v>
      </c>
      <c r="B572" s="1" t="str">
        <f>'Ammo Input'!B572</f>
        <v>Slug</v>
      </c>
      <c r="C572">
        <f>(0.579*('Ammo Stats'!G572*IF(OR(B572="HEAT",B572="HEDP"),10,'Ammo Input'!F572)*VLOOKUP(B572,AmmoTypeFactors,7,FALSE))^(0.346))^IF(B572="HEDP",2.1,1)/IF(B572="HEDP",50,1)</f>
        <v>14.5170606929337</v>
      </c>
      <c r="D572" s="16">
        <f>IF(VLOOKUP(B572,AmmoTypeFactors,8,FALSE),J572,C572)*VLOOKUP('Ammo Input'!B572,AmmoTypeFactors,2,FALSE)</f>
        <v>14.5170606929337</v>
      </c>
      <c r="E572" s="16">
        <f>IF(OR(VLOOKUP(B572,AmmoTypeFactors,6,FALSE)="Bomb",VLOOKUP(B572,AmmoTypeFactors,6,FALSE)="Thermobaric"),J572*VLOOKUP(B572,AmmoTypeFactors,4,FALSE),IF(VLOOKUP(B572,AmmoTypeFactors,11,FALSE),P572,C572*VLOOKUP(B572,AmmoTypeFactors,4,FALSE)))</f>
        <v>0</v>
      </c>
      <c r="F572" s="16">
        <f>'Ammo Stats'!G572/0.005</f>
        <v>213600</v>
      </c>
      <c r="G572" s="16">
        <f>(IF(B572="HEAT",10,'Ammo Input'!F572)*VLOOKUP(B572,AmmoTypeFactors,7,FALSE)*0.5)^2*PI()/100</f>
        <v>0.842964707181827</v>
      </c>
      <c r="H572" s="10">
        <f t="shared" si="18"/>
        <v>21.36</v>
      </c>
      <c r="I572" s="10">
        <f>IF(B572&lt;&gt;"Arrow (Flaming)",39493.49*'Ammo Input'!M572^0.6/1000,0)</f>
        <v>0</v>
      </c>
      <c r="J572">
        <f t="shared" si="19"/>
        <v>0</v>
      </c>
      <c r="K572">
        <f t="shared" si="20"/>
        <v>6</v>
      </c>
      <c r="L572">
        <f>200000/('Ammo Stats'!C572*(MAX('Ammo Input'!D572,'Ammo Input'!F572)*0.5)^2*PI())</f>
        <v>59941.1314989602</v>
      </c>
      <c r="M572">
        <f>IF(B572="Frag",1,('Ammo Input'!M572/1.33)/('Ammo Input'!H572/1000))</f>
        <v>0</v>
      </c>
      <c r="N572" t="s">
        <v>353</v>
      </c>
      <c r="O572" t="s">
        <v>353</v>
      </c>
      <c r="P572" s="3">
        <f>(39493.49*(IF((VLOOKUP(B572,AmmoTypeFactors,6,FALSE)="Bomb_Secondary"),1.33,1)*('Ammo Input'!H572*0.35)/1000)^0.6/1000)*10/3*VLOOKUP(B572,AmmoTypeFactors,4,FALSE)</f>
        <v>0</v>
      </c>
    </row>
    <row r="573" ht="14.4" spans="1:16">
      <c r="A573" t="str">
        <f>'Ammo Input'!A573</f>
        <v>.410 Bore</v>
      </c>
      <c r="B573" s="1" t="str">
        <f>'Ammo Input'!B573</f>
        <v>Beanbag</v>
      </c>
      <c r="C573">
        <f>(0.579*('Ammo Stats'!G573*IF(OR(B573="HEAT",B573="HEDP"),10,'Ammo Input'!F573)*VLOOKUP(B573,AmmoTypeFactors,7,FALSE))^(0.346))^IF(B573="HEDP",2.1,1)/IF(B573="HEDP",50,1)</f>
        <v>6.07196840713153</v>
      </c>
      <c r="D573" s="16">
        <f>IF(VLOOKUP(B573,AmmoTypeFactors,8,FALSE),J573,C573)*VLOOKUP('Ammo Input'!B573,AmmoTypeFactors,2,FALSE)</f>
        <v>4.85757472570523</v>
      </c>
      <c r="E573" s="16">
        <f>IF(OR(VLOOKUP(B573,AmmoTypeFactors,6,FALSE)="Bomb",VLOOKUP(B573,AmmoTypeFactors,6,FALSE)="Thermobaric"),J573*VLOOKUP(B573,AmmoTypeFactors,4,FALSE),IF(VLOOKUP(B573,AmmoTypeFactors,11,FALSE),P573,C573*VLOOKUP(B573,AmmoTypeFactors,4,FALSE)))</f>
        <v>0</v>
      </c>
      <c r="F573" s="16">
        <f>'Ammo Stats'!G573/0.005</f>
        <v>8600</v>
      </c>
      <c r="G573" s="16">
        <f>(IF(B573="HEAT",10,'Ammo Input'!F573)*VLOOKUP(B573,AmmoTypeFactors,7,FALSE)*0.5)^2*PI()/100</f>
        <v>3.37185882872731</v>
      </c>
      <c r="H573" s="10">
        <f t="shared" si="18"/>
        <v>0.86</v>
      </c>
      <c r="I573" s="10">
        <f>IF(B573&lt;&gt;"Arrow (Flaming)",39493.49*'Ammo Input'!M573^0.6/1000,0)</f>
        <v>0</v>
      </c>
      <c r="J573">
        <f t="shared" si="19"/>
        <v>0</v>
      </c>
      <c r="K573">
        <f t="shared" si="20"/>
        <v>2</v>
      </c>
      <c r="L573">
        <f>200000/('Ammo Stats'!C573*(MAX('Ammo Input'!D573,'Ammo Input'!F573)*0.5)^2*PI())</f>
        <v>59941.1314989602</v>
      </c>
      <c r="M573">
        <f>IF(B573="Frag",1,('Ammo Input'!M573/1.33)/('Ammo Input'!H573/1000))</f>
        <v>0</v>
      </c>
      <c r="N573" t="s">
        <v>353</v>
      </c>
      <c r="O573" t="s">
        <v>353</v>
      </c>
      <c r="P573" s="3">
        <f>(39493.49*(IF((VLOOKUP(B573,AmmoTypeFactors,6,FALSE)="Bomb_Secondary"),1.33,1)*('Ammo Input'!H573*0.35)/1000)^0.6/1000)*10/3*VLOOKUP(B573,AmmoTypeFactors,4,FALSE)</f>
        <v>0</v>
      </c>
    </row>
    <row r="574" ht="14.4" spans="1:16">
      <c r="A574" t="str">
        <f>'Ammo Input'!A574</f>
        <v>.410 Bore</v>
      </c>
      <c r="B574" s="1" t="str">
        <f>'Ammo Input'!B574</f>
        <v>EMP Slug</v>
      </c>
      <c r="C574">
        <f>(0.579*('Ammo Stats'!G574*IF(OR(B574="HEAT",B574="HEDP"),10,'Ammo Input'!F574)*VLOOKUP(B574,AmmoTypeFactors,7,FALSE))^(0.346))^IF(B574="HEDP",2.1,1)/IF(B574="HEDP",50,1)</f>
        <v>6.39724581852131</v>
      </c>
      <c r="D574" s="16">
        <f>IF(VLOOKUP(B574,AmmoTypeFactors,8,FALSE),J574,C574)*VLOOKUP('Ammo Input'!B574,AmmoTypeFactors,2,FALSE)</f>
        <v>7.19004341465685</v>
      </c>
      <c r="E574" s="16">
        <f>IF(OR(VLOOKUP(B574,AmmoTypeFactors,6,FALSE)="Bomb",VLOOKUP(B574,AmmoTypeFactors,6,FALSE)="Thermobaric"),J574*VLOOKUP(B574,AmmoTypeFactors,4,FALSE),IF(VLOOKUP(B574,AmmoTypeFactors,11,FALSE),P574,C574*VLOOKUP(B574,AmmoTypeFactors,4,FALSE)))</f>
        <v>0</v>
      </c>
      <c r="F574" s="16">
        <f>'Ammo Stats'!G574/0.005</f>
        <v>20000</v>
      </c>
      <c r="G574" s="16">
        <f>(IF(B574="HEAT",10,'Ammo Input'!F574)*VLOOKUP(B574,AmmoTypeFactors,7,FALSE)*0.5)^2*PI()/100</f>
        <v>0.842964707181827</v>
      </c>
      <c r="H574" s="10">
        <f t="shared" si="18"/>
        <v>2</v>
      </c>
      <c r="I574" s="10">
        <f>IF(B574&lt;&gt;"Arrow (Flaming)",39493.49*'Ammo Input'!M574^0.6/1000,0)</f>
        <v>1.43800868293137</v>
      </c>
      <c r="J574">
        <f t="shared" si="19"/>
        <v>4.7933622764379</v>
      </c>
      <c r="K574">
        <f t="shared" si="20"/>
        <v>3</v>
      </c>
      <c r="L574">
        <f>200000/('Ammo Stats'!C574*(MAX('Ammo Input'!D574,'Ammo Input'!F574)*0.5)^2*PI())</f>
        <v>59941.1314989602</v>
      </c>
      <c r="M574">
        <f>IF(B574="Frag",1,('Ammo Input'!M574/1.33)/('Ammo Input'!H574/1000))</f>
        <v>0.33944907415265</v>
      </c>
      <c r="N574" t="s">
        <v>353</v>
      </c>
      <c r="O574" t="s">
        <v>353</v>
      </c>
      <c r="P574" s="3">
        <f>(39493.49*(IF((VLOOKUP(B574,AmmoTypeFactors,6,FALSE)="Bomb_Secondary"),1.33,1)*('Ammo Input'!H574*0.35)/1000)^0.6/1000)*10/3*VLOOKUP(B574,AmmoTypeFactors,4,FALSE)</f>
        <v>0</v>
      </c>
    </row>
    <row r="575" ht="14.4" spans="1:16">
      <c r="A575" t="str">
        <f>'Ammo Input'!A575</f>
        <v>.410 Bore (Slow)</v>
      </c>
      <c r="B575" s="1" t="str">
        <f>'Ammo Input'!B575</f>
        <v>Buck</v>
      </c>
      <c r="C575">
        <f>(0.579*('Ammo Stats'!G575*IF(OR(B575="HEAT",B575="HEDP"),10,'Ammo Input'!F575)*VLOOKUP(B575,AmmoTypeFactors,7,FALSE))^(0.346))^IF(B575="HEDP",2.1,1)/IF(B575="HEDP",50,1)</f>
        <v>7.17631179416351</v>
      </c>
      <c r="D575" s="16">
        <f>IF(VLOOKUP(B575,AmmoTypeFactors,8,FALSE),J575,C575)*VLOOKUP('Ammo Input'!B575,AmmoTypeFactors,2,FALSE)</f>
        <v>7.17631179416351</v>
      </c>
      <c r="E575" s="16">
        <f>IF(OR(VLOOKUP(B575,AmmoTypeFactors,6,FALSE)="Bomb",VLOOKUP(B575,AmmoTypeFactors,6,FALSE)="Thermobaric"),J575*VLOOKUP(B575,AmmoTypeFactors,4,FALSE),IF(VLOOKUP(B575,AmmoTypeFactors,11,FALSE),P575,C575*VLOOKUP(B575,AmmoTypeFactors,4,FALSE)))</f>
        <v>0</v>
      </c>
      <c r="F575" s="16">
        <f>'Ammo Stats'!G575/0.005</f>
        <v>31600</v>
      </c>
      <c r="G575" s="16">
        <f>(IF(B575="HEAT",10,'Ammo Input'!F575)*VLOOKUP(B575,AmmoTypeFactors,7,FALSE)*0.5)^2*PI()/100</f>
        <v>0.656118484109575</v>
      </c>
      <c r="H575" s="10">
        <f t="shared" si="18"/>
        <v>3.16</v>
      </c>
      <c r="I575" s="10">
        <f>IF(B575&lt;&gt;"Arrow (Flaming)",39493.49*'Ammo Input'!M575^0.6/1000,0)</f>
        <v>0</v>
      </c>
      <c r="J575">
        <f t="shared" si="19"/>
        <v>0</v>
      </c>
      <c r="K575">
        <f t="shared" si="20"/>
        <v>3</v>
      </c>
      <c r="L575">
        <f>200000/('Ammo Stats'!C575*(MAX('Ammo Input'!D575,'Ammo Input'!F575)*0.5)^2*PI())</f>
        <v>59941.1314989602</v>
      </c>
      <c r="M575">
        <f>IF(B575="Frag",1,('Ammo Input'!M575/1.33)/('Ammo Input'!H575/1000))</f>
        <v>0</v>
      </c>
      <c r="N575" t="s">
        <v>353</v>
      </c>
      <c r="O575" t="s">
        <v>353</v>
      </c>
      <c r="P575" s="3">
        <f>(39493.49*(IF((VLOOKUP(B575,AmmoTypeFactors,6,FALSE)="Bomb_Secondary"),1.33,1)*('Ammo Input'!H575*0.35)/1000)^0.6/1000)*10/3*VLOOKUP(B575,AmmoTypeFactors,4,FALSE)</f>
        <v>0</v>
      </c>
    </row>
    <row r="576" ht="14.4" spans="1:16">
      <c r="A576" t="str">
        <f>'Ammo Input'!A576</f>
        <v>.410 Bore (Slow)</v>
      </c>
      <c r="B576" s="1" t="str">
        <f>'Ammo Input'!B576</f>
        <v>Slug</v>
      </c>
      <c r="C576">
        <f>(0.579*('Ammo Stats'!G576*IF(OR(B576="HEAT",B576="HEDP"),10,'Ammo Input'!F576)*VLOOKUP(B576,AmmoTypeFactors,7,FALSE))^(0.346))^IF(B576="HEDP",2.1,1)/IF(B576="HEDP",50,1)</f>
        <v>11.4362609473943</v>
      </c>
      <c r="D576" s="16">
        <f>IF(VLOOKUP(B576,AmmoTypeFactors,8,FALSE),J576,C576)*VLOOKUP('Ammo Input'!B576,AmmoTypeFactors,2,FALSE)</f>
        <v>11.4362609473943</v>
      </c>
      <c r="E576" s="16">
        <f>IF(OR(VLOOKUP(B576,AmmoTypeFactors,6,FALSE)="Bomb",VLOOKUP(B576,AmmoTypeFactors,6,FALSE)="Thermobaric"),J576*VLOOKUP(B576,AmmoTypeFactors,4,FALSE),IF(VLOOKUP(B576,AmmoTypeFactors,11,FALSE),P576,C576*VLOOKUP(B576,AmmoTypeFactors,4,FALSE)))</f>
        <v>0</v>
      </c>
      <c r="F576" s="16">
        <f>'Ammo Stats'!G576/0.005</f>
        <v>107200</v>
      </c>
      <c r="G576" s="16">
        <f>(IF(B576="HEAT",10,'Ammo Input'!F576)*VLOOKUP(B576,AmmoTypeFactors,7,FALSE)*0.5)^2*PI()/100</f>
        <v>0.842964707181827</v>
      </c>
      <c r="H576" s="10">
        <f t="shared" si="18"/>
        <v>10.72</v>
      </c>
      <c r="I576" s="10">
        <f>IF(B576&lt;&gt;"Arrow (Flaming)",39493.49*'Ammo Input'!M576^0.6/1000,0)</f>
        <v>0</v>
      </c>
      <c r="J576">
        <f t="shared" si="19"/>
        <v>0</v>
      </c>
      <c r="K576">
        <f t="shared" si="20"/>
        <v>5</v>
      </c>
      <c r="L576">
        <f>200000/('Ammo Stats'!C576*(MAX('Ammo Input'!D576,'Ammo Input'!F576)*0.5)^2*PI())</f>
        <v>59941.1314989602</v>
      </c>
      <c r="M576">
        <f>IF(B576="Frag",1,('Ammo Input'!M576/1.33)/('Ammo Input'!H576/1000))</f>
        <v>0</v>
      </c>
      <c r="N576" t="s">
        <v>353</v>
      </c>
      <c r="O576" t="s">
        <v>353</v>
      </c>
      <c r="P576" s="3">
        <f>(39493.49*(IF((VLOOKUP(B576,AmmoTypeFactors,6,FALSE)="Bomb_Secondary"),1.33,1)*('Ammo Input'!H576*0.35)/1000)^0.6/1000)*10/3*VLOOKUP(B576,AmmoTypeFactors,4,FALSE)</f>
        <v>0</v>
      </c>
    </row>
    <row r="577" ht="14.4" spans="1:16">
      <c r="A577" t="str">
        <f>'Ammo Input'!A577</f>
        <v>.410 Bore (Slow)</v>
      </c>
      <c r="B577" s="1" t="str">
        <f>'Ammo Input'!B577</f>
        <v>Beanbag</v>
      </c>
      <c r="C577">
        <f>(0.579*('Ammo Stats'!G577*IF(OR(B577="HEAT",B577="HEDP"),10,'Ammo Input'!F577)*VLOOKUP(B577,AmmoTypeFactors,7,FALSE))^(0.346))^IF(B577="HEDP",2.1,1)/IF(B577="HEDP",50,1)</f>
        <v>4.81534785115027</v>
      </c>
      <c r="D577" s="16">
        <f>IF(VLOOKUP(B577,AmmoTypeFactors,8,FALSE),J577,C577)*VLOOKUP('Ammo Input'!B577,AmmoTypeFactors,2,FALSE)</f>
        <v>3.85227828092021</v>
      </c>
      <c r="E577" s="16">
        <f>IF(OR(VLOOKUP(B577,AmmoTypeFactors,6,FALSE)="Bomb",VLOOKUP(B577,AmmoTypeFactors,6,FALSE)="Thermobaric"),J577*VLOOKUP(B577,AmmoTypeFactors,4,FALSE),IF(VLOOKUP(B577,AmmoTypeFactors,11,FALSE),P577,C577*VLOOKUP(B577,AmmoTypeFactors,4,FALSE)))</f>
        <v>0</v>
      </c>
      <c r="F577" s="16">
        <f>'Ammo Stats'!G577/0.005</f>
        <v>4400</v>
      </c>
      <c r="G577" s="16">
        <f>(IF(B577="HEAT",10,'Ammo Input'!F577)*VLOOKUP(B577,AmmoTypeFactors,7,FALSE)*0.5)^2*PI()/100</f>
        <v>3.37185882872731</v>
      </c>
      <c r="H577" s="10">
        <f t="shared" si="18"/>
        <v>0.44</v>
      </c>
      <c r="I577" s="10">
        <f>IF(B577&lt;&gt;"Arrow (Flaming)",39493.49*'Ammo Input'!M577^0.6/1000,0)</f>
        <v>0</v>
      </c>
      <c r="J577">
        <f t="shared" si="19"/>
        <v>0</v>
      </c>
      <c r="K577">
        <f t="shared" si="20"/>
        <v>2</v>
      </c>
      <c r="L577">
        <f>200000/('Ammo Stats'!C577*(MAX('Ammo Input'!D577,'Ammo Input'!F577)*0.5)^2*PI())</f>
        <v>59941.1314989602</v>
      </c>
      <c r="M577">
        <f>IF(B577="Frag",1,('Ammo Input'!M577/1.33)/('Ammo Input'!H577/1000))</f>
        <v>0</v>
      </c>
      <c r="N577" t="s">
        <v>353</v>
      </c>
      <c r="O577" t="s">
        <v>353</v>
      </c>
      <c r="P577" s="3">
        <f>(39493.49*(IF((VLOOKUP(B577,AmmoTypeFactors,6,FALSE)="Bomb_Secondary"),1.33,1)*('Ammo Input'!H577*0.35)/1000)^0.6/1000)*10/3*VLOOKUP(B577,AmmoTypeFactors,4,FALSE)</f>
        <v>0</v>
      </c>
    </row>
    <row r="578" ht="14.4" spans="1:16">
      <c r="A578" t="str">
        <f>'Ammo Input'!A578</f>
        <v>.410 Bore (Slow)</v>
      </c>
      <c r="B578" s="1" t="str">
        <f>'Ammo Input'!B578</f>
        <v>EMP Slug</v>
      </c>
      <c r="C578">
        <f>(0.579*('Ammo Stats'!G578*IF(OR(B578="HEAT",B578="HEDP"),10,'Ammo Input'!F578)*VLOOKUP(B578,AmmoTypeFactors,7,FALSE))^(0.346))^IF(B578="HEDP",2.1,1)/IF(B578="HEDP",50,1)</f>
        <v>4.9980532952977</v>
      </c>
      <c r="D578" s="16">
        <f>IF(VLOOKUP(B578,AmmoTypeFactors,8,FALSE),J578,C578)*VLOOKUP('Ammo Input'!B578,AmmoTypeFactors,2,FALSE)</f>
        <v>7.19004341465685</v>
      </c>
      <c r="E578" s="16">
        <f>IF(OR(VLOOKUP(B578,AmmoTypeFactors,6,FALSE)="Bomb",VLOOKUP(B578,AmmoTypeFactors,6,FALSE)="Thermobaric"),J578*VLOOKUP(B578,AmmoTypeFactors,4,FALSE),IF(VLOOKUP(B578,AmmoTypeFactors,11,FALSE),P578,C578*VLOOKUP(B578,AmmoTypeFactors,4,FALSE)))</f>
        <v>0</v>
      </c>
      <c r="F578" s="16">
        <f>'Ammo Stats'!G578/0.005</f>
        <v>9800</v>
      </c>
      <c r="G578" s="16">
        <f>(IF(B578="HEAT",10,'Ammo Input'!F578)*VLOOKUP(B578,AmmoTypeFactors,7,FALSE)*0.5)^2*PI()/100</f>
        <v>0.842964707181827</v>
      </c>
      <c r="H578" s="10">
        <f t="shared" si="18"/>
        <v>0.98</v>
      </c>
      <c r="I578" s="10">
        <f>IF(B578&lt;&gt;"Arrow (Flaming)",39493.49*'Ammo Input'!M578^0.6/1000,0)</f>
        <v>1.43800868293137</v>
      </c>
      <c r="J578">
        <f t="shared" si="19"/>
        <v>4.7933622764379</v>
      </c>
      <c r="K578">
        <f t="shared" si="20"/>
        <v>2</v>
      </c>
      <c r="L578">
        <f>200000/('Ammo Stats'!C578*(MAX('Ammo Input'!D578,'Ammo Input'!F578)*0.5)^2*PI())</f>
        <v>59941.1314989602</v>
      </c>
      <c r="M578">
        <f>IF(B578="Frag",1,('Ammo Input'!M578/1.33)/('Ammo Input'!H578/1000))</f>
        <v>0.33944907415265</v>
      </c>
      <c r="N578" t="s">
        <v>353</v>
      </c>
      <c r="O578" t="s">
        <v>353</v>
      </c>
      <c r="P578" s="3">
        <f>(39493.49*(IF((VLOOKUP(B578,AmmoTypeFactors,6,FALSE)="Bomb_Secondary"),1.33,1)*('Ammo Input'!H578*0.35)/1000)^0.6/1000)*10/3*VLOOKUP(B578,AmmoTypeFactors,4,FALSE)</f>
        <v>0</v>
      </c>
    </row>
    <row r="579" ht="14.4" spans="1:16">
      <c r="A579" t="str">
        <f>'Ammo Input'!A579</f>
        <v>20 Gauge</v>
      </c>
      <c r="B579" s="1" t="str">
        <f>'Ammo Input'!B579</f>
        <v>Buck</v>
      </c>
      <c r="C579">
        <f>(0.579*('Ammo Stats'!G579*IF(OR(B579="HEAT",B579="HEDP"),10,'Ammo Input'!F579)*VLOOKUP(B579,AmmoTypeFactors,7,FALSE))^(0.346))^IF(B579="HEDP",2.1,1)/IF(B579="HEDP",50,1)</f>
        <v>5.32481004204459</v>
      </c>
      <c r="D579" s="16">
        <f>IF(VLOOKUP(B579,AmmoTypeFactors,8,FALSE),J579,C579)*VLOOKUP('Ammo Input'!B579,AmmoTypeFactors,2,FALSE)</f>
        <v>5.32481004204459</v>
      </c>
      <c r="E579" s="16">
        <f>IF(OR(VLOOKUP(B579,AmmoTypeFactors,6,FALSE)="Bomb",VLOOKUP(B579,AmmoTypeFactors,6,FALSE)="Thermobaric"),J579*VLOOKUP(B579,AmmoTypeFactors,4,FALSE),IF(VLOOKUP(B579,AmmoTypeFactors,11,FALSE),P579,C579*VLOOKUP(B579,AmmoTypeFactors,4,FALSE)))</f>
        <v>0</v>
      </c>
      <c r="F579" s="16">
        <f>'Ammo Stats'!G579/0.005</f>
        <v>19200</v>
      </c>
      <c r="G579" s="16">
        <f>(IF(B579="HEAT",10,'Ammo Input'!F579)*VLOOKUP(B579,AmmoTypeFactors,7,FALSE)*0.5)^2*PI()/100</f>
        <v>0.316692174435936</v>
      </c>
      <c r="H579" s="10">
        <f t="shared" si="18"/>
        <v>1.92</v>
      </c>
      <c r="I579" s="10">
        <f>IF(B579&lt;&gt;"Arrow (Flaming)",39493.49*'Ammo Input'!M579^0.6/1000,0)</f>
        <v>0</v>
      </c>
      <c r="J579">
        <f t="shared" si="19"/>
        <v>0</v>
      </c>
      <c r="K579">
        <f t="shared" si="20"/>
        <v>3</v>
      </c>
      <c r="L579">
        <f>200000/('Ammo Stats'!C579*(MAX('Ammo Input'!D579,'Ammo Input'!F579)*0.5)^2*PI())</f>
        <v>16879.9234611672</v>
      </c>
      <c r="M579">
        <f>IF(B579="Frag",1,('Ammo Input'!M579/1.33)/('Ammo Input'!H579/1000))</f>
        <v>0</v>
      </c>
      <c r="N579" t="s">
        <v>353</v>
      </c>
      <c r="O579" t="s">
        <v>353</v>
      </c>
      <c r="P579" s="3">
        <f>(39493.49*(IF((VLOOKUP(B579,AmmoTypeFactors,6,FALSE)="Bomb_Secondary"),1.33,1)*('Ammo Input'!H579*0.35)/1000)^0.6/1000)*10/3*VLOOKUP(B579,AmmoTypeFactors,4,FALSE)</f>
        <v>0</v>
      </c>
    </row>
    <row r="580" ht="14.4" spans="1:16">
      <c r="A580" t="str">
        <f>'Ammo Input'!A580</f>
        <v>20 Gauge</v>
      </c>
      <c r="B580" s="1" t="str">
        <f>'Ammo Input'!B580</f>
        <v>Slug</v>
      </c>
      <c r="C580">
        <f>(0.579*('Ammo Stats'!G580*IF(OR(B580="HEAT",B580="HEDP"),10,'Ammo Input'!F580)*VLOOKUP(B580,AmmoTypeFactors,7,FALSE))^(0.346))^IF(B580="HEDP",2.1,1)/IF(B580="HEDP",50,1)</f>
        <v>20.9933083460693</v>
      </c>
      <c r="D580" s="16">
        <f>IF(VLOOKUP(B580,AmmoTypeFactors,8,FALSE),J580,C580)*VLOOKUP('Ammo Input'!B580,AmmoTypeFactors,2,FALSE)</f>
        <v>20.9933083460693</v>
      </c>
      <c r="E580" s="16">
        <f>IF(OR(VLOOKUP(B580,AmmoTypeFactors,6,FALSE)="Bomb",VLOOKUP(B580,AmmoTypeFactors,6,FALSE)="Thermobaric"),J580*VLOOKUP(B580,AmmoTypeFactors,4,FALSE),IF(VLOOKUP(B580,AmmoTypeFactors,11,FALSE),P580,C580*VLOOKUP(B580,AmmoTypeFactors,4,FALSE)))</f>
        <v>0</v>
      </c>
      <c r="F580" s="16">
        <f>'Ammo Stats'!G580/0.005</f>
        <v>411400</v>
      </c>
      <c r="G580" s="16">
        <f>(IF(B580="HEAT",10,'Ammo Input'!F580)*VLOOKUP(B580,AmmoTypeFactors,7,FALSE)*0.5)^2*PI()/100</f>
        <v>1.91649436281651</v>
      </c>
      <c r="H580" s="10">
        <f t="shared" si="18"/>
        <v>41.14</v>
      </c>
      <c r="I580" s="10">
        <f>IF(B580&lt;&gt;"Arrow (Flaming)",39493.49*'Ammo Input'!M580^0.6/1000,0)</f>
        <v>0</v>
      </c>
      <c r="J580">
        <f t="shared" si="19"/>
        <v>0</v>
      </c>
      <c r="K580">
        <f t="shared" si="20"/>
        <v>7</v>
      </c>
      <c r="L580">
        <f>200000/('Ammo Stats'!C580*(MAX('Ammo Input'!D580,'Ammo Input'!F580)*0.5)^2*PI())</f>
        <v>16879.9234611672</v>
      </c>
      <c r="M580">
        <f>IF(B580="Frag",1,('Ammo Input'!M580/1.33)/('Ammo Input'!H580/1000))</f>
        <v>0</v>
      </c>
      <c r="N580" t="s">
        <v>353</v>
      </c>
      <c r="O580" t="s">
        <v>353</v>
      </c>
      <c r="P580" s="3">
        <f>(39493.49*(IF((VLOOKUP(B580,AmmoTypeFactors,6,FALSE)="Bomb_Secondary"),1.33,1)*('Ammo Input'!H580*0.35)/1000)^0.6/1000)*10/3*VLOOKUP(B580,AmmoTypeFactors,4,FALSE)</f>
        <v>0</v>
      </c>
    </row>
    <row r="581" ht="14.4" spans="1:16">
      <c r="A581" t="str">
        <f>'Ammo Input'!A581</f>
        <v>20 Gauge</v>
      </c>
      <c r="B581" s="1" t="str">
        <f>'Ammo Input'!B581</f>
        <v>Beanbag</v>
      </c>
      <c r="C581">
        <f>(0.579*('Ammo Stats'!G581*IF(OR(B581="HEAT",B581="HEDP"),10,'Ammo Input'!F581)*VLOOKUP(B581,AmmoTypeFactors,7,FALSE))^(0.346))^IF(B581="HEDP",2.1,1)/IF(B581="HEDP",50,1)</f>
        <v>9.65623366708082</v>
      </c>
      <c r="D581" s="16">
        <f>IF(VLOOKUP(B581,AmmoTypeFactors,8,FALSE),J581,C581)*VLOOKUP('Ammo Input'!B581,AmmoTypeFactors,2,FALSE)</f>
        <v>7.72498693366466</v>
      </c>
      <c r="E581" s="16">
        <f>IF(OR(VLOOKUP(B581,AmmoTypeFactors,6,FALSE)="Bomb",VLOOKUP(B581,AmmoTypeFactors,6,FALSE)="Thermobaric"),J581*VLOOKUP(B581,AmmoTypeFactors,4,FALSE),IF(VLOOKUP(B581,AmmoTypeFactors,11,FALSE),P581,C581*VLOOKUP(B581,AmmoTypeFactors,4,FALSE)))</f>
        <v>0</v>
      </c>
      <c r="F581" s="16">
        <f>'Ammo Stats'!G581/0.005</f>
        <v>21800</v>
      </c>
      <c r="G581" s="16">
        <f>(IF(B581="HEAT",10,'Ammo Input'!F581)*VLOOKUP(B581,AmmoTypeFactors,7,FALSE)*0.5)^2*PI()/100</f>
        <v>7.66597745126604</v>
      </c>
      <c r="H581" s="10">
        <f t="shared" si="18"/>
        <v>2.18</v>
      </c>
      <c r="I581" s="10">
        <f>IF(B581&lt;&gt;"Arrow (Flaming)",39493.49*'Ammo Input'!M581^0.6/1000,0)</f>
        <v>0</v>
      </c>
      <c r="J581">
        <f t="shared" si="19"/>
        <v>0</v>
      </c>
      <c r="K581">
        <f t="shared" si="20"/>
        <v>3</v>
      </c>
      <c r="L581">
        <f>200000/('Ammo Stats'!C581*(MAX('Ammo Input'!D581,'Ammo Input'!F581)*0.5)^2*PI())</f>
        <v>16879.9234611672</v>
      </c>
      <c r="M581">
        <f>IF(B581="Frag",1,('Ammo Input'!M581/1.33)/('Ammo Input'!H581/1000))</f>
        <v>0</v>
      </c>
      <c r="N581" t="s">
        <v>353</v>
      </c>
      <c r="O581" t="s">
        <v>353</v>
      </c>
      <c r="P581" s="3">
        <f>(39493.49*(IF((VLOOKUP(B581,AmmoTypeFactors,6,FALSE)="Bomb_Secondary"),1.33,1)*('Ammo Input'!H581*0.35)/1000)^0.6/1000)*10/3*VLOOKUP(B581,AmmoTypeFactors,4,FALSE)</f>
        <v>0</v>
      </c>
    </row>
    <row r="582" ht="14.4" spans="1:16">
      <c r="A582" t="str">
        <f>'Ammo Input'!A582</f>
        <v>20 Gauge</v>
      </c>
      <c r="B582" s="1" t="str">
        <f>'Ammo Input'!B582</f>
        <v>EMP Slug</v>
      </c>
      <c r="C582">
        <f>(0.579*('Ammo Stats'!G582*IF(OR(B582="HEAT",B582="HEDP"),10,'Ammo Input'!F582)*VLOOKUP(B582,AmmoTypeFactors,7,FALSE))^(0.346))^IF(B582="HEDP",2.1,1)/IF(B582="HEDP",50,1)</f>
        <v>10.096761583237</v>
      </c>
      <c r="D582" s="16">
        <f>IF(VLOOKUP(B582,AmmoTypeFactors,8,FALSE),J582,C582)*VLOOKUP('Ammo Input'!B582,AmmoTypeFactors,2,FALSE)</f>
        <v>9.17035753161647</v>
      </c>
      <c r="E582" s="16">
        <f>IF(OR(VLOOKUP(B582,AmmoTypeFactors,6,FALSE)="Bomb",VLOOKUP(B582,AmmoTypeFactors,6,FALSE)="Thermobaric"),J582*VLOOKUP(B582,AmmoTypeFactors,4,FALSE),IF(VLOOKUP(B582,AmmoTypeFactors,11,FALSE),P582,C582*VLOOKUP(B582,AmmoTypeFactors,4,FALSE)))</f>
        <v>0</v>
      </c>
      <c r="F582" s="16">
        <f>'Ammo Stats'!G582/0.005</f>
        <v>49600</v>
      </c>
      <c r="G582" s="16">
        <f>(IF(B582="HEAT",10,'Ammo Input'!F582)*VLOOKUP(B582,AmmoTypeFactors,7,FALSE)*0.5)^2*PI()/100</f>
        <v>1.91649436281651</v>
      </c>
      <c r="H582" s="10">
        <f t="shared" si="18"/>
        <v>4.96</v>
      </c>
      <c r="I582" s="10">
        <f>IF(B582&lt;&gt;"Arrow (Flaming)",39493.49*'Ammo Input'!M582^0.6/1000,0)</f>
        <v>1.83407150632329</v>
      </c>
      <c r="J582">
        <f t="shared" si="19"/>
        <v>6.11357168774431</v>
      </c>
      <c r="K582">
        <f t="shared" si="20"/>
        <v>4</v>
      </c>
      <c r="L582">
        <f>200000/('Ammo Stats'!C582*(MAX('Ammo Input'!D582,'Ammo Input'!F582)*0.5)^2*PI())</f>
        <v>16879.9234611672</v>
      </c>
      <c r="M582">
        <f>IF(B582="Frag",1,('Ammo Input'!M582/1.33)/('Ammo Input'!H582/1000))</f>
        <v>0.205058099794942</v>
      </c>
      <c r="N582" t="s">
        <v>353</v>
      </c>
      <c r="O582" t="s">
        <v>353</v>
      </c>
      <c r="P582" s="3">
        <f>(39493.49*(IF((VLOOKUP(B582,AmmoTypeFactors,6,FALSE)="Bomb_Secondary"),1.33,1)*('Ammo Input'!H582*0.35)/1000)^0.6/1000)*10/3*VLOOKUP(B582,AmmoTypeFactors,4,FALSE)</f>
        <v>0</v>
      </c>
    </row>
    <row r="583" ht="14.4" spans="1:16">
      <c r="A583" t="str">
        <f>'Ammo Input'!A583</f>
        <v>16 Gauge</v>
      </c>
      <c r="B583" s="1" t="str">
        <f>'Ammo Input'!B583</f>
        <v>Buck</v>
      </c>
      <c r="C583">
        <f>(0.579*('Ammo Stats'!G583*IF(OR(B583="HEAT",B583="HEDP"),10,'Ammo Input'!F583)*VLOOKUP(B583,AmmoTypeFactors,7,FALSE))^(0.346))^IF(B583="HEDP",2.1,1)/IF(B583="HEDP",50,1)</f>
        <v>6.97479153029851</v>
      </c>
      <c r="D583" s="16">
        <f>IF(VLOOKUP(B583,AmmoTypeFactors,8,FALSE),J583,C583)*VLOOKUP('Ammo Input'!B583,AmmoTypeFactors,2,FALSE)</f>
        <v>6.97479153029851</v>
      </c>
      <c r="E583" s="16">
        <f>IF(OR(VLOOKUP(B583,AmmoTypeFactors,6,FALSE)="Bomb",VLOOKUP(B583,AmmoTypeFactors,6,FALSE)="Thermobaric"),J583*VLOOKUP(B583,AmmoTypeFactors,4,FALSE),IF(VLOOKUP(B583,AmmoTypeFactors,11,FALSE),P583,C583*VLOOKUP(B583,AmmoTypeFactors,4,FALSE)))</f>
        <v>0</v>
      </c>
      <c r="F583" s="16">
        <f>'Ammo Stats'!G583/0.005</f>
        <v>35000</v>
      </c>
      <c r="G583" s="16">
        <f>(IF(B583="HEAT",10,'Ammo Input'!F583)*VLOOKUP(B583,AmmoTypeFactors,7,FALSE)*0.5)^2*PI()/100</f>
        <v>0.453645979178366</v>
      </c>
      <c r="H583" s="10">
        <f t="shared" si="18"/>
        <v>3.5</v>
      </c>
      <c r="I583" s="10">
        <f>IF(B583&lt;&gt;"Arrow (Flaming)",39493.49*'Ammo Input'!M583^0.6/1000,0)</f>
        <v>0</v>
      </c>
      <c r="J583">
        <f t="shared" si="19"/>
        <v>0</v>
      </c>
      <c r="K583">
        <f t="shared" si="20"/>
        <v>3</v>
      </c>
      <c r="L583">
        <f>200000/('Ammo Stats'!C583*(MAX('Ammo Input'!D583,'Ammo Input'!F583)*0.5)^2*PI())</f>
        <v>17622.6926606943</v>
      </c>
      <c r="M583">
        <f>IF(B583="Frag",1,('Ammo Input'!M583/1.33)/('Ammo Input'!H583/1000))</f>
        <v>0</v>
      </c>
      <c r="N583" t="s">
        <v>353</v>
      </c>
      <c r="O583" t="s">
        <v>353</v>
      </c>
      <c r="P583" s="3">
        <f>(39493.49*(IF((VLOOKUP(B583,AmmoTypeFactors,6,FALSE)="Bomb_Secondary"),1.33,1)*('Ammo Input'!H583*0.35)/1000)^0.6/1000)*10/3*VLOOKUP(B583,AmmoTypeFactors,4,FALSE)</f>
        <v>0</v>
      </c>
    </row>
    <row r="584" ht="14.4" spans="1:16">
      <c r="A584" t="str">
        <f>'Ammo Input'!A584</f>
        <v>16 Gauge</v>
      </c>
      <c r="B584" s="1" t="str">
        <f>'Ammo Input'!B584</f>
        <v>Slug</v>
      </c>
      <c r="C584">
        <f>(0.579*('Ammo Stats'!G584*IF(OR(B584="HEAT",B584="HEDP"),10,'Ammo Input'!F584)*VLOOKUP(B584,AmmoTypeFactors,7,FALSE))^(0.346))^IF(B584="HEDP",2.1,1)/IF(B584="HEDP",50,1)</f>
        <v>23.26010033938</v>
      </c>
      <c r="D584" s="16">
        <f>IF(VLOOKUP(B584,AmmoTypeFactors,8,FALSE),J584,C584)*VLOOKUP('Ammo Input'!B584,AmmoTypeFactors,2,FALSE)</f>
        <v>23.26010033938</v>
      </c>
      <c r="E584" s="16">
        <f>IF(OR(VLOOKUP(B584,AmmoTypeFactors,6,FALSE)="Bomb",VLOOKUP(B584,AmmoTypeFactors,6,FALSE)="Thermobaric"),J584*VLOOKUP(B584,AmmoTypeFactors,4,FALSE),IF(VLOOKUP(B584,AmmoTypeFactors,11,FALSE),P584,C584*VLOOKUP(B584,AmmoTypeFactors,4,FALSE)))</f>
        <v>0</v>
      </c>
      <c r="F584" s="16">
        <f>'Ammo Stats'!G584/0.005</f>
        <v>540200</v>
      </c>
      <c r="G584" s="16">
        <f>(IF(B584="HEAT",10,'Ammo Input'!F584)*VLOOKUP(B584,AmmoTypeFactors,7,FALSE)*0.5)^2*PI()/100</f>
        <v>2.01061929829747</v>
      </c>
      <c r="H584" s="10">
        <f t="shared" si="18"/>
        <v>54.02</v>
      </c>
      <c r="I584" s="10">
        <f>IF(B584&lt;&gt;"Arrow (Flaming)",39493.49*'Ammo Input'!M584^0.6/1000,0)</f>
        <v>0</v>
      </c>
      <c r="J584">
        <f t="shared" si="19"/>
        <v>0</v>
      </c>
      <c r="K584">
        <f t="shared" si="20"/>
        <v>8</v>
      </c>
      <c r="L584">
        <f>200000/('Ammo Stats'!C584*(MAX('Ammo Input'!D584,'Ammo Input'!F584)*0.5)^2*PI())</f>
        <v>17622.6926606943</v>
      </c>
      <c r="M584">
        <f>IF(B584="Frag",1,('Ammo Input'!M584/1.33)/('Ammo Input'!H584/1000))</f>
        <v>0</v>
      </c>
      <c r="N584" t="s">
        <v>353</v>
      </c>
      <c r="O584" t="s">
        <v>353</v>
      </c>
      <c r="P584" s="3">
        <f>(39493.49*(IF((VLOOKUP(B584,AmmoTypeFactors,6,FALSE)="Bomb_Secondary"),1.33,1)*('Ammo Input'!H584*0.35)/1000)^0.6/1000)*10/3*VLOOKUP(B584,AmmoTypeFactors,4,FALSE)</f>
        <v>0</v>
      </c>
    </row>
    <row r="585" ht="14.4" spans="1:16">
      <c r="A585" t="str">
        <f>'Ammo Input'!A585</f>
        <v>16 Gauge</v>
      </c>
      <c r="B585" s="1" t="str">
        <f>'Ammo Input'!B585</f>
        <v>Beanbag</v>
      </c>
      <c r="C585">
        <f>(0.579*('Ammo Stats'!G585*IF(OR(B585="HEAT",B585="HEDP"),10,'Ammo Input'!F585)*VLOOKUP(B585,AmmoTypeFactors,7,FALSE))^(0.346))^IF(B585="HEDP",2.1,1)/IF(B585="HEDP",50,1)</f>
        <v>10.5647352967756</v>
      </c>
      <c r="D585" s="16">
        <f>IF(VLOOKUP(B585,AmmoTypeFactors,8,FALSE),J585,C585)*VLOOKUP('Ammo Input'!B585,AmmoTypeFactors,2,FALSE)</f>
        <v>8.45178823742044</v>
      </c>
      <c r="E585" s="16">
        <f>IF(OR(VLOOKUP(B585,AmmoTypeFactors,6,FALSE)="Bomb",VLOOKUP(B585,AmmoTypeFactors,6,FALSE)="Thermobaric"),J585*VLOOKUP(B585,AmmoTypeFactors,4,FALSE),IF(VLOOKUP(B585,AmmoTypeFactors,11,FALSE),P585,C585*VLOOKUP(B585,AmmoTypeFactors,4,FALSE)))</f>
        <v>0</v>
      </c>
      <c r="F585" s="16">
        <f>'Ammo Stats'!G585/0.005</f>
        <v>27600</v>
      </c>
      <c r="G585" s="16">
        <f>(IF(B585="HEAT",10,'Ammo Input'!F585)*VLOOKUP(B585,AmmoTypeFactors,7,FALSE)*0.5)^2*PI()/100</f>
        <v>8.04247719318987</v>
      </c>
      <c r="H585" s="10">
        <f t="shared" si="18"/>
        <v>2.76</v>
      </c>
      <c r="I585" s="10">
        <f>IF(B585&lt;&gt;"Arrow (Flaming)",39493.49*'Ammo Input'!M585^0.6/1000,0)</f>
        <v>0</v>
      </c>
      <c r="J585">
        <f t="shared" si="19"/>
        <v>0</v>
      </c>
      <c r="K585">
        <f t="shared" si="20"/>
        <v>3</v>
      </c>
      <c r="L585">
        <f>200000/('Ammo Stats'!C585*(MAX('Ammo Input'!D585,'Ammo Input'!F585)*0.5)^2*PI())</f>
        <v>17622.6926606943</v>
      </c>
      <c r="M585">
        <f>IF(B585="Frag",1,('Ammo Input'!M585/1.33)/('Ammo Input'!H585/1000))</f>
        <v>0</v>
      </c>
      <c r="N585" t="s">
        <v>353</v>
      </c>
      <c r="O585" t="s">
        <v>353</v>
      </c>
      <c r="P585" s="3">
        <f>(39493.49*(IF((VLOOKUP(B585,AmmoTypeFactors,6,FALSE)="Bomb_Secondary"),1.33,1)*('Ammo Input'!H585*0.35)/1000)^0.6/1000)*10/3*VLOOKUP(B585,AmmoTypeFactors,4,FALSE)</f>
        <v>0</v>
      </c>
    </row>
    <row r="586" ht="14.4" spans="1:16">
      <c r="A586" t="str">
        <f>'Ammo Input'!A586</f>
        <v>16 Gauge</v>
      </c>
      <c r="B586" s="1" t="str">
        <f>'Ammo Input'!B586</f>
        <v>EMP Slug</v>
      </c>
      <c r="C586">
        <f>(0.579*('Ammo Stats'!G586*IF(OR(B586="HEAT",B586="HEDP"),10,'Ammo Input'!F586)*VLOOKUP(B586,AmmoTypeFactors,7,FALSE))^(0.346))^IF(B586="HEDP",2.1,1)/IF(B586="HEDP",50,1)</f>
        <v>11.0590934868362</v>
      </c>
      <c r="D586" s="16">
        <f>IF(VLOOKUP(B586,AmmoTypeFactors,8,FALSE),J586,C586)*VLOOKUP('Ammo Input'!B586,AmmoTypeFactors,2,FALSE)</f>
        <v>10.8980679175244</v>
      </c>
      <c r="E586" s="16">
        <f>IF(OR(VLOOKUP(B586,AmmoTypeFactors,6,FALSE)="Bomb",VLOOKUP(B586,AmmoTypeFactors,6,FALSE)="Thermobaric"),J586*VLOOKUP(B586,AmmoTypeFactors,4,FALSE),IF(VLOOKUP(B586,AmmoTypeFactors,11,FALSE),P586,C586*VLOOKUP(B586,AmmoTypeFactors,4,FALSE)))</f>
        <v>0</v>
      </c>
      <c r="F586" s="16">
        <f>'Ammo Stats'!G586/0.005</f>
        <v>63000</v>
      </c>
      <c r="G586" s="16">
        <f>(IF(B586="HEAT",10,'Ammo Input'!F586)*VLOOKUP(B586,AmmoTypeFactors,7,FALSE)*0.5)^2*PI()/100</f>
        <v>2.01061929829747</v>
      </c>
      <c r="H586" s="10">
        <f t="shared" si="18"/>
        <v>6.3</v>
      </c>
      <c r="I586" s="10">
        <f>IF(B586&lt;&gt;"Arrow (Flaming)",39493.49*'Ammo Input'!M586^0.6/1000,0)</f>
        <v>2.17961358350487</v>
      </c>
      <c r="J586">
        <f t="shared" si="19"/>
        <v>7.26537861168292</v>
      </c>
      <c r="K586">
        <f t="shared" si="20"/>
        <v>4</v>
      </c>
      <c r="L586">
        <f>200000/('Ammo Stats'!C586*(MAX('Ammo Input'!D586,'Ammo Input'!F586)*0.5)^2*PI())</f>
        <v>17622.6926606943</v>
      </c>
      <c r="M586">
        <f>IF(B586="Frag",1,('Ammo Input'!M586/1.33)/('Ammo Input'!H586/1000))</f>
        <v>0.214822771213749</v>
      </c>
      <c r="N586" t="s">
        <v>353</v>
      </c>
      <c r="O586" t="s">
        <v>353</v>
      </c>
      <c r="P586" s="3">
        <f>(39493.49*(IF((VLOOKUP(B586,AmmoTypeFactors,6,FALSE)="Bomb_Secondary"),1.33,1)*('Ammo Input'!H586*0.35)/1000)^0.6/1000)*10/3*VLOOKUP(B586,AmmoTypeFactors,4,FALSE)</f>
        <v>0</v>
      </c>
    </row>
    <row r="587" ht="14.4" spans="1:16">
      <c r="A587" t="str">
        <f>'Ammo Input'!A587</f>
        <v>12 Gauge</v>
      </c>
      <c r="B587" s="1" t="str">
        <f>'Ammo Input'!B587</f>
        <v>Buck</v>
      </c>
      <c r="C587">
        <f>(0.579*('Ammo Stats'!G587*IF(OR(B587="HEAT",B587="HEDP"),10,'Ammo Input'!F587)*VLOOKUP(B587,AmmoTypeFactors,7,FALSE))^(0.346))^IF(B587="HEDP",2.1,1)/IF(B587="HEDP",50,1)</f>
        <v>7.88211041168097</v>
      </c>
      <c r="D587" s="16">
        <f>IF(VLOOKUP(B587,AmmoTypeFactors,8,FALSE),J587,C587)*VLOOKUP('Ammo Input'!B587,AmmoTypeFactors,2,FALSE)</f>
        <v>7.88211041168097</v>
      </c>
      <c r="E587" s="16">
        <f>IF(OR(VLOOKUP(B587,AmmoTypeFactors,6,FALSE)="Bomb",VLOOKUP(B587,AmmoTypeFactors,6,FALSE)="Thermobaric"),J587*VLOOKUP(B587,AmmoTypeFactors,4,FALSE),IF(VLOOKUP(B587,AmmoTypeFactors,11,FALSE),P587,C587*VLOOKUP(B587,AmmoTypeFactors,4,FALSE)))</f>
        <v>0</v>
      </c>
      <c r="F587" s="16">
        <f>'Ammo Stats'!G587/0.005</f>
        <v>45200</v>
      </c>
      <c r="G587" s="16">
        <f>(IF(B587="HEAT",10,'Ammo Input'!F587)*VLOOKUP(B587,AmmoTypeFactors,7,FALSE)*0.5)^2*PI()/100</f>
        <v>0.551541147856878</v>
      </c>
      <c r="H587" s="10">
        <f t="shared" si="18"/>
        <v>4.52</v>
      </c>
      <c r="I587" s="10">
        <f>IF(B587&lt;&gt;"Arrow (Flaming)",39493.49*'Ammo Input'!M587^0.6/1000,0)</f>
        <v>0</v>
      </c>
      <c r="J587">
        <f t="shared" si="19"/>
        <v>0</v>
      </c>
      <c r="K587">
        <f t="shared" si="20"/>
        <v>4</v>
      </c>
      <c r="L587">
        <f>200000/('Ammo Stats'!C587*(MAX('Ammo Input'!D587,'Ammo Input'!F587)*0.5)^2*PI())</f>
        <v>12400.6773288061</v>
      </c>
      <c r="M587">
        <f>IF(B587="Frag",1,('Ammo Input'!M587/1.33)/('Ammo Input'!H587/1000))</f>
        <v>0</v>
      </c>
      <c r="N587" t="s">
        <v>353</v>
      </c>
      <c r="O587" t="s">
        <v>353</v>
      </c>
      <c r="P587" s="3">
        <f>(39493.49*(IF((VLOOKUP(B587,AmmoTypeFactors,6,FALSE)="Bomb_Secondary"),1.33,1)*('Ammo Input'!H587*0.35)/1000)^0.6/1000)*10/3*VLOOKUP(B587,AmmoTypeFactors,4,FALSE)</f>
        <v>0</v>
      </c>
    </row>
    <row r="588" ht="14.4" spans="1:16">
      <c r="A588" t="str">
        <f>'Ammo Input'!A588</f>
        <v>12 Gauge</v>
      </c>
      <c r="B588" s="1" t="str">
        <f>'Ammo Input'!B588</f>
        <v>Slug</v>
      </c>
      <c r="C588">
        <f>(0.579*('Ammo Stats'!G588*IF(OR(B588="HEAT",B588="HEDP"),10,'Ammo Input'!F588)*VLOOKUP(B588,AmmoTypeFactors,7,FALSE))^(0.346))^IF(B588="HEDP",2.1,1)/IF(B588="HEDP",50,1)</f>
        <v>28.1176546821037</v>
      </c>
      <c r="D588" s="16">
        <f>IF(VLOOKUP(B588,AmmoTypeFactors,8,FALSE),J588,C588)*VLOOKUP('Ammo Input'!B588,AmmoTypeFactors,2,FALSE)</f>
        <v>28.1176546821037</v>
      </c>
      <c r="E588" s="16">
        <f>IF(OR(VLOOKUP(B588,AmmoTypeFactors,6,FALSE)="Bomb",VLOOKUP(B588,AmmoTypeFactors,6,FALSE)="Thermobaric"),J588*VLOOKUP(B588,AmmoTypeFactors,4,FALSE),IF(VLOOKUP(B588,AmmoTypeFactors,11,FALSE),P588,C588*VLOOKUP(B588,AmmoTypeFactors,4,FALSE)))</f>
        <v>0</v>
      </c>
      <c r="F588" s="16">
        <f>'Ammo Stats'!G588/0.005</f>
        <v>853000</v>
      </c>
      <c r="G588" s="16">
        <f>(IF(B588="HEAT",10,'Ammo Input'!F588)*VLOOKUP(B588,AmmoTypeFactors,7,FALSE)*0.5)^2*PI()/100</f>
        <v>2.41353562470383</v>
      </c>
      <c r="H588" s="10">
        <f t="shared" si="18"/>
        <v>85.3</v>
      </c>
      <c r="I588" s="10">
        <f>IF(B588&lt;&gt;"Arrow (Flaming)",39493.49*'Ammo Input'!M588^0.6/1000,0)</f>
        <v>0</v>
      </c>
      <c r="J588">
        <f t="shared" si="19"/>
        <v>0</v>
      </c>
      <c r="K588">
        <f t="shared" si="20"/>
        <v>9</v>
      </c>
      <c r="L588">
        <f>200000/('Ammo Stats'!C588*(MAX('Ammo Input'!D588,'Ammo Input'!F588)*0.5)^2*PI())</f>
        <v>12400.6773288061</v>
      </c>
      <c r="M588">
        <f>IF(B588="Frag",1,('Ammo Input'!M588/1.33)/('Ammo Input'!H588/1000))</f>
        <v>0</v>
      </c>
      <c r="N588" t="s">
        <v>353</v>
      </c>
      <c r="O588" t="s">
        <v>353</v>
      </c>
      <c r="P588" s="3">
        <f>(39493.49*(IF((VLOOKUP(B588,AmmoTypeFactors,6,FALSE)="Bomb_Secondary"),1.33,1)*('Ammo Input'!H588*0.35)/1000)^0.6/1000)*10/3*VLOOKUP(B588,AmmoTypeFactors,4,FALSE)</f>
        <v>0</v>
      </c>
    </row>
    <row r="589" ht="14.4" spans="1:16">
      <c r="A589" t="str">
        <f>'Ammo Input'!A589</f>
        <v>12 Gauge</v>
      </c>
      <c r="B589" s="1" t="str">
        <f>'Ammo Input'!B589</f>
        <v>Beanbag</v>
      </c>
      <c r="C589">
        <f>(0.579*('Ammo Stats'!G589*IF(OR(B589="HEAT",B589="HEDP"),10,'Ammo Input'!F589)*VLOOKUP(B589,AmmoTypeFactors,7,FALSE))^(0.346))^IF(B589="HEDP",2.1,1)/IF(B589="HEDP",50,1)</f>
        <v>11.5259221060729</v>
      </c>
      <c r="D589" s="16">
        <f>IF(VLOOKUP(B589,AmmoTypeFactors,8,FALSE),J589,C589)*VLOOKUP('Ammo Input'!B589,AmmoTypeFactors,2,FALSE)</f>
        <v>9.22073768485834</v>
      </c>
      <c r="E589" s="16">
        <f>IF(OR(VLOOKUP(B589,AmmoTypeFactors,6,FALSE)="Bomb",VLOOKUP(B589,AmmoTypeFactors,6,FALSE)="Thermobaric"),J589*VLOOKUP(B589,AmmoTypeFactors,4,FALSE),IF(VLOOKUP(B589,AmmoTypeFactors,11,FALSE),P589,C589*VLOOKUP(B589,AmmoTypeFactors,4,FALSE)))</f>
        <v>0</v>
      </c>
      <c r="F589" s="16">
        <f>'Ammo Stats'!G589/0.005</f>
        <v>32400</v>
      </c>
      <c r="G589" s="16">
        <f>(IF(B589="HEAT",10,'Ammo Input'!F589)*VLOOKUP(B589,AmmoTypeFactors,7,FALSE)*0.5)^2*PI()/100</f>
        <v>9.65414249881532</v>
      </c>
      <c r="H589" s="10">
        <f t="shared" si="18"/>
        <v>3.24</v>
      </c>
      <c r="I589" s="10">
        <f>IF(B589&lt;&gt;"Arrow (Flaming)",39493.49*'Ammo Input'!M589^0.6/1000,0)</f>
        <v>0</v>
      </c>
      <c r="J589">
        <f t="shared" si="19"/>
        <v>0</v>
      </c>
      <c r="K589">
        <f t="shared" si="20"/>
        <v>3</v>
      </c>
      <c r="L589">
        <f>200000/('Ammo Stats'!C589*(MAX('Ammo Input'!D589,'Ammo Input'!F589)*0.5)^2*PI())</f>
        <v>12400.6773288061</v>
      </c>
      <c r="M589">
        <f>IF(B589="Frag",1,('Ammo Input'!M589/1.33)/('Ammo Input'!H589/1000))</f>
        <v>0</v>
      </c>
      <c r="N589" t="s">
        <v>353</v>
      </c>
      <c r="O589" t="s">
        <v>353</v>
      </c>
      <c r="P589" s="3">
        <f>(39493.49*(IF((VLOOKUP(B589,AmmoTypeFactors,6,FALSE)="Bomb_Secondary"),1.33,1)*('Ammo Input'!H589*0.35)/1000)^0.6/1000)*10/3*VLOOKUP(B589,AmmoTypeFactors,4,FALSE)</f>
        <v>0</v>
      </c>
    </row>
    <row r="590" ht="14.4" spans="1:16">
      <c r="A590" t="str">
        <f>'Ammo Input'!A590</f>
        <v>12 Gauge</v>
      </c>
      <c r="B590" s="1" t="str">
        <f>'Ammo Input'!B590</f>
        <v>EMP Slug</v>
      </c>
      <c r="C590">
        <f>(0.579*('Ammo Stats'!G590*IF(OR(B590="HEAT",B590="HEDP"),10,'Ammo Input'!F590)*VLOOKUP(B590,AmmoTypeFactors,7,FALSE))^(0.346))^IF(B590="HEDP",2.1,1)/IF(B590="HEDP",50,1)</f>
        <v>12.3330019295592</v>
      </c>
      <c r="D590" s="16">
        <f>IF(VLOOKUP(B590,AmmoTypeFactors,8,FALSE),J590,C590)*VLOOKUP('Ammo Input'!B590,AmmoTypeFactors,2,FALSE)</f>
        <v>12.4593537873275</v>
      </c>
      <c r="E590" s="16">
        <f>IF(OR(VLOOKUP(B590,AmmoTypeFactors,6,FALSE)="Bomb",VLOOKUP(B590,AmmoTypeFactors,6,FALSE)="Thermobaric"),J590*VLOOKUP(B590,AmmoTypeFactors,4,FALSE),IF(VLOOKUP(B590,AmmoTypeFactors,11,FALSE),P590,C590*VLOOKUP(B590,AmmoTypeFactors,4,FALSE)))</f>
        <v>0</v>
      </c>
      <c r="F590" s="16">
        <f>'Ammo Stats'!G590/0.005</f>
        <v>78800</v>
      </c>
      <c r="G590" s="16">
        <f>(IF(B590="HEAT",10,'Ammo Input'!F590)*VLOOKUP(B590,AmmoTypeFactors,7,FALSE)*0.5)^2*PI()/100</f>
        <v>2.41353562470383</v>
      </c>
      <c r="H590" s="10">
        <f t="shared" si="18"/>
        <v>7.88</v>
      </c>
      <c r="I590" s="10">
        <f>IF(B590&lt;&gt;"Arrow (Flaming)",39493.49*'Ammo Input'!M590^0.6/1000,0)</f>
        <v>2.49187075746551</v>
      </c>
      <c r="J590">
        <f t="shared" si="19"/>
        <v>8.30623585821836</v>
      </c>
      <c r="K590">
        <f t="shared" si="20"/>
        <v>4</v>
      </c>
      <c r="L590">
        <f>200000/('Ammo Stats'!C590*(MAX('Ammo Input'!D590,'Ammo Input'!F590)*0.5)^2*PI())</f>
        <v>12400.6773288061</v>
      </c>
      <c r="M590">
        <f>IF(B590="Frag",1,('Ammo Input'!M590/1.33)/('Ammo Input'!H590/1000))</f>
        <v>0.214822771213749</v>
      </c>
      <c r="N590" t="s">
        <v>353</v>
      </c>
      <c r="O590" t="s">
        <v>353</v>
      </c>
      <c r="P590" s="3">
        <f>(39493.49*(IF((VLOOKUP(B590,AmmoTypeFactors,6,FALSE)="Bomb_Secondary"),1.33,1)*('Ammo Input'!H590*0.35)/1000)^0.6/1000)*10/3*VLOOKUP(B590,AmmoTypeFactors,4,FALSE)</f>
        <v>0</v>
      </c>
    </row>
    <row r="591" ht="14.4" spans="1:16">
      <c r="A591" t="str">
        <f>'Ammo Input'!A591</f>
        <v>12 Gauge (Slow)</v>
      </c>
      <c r="B591" s="1" t="str">
        <f>'Ammo Input'!B591</f>
        <v>Buck</v>
      </c>
      <c r="C591">
        <f>(0.579*('Ammo Stats'!G591*IF(OR(B591="HEAT",B591="HEDP"),10,'Ammo Input'!F591)*VLOOKUP(B591,AmmoTypeFactors,7,FALSE))^(0.346))^IF(B591="HEDP",2.1,1)/IF(B591="HEDP",50,1)</f>
        <v>7.18596248925468</v>
      </c>
      <c r="D591" s="16">
        <f>IF(VLOOKUP(B591,AmmoTypeFactors,8,FALSE),J591,C591)*VLOOKUP('Ammo Input'!B591,AmmoTypeFactors,2,FALSE)</f>
        <v>7.18596248925468</v>
      </c>
      <c r="E591" s="16">
        <f>IF(OR(VLOOKUP(B591,AmmoTypeFactors,6,FALSE)="Bomb",VLOOKUP(B591,AmmoTypeFactors,6,FALSE)="Thermobaric"),J591*VLOOKUP(B591,AmmoTypeFactors,4,FALSE),IF(VLOOKUP(B591,AmmoTypeFactors,11,FALSE),P591,C591*VLOOKUP(B591,AmmoTypeFactors,4,FALSE)))</f>
        <v>0</v>
      </c>
      <c r="F591" s="16">
        <f>'Ammo Stats'!G591/0.005</f>
        <v>34600</v>
      </c>
      <c r="G591" s="16">
        <f>(IF(B591="HEAT",10,'Ammo Input'!F591)*VLOOKUP(B591,AmmoTypeFactors,7,FALSE)*0.5)^2*PI()/100</f>
        <v>0.551541147856878</v>
      </c>
      <c r="H591" s="10">
        <f t="shared" si="18"/>
        <v>3.46</v>
      </c>
      <c r="I591" s="10">
        <f>IF(B591&lt;&gt;"Arrow (Flaming)",39493.49*'Ammo Input'!M591^0.6/1000,0)</f>
        <v>0</v>
      </c>
      <c r="J591">
        <f t="shared" si="19"/>
        <v>0</v>
      </c>
      <c r="K591">
        <f t="shared" si="20"/>
        <v>3</v>
      </c>
      <c r="L591">
        <f>200000/('Ammo Stats'!C591*(MAX('Ammo Input'!D591,'Ammo Input'!F591)*0.5)^2*PI())</f>
        <v>12400.6773288061</v>
      </c>
      <c r="M591">
        <f>IF(B591="Frag",1,('Ammo Input'!M591/1.33)/('Ammo Input'!H591/1000))</f>
        <v>0</v>
      </c>
      <c r="N591" t="s">
        <v>353</v>
      </c>
      <c r="O591" t="s">
        <v>353</v>
      </c>
      <c r="P591" s="3">
        <f>(39493.49*(IF((VLOOKUP(B591,AmmoTypeFactors,6,FALSE)="Bomb_Secondary"),1.33,1)*('Ammo Input'!H591*0.35)/1000)^0.6/1000)*10/3*VLOOKUP(B591,AmmoTypeFactors,4,FALSE)</f>
        <v>0</v>
      </c>
    </row>
    <row r="592" ht="14.4" spans="1:16">
      <c r="A592" t="str">
        <f>'Ammo Input'!A592</f>
        <v>12 Gauge (Slow)</v>
      </c>
      <c r="B592" s="1" t="str">
        <f>'Ammo Input'!B592</f>
        <v>Slug</v>
      </c>
      <c r="C592">
        <f>(0.579*('Ammo Stats'!G592*IF(OR(B592="HEAT",B592="HEDP"),10,'Ammo Input'!F592)*VLOOKUP(B592,AmmoTypeFactors,7,FALSE))^(0.346))^IF(B592="HEDP",2.1,1)/IF(B592="HEDP",50,1)</f>
        <v>26.3570812513334</v>
      </c>
      <c r="D592" s="16">
        <f>IF(VLOOKUP(B592,AmmoTypeFactors,8,FALSE),J592,C592)*VLOOKUP('Ammo Input'!B592,AmmoTypeFactors,2,FALSE)</f>
        <v>26.3570812513334</v>
      </c>
      <c r="E592" s="16">
        <f>IF(OR(VLOOKUP(B592,AmmoTypeFactors,6,FALSE)="Bomb",VLOOKUP(B592,AmmoTypeFactors,6,FALSE)="Thermobaric"),J592*VLOOKUP(B592,AmmoTypeFactors,4,FALSE),IF(VLOOKUP(B592,AmmoTypeFactors,11,FALSE),P592,C592*VLOOKUP(B592,AmmoTypeFactors,4,FALSE)))</f>
        <v>0</v>
      </c>
      <c r="F592" s="16">
        <f>'Ammo Stats'!G592/0.005</f>
        <v>707600</v>
      </c>
      <c r="G592" s="16">
        <f>(IF(B592="HEAT",10,'Ammo Input'!F592)*VLOOKUP(B592,AmmoTypeFactors,7,FALSE)*0.5)^2*PI()/100</f>
        <v>2.41353562470383</v>
      </c>
      <c r="H592" s="10">
        <f t="shared" si="18"/>
        <v>70.76</v>
      </c>
      <c r="I592" s="10">
        <f>IF(B592&lt;&gt;"Arrow (Flaming)",39493.49*'Ammo Input'!M592^0.6/1000,0)</f>
        <v>0</v>
      </c>
      <c r="J592">
        <f t="shared" si="19"/>
        <v>0</v>
      </c>
      <c r="K592">
        <f t="shared" si="20"/>
        <v>9</v>
      </c>
      <c r="L592">
        <f>200000/('Ammo Stats'!C592*(MAX('Ammo Input'!D592,'Ammo Input'!F592)*0.5)^2*PI())</f>
        <v>12400.6773288061</v>
      </c>
      <c r="M592">
        <f>IF(B592="Frag",1,('Ammo Input'!M592/1.33)/('Ammo Input'!H592/1000))</f>
        <v>0</v>
      </c>
      <c r="N592" t="s">
        <v>353</v>
      </c>
      <c r="O592" t="s">
        <v>353</v>
      </c>
      <c r="P592" s="3">
        <f>(39493.49*(IF((VLOOKUP(B592,AmmoTypeFactors,6,FALSE)="Bomb_Secondary"),1.33,1)*('Ammo Input'!H592*0.35)/1000)^0.6/1000)*10/3*VLOOKUP(B592,AmmoTypeFactors,4,FALSE)</f>
        <v>0</v>
      </c>
    </row>
    <row r="593" ht="14.4" spans="1:16">
      <c r="A593" t="str">
        <f>'Ammo Input'!A593</f>
        <v>12 Gauge (Slow)</v>
      </c>
      <c r="B593" s="1" t="str">
        <f>'Ammo Input'!B593</f>
        <v>Beanbag</v>
      </c>
      <c r="C593">
        <f>(0.579*('Ammo Stats'!G593*IF(OR(B593="HEAT",B593="HEDP"),10,'Ammo Input'!F593)*VLOOKUP(B593,AmmoTypeFactors,7,FALSE))^(0.346))^IF(B593="HEDP",2.1,1)/IF(B593="HEDP",50,1)</f>
        <v>10.1753328993057</v>
      </c>
      <c r="D593" s="16">
        <f>IF(VLOOKUP(B593,AmmoTypeFactors,8,FALSE),J593,C593)*VLOOKUP('Ammo Input'!B593,AmmoTypeFactors,2,FALSE)</f>
        <v>8.14026631944454</v>
      </c>
      <c r="E593" s="16">
        <f>IF(OR(VLOOKUP(B593,AmmoTypeFactors,6,FALSE)="Bomb",VLOOKUP(B593,AmmoTypeFactors,6,FALSE)="Thermobaric"),J593*VLOOKUP(B593,AmmoTypeFactors,4,FALSE),IF(VLOOKUP(B593,AmmoTypeFactors,11,FALSE),P593,C593*VLOOKUP(B593,AmmoTypeFactors,4,FALSE)))</f>
        <v>0</v>
      </c>
      <c r="F593" s="16">
        <f>'Ammo Stats'!G593/0.005</f>
        <v>22600</v>
      </c>
      <c r="G593" s="16">
        <f>(IF(B593="HEAT",10,'Ammo Input'!F593)*VLOOKUP(B593,AmmoTypeFactors,7,FALSE)*0.5)^2*PI()/100</f>
        <v>9.65414249881532</v>
      </c>
      <c r="H593" s="10">
        <f t="shared" si="18"/>
        <v>2.26</v>
      </c>
      <c r="I593" s="10">
        <f>IF(B593&lt;&gt;"Arrow (Flaming)",39493.49*'Ammo Input'!M593^0.6/1000,0)</f>
        <v>0</v>
      </c>
      <c r="J593">
        <f t="shared" si="19"/>
        <v>0</v>
      </c>
      <c r="K593">
        <f t="shared" si="20"/>
        <v>3</v>
      </c>
      <c r="L593">
        <f>200000/('Ammo Stats'!C593*(MAX('Ammo Input'!D593,'Ammo Input'!F593)*0.5)^2*PI())</f>
        <v>12400.6773288061</v>
      </c>
      <c r="M593">
        <f>IF(B593="Frag",1,('Ammo Input'!M593/1.33)/('Ammo Input'!H593/1000))</f>
        <v>0</v>
      </c>
      <c r="N593" t="s">
        <v>353</v>
      </c>
      <c r="O593" t="s">
        <v>353</v>
      </c>
      <c r="P593" s="3">
        <f>(39493.49*(IF((VLOOKUP(B593,AmmoTypeFactors,6,FALSE)="Bomb_Secondary"),1.33,1)*('Ammo Input'!H593*0.35)/1000)^0.6/1000)*10/3*VLOOKUP(B593,AmmoTypeFactors,4,FALSE)</f>
        <v>0</v>
      </c>
    </row>
    <row r="594" ht="14.4" spans="1:16">
      <c r="A594" t="str">
        <f>'Ammo Input'!A594</f>
        <v>12 Gauge (Slow)</v>
      </c>
      <c r="B594" s="1" t="str">
        <f>'Ammo Input'!B594</f>
        <v>EMP Slug</v>
      </c>
      <c r="C594">
        <f>(0.579*('Ammo Stats'!G594*IF(OR(B594="HEAT",B594="HEDP"),10,'Ammo Input'!F594)*VLOOKUP(B594,AmmoTypeFactors,7,FALSE))^(0.346))^IF(B594="HEDP",2.1,1)/IF(B594="HEDP",50,1)</f>
        <v>9.63451673898517</v>
      </c>
      <c r="D594" s="16">
        <f>IF(VLOOKUP(B594,AmmoTypeFactors,8,FALSE),J594,C594)*VLOOKUP('Ammo Input'!B594,AmmoTypeFactors,2,FALSE)</f>
        <v>12.4593537873275</v>
      </c>
      <c r="E594" s="16">
        <f>IF(OR(VLOOKUP(B594,AmmoTypeFactors,6,FALSE)="Bomb",VLOOKUP(B594,AmmoTypeFactors,6,FALSE)="Thermobaric"),J594*VLOOKUP(B594,AmmoTypeFactors,4,FALSE),IF(VLOOKUP(B594,AmmoTypeFactors,11,FALSE),P594,C594*VLOOKUP(B594,AmmoTypeFactors,4,FALSE)))</f>
        <v>0</v>
      </c>
      <c r="F594" s="16">
        <f>'Ammo Stats'!G594/0.005</f>
        <v>38600</v>
      </c>
      <c r="G594" s="16">
        <f>(IF(B594="HEAT",10,'Ammo Input'!F594)*VLOOKUP(B594,AmmoTypeFactors,7,FALSE)*0.5)^2*PI()/100</f>
        <v>2.41353562470383</v>
      </c>
      <c r="H594" s="10">
        <f t="shared" si="18"/>
        <v>3.86</v>
      </c>
      <c r="I594" s="10">
        <f>IF(B594&lt;&gt;"Arrow (Flaming)",39493.49*'Ammo Input'!M594^0.6/1000,0)</f>
        <v>2.49187075746551</v>
      </c>
      <c r="J594">
        <f t="shared" si="19"/>
        <v>8.30623585821836</v>
      </c>
      <c r="K594">
        <f t="shared" si="20"/>
        <v>3</v>
      </c>
      <c r="L594">
        <f>200000/('Ammo Stats'!C594*(MAX('Ammo Input'!D594,'Ammo Input'!F594)*0.5)^2*PI())</f>
        <v>12400.6773288061</v>
      </c>
      <c r="M594">
        <f>IF(B594="Frag",1,('Ammo Input'!M594/1.33)/('Ammo Input'!H594/1000))</f>
        <v>0.214822771213749</v>
      </c>
      <c r="N594" t="s">
        <v>353</v>
      </c>
      <c r="O594" t="s">
        <v>353</v>
      </c>
      <c r="P594" s="3">
        <f>(39493.49*(IF((VLOOKUP(B594,AmmoTypeFactors,6,FALSE)="Bomb_Secondary"),1.33,1)*('Ammo Input'!H594*0.35)/1000)^0.6/1000)*10/3*VLOOKUP(B594,AmmoTypeFactors,4,FALSE)</f>
        <v>0</v>
      </c>
    </row>
    <row r="595" ht="14.4" spans="1:16">
      <c r="A595" t="str">
        <f>'Ammo Input'!A595</f>
        <v>10 Gauge</v>
      </c>
      <c r="B595" s="1" t="str">
        <f>'Ammo Input'!B595</f>
        <v>Buck</v>
      </c>
      <c r="C595">
        <f>(0.579*('Ammo Stats'!G595*IF(OR(B595="HEAT",B595="HEDP"),10,'Ammo Input'!F595)*VLOOKUP(B595,AmmoTypeFactors,7,FALSE))^(0.346))^IF(B595="HEDP",2.1,1)/IF(B595="HEDP",50,1)</f>
        <v>7.50311486082438</v>
      </c>
      <c r="D595" s="16">
        <f>IF(VLOOKUP(B595,AmmoTypeFactors,8,FALSE),J595,C595)*VLOOKUP('Ammo Input'!B595,AmmoTypeFactors,2,FALSE)</f>
        <v>7.50311486082438</v>
      </c>
      <c r="E595" s="16">
        <f>IF(OR(VLOOKUP(B595,AmmoTypeFactors,6,FALSE)="Bomb",VLOOKUP(B595,AmmoTypeFactors,6,FALSE)="Thermobaric"),J595*VLOOKUP(B595,AmmoTypeFactors,4,FALSE),IF(VLOOKUP(B595,AmmoTypeFactors,11,FALSE),P595,C595*VLOOKUP(B595,AmmoTypeFactors,4,FALSE)))</f>
        <v>0</v>
      </c>
      <c r="F595" s="16">
        <f>'Ammo Stats'!G595/0.005</f>
        <v>39200</v>
      </c>
      <c r="G595" s="16">
        <f>(IF(B595="HEAT",10,'Ammo Input'!F595)*VLOOKUP(B595,AmmoTypeFactors,7,FALSE)*0.5)^2*PI()/100</f>
        <v>0.551541147856878</v>
      </c>
      <c r="H595" s="10">
        <f t="shared" si="18"/>
        <v>3.92</v>
      </c>
      <c r="I595" s="10">
        <f>IF(B595&lt;&gt;"Arrow (Flaming)",39493.49*'Ammo Input'!M595^0.6/1000,0)</f>
        <v>0</v>
      </c>
      <c r="J595">
        <f t="shared" si="19"/>
        <v>0</v>
      </c>
      <c r="K595">
        <f t="shared" si="20"/>
        <v>3</v>
      </c>
      <c r="L595">
        <f>200000/('Ammo Stats'!C595*(MAX('Ammo Input'!D595,'Ammo Input'!F595)*0.5)^2*PI())</f>
        <v>7365.21556258482</v>
      </c>
      <c r="M595">
        <f>IF(B595="Frag",1,('Ammo Input'!M595/1.33)/('Ammo Input'!H595/1000))</f>
        <v>0</v>
      </c>
      <c r="N595" t="s">
        <v>353</v>
      </c>
      <c r="O595" t="s">
        <v>353</v>
      </c>
      <c r="P595" s="3">
        <f>(39493.49*(IF((VLOOKUP(B595,AmmoTypeFactors,6,FALSE)="Bomb_Secondary"),1.33,1)*('Ammo Input'!H595*0.35)/1000)^0.6/1000)*10/3*VLOOKUP(B595,AmmoTypeFactors,4,FALSE)</f>
        <v>0</v>
      </c>
    </row>
    <row r="596" ht="14.4" spans="1:16">
      <c r="A596" t="str">
        <f>'Ammo Input'!A596</f>
        <v>10 Gauge</v>
      </c>
      <c r="B596" s="1" t="str">
        <f>'Ammo Input'!B596</f>
        <v>Slug</v>
      </c>
      <c r="C596">
        <f>(0.579*('Ammo Stats'!G596*IF(OR(B596="HEAT",B596="HEDP"),10,'Ammo Input'!F596)*VLOOKUP(B596,AmmoTypeFactors,7,FALSE))^(0.346))^IF(B596="HEDP",2.1,1)/IF(B596="HEDP",50,1)</f>
        <v>33.0542755379921</v>
      </c>
      <c r="D596" s="16">
        <f>IF(VLOOKUP(B596,AmmoTypeFactors,8,FALSE),J596,C596)*VLOOKUP('Ammo Input'!B596,AmmoTypeFactors,2,FALSE)</f>
        <v>33.0542755379921</v>
      </c>
      <c r="E596" s="16">
        <f>IF(OR(VLOOKUP(B596,AmmoTypeFactors,6,FALSE)="Bomb",VLOOKUP(B596,AmmoTypeFactors,6,FALSE)="Thermobaric"),J596*VLOOKUP(B596,AmmoTypeFactors,4,FALSE),IF(VLOOKUP(B596,AmmoTypeFactors,11,FALSE),P596,C596*VLOOKUP(B596,AmmoTypeFactors,4,FALSE)))</f>
        <v>0</v>
      </c>
      <c r="F596" s="16">
        <f>'Ammo Stats'!G596/0.005</f>
        <v>1290000</v>
      </c>
      <c r="G596" s="16">
        <f>(IF(B596="HEAT",10,'Ammo Input'!F596)*VLOOKUP(B596,AmmoTypeFactors,7,FALSE)*0.5)^2*PI()/100</f>
        <v>2.68802521422777</v>
      </c>
      <c r="H596" s="10">
        <f t="shared" si="18"/>
        <v>129</v>
      </c>
      <c r="I596" s="10">
        <f>IF(B596&lt;&gt;"Arrow (Flaming)",39493.49*'Ammo Input'!M596^0.6/1000,0)</f>
        <v>0</v>
      </c>
      <c r="J596">
        <f t="shared" si="19"/>
        <v>0</v>
      </c>
      <c r="K596">
        <f t="shared" si="20"/>
        <v>11</v>
      </c>
      <c r="L596">
        <f>200000/('Ammo Stats'!C596*(MAX('Ammo Input'!D596,'Ammo Input'!F596)*0.5)^2*PI())</f>
        <v>7365.21556258482</v>
      </c>
      <c r="M596">
        <f>IF(B596="Frag",1,('Ammo Input'!M596/1.33)/('Ammo Input'!H596/1000))</f>
        <v>0</v>
      </c>
      <c r="N596" t="s">
        <v>353</v>
      </c>
      <c r="O596" t="s">
        <v>353</v>
      </c>
      <c r="P596" s="3">
        <f>(39493.49*(IF((VLOOKUP(B596,AmmoTypeFactors,6,FALSE)="Bomb_Secondary"),1.33,1)*('Ammo Input'!H596*0.35)/1000)^0.6/1000)*10/3*VLOOKUP(B596,AmmoTypeFactors,4,FALSE)</f>
        <v>0</v>
      </c>
    </row>
    <row r="597" ht="14.4" spans="1:16">
      <c r="A597" t="str">
        <f>'Ammo Input'!A597</f>
        <v>10 Gauge</v>
      </c>
      <c r="B597" s="1" t="str">
        <f>'Ammo Input'!B597</f>
        <v>Beanbag</v>
      </c>
      <c r="C597">
        <f>(0.579*('Ammo Stats'!G597*IF(OR(B597="HEAT",B597="HEDP"),10,'Ammo Input'!F597)*VLOOKUP(B597,AmmoTypeFactors,7,FALSE))^(0.346))^IF(B597="HEDP",2.1,1)/IF(B597="HEDP",50,1)</f>
        <v>14.5666190474959</v>
      </c>
      <c r="D597" s="16">
        <f>IF(VLOOKUP(B597,AmmoTypeFactors,8,FALSE),J597,C597)*VLOOKUP('Ammo Input'!B597,AmmoTypeFactors,2,FALSE)</f>
        <v>11.6532952379967</v>
      </c>
      <c r="E597" s="16">
        <f>IF(OR(VLOOKUP(B597,AmmoTypeFactors,6,FALSE)="Bomb",VLOOKUP(B597,AmmoTypeFactors,6,FALSE)="Thermobaric"),J597*VLOOKUP(B597,AmmoTypeFactors,4,FALSE),IF(VLOOKUP(B597,AmmoTypeFactors,11,FALSE),P597,C597*VLOOKUP(B597,AmmoTypeFactors,4,FALSE)))</f>
        <v>0</v>
      </c>
      <c r="F597" s="16">
        <f>'Ammo Stats'!G597/0.005</f>
        <v>60400</v>
      </c>
      <c r="G597" s="16">
        <f>(IF(B597="HEAT",10,'Ammo Input'!F597)*VLOOKUP(B597,AmmoTypeFactors,7,FALSE)*0.5)^2*PI()/100</f>
        <v>10.7521008569111</v>
      </c>
      <c r="H597" s="10">
        <f t="shared" si="18"/>
        <v>6.04</v>
      </c>
      <c r="I597" s="10">
        <f>IF(B597&lt;&gt;"Arrow (Flaming)",39493.49*'Ammo Input'!M597^0.6/1000,0)</f>
        <v>0</v>
      </c>
      <c r="J597">
        <f t="shared" si="19"/>
        <v>0</v>
      </c>
      <c r="K597">
        <f t="shared" si="20"/>
        <v>4</v>
      </c>
      <c r="L597">
        <f>200000/('Ammo Stats'!C597*(MAX('Ammo Input'!D597,'Ammo Input'!F597)*0.5)^2*PI())</f>
        <v>7365.21556258482</v>
      </c>
      <c r="M597">
        <f>IF(B597="Frag",1,('Ammo Input'!M597/1.33)/('Ammo Input'!H597/1000))</f>
        <v>0</v>
      </c>
      <c r="N597" t="s">
        <v>353</v>
      </c>
      <c r="O597" t="s">
        <v>353</v>
      </c>
      <c r="P597" s="3">
        <f>(39493.49*(IF((VLOOKUP(B597,AmmoTypeFactors,6,FALSE)="Bomb_Secondary"),1.33,1)*('Ammo Input'!H597*0.35)/1000)^0.6/1000)*10/3*VLOOKUP(B597,AmmoTypeFactors,4,FALSE)</f>
        <v>0</v>
      </c>
    </row>
    <row r="598" ht="14.4" spans="1:16">
      <c r="A598" t="str">
        <f>'Ammo Input'!A598</f>
        <v>10 Gauge</v>
      </c>
      <c r="B598" s="1" t="str">
        <f>'Ammo Input'!B598</f>
        <v>EMP Slug</v>
      </c>
      <c r="C598">
        <f>(0.579*('Ammo Stats'!G598*IF(OR(B598="HEAT",B598="HEDP"),10,'Ammo Input'!F598)*VLOOKUP(B598,AmmoTypeFactors,7,FALSE))^(0.346))^IF(B598="HEDP",2.1,1)/IF(B598="HEDP",50,1)</f>
        <v>15.3141874254696</v>
      </c>
      <c r="D598" s="16">
        <f>IF(VLOOKUP(B598,AmmoTypeFactors,8,FALSE),J598,C598)*VLOOKUP('Ammo Input'!B598,AmmoTypeFactors,2,FALSE)</f>
        <v>18.8848489434664</v>
      </c>
      <c r="E598" s="16">
        <f>IF(OR(VLOOKUP(B598,AmmoTypeFactors,6,FALSE)="Bomb",VLOOKUP(B598,AmmoTypeFactors,6,FALSE)="Thermobaric"),J598*VLOOKUP(B598,AmmoTypeFactors,4,FALSE),IF(VLOOKUP(B598,AmmoTypeFactors,11,FALSE),P598,C598*VLOOKUP(B598,AmmoTypeFactors,4,FALSE)))</f>
        <v>0</v>
      </c>
      <c r="F598" s="16">
        <f>'Ammo Stats'!G598/0.005</f>
        <v>139600</v>
      </c>
      <c r="G598" s="16">
        <f>(IF(B598="HEAT",10,'Ammo Input'!F598)*VLOOKUP(B598,AmmoTypeFactors,7,FALSE)*0.5)^2*PI()/100</f>
        <v>2.68802521422777</v>
      </c>
      <c r="H598" s="10">
        <f t="shared" si="18"/>
        <v>13.96</v>
      </c>
      <c r="I598" s="10">
        <f>IF(B598&lt;&gt;"Arrow (Flaming)",39493.49*'Ammo Input'!M598^0.6/1000,0)</f>
        <v>3.77696978869328</v>
      </c>
      <c r="J598">
        <f t="shared" si="19"/>
        <v>12.5898992956443</v>
      </c>
      <c r="K598">
        <f t="shared" si="20"/>
        <v>5</v>
      </c>
      <c r="L598">
        <f>200000/('Ammo Stats'!C598*(MAX('Ammo Input'!D598,'Ammo Input'!F598)*0.5)^2*PI())</f>
        <v>7365.21556258482</v>
      </c>
      <c r="M598">
        <f>IF(B598="Frag",1,('Ammo Input'!M598/1.33)/('Ammo Input'!H598/1000))</f>
        <v>0.242541838467136</v>
      </c>
      <c r="N598" t="s">
        <v>353</v>
      </c>
      <c r="O598" t="s">
        <v>353</v>
      </c>
      <c r="P598" s="3">
        <f>(39493.49*(IF((VLOOKUP(B598,AmmoTypeFactors,6,FALSE)="Bomb_Secondary"),1.33,1)*('Ammo Input'!H598*0.35)/1000)^0.6/1000)*10/3*VLOOKUP(B598,AmmoTypeFactors,4,FALSE)</f>
        <v>0</v>
      </c>
    </row>
    <row r="599" ht="14.4" spans="1:16">
      <c r="A599" t="str">
        <f>'Ammo Input'!A599</f>
        <v>23x75mmR</v>
      </c>
      <c r="B599" s="1" t="str">
        <f>'Ammo Input'!B599</f>
        <v>Buck</v>
      </c>
      <c r="C599">
        <f>(0.579*('Ammo Stats'!G599*IF(OR(B599="HEAT",B599="HEDP"),10,'Ammo Input'!F599)*VLOOKUP(B599,AmmoTypeFactors,7,FALSE))^(0.346))^IF(B599="HEDP",2.1,1)/IF(B599="HEDP",50,1)</f>
        <v>10.1275513103636</v>
      </c>
      <c r="D599" s="16">
        <f>IF(VLOOKUP(B599,AmmoTypeFactors,8,FALSE),J599,C599)*VLOOKUP('Ammo Input'!B599,AmmoTypeFactors,2,FALSE)</f>
        <v>10.1275513103636</v>
      </c>
      <c r="E599" s="16">
        <f>IF(OR(VLOOKUP(B599,AmmoTypeFactors,6,FALSE)="Bomb",VLOOKUP(B599,AmmoTypeFactors,6,FALSE)="Thermobaric"),J599*VLOOKUP(B599,AmmoTypeFactors,4,FALSE),IF(VLOOKUP(B599,AmmoTypeFactors,11,FALSE),P599,C599*VLOOKUP(B599,AmmoTypeFactors,4,FALSE)))</f>
        <v>0</v>
      </c>
      <c r="F599" s="16">
        <f>'Ammo Stats'!G599/0.005</f>
        <v>81000</v>
      </c>
      <c r="G599" s="16">
        <f>(IF(B599="HEAT",10,'Ammo Input'!F599)*VLOOKUP(B599,AmmoTypeFactors,7,FALSE)*0.5)^2*PI()/100</f>
        <v>0.731382404709789</v>
      </c>
      <c r="H599" s="10">
        <f t="shared" si="18"/>
        <v>8.1</v>
      </c>
      <c r="I599" s="10">
        <f>IF(B599&lt;&gt;"Arrow (Flaming)",39493.49*'Ammo Input'!M599^0.6/1000,0)</f>
        <v>0</v>
      </c>
      <c r="J599">
        <f t="shared" si="19"/>
        <v>0</v>
      </c>
      <c r="K599">
        <f t="shared" si="20"/>
        <v>4</v>
      </c>
      <c r="L599">
        <f>200000/('Ammo Stats'!C599*(MAX('Ammo Input'!D599,'Ammo Input'!F599)*0.5)^2*PI())</f>
        <v>4813.76009351668</v>
      </c>
      <c r="M599">
        <f>IF(B599="Frag",1,('Ammo Input'!M599/1.33)/('Ammo Input'!H599/1000))</f>
        <v>0</v>
      </c>
      <c r="N599" t="s">
        <v>353</v>
      </c>
      <c r="O599" t="s">
        <v>353</v>
      </c>
      <c r="P599" s="3">
        <f>(39493.49*(IF((VLOOKUP(B599,AmmoTypeFactors,6,FALSE)="Bomb_Secondary"),1.33,1)*('Ammo Input'!H599*0.35)/1000)^0.6/1000)*10/3*VLOOKUP(B599,AmmoTypeFactors,4,FALSE)</f>
        <v>0</v>
      </c>
    </row>
    <row r="600" ht="14.4" spans="1:16">
      <c r="A600" t="str">
        <f>'Ammo Input'!A600</f>
        <v>23x75mmR</v>
      </c>
      <c r="B600" s="1" t="str">
        <f>'Ammo Input'!B600</f>
        <v>Slug</v>
      </c>
      <c r="C600">
        <f>(0.579*('Ammo Stats'!G600*IF(OR(B600="HEAT",B600="HEDP"),10,'Ammo Input'!F600)*VLOOKUP(B600,AmmoTypeFactors,7,FALSE))^(0.346))^IF(B600="HEDP",2.1,1)/IF(B600="HEDP",50,1)</f>
        <v>38.0150614802997</v>
      </c>
      <c r="D600" s="16">
        <f>IF(VLOOKUP(B600,AmmoTypeFactors,8,FALSE),J600,C600)*VLOOKUP('Ammo Input'!B600,AmmoTypeFactors,2,FALSE)</f>
        <v>38.0150614802997</v>
      </c>
      <c r="E600" s="16">
        <f>IF(OR(VLOOKUP(B600,AmmoTypeFactors,6,FALSE)="Bomb",VLOOKUP(B600,AmmoTypeFactors,6,FALSE)="Thermobaric"),J600*VLOOKUP(B600,AmmoTypeFactors,4,FALSE),IF(VLOOKUP(B600,AmmoTypeFactors,11,FALSE),P600,C600*VLOOKUP(B600,AmmoTypeFactors,4,FALSE)))</f>
        <v>0</v>
      </c>
      <c r="F600" s="16">
        <f>'Ammo Stats'!G600/0.005</f>
        <v>1625000</v>
      </c>
      <c r="G600" s="16">
        <f>(IF(B600="HEAT",10,'Ammo Input'!F600)*VLOOKUP(B600,AmmoTypeFactors,7,FALSE)*0.5)^2*PI()/100</f>
        <v>3.80132711084365</v>
      </c>
      <c r="H600" s="10">
        <f t="shared" si="18"/>
        <v>162.5</v>
      </c>
      <c r="I600" s="10">
        <f>IF(B600&lt;&gt;"Arrow (Flaming)",39493.49*'Ammo Input'!M600^0.6/1000,0)</f>
        <v>0</v>
      </c>
      <c r="J600">
        <f t="shared" si="19"/>
        <v>0</v>
      </c>
      <c r="K600">
        <f t="shared" si="20"/>
        <v>12</v>
      </c>
      <c r="L600">
        <f>200000/('Ammo Stats'!C600*(MAX('Ammo Input'!D600,'Ammo Input'!F600)*0.5)^2*PI())</f>
        <v>4813.76009351668</v>
      </c>
      <c r="M600">
        <f>IF(B600="Frag",1,('Ammo Input'!M600/1.33)/('Ammo Input'!H600/1000))</f>
        <v>0</v>
      </c>
      <c r="N600" t="s">
        <v>353</v>
      </c>
      <c r="O600" t="s">
        <v>353</v>
      </c>
      <c r="P600" s="3">
        <f>(39493.49*(IF((VLOOKUP(B600,AmmoTypeFactors,6,FALSE)="Bomb_Secondary"),1.33,1)*('Ammo Input'!H600*0.35)/1000)^0.6/1000)*10/3*VLOOKUP(B600,AmmoTypeFactors,4,FALSE)</f>
        <v>0</v>
      </c>
    </row>
    <row r="601" ht="14.4" spans="1:16">
      <c r="A601" t="str">
        <f>'Ammo Input'!A601</f>
        <v>23x75mmR</v>
      </c>
      <c r="B601" s="1" t="str">
        <f>'Ammo Input'!B601</f>
        <v>Beanbag</v>
      </c>
      <c r="C601">
        <f>(0.579*('Ammo Stats'!G601*IF(OR(B601="HEAT",B601="HEDP"),10,'Ammo Input'!F601)*VLOOKUP(B601,AmmoTypeFactors,7,FALSE))^(0.346))^IF(B601="HEDP",2.1,1)/IF(B601="HEDP",50,1)</f>
        <v>16.5769379743177</v>
      </c>
      <c r="D601" s="16">
        <f>IF(VLOOKUP(B601,AmmoTypeFactors,8,FALSE),J601,C601)*VLOOKUP('Ammo Input'!B601,AmmoTypeFactors,2,FALSE)</f>
        <v>13.2615503794541</v>
      </c>
      <c r="E601" s="16">
        <f>IF(OR(VLOOKUP(B601,AmmoTypeFactors,6,FALSE)="Bomb",VLOOKUP(B601,AmmoTypeFactors,6,FALSE)="Thermobaric"),J601*VLOOKUP(B601,AmmoTypeFactors,4,FALSE),IF(VLOOKUP(B601,AmmoTypeFactors,11,FALSE),P601,C601*VLOOKUP(B601,AmmoTypeFactors,4,FALSE)))</f>
        <v>0</v>
      </c>
      <c r="F601" s="16">
        <f>'Ammo Stats'!G601/0.005</f>
        <v>73800</v>
      </c>
      <c r="G601" s="16">
        <f>(IF(B601="HEAT",10,'Ammo Input'!F601)*VLOOKUP(B601,AmmoTypeFactors,7,FALSE)*0.5)^2*PI()/100</f>
        <v>15.2053084433746</v>
      </c>
      <c r="H601" s="10">
        <f t="shared" si="18"/>
        <v>7.38</v>
      </c>
      <c r="I601" s="10">
        <f>IF(B601&lt;&gt;"Arrow (Flaming)",39493.49*'Ammo Input'!M601^0.6/1000,0)</f>
        <v>0</v>
      </c>
      <c r="J601">
        <f t="shared" si="19"/>
        <v>0</v>
      </c>
      <c r="K601">
        <f t="shared" si="20"/>
        <v>4</v>
      </c>
      <c r="L601">
        <f>200000/('Ammo Stats'!C601*(MAX('Ammo Input'!D601,'Ammo Input'!F601)*0.5)^2*PI())</f>
        <v>4813.76009351668</v>
      </c>
      <c r="M601">
        <f>IF(B601="Frag",1,('Ammo Input'!M601/1.33)/('Ammo Input'!H601/1000))</f>
        <v>0</v>
      </c>
      <c r="N601" t="s">
        <v>353</v>
      </c>
      <c r="O601" t="s">
        <v>353</v>
      </c>
      <c r="P601" s="3">
        <f>(39493.49*(IF((VLOOKUP(B601,AmmoTypeFactors,6,FALSE)="Bomb_Secondary"),1.33,1)*('Ammo Input'!H601*0.35)/1000)^0.6/1000)*10/3*VLOOKUP(B601,AmmoTypeFactors,4,FALSE)</f>
        <v>0</v>
      </c>
    </row>
    <row r="602" ht="14.4" spans="1:16">
      <c r="A602" t="str">
        <f>'Ammo Input'!A602</f>
        <v>23x75mmR</v>
      </c>
      <c r="B602" s="1" t="str">
        <f>'Ammo Input'!B602</f>
        <v>EMP Slug</v>
      </c>
      <c r="C602">
        <f>(0.579*('Ammo Stats'!G602*IF(OR(B602="HEAT",B602="HEDP"),10,'Ammo Input'!F602)*VLOOKUP(B602,AmmoTypeFactors,7,FALSE))^(0.346))^IF(B602="HEDP",2.1,1)/IF(B602="HEDP",50,1)</f>
        <v>23.8663074408286</v>
      </c>
      <c r="D602" s="16">
        <f>IF(VLOOKUP(B602,AmmoTypeFactors,8,FALSE),J602,C602)*VLOOKUP('Ammo Input'!B602,AmmoTypeFactors,2,FALSE)</f>
        <v>28.6240783996584</v>
      </c>
      <c r="E602" s="16">
        <f>IF(OR(VLOOKUP(B602,AmmoTypeFactors,6,FALSE)="Bomb",VLOOKUP(B602,AmmoTypeFactors,6,FALSE)="Thermobaric"),J602*VLOOKUP(B602,AmmoTypeFactors,4,FALSE),IF(VLOOKUP(B602,AmmoTypeFactors,11,FALSE),P602,C602*VLOOKUP(B602,AmmoTypeFactors,4,FALSE)))</f>
        <v>0</v>
      </c>
      <c r="F602" s="16">
        <f>'Ammo Stats'!G602/0.005</f>
        <v>423200</v>
      </c>
      <c r="G602" s="16">
        <f>(IF(B602="HEAT",10,'Ammo Input'!F602)*VLOOKUP(B602,AmmoTypeFactors,7,FALSE)*0.5)^2*PI()/100</f>
        <v>3.80132711084365</v>
      </c>
      <c r="H602" s="10">
        <f t="shared" si="18"/>
        <v>42.32</v>
      </c>
      <c r="I602" s="10">
        <f>IF(B602&lt;&gt;"Arrow (Flaming)",39493.49*'Ammo Input'!M602^0.6/1000,0)</f>
        <v>5.72481567993169</v>
      </c>
      <c r="J602">
        <f t="shared" si="19"/>
        <v>19.0827189331056</v>
      </c>
      <c r="K602">
        <f t="shared" si="20"/>
        <v>8</v>
      </c>
      <c r="L602">
        <f>200000/('Ammo Stats'!C602*(MAX('Ammo Input'!D602,'Ammo Input'!F602)*0.5)^2*PI())</f>
        <v>4813.76009351668</v>
      </c>
      <c r="M602">
        <f>IF(B602="Frag",1,('Ammo Input'!M602/1.33)/('Ammo Input'!H602/1000))</f>
        <v>0.37593984962406</v>
      </c>
      <c r="N602" t="s">
        <v>353</v>
      </c>
      <c r="O602" t="s">
        <v>353</v>
      </c>
      <c r="P602" s="3">
        <f>(39493.49*(IF((VLOOKUP(B602,AmmoTypeFactors,6,FALSE)="Bomb_Secondary"),1.33,1)*('Ammo Input'!H602*0.35)/1000)^0.6/1000)*10/3*VLOOKUP(B602,AmmoTypeFactors,4,FALSE)</f>
        <v>0</v>
      </c>
    </row>
    <row r="603" ht="14.4" spans="1:16">
      <c r="A603" s="14" t="s">
        <v>209</v>
      </c>
      <c r="B603" s="15"/>
      <c r="C603" s="15"/>
      <c r="D603" s="15"/>
      <c r="E603" s="15"/>
      <c r="F603" s="15"/>
      <c r="G603" s="15"/>
      <c r="H603" s="15"/>
      <c r="I603" s="15"/>
      <c r="J603" s="15"/>
      <c r="K603" s="15"/>
      <c r="L603" s="15"/>
      <c r="M603" s="15"/>
      <c r="N603" s="15"/>
      <c r="O603" s="15"/>
      <c r="P603" s="15"/>
    </row>
    <row r="604" ht="14.4" spans="1:16">
      <c r="A604" t="str">
        <f>'Ammo Input'!A604</f>
        <v>100x695mmR Cannon</v>
      </c>
      <c r="B604" s="1" t="str">
        <f>'Ammo Input'!B604</f>
        <v>HEAT</v>
      </c>
      <c r="C604">
        <f>(0.579*('Ammo Stats'!G604*IF(OR(B604="HEAT",B604="HEDP"),10,'Ammo Input'!F604)*VLOOKUP(B604,AmmoTypeFactors,7,FALSE))^(0.346))^IF(B604="HEDP",2.1,1)/IF(B604="HEDP",50,1)</f>
        <v>340.835831197181</v>
      </c>
      <c r="D604" s="16">
        <f>IF(VLOOKUP(B604,AmmoTypeFactors,8,FALSE),J604,C604)*VLOOKUP('Ammo Input'!B604,AmmoTypeFactors,2,FALSE)</f>
        <v>340.835831197181</v>
      </c>
      <c r="E604" s="16">
        <f>IF(OR(VLOOKUP(B604,AmmoTypeFactors,6,FALSE)="Bomb",VLOOKUP(B604,AmmoTypeFactors,6,FALSE)="Thermobaric"),J604*VLOOKUP(B604,AmmoTypeFactors,4,FALSE),IF(VLOOKUP(B604,AmmoTypeFactors,11,FALSE),P604,C604*VLOOKUP(B604,AmmoTypeFactors,4,FALSE)))</f>
        <v>0</v>
      </c>
      <c r="F604" s="16">
        <f>'Ammo Stats'!G604/0.005</f>
        <v>2025000000</v>
      </c>
      <c r="G604" s="16">
        <f>(IF(B604="HEAT",10,'Ammo Input'!F604)*VLOOKUP(B604,AmmoTypeFactors,7,FALSE)*0.5)^2*PI()/100</f>
        <v>0.785398163397448</v>
      </c>
      <c r="H604" s="10">
        <f t="shared" ref="H604:H666" si="21">F604/10000</f>
        <v>202500</v>
      </c>
      <c r="I604" s="10">
        <f>IF(B604&lt;&gt;"Arrow (Flaming)",39493.49*'Ammo Input'!M604^0.6/1000,0)</f>
        <v>52.0449529131258</v>
      </c>
      <c r="J604">
        <f t="shared" ref="J604:J666" si="22">I604*10/3</f>
        <v>173.483176377086</v>
      </c>
      <c r="K604">
        <f t="shared" ref="K604:K666" si="23">ROUND(F604^(1/3)/10,0)</f>
        <v>127</v>
      </c>
      <c r="L604">
        <f>200000/('Ammo Stats'!C604*(MAX('Ammo Input'!D604,'Ammo Input'!F604)*0.5)^2*PI())</f>
        <v>0.314277703251079</v>
      </c>
      <c r="M604">
        <f>IF(B604="Frag",1,('Ammo Input'!M604/1.33)/('Ammo Input'!H604/1000))</f>
        <v>0.0753783192157609</v>
      </c>
      <c r="N604">
        <v>27</v>
      </c>
      <c r="O604">
        <v>15</v>
      </c>
      <c r="P604" s="3">
        <f>(39493.49*(IF((VLOOKUP(B604,AmmoTypeFactors,6,FALSE)="Bomb_Secondary"),1.33,1)*('Ammo Input'!H604*0.35)/1000)^0.6/1000)*10/3*VLOOKUP(B604,AmmoTypeFactors,4,FALSE)</f>
        <v>0</v>
      </c>
    </row>
    <row r="605" ht="14.4" spans="1:16">
      <c r="A605" t="str">
        <f>'Ammo Input'!A605</f>
        <v>100x695mmR Cannon</v>
      </c>
      <c r="B605" s="1" t="str">
        <f>'Ammo Input'!B605</f>
        <v>HE</v>
      </c>
      <c r="C605">
        <f>(0.579*('Ammo Stats'!G605*IF(OR(B605="HEAT",B605="HEDP"),10,'Ammo Input'!F605)*VLOOKUP(B605,AmmoTypeFactors,7,FALSE))^(0.346))^IF(B605="HEDP",2.1,1)/IF(B605="HEDP",50,1)</f>
        <v>646.600273415567</v>
      </c>
      <c r="D605" s="16">
        <f>IF(VLOOKUP(B605,AmmoTypeFactors,8,FALSE),J605,C605)*VLOOKUP('Ammo Input'!B605,AmmoTypeFactors,2,FALSE)</f>
        <v>208.966423414893</v>
      </c>
      <c r="E605" s="16">
        <f>IF(OR(VLOOKUP(B605,AmmoTypeFactors,6,FALSE)="Bomb",VLOOKUP(B605,AmmoTypeFactors,6,FALSE)="Thermobaric"),J605*VLOOKUP(B605,AmmoTypeFactors,4,FALSE),IF(VLOOKUP(B605,AmmoTypeFactors,11,FALSE),P605,C605*VLOOKUP(B605,AmmoTypeFactors,4,FALSE)))</f>
        <v>0</v>
      </c>
      <c r="F605" s="16">
        <f>'Ammo Stats'!G605/0.005</f>
        <v>1288710000</v>
      </c>
      <c r="G605" s="16">
        <f>(IF(B605="HEAT",10,'Ammo Input'!F605)*VLOOKUP(B605,AmmoTypeFactors,7,FALSE)*0.5)^2*PI()/100</f>
        <v>78.5398163397448</v>
      </c>
      <c r="H605" s="10">
        <f t="shared" si="21"/>
        <v>128871</v>
      </c>
      <c r="I605" s="10">
        <f>IF(B605&lt;&gt;"Arrow (Flaming)",39493.49*'Ammo Input'!M605^0.6/1000,0)</f>
        <v>62.6899270244678</v>
      </c>
      <c r="J605">
        <f t="shared" si="22"/>
        <v>208.966423414893</v>
      </c>
      <c r="K605">
        <f t="shared" si="23"/>
        <v>109</v>
      </c>
      <c r="L605">
        <f>200000/('Ammo Stats'!C605*(MAX('Ammo Input'!D605,'Ammo Input'!F605)*0.5)^2*PI())</f>
        <v>0.314277703251079</v>
      </c>
      <c r="M605">
        <f>IF(B605="Frag",1,('Ammo Input'!M605/1.33)/('Ammo Input'!H605/1000))</f>
        <v>0.102077947855182</v>
      </c>
      <c r="N605">
        <v>52</v>
      </c>
      <c r="O605">
        <v>41</v>
      </c>
      <c r="P605" s="3">
        <f>(39493.49*(IF((VLOOKUP(B605,AmmoTypeFactors,6,FALSE)="Bomb_Secondary"),1.33,1)*('Ammo Input'!H605*0.35)/1000)^0.6/1000)*10/3*VLOOKUP(B605,AmmoTypeFactors,4,FALSE)</f>
        <v>0</v>
      </c>
    </row>
    <row r="606" ht="14.4" spans="1:16">
      <c r="A606" t="str">
        <f>'Ammo Input'!A606</f>
        <v>105x607mmR</v>
      </c>
      <c r="B606" s="1" t="str">
        <f>'Ammo Input'!B606</f>
        <v>HEAT</v>
      </c>
      <c r="C606">
        <f>(0.579*('Ammo Stats'!G606*IF(OR(B606="HEAT",B606="HEDP"),10,'Ammo Input'!F606)*VLOOKUP(B606,AmmoTypeFactors,7,FALSE))^(0.346))^IF(B606="HEDP",2.1,1)/IF(B606="HEDP",50,1)</f>
        <v>340.835831197181</v>
      </c>
      <c r="D606" s="16">
        <f>IF(VLOOKUP(B606,AmmoTypeFactors,8,FALSE),J606,C606)*VLOOKUP('Ammo Input'!B606,AmmoTypeFactors,2,FALSE)</f>
        <v>340.835831197181</v>
      </c>
      <c r="E606" s="16">
        <f>IF(OR(VLOOKUP(B606,AmmoTypeFactors,6,FALSE)="Bomb",VLOOKUP(B606,AmmoTypeFactors,6,FALSE)="Thermobaric"),J606*VLOOKUP(B606,AmmoTypeFactors,4,FALSE),IF(VLOOKUP(B606,AmmoTypeFactors,11,FALSE),P606,C606*VLOOKUP(B606,AmmoTypeFactors,4,FALSE)))</f>
        <v>0</v>
      </c>
      <c r="F606" s="16">
        <f>'Ammo Stats'!G606/0.005</f>
        <v>2025000000</v>
      </c>
      <c r="G606" s="16">
        <f>(IF(B606="HEAT",10,'Ammo Input'!F606)*VLOOKUP(B606,AmmoTypeFactors,7,FALSE)*0.5)^2*PI()/100</f>
        <v>0.785398163397448</v>
      </c>
      <c r="H606" s="10">
        <f t="shared" si="21"/>
        <v>202500</v>
      </c>
      <c r="I606" s="10">
        <f>IF(B606&lt;&gt;"Arrow (Flaming)",39493.49*'Ammo Input'!M606^0.6/1000,0)</f>
        <v>53.9151828752929</v>
      </c>
      <c r="J606">
        <f t="shared" si="22"/>
        <v>179.717276250976</v>
      </c>
      <c r="K606">
        <f t="shared" si="23"/>
        <v>127</v>
      </c>
      <c r="L606">
        <f>200000/('Ammo Stats'!C606*(MAX('Ammo Input'!D606,'Ammo Input'!F606)*0.5)^2*PI())</f>
        <v>1.04560054342535</v>
      </c>
      <c r="M606">
        <f>IF(B606="Frag",1,('Ammo Input'!M606/1.33)/('Ammo Input'!H606/1000))</f>
        <v>158.688177730759</v>
      </c>
      <c r="N606">
        <v>-2</v>
      </c>
      <c r="O606">
        <v>14</v>
      </c>
      <c r="P606" s="3">
        <f>(39493.49*(IF((VLOOKUP(B606,AmmoTypeFactors,6,FALSE)="Bomb_Secondary"),1.33,1)*('Ammo Input'!H606*0.35)/1000)^0.6/1000)*10/3*VLOOKUP(B606,AmmoTypeFactors,4,FALSE)</f>
        <v>0</v>
      </c>
    </row>
    <row r="607" ht="14.4" spans="1:16">
      <c r="A607" t="str">
        <f>'Ammo Input'!A607</f>
        <v>105x607mmR</v>
      </c>
      <c r="B607" s="1" t="str">
        <f>'Ammo Input'!B607</f>
        <v>HE</v>
      </c>
      <c r="C607">
        <f>(0.579*('Ammo Stats'!G607*IF(OR(B607="HEAT",B607="HEDP"),10,'Ammo Input'!F607)*VLOOKUP(B607,AmmoTypeFactors,7,FALSE))^(0.346))^IF(B607="HEDP",2.1,1)/IF(B607="HEDP",50,1)</f>
        <v>31.6999267015299</v>
      </c>
      <c r="D607" s="16">
        <f>IF(VLOOKUP(B607,AmmoTypeFactors,8,FALSE),J607,C607)*VLOOKUP('Ammo Input'!B607,AmmoTypeFactors,2,FALSE)</f>
        <v>331.036613572823</v>
      </c>
      <c r="E607" s="16">
        <f>IF(OR(VLOOKUP(B607,AmmoTypeFactors,6,FALSE)="Bomb",VLOOKUP(B607,AmmoTypeFactors,6,FALSE)="Thermobaric"),J607*VLOOKUP(B607,AmmoTypeFactors,4,FALSE),IF(VLOOKUP(B607,AmmoTypeFactors,11,FALSE),P607,C607*VLOOKUP(B607,AmmoTypeFactors,4,FALSE)))</f>
        <v>0</v>
      </c>
      <c r="F607" s="16">
        <f>'Ammo Stats'!G607/0.005</f>
        <v>201400</v>
      </c>
      <c r="G607" s="16">
        <f>(IF(B607="HEAT",10,'Ammo Input'!F607)*VLOOKUP(B607,AmmoTypeFactors,7,FALSE)*0.5)^2*PI()/100</f>
        <v>86.5901475145687</v>
      </c>
      <c r="H607" s="10">
        <f t="shared" si="21"/>
        <v>20.14</v>
      </c>
      <c r="I607" s="10">
        <f>IF(B607&lt;&gt;"Arrow (Flaming)",39493.49*'Ammo Input'!M607^0.6/1000,0)</f>
        <v>99.310984071847</v>
      </c>
      <c r="J607">
        <f t="shared" si="22"/>
        <v>331.036613572823</v>
      </c>
      <c r="K607">
        <f t="shared" si="23"/>
        <v>6</v>
      </c>
      <c r="L607">
        <f>200000/('Ammo Stats'!C607*(MAX('Ammo Input'!D607,'Ammo Input'!F607)*0.5)^2*PI())</f>
        <v>1.04560054342535</v>
      </c>
      <c r="M607">
        <f>IF(B607="Frag",1,('Ammo Input'!M607/1.33)/('Ammo Input'!H607/1000))</f>
        <v>439.226206219065</v>
      </c>
      <c r="N607">
        <v>-7</v>
      </c>
      <c r="O607">
        <v>50</v>
      </c>
      <c r="P607" s="3">
        <f>(39493.49*(IF((VLOOKUP(B607,AmmoTypeFactors,6,FALSE)="Bomb_Secondary"),1.33,1)*('Ammo Input'!H607*0.35)/1000)^0.6/1000)*10/3*VLOOKUP(B607,AmmoTypeFactors,4,FALSE)</f>
        <v>0</v>
      </c>
    </row>
    <row r="608" ht="14.4" spans="1:16">
      <c r="A608" t="str">
        <f>'Ammo Input'!A608</f>
        <v>105x617mmR</v>
      </c>
      <c r="B608" s="1" t="str">
        <f>'Ammo Input'!B608</f>
        <v>HEAT</v>
      </c>
      <c r="C608">
        <f>(0.579*('Ammo Stats'!G608*IF(OR(B608="HEAT",B608="HEDP"),10,'Ammo Input'!F608)*VLOOKUP(B608,AmmoTypeFactors,7,FALSE))^(0.346))^IF(B608="HEDP",2.1,1)/IF(B608="HEDP",50,1)</f>
        <v>315.510909289492</v>
      </c>
      <c r="D608" s="16">
        <f>IF(VLOOKUP(B608,AmmoTypeFactors,8,FALSE),J608,C608)*VLOOKUP('Ammo Input'!B608,AmmoTypeFactors,2,FALSE)</f>
        <v>315.510909289492</v>
      </c>
      <c r="E608" s="16">
        <f>IF(OR(VLOOKUP(B608,AmmoTypeFactors,6,FALSE)="Bomb",VLOOKUP(B608,AmmoTypeFactors,6,FALSE)="Thermobaric"),J608*VLOOKUP(B608,AmmoTypeFactors,4,FALSE),IF(VLOOKUP(B608,AmmoTypeFactors,11,FALSE),P608,C608*VLOOKUP(B608,AmmoTypeFactors,4,FALSE)))</f>
        <v>0</v>
      </c>
      <c r="F608" s="16">
        <f>'Ammo Stats'!G608/0.005</f>
        <v>1620000000</v>
      </c>
      <c r="G608" s="16">
        <f>(IF(B608="HEAT",10,'Ammo Input'!F608)*VLOOKUP(B608,AmmoTypeFactors,7,FALSE)*0.5)^2*PI()/100</f>
        <v>0.785398163397448</v>
      </c>
      <c r="H608" s="10">
        <f t="shared" si="21"/>
        <v>162000</v>
      </c>
      <c r="I608" s="10">
        <f>IF(B608&lt;&gt;"Arrow (Flaming)",39493.49*'Ammo Input'!M608^0.6/1000,0)</f>
        <v>46.0128718062824</v>
      </c>
      <c r="J608">
        <f t="shared" si="22"/>
        <v>153.376239354275</v>
      </c>
      <c r="K608">
        <f t="shared" si="23"/>
        <v>117</v>
      </c>
      <c r="L608">
        <f>200000/('Ammo Stats'!C608*(MAX('Ammo Input'!D608,'Ammo Input'!F608)*0.5)^2*PI())</f>
        <v>0.305024133035637</v>
      </c>
      <c r="M608">
        <f>IF(B608="Frag",1,('Ammo Input'!M608/1.33)/('Ammo Input'!H608/1000))</f>
        <v>0.0950906678460858</v>
      </c>
      <c r="N608">
        <v>17</v>
      </c>
      <c r="O608">
        <v>13</v>
      </c>
      <c r="P608" s="3">
        <f>(39493.49*(IF((VLOOKUP(B608,AmmoTypeFactors,6,FALSE)="Bomb_Secondary"),1.33,1)*('Ammo Input'!H608*0.35)/1000)^0.6/1000)*10/3*VLOOKUP(B608,AmmoTypeFactors,4,FALSE)</f>
        <v>0</v>
      </c>
    </row>
    <row r="609" ht="14.4" spans="1:16">
      <c r="A609" t="str">
        <f>'Ammo Input'!A609</f>
        <v>105x617mmR</v>
      </c>
      <c r="B609" s="1" t="str">
        <f>'Ammo Input'!B609</f>
        <v>HE</v>
      </c>
      <c r="C609">
        <f>(0.579*('Ammo Stats'!G609*IF(OR(B609="HEAT",B609="HEDP"),10,'Ammo Input'!F609)*VLOOKUP(B609,AmmoTypeFactors,7,FALSE))^(0.346))^IF(B609="HEDP",2.1,1)/IF(B609="HEDP",50,1)</f>
        <v>494.215684166258</v>
      </c>
      <c r="D609" s="16">
        <f>IF(VLOOKUP(B609,AmmoTypeFactors,8,FALSE),J609,C609)*VLOOKUP('Ammo Input'!B609,AmmoTypeFactors,2,FALSE)</f>
        <v>198.937247493422</v>
      </c>
      <c r="E609" s="16">
        <f>IF(OR(VLOOKUP(B609,AmmoTypeFactors,6,FALSE)="Bomb",VLOOKUP(B609,AmmoTypeFactors,6,FALSE)="Thermobaric"),J609*VLOOKUP(B609,AmmoTypeFactors,4,FALSE),IF(VLOOKUP(B609,AmmoTypeFactors,11,FALSE),P609,C609*VLOOKUP(B609,AmmoTypeFactors,4,FALSE)))</f>
        <v>0</v>
      </c>
      <c r="F609" s="16">
        <f>'Ammo Stats'!G609/0.005</f>
        <v>564451600</v>
      </c>
      <c r="G609" s="16">
        <f>(IF(B609="HEAT",10,'Ammo Input'!F609)*VLOOKUP(B609,AmmoTypeFactors,7,FALSE)*0.5)^2*PI()/100</f>
        <v>86.5901475145687</v>
      </c>
      <c r="H609" s="10">
        <f t="shared" si="21"/>
        <v>56445.16</v>
      </c>
      <c r="I609" s="10">
        <f>IF(B609&lt;&gt;"Arrow (Flaming)",39493.49*'Ammo Input'!M609^0.6/1000,0)</f>
        <v>59.6811742480267</v>
      </c>
      <c r="J609">
        <f t="shared" si="22"/>
        <v>198.937247493422</v>
      </c>
      <c r="K609">
        <f t="shared" si="23"/>
        <v>83</v>
      </c>
      <c r="L609">
        <f>200000/('Ammo Stats'!C609*(MAX('Ammo Input'!D609,'Ammo Input'!F609)*0.5)^2*PI())</f>
        <v>0.298382965415112</v>
      </c>
      <c r="M609">
        <f>IF(B609="Frag",1,('Ammo Input'!M609/1.33)/('Ammo Input'!H609/1000))</f>
        <v>0.123656248058162</v>
      </c>
      <c r="N609">
        <v>38</v>
      </c>
      <c r="O609">
        <v>38</v>
      </c>
      <c r="P609" s="3">
        <f>(39493.49*(IF((VLOOKUP(B609,AmmoTypeFactors,6,FALSE)="Bomb_Secondary"),1.33,1)*('Ammo Input'!H609*0.35)/1000)^0.6/1000)*10/3*VLOOKUP(B609,AmmoTypeFactors,4,FALSE)</f>
        <v>0</v>
      </c>
    </row>
    <row r="610" ht="14.4" spans="1:16">
      <c r="A610" t="str">
        <f>'Ammo Input'!A610</f>
        <v>120mm Cannon</v>
      </c>
      <c r="B610" s="1" t="str">
        <f>'Ammo Input'!B610</f>
        <v>HEAT</v>
      </c>
      <c r="C610">
        <f>(0.579*('Ammo Stats'!G610*IF(OR(B610="HEAT",B610="HEDP"),10,'Ammo Input'!F610)*VLOOKUP(B610,AmmoTypeFactors,7,FALSE))^(0.346))^IF(B610="HEDP",2.1,1)/IF(B610="HEDP",50,1)</f>
        <v>88.0443766988102</v>
      </c>
      <c r="D610" s="16">
        <f>IF(VLOOKUP(B610,AmmoTypeFactors,8,FALSE),J610,C610)*VLOOKUP('Ammo Input'!B610,AmmoTypeFactors,2,FALSE)</f>
        <v>88.0443766988102</v>
      </c>
      <c r="E610" s="16">
        <f>IF(OR(VLOOKUP(B610,AmmoTypeFactors,6,FALSE)="Bomb",VLOOKUP(B610,AmmoTypeFactors,6,FALSE)="Thermobaric"),J610*VLOOKUP(B610,AmmoTypeFactors,4,FALSE),IF(VLOOKUP(B610,AmmoTypeFactors,11,FALSE),P610,C610*VLOOKUP(B610,AmmoTypeFactors,4,FALSE)))</f>
        <v>0</v>
      </c>
      <c r="F610" s="16">
        <f>'Ammo Stats'!G610/0.005</f>
        <v>40500000</v>
      </c>
      <c r="G610" s="16">
        <f>(IF(B610="HEAT",10,'Ammo Input'!F610)*VLOOKUP(B610,AmmoTypeFactors,7,FALSE)*0.5)^2*PI()/100</f>
        <v>0.785398163397448</v>
      </c>
      <c r="H610" s="10">
        <f t="shared" si="21"/>
        <v>4050</v>
      </c>
      <c r="I610" s="10">
        <f>IF(B610&lt;&gt;"Arrow (Flaming)",39493.49*'Ammo Input'!M610^0.6/1000,0)</f>
        <v>62.4108909201552</v>
      </c>
      <c r="J610">
        <f t="shared" si="22"/>
        <v>208.036303067184</v>
      </c>
      <c r="K610">
        <f t="shared" si="23"/>
        <v>34</v>
      </c>
      <c r="L610">
        <f>200000/('Ammo Stats'!C610*(MAX('Ammo Input'!D610,'Ammo Input'!F610)*0.5)^2*PI())</f>
        <v>0.134905902980903</v>
      </c>
      <c r="M610">
        <f>IF(B610="Frag",1,('Ammo Input'!M610/1.33)/('Ammo Input'!H610/1000))</f>
        <v>0.141406146946313</v>
      </c>
      <c r="N610">
        <v>18</v>
      </c>
      <c r="O610">
        <v>21</v>
      </c>
      <c r="P610" s="3">
        <f>(39493.49*(IF((VLOOKUP(B610,AmmoTypeFactors,6,FALSE)="Bomb_Secondary"),1.33,1)*('Ammo Input'!H610*0.35)/1000)^0.6/1000)*10/3*VLOOKUP(B610,AmmoTypeFactors,4,FALSE)</f>
        <v>0</v>
      </c>
    </row>
    <row r="611" ht="14.4" spans="1:16">
      <c r="A611" t="str">
        <f>'Ammo Input'!A611</f>
        <v>120mm Cannon</v>
      </c>
      <c r="B611" s="1" t="str">
        <f>'Ammo Input'!B611</f>
        <v>HE</v>
      </c>
      <c r="C611">
        <f>(0.579*('Ammo Stats'!G611*IF(OR(B611="HEAT",B611="HEDP"),10,'Ammo Input'!F611)*VLOOKUP(B611,AmmoTypeFactors,7,FALSE))^(0.346))^IF(B611="HEDP",2.1,1)/IF(B611="HEDP",50,1)</f>
        <v>833.160315211645</v>
      </c>
      <c r="D611" s="16">
        <f>IF(VLOOKUP(B611,AmmoTypeFactors,8,FALSE),J611,C611)*VLOOKUP('Ammo Input'!B611,AmmoTypeFactors,2,FALSE)</f>
        <v>315.324070994509</v>
      </c>
      <c r="E611" s="16">
        <f>IF(OR(VLOOKUP(B611,AmmoTypeFactors,6,FALSE)="Bomb",VLOOKUP(B611,AmmoTypeFactors,6,FALSE)="Thermobaric"),J611*VLOOKUP(B611,AmmoTypeFactors,4,FALSE),IF(VLOOKUP(B611,AmmoTypeFactors,11,FALSE),P611,C611*VLOOKUP(B611,AmmoTypeFactors,4,FALSE)))</f>
        <v>0</v>
      </c>
      <c r="F611" s="16">
        <f>'Ammo Stats'!G611/0.005</f>
        <v>2234400000</v>
      </c>
      <c r="G611" s="16">
        <f>(IF(B611="HEAT",10,'Ammo Input'!F611)*VLOOKUP(B611,AmmoTypeFactors,7,FALSE)*0.5)^2*PI()/100</f>
        <v>113.097335529233</v>
      </c>
      <c r="H611" s="10">
        <f t="shared" si="21"/>
        <v>223440</v>
      </c>
      <c r="I611" s="10">
        <f>IF(B611&lt;&gt;"Arrow (Flaming)",39493.49*'Ammo Input'!M611^0.6/1000,0)</f>
        <v>94.5972212983526</v>
      </c>
      <c r="J611">
        <f t="shared" si="22"/>
        <v>315.324070994509</v>
      </c>
      <c r="K611">
        <f t="shared" si="23"/>
        <v>131</v>
      </c>
      <c r="L611">
        <f>200000/('Ammo Stats'!C611*(MAX('Ammo Input'!D611,'Ammo Input'!F611)*0.5)^2*PI())</f>
        <v>0.134905902980903</v>
      </c>
      <c r="M611">
        <f>IF(B611="Frag",1,('Ammo Input'!M611/1.33)/('Ammo Input'!H611/1000))</f>
        <v>0.282812293892626</v>
      </c>
      <c r="N611">
        <v>30</v>
      </c>
      <c r="O611">
        <v>81</v>
      </c>
      <c r="P611" s="3">
        <f>(39493.49*(IF((VLOOKUP(B611,AmmoTypeFactors,6,FALSE)="Bomb_Secondary"),1.33,1)*('Ammo Input'!H611*0.35)/1000)^0.6/1000)*10/3*VLOOKUP(B611,AmmoTypeFactors,4,FALSE)</f>
        <v>0</v>
      </c>
    </row>
    <row r="612" ht="14.4" spans="1:16">
      <c r="A612" t="str">
        <f>'Ammo Input'!A612</f>
        <v>105mm Howitzer</v>
      </c>
      <c r="B612" s="1" t="str">
        <f>'Ammo Input'!B612</f>
        <v>HE</v>
      </c>
      <c r="C612">
        <f>(0.579*('Ammo Stats'!G612*IF(OR(B612="HEAT",B612="HEDP"),10,'Ammo Input'!F612)*VLOOKUP(B612,AmmoTypeFactors,7,FALSE))^(0.346))^IF(B612="HEDP",2.1,1)/IF(B612="HEDP",50,1)</f>
        <v>578.406067611546</v>
      </c>
      <c r="D612" s="16">
        <f>IF(VLOOKUP(B612,AmmoTypeFactors,8,FALSE),J612,C612)*VLOOKUP('Ammo Input'!B612,AmmoTypeFactors,2,FALSE)</f>
        <v>216.990619888264</v>
      </c>
      <c r="E612" s="16">
        <f>IF(OR(VLOOKUP(B612,AmmoTypeFactors,6,FALSE)="Bomb",VLOOKUP(B612,AmmoTypeFactors,6,FALSE)="Thermobaric"),J612*VLOOKUP(B612,AmmoTypeFactors,4,FALSE),IF(VLOOKUP(B612,AmmoTypeFactors,11,FALSE),P612,C612*VLOOKUP(B612,AmmoTypeFactors,4,FALSE)))</f>
        <v>0</v>
      </c>
      <c r="F612" s="16">
        <f>'Ammo Stats'!G612/0.005</f>
        <v>889350000</v>
      </c>
      <c r="G612" s="16">
        <f>(IF(B612="HEAT",10,'Ammo Input'!F612)*VLOOKUP(B612,AmmoTypeFactors,7,FALSE)*0.5)^2*PI()/100</f>
        <v>86.5901475145687</v>
      </c>
      <c r="H612" s="10">
        <f t="shared" si="21"/>
        <v>88935</v>
      </c>
      <c r="I612" s="10">
        <f>IF(B612&lt;&gt;"Arrow (Flaming)",39493.49*'Ammo Input'!M612^0.6/1000,0)</f>
        <v>65.0971859664792</v>
      </c>
      <c r="J612">
        <f t="shared" si="22"/>
        <v>216.990619888264</v>
      </c>
      <c r="K612">
        <f t="shared" si="23"/>
        <v>96</v>
      </c>
      <c r="L612">
        <f>200000/('Ammo Stats'!C612*(MAX('Ammo Input'!D612,'Ammo Input'!F612)*0.5)^2*PI())</f>
        <v>1.13948278264756</v>
      </c>
      <c r="M612">
        <f>IF(B612="Frag",1,('Ammo Input'!M612/1.33)/('Ammo Input'!H612/1000))</f>
        <v>0.115288220551378</v>
      </c>
      <c r="N612">
        <v>48</v>
      </c>
      <c r="O612">
        <v>44</v>
      </c>
      <c r="P612" s="3">
        <f>(39493.49*(IF((VLOOKUP(B612,AmmoTypeFactors,6,FALSE)="Bomb_Secondary"),1.33,1)*('Ammo Input'!H612*0.35)/1000)^0.6/1000)*10/3*VLOOKUP(B612,AmmoTypeFactors,4,FALSE)</f>
        <v>0</v>
      </c>
    </row>
    <row r="613" ht="14.4" spans="1:16">
      <c r="A613" t="str">
        <f>'Ammo Input'!A613</f>
        <v>105mm Howitzer</v>
      </c>
      <c r="B613" s="1" t="str">
        <f>'Ammo Input'!B613</f>
        <v>Airburst</v>
      </c>
      <c r="C613">
        <f>(0.579*('Ammo Stats'!G613*IF(OR(B613="HEAT",B613="HEDP"),10,'Ammo Input'!F613)*VLOOKUP(B613,AmmoTypeFactors,7,FALSE))^(0.346))^IF(B613="HEDP",2.1,1)/IF(B613="HEDP",50,1)</f>
        <v>578.406067611546</v>
      </c>
      <c r="D613" s="16">
        <f>IF(VLOOKUP(B613,AmmoTypeFactors,8,FALSE),J613,C613)*VLOOKUP('Ammo Input'!B613,AmmoTypeFactors,2,FALSE)</f>
        <v>216.990619888264</v>
      </c>
      <c r="E613" s="16">
        <f>IF(OR(VLOOKUP(B613,AmmoTypeFactors,6,FALSE)="Bomb",VLOOKUP(B613,AmmoTypeFactors,6,FALSE)="Thermobaric"),J613*VLOOKUP(B613,AmmoTypeFactors,4,FALSE),IF(VLOOKUP(B613,AmmoTypeFactors,11,FALSE),P613,C613*VLOOKUP(B613,AmmoTypeFactors,4,FALSE)))</f>
        <v>0</v>
      </c>
      <c r="F613" s="16">
        <f>'Ammo Stats'!G613/0.005</f>
        <v>889350000</v>
      </c>
      <c r="G613" s="16">
        <f>(IF(B613="HEAT",10,'Ammo Input'!F613)*VLOOKUP(B613,AmmoTypeFactors,7,FALSE)*0.5)^2*PI()/100</f>
        <v>86.5901475145687</v>
      </c>
      <c r="H613" s="10">
        <f t="shared" si="21"/>
        <v>88935</v>
      </c>
      <c r="I613" s="10">
        <f>IF(B613&lt;&gt;"Arrow (Flaming)",39493.49*'Ammo Input'!M613^0.6/1000,0)</f>
        <v>65.0971859664792</v>
      </c>
      <c r="J613">
        <f t="shared" si="22"/>
        <v>216.990619888264</v>
      </c>
      <c r="K613">
        <f t="shared" si="23"/>
        <v>96</v>
      </c>
      <c r="L613">
        <f>200000/('Ammo Stats'!C613*(MAX('Ammo Input'!D613,'Ammo Input'!F613)*0.5)^2*PI())</f>
        <v>1.13948278264756</v>
      </c>
      <c r="M613">
        <f>IF(B613="Frag",1,('Ammo Input'!M613/1.33)/('Ammo Input'!H613/1000))</f>
        <v>0.115288220551378</v>
      </c>
      <c r="N613">
        <v>72</v>
      </c>
      <c r="O613">
        <v>65</v>
      </c>
      <c r="P613" s="3">
        <f>(39493.49*(IF((VLOOKUP(B613,AmmoTypeFactors,6,FALSE)="Bomb_Secondary"),1.33,1)*('Ammo Input'!H613*0.35)/1000)^0.6/1000)*10/3*VLOOKUP(B613,AmmoTypeFactors,4,FALSE)</f>
        <v>0</v>
      </c>
    </row>
    <row r="614" ht="14.4" spans="1:16">
      <c r="A614" t="str">
        <f>'Ammo Input'!A614</f>
        <v>105mm Howitzer</v>
      </c>
      <c r="B614" s="1" t="str">
        <f>'Ammo Input'!B614</f>
        <v>HEAT</v>
      </c>
      <c r="C614">
        <f>(0.579*('Ammo Stats'!G614*IF(OR(B614="HEAT",B614="HEDP"),10,'Ammo Input'!F614)*VLOOKUP(B614,AmmoTypeFactors,7,FALSE))^(0.346))^IF(B614="HEDP",2.1,1)/IF(B614="HEDP",50,1)</f>
        <v>351.819329423646</v>
      </c>
      <c r="D614" s="16">
        <f>IF(VLOOKUP(B614,AmmoTypeFactors,8,FALSE),J614,C614)*VLOOKUP('Ammo Input'!B614,AmmoTypeFactors,2,FALSE)</f>
        <v>351.819329423646</v>
      </c>
      <c r="E614" s="16">
        <f>IF(OR(VLOOKUP(B614,AmmoTypeFactors,6,FALSE)="Bomb",VLOOKUP(B614,AmmoTypeFactors,6,FALSE)="Thermobaric"),J614*VLOOKUP(B614,AmmoTypeFactors,4,FALSE),IF(VLOOKUP(B614,AmmoTypeFactors,11,FALSE),P614,C614*VLOOKUP(B614,AmmoTypeFactors,4,FALSE)))</f>
        <v>0</v>
      </c>
      <c r="F614" s="16">
        <f>'Ammo Stats'!G614/0.005</f>
        <v>2219400000</v>
      </c>
      <c r="G614" s="16">
        <f>(IF(B614="HEAT",10,'Ammo Input'!F614)*VLOOKUP(B614,AmmoTypeFactors,7,FALSE)*0.5)^2*PI()/100</f>
        <v>0.785398163397448</v>
      </c>
      <c r="H614" s="10">
        <f t="shared" si="21"/>
        <v>221940</v>
      </c>
      <c r="I614" s="10">
        <f>IF(B614&lt;&gt;"Arrow (Flaming)",39493.49*'Ammo Input'!M614^0.6/1000,0)</f>
        <v>46.0128718062824</v>
      </c>
      <c r="J614">
        <f t="shared" si="22"/>
        <v>153.376239354275</v>
      </c>
      <c r="K614">
        <f t="shared" si="23"/>
        <v>130</v>
      </c>
      <c r="L614">
        <f>200000/('Ammo Stats'!C614*(MAX('Ammo Input'!D614,'Ammo Input'!F614)*0.5)^2*PI())</f>
        <v>1.13948278264756</v>
      </c>
      <c r="M614">
        <f>IF(B614="Frag",1,('Ammo Input'!M614/1.33)/('Ammo Input'!H614/1000))</f>
        <v>0.0646616541353384</v>
      </c>
      <c r="N614">
        <v>26</v>
      </c>
      <c r="O614">
        <v>13</v>
      </c>
      <c r="P614" s="3">
        <f>(39493.49*(IF((VLOOKUP(B614,AmmoTypeFactors,6,FALSE)="Bomb_Secondary"),1.33,1)*('Ammo Input'!H614*0.35)/1000)^0.6/1000)*10/3*VLOOKUP(B614,AmmoTypeFactors,4,FALSE)</f>
        <v>0</v>
      </c>
    </row>
    <row r="615" ht="14.4" spans="1:16">
      <c r="A615" t="str">
        <f>'Ammo Input'!A615</f>
        <v>105mm Howitzer</v>
      </c>
      <c r="B615" s="1" t="str">
        <f>'Ammo Input'!B615</f>
        <v>Incendiary (Heavy)</v>
      </c>
      <c r="C615">
        <f>(0.579*('Ammo Stats'!G615*IF(OR(B615="HEAT",B615="HEDP"),10,'Ammo Input'!F615)*VLOOKUP(B615,AmmoTypeFactors,7,FALSE))^(0.346))^IF(B615="HEDP",2.1,1)/IF(B615="HEDP",50,1)</f>
        <v>578.406067611546</v>
      </c>
      <c r="D615" s="16">
        <f>IF(VLOOKUP(B615,AmmoTypeFactors,8,FALSE),J615,C615)*VLOOKUP('Ammo Input'!B615,AmmoTypeFactors,2,FALSE)</f>
        <v>15.408851518212</v>
      </c>
      <c r="E615" s="16">
        <f>IF(OR(VLOOKUP(B615,AmmoTypeFactors,6,FALSE)="Bomb",VLOOKUP(B615,AmmoTypeFactors,6,FALSE)="Thermobaric"),J615*VLOOKUP(B615,AmmoTypeFactors,4,FALSE),IF(VLOOKUP(B615,AmmoTypeFactors,11,FALSE),P615,C615*VLOOKUP(B615,AmmoTypeFactors,4,FALSE)))</f>
        <v>115.56638638659</v>
      </c>
      <c r="F615" s="16">
        <f>'Ammo Stats'!G615/0.005</f>
        <v>889350000</v>
      </c>
      <c r="G615" s="16">
        <f>(IF(B615="HEAT",10,'Ammo Input'!F615)*VLOOKUP(B615,AmmoTypeFactors,7,FALSE)*0.5)^2*PI()/100</f>
        <v>86.5901475145687</v>
      </c>
      <c r="H615" s="10">
        <f t="shared" si="21"/>
        <v>88935</v>
      </c>
      <c r="I615" s="10">
        <f>IF(B615&lt;&gt;"Arrow (Flaming)",39493.49*'Ammo Input'!M615^0.6/1000,0)</f>
        <v>46.226554554636</v>
      </c>
      <c r="J615">
        <f t="shared" si="22"/>
        <v>154.08851518212</v>
      </c>
      <c r="K615">
        <f t="shared" si="23"/>
        <v>96</v>
      </c>
      <c r="L615">
        <f>200000/('Ammo Stats'!C615*(MAX('Ammo Input'!D615,'Ammo Input'!F615)*0.5)^2*PI())</f>
        <v>1.13948278264756</v>
      </c>
      <c r="M615">
        <f>IF(B615="Frag",1,('Ammo Input'!M615/1.33)/('Ammo Input'!H615/1000))</f>
        <v>0.0651629072681704</v>
      </c>
      <c r="N615" t="s">
        <v>353</v>
      </c>
      <c r="O615" t="s">
        <v>353</v>
      </c>
      <c r="P615" s="3">
        <f>(39493.49*(IF((VLOOKUP(B615,AmmoTypeFactors,6,FALSE)="Bomb_Secondary"),1.33,1)*('Ammo Input'!H615*0.35)/1000)^0.6/1000)*10/3*VLOOKUP(B615,AmmoTypeFactors,4,FALSE)</f>
        <v>267.030644716712</v>
      </c>
    </row>
    <row r="616" ht="14.4" spans="1:16">
      <c r="A616" t="str">
        <f>'Ammo Input'!A616</f>
        <v>105mm Howitzer</v>
      </c>
      <c r="B616" s="1" t="str">
        <f>'Ammo Input'!B616</f>
        <v>EMP</v>
      </c>
      <c r="C616">
        <f>(0.579*('Ammo Stats'!G616*IF(OR(B616="HEAT",B616="HEDP"),10,'Ammo Input'!F616)*VLOOKUP(B616,AmmoTypeFactors,7,FALSE))^(0.346))^IF(B616="HEDP",2.1,1)/IF(B616="HEDP",50,1)</f>
        <v>578.406067611546</v>
      </c>
      <c r="D616" s="16">
        <f>IF(VLOOKUP(B616,AmmoTypeFactors,8,FALSE),J616,C616)*VLOOKUP('Ammo Input'!B616,AmmoTypeFactors,2,FALSE)</f>
        <v>216.990619888264</v>
      </c>
      <c r="E616" s="16">
        <f>IF(OR(VLOOKUP(B616,AmmoTypeFactors,6,FALSE)="Bomb",VLOOKUP(B616,AmmoTypeFactors,6,FALSE)="Thermobaric"),J616*VLOOKUP(B616,AmmoTypeFactors,4,FALSE),IF(VLOOKUP(B616,AmmoTypeFactors,11,FALSE),P616,C616*VLOOKUP(B616,AmmoTypeFactors,4,FALSE)))</f>
        <v>0</v>
      </c>
      <c r="F616" s="16">
        <f>'Ammo Stats'!G616/0.005</f>
        <v>889350000</v>
      </c>
      <c r="G616" s="16">
        <f>(IF(B616="HEAT",10,'Ammo Input'!F616)*VLOOKUP(B616,AmmoTypeFactors,7,FALSE)*0.5)^2*PI()/100</f>
        <v>86.5901475145687</v>
      </c>
      <c r="H616" s="10">
        <f t="shared" si="21"/>
        <v>88935</v>
      </c>
      <c r="I616" s="10">
        <f>IF(B616&lt;&gt;"Arrow (Flaming)",39493.49*'Ammo Input'!M616^0.6/1000,0)</f>
        <v>65.0971859664792</v>
      </c>
      <c r="J616">
        <f t="shared" si="22"/>
        <v>216.990619888264</v>
      </c>
      <c r="K616">
        <f t="shared" si="23"/>
        <v>96</v>
      </c>
      <c r="L616">
        <f>200000/('Ammo Stats'!C616*(MAX('Ammo Input'!D616,'Ammo Input'!F616)*0.5)^2*PI())</f>
        <v>1.13948278264756</v>
      </c>
      <c r="M616">
        <f>IF(B616="Frag",1,('Ammo Input'!M616/1.33)/('Ammo Input'!H616/1000))</f>
        <v>0.115288220551378</v>
      </c>
      <c r="N616" t="s">
        <v>353</v>
      </c>
      <c r="O616" t="s">
        <v>353</v>
      </c>
      <c r="P616" s="3">
        <f>(39493.49*(IF((VLOOKUP(B616,AmmoTypeFactors,6,FALSE)="Bomb_Secondary"),1.33,1)*('Ammo Input'!H616*0.35)/1000)^0.6/1000)*10/3*VLOOKUP(B616,AmmoTypeFactors,4,FALSE)</f>
        <v>0</v>
      </c>
    </row>
    <row r="617" ht="14.4" spans="1:16">
      <c r="A617" t="str">
        <f>'Ammo Input'!A617</f>
        <v>105mm Howitzer</v>
      </c>
      <c r="B617" s="1" t="str">
        <f>'Ammo Input'!B617</f>
        <v>Smoke</v>
      </c>
      <c r="C617">
        <f>(0.579*('Ammo Stats'!G617*IF(OR(B617="HEAT",B617="HEDP"),10,'Ammo Input'!F617)*VLOOKUP(B617,AmmoTypeFactors,7,FALSE))^(0.346))^IF(B617="HEDP",2.1,1)/IF(B617="HEDP",50,1)</f>
        <v>558.499677189861</v>
      </c>
      <c r="D617" s="16">
        <f>IF(VLOOKUP(B617,AmmoTypeFactors,8,FALSE),J617,C617)*VLOOKUP('Ammo Input'!B617,AmmoTypeFactors,2,FALSE)</f>
        <v>239.963728509114</v>
      </c>
      <c r="E617" s="16">
        <f>IF(OR(VLOOKUP(B617,AmmoTypeFactors,6,FALSE)="Bomb",VLOOKUP(B617,AmmoTypeFactors,6,FALSE)="Thermobaric"),J617*VLOOKUP(B617,AmmoTypeFactors,4,FALSE),IF(VLOOKUP(B617,AmmoTypeFactors,11,FALSE),P617,C617*VLOOKUP(B617,AmmoTypeFactors,4,FALSE)))</f>
        <v>0</v>
      </c>
      <c r="F617" s="16">
        <f>'Ammo Stats'!G617/0.005</f>
        <v>803736000</v>
      </c>
      <c r="G617" s="16">
        <f>(IF(B617="HEAT",10,'Ammo Input'!F617)*VLOOKUP(B617,AmmoTypeFactors,7,FALSE)*0.5)^2*PI()/100</f>
        <v>86.5901475145687</v>
      </c>
      <c r="H617" s="10">
        <f t="shared" si="21"/>
        <v>80373.6</v>
      </c>
      <c r="I617" s="10">
        <f>IF(B617&lt;&gt;"Arrow (Flaming)",39493.49*'Ammo Input'!M617^0.6/1000,0)</f>
        <v>71.9891185527341</v>
      </c>
      <c r="J617">
        <f t="shared" si="22"/>
        <v>239.963728509114</v>
      </c>
      <c r="K617">
        <f t="shared" si="23"/>
        <v>93</v>
      </c>
      <c r="L617">
        <f>200000/('Ammo Stats'!C617*(MAX('Ammo Input'!D617,'Ammo Input'!F617)*0.5)^2*PI())</f>
        <v>1.13948278264756</v>
      </c>
      <c r="M617">
        <f>IF(B617="Frag",1,('Ammo Input'!M617/1.33)/('Ammo Input'!H617/1000))</f>
        <v>0.136340852130326</v>
      </c>
      <c r="N617" t="s">
        <v>353</v>
      </c>
      <c r="O617" t="s">
        <v>353</v>
      </c>
      <c r="P617" s="3">
        <f>(39493.49*(IF((VLOOKUP(B617,AmmoTypeFactors,6,FALSE)="Bomb_Secondary"),1.33,1)*('Ammo Input'!H617*0.35)/1000)^0.6/1000)*10/3*VLOOKUP(B617,AmmoTypeFactors,4,FALSE)</f>
        <v>0</v>
      </c>
    </row>
    <row r="618" ht="14.4" spans="1:16">
      <c r="A618" t="str">
        <f>'Ammo Input'!A618</f>
        <v>155mm Howitzer</v>
      </c>
      <c r="B618" s="1" t="str">
        <f>'Ammo Input'!B618</f>
        <v>HE</v>
      </c>
      <c r="C618">
        <f>(0.579*('Ammo Stats'!G618*IF(OR(B618="HEAT",B618="HEDP"),10,'Ammo Input'!F618)*VLOOKUP(B618,AmmoTypeFactors,7,FALSE))^(0.346))^IF(B618="HEDP",2.1,1)/IF(B618="HEDP",50,1)</f>
        <v>1029.83518689477</v>
      </c>
      <c r="D618" s="16">
        <f>IF(VLOOKUP(B618,AmmoTypeFactors,8,FALSE),J618,C618)*VLOOKUP('Ammo Input'!B618,AmmoTypeFactors,2,FALSE)</f>
        <v>545.801249408708</v>
      </c>
      <c r="E618" s="16">
        <f>IF(OR(VLOOKUP(B618,AmmoTypeFactors,6,FALSE)="Bomb",VLOOKUP(B618,AmmoTypeFactors,6,FALSE)="Thermobaric"),J618*VLOOKUP(B618,AmmoTypeFactors,4,FALSE),IF(VLOOKUP(B618,AmmoTypeFactors,11,FALSE),P618,C618*VLOOKUP(B618,AmmoTypeFactors,4,FALSE)))</f>
        <v>0</v>
      </c>
      <c r="F618" s="16">
        <f>'Ammo Stats'!G618/0.005</f>
        <v>3193948400</v>
      </c>
      <c r="G618" s="16">
        <f>(IF(B618="HEAT",10,'Ammo Input'!F618)*VLOOKUP(B618,AmmoTypeFactors,7,FALSE)*0.5)^2*PI()/100</f>
        <v>188.424183015696</v>
      </c>
      <c r="H618" s="10">
        <f t="shared" si="21"/>
        <v>319394.84</v>
      </c>
      <c r="I618" s="10">
        <f>IF(B618&lt;&gt;"Arrow (Flaming)",39493.49*'Ammo Input'!M618^0.6/1000,0)</f>
        <v>163.740374822612</v>
      </c>
      <c r="J618">
        <f t="shared" si="22"/>
        <v>545.801249408708</v>
      </c>
      <c r="K618">
        <f t="shared" si="23"/>
        <v>147</v>
      </c>
      <c r="L618">
        <f>200000/('Ammo Stats'!C618*(MAX('Ammo Input'!D618,'Ammo Input'!F618)*0.5)^2*PI())</f>
        <v>0.222663075211043</v>
      </c>
      <c r="M618">
        <f>IF(B618="Frag",1,('Ammo Input'!M618/1.33)/('Ammo Input'!H618/1000))</f>
        <v>0.172272222311668</v>
      </c>
      <c r="N618">
        <v>139</v>
      </c>
      <c r="O618">
        <v>202</v>
      </c>
      <c r="P618" s="3">
        <f>(39493.49*(IF((VLOOKUP(B618,AmmoTypeFactors,6,FALSE)="Bomb_Secondary"),1.33,1)*('Ammo Input'!H618*0.35)/1000)^0.6/1000)*10/3*VLOOKUP(B618,AmmoTypeFactors,4,FALSE)</f>
        <v>0</v>
      </c>
    </row>
    <row r="619" ht="14.4" spans="1:16">
      <c r="A619" t="str">
        <f>'Ammo Input'!A619</f>
        <v>155mm Howitzer</v>
      </c>
      <c r="B619" s="1" t="str">
        <f>'Ammo Input'!B619</f>
        <v>Airburst</v>
      </c>
      <c r="C619">
        <f>(0.579*('Ammo Stats'!G619*IF(OR(B619="HEAT",B619="HEDP"),10,'Ammo Input'!F619)*VLOOKUP(B619,AmmoTypeFactors,7,FALSE))^(0.346))^IF(B619="HEDP",2.1,1)/IF(B619="HEDP",50,1)</f>
        <v>1029.83518689477</v>
      </c>
      <c r="D619" s="16">
        <f>IF(VLOOKUP(B619,AmmoTypeFactors,8,FALSE),J619,C619)*VLOOKUP('Ammo Input'!B619,AmmoTypeFactors,2,FALSE)</f>
        <v>545.801249408708</v>
      </c>
      <c r="E619" s="16">
        <f>IF(OR(VLOOKUP(B619,AmmoTypeFactors,6,FALSE)="Bomb",VLOOKUP(B619,AmmoTypeFactors,6,FALSE)="Thermobaric"),J619*VLOOKUP(B619,AmmoTypeFactors,4,FALSE),IF(VLOOKUP(B619,AmmoTypeFactors,11,FALSE),P619,C619*VLOOKUP(B619,AmmoTypeFactors,4,FALSE)))</f>
        <v>0</v>
      </c>
      <c r="F619" s="16">
        <f>'Ammo Stats'!G619/0.005</f>
        <v>3193948400</v>
      </c>
      <c r="G619" s="16">
        <f>(IF(B619="HEAT",10,'Ammo Input'!F619)*VLOOKUP(B619,AmmoTypeFactors,7,FALSE)*0.5)^2*PI()/100</f>
        <v>188.424183015696</v>
      </c>
      <c r="H619" s="10">
        <f t="shared" si="21"/>
        <v>319394.84</v>
      </c>
      <c r="I619" s="10">
        <f>IF(B619&lt;&gt;"Arrow (Flaming)",39493.49*'Ammo Input'!M619^0.6/1000,0)</f>
        <v>163.740374822612</v>
      </c>
      <c r="J619">
        <f t="shared" si="22"/>
        <v>545.801249408708</v>
      </c>
      <c r="K619">
        <f t="shared" si="23"/>
        <v>147</v>
      </c>
      <c r="L619">
        <f>200000/('Ammo Stats'!C619*(MAX('Ammo Input'!D619,'Ammo Input'!F619)*0.5)^2*PI())</f>
        <v>0.222663075211043</v>
      </c>
      <c r="M619">
        <f>IF(B619="Frag",1,('Ammo Input'!M619/1.33)/('Ammo Input'!H619/1000))</f>
        <v>0.172272222311668</v>
      </c>
      <c r="N619">
        <v>208</v>
      </c>
      <c r="O619">
        <v>302</v>
      </c>
      <c r="P619" s="3">
        <f>(39493.49*(IF((VLOOKUP(B619,AmmoTypeFactors,6,FALSE)="Bomb_Secondary"),1.33,1)*('Ammo Input'!H619*0.35)/1000)^0.6/1000)*10/3*VLOOKUP(B619,AmmoTypeFactors,4,FALSE)</f>
        <v>0</v>
      </c>
    </row>
    <row r="620" ht="14.4" spans="1:16">
      <c r="A620" t="str">
        <f>'Ammo Input'!A620</f>
        <v>155mm Howitzer</v>
      </c>
      <c r="B620" s="1" t="str">
        <f>'Ammo Input'!B620</f>
        <v>Incendiary (Heavy)</v>
      </c>
      <c r="C620">
        <f>(0.579*('Ammo Stats'!G620*IF(OR(B620="HEAT",B620="HEDP"),10,'Ammo Input'!F620)*VLOOKUP(B620,AmmoTypeFactors,7,FALSE))^(0.346))^IF(B620="HEDP",2.1,1)/IF(B620="HEDP",50,1)</f>
        <v>1029.83518689477</v>
      </c>
      <c r="D620" s="16">
        <f>IF(VLOOKUP(B620,AmmoTypeFactors,8,FALSE),J620,C620)*VLOOKUP('Ammo Input'!B620,AmmoTypeFactors,2,FALSE)</f>
        <v>31.1425258148133</v>
      </c>
      <c r="E620" s="16">
        <f>IF(OR(VLOOKUP(B620,AmmoTypeFactors,6,FALSE)="Bomb",VLOOKUP(B620,AmmoTypeFactors,6,FALSE)="Thermobaric"),J620*VLOOKUP(B620,AmmoTypeFactors,4,FALSE),IF(VLOOKUP(B620,AmmoTypeFactors,11,FALSE),P620,C620*VLOOKUP(B620,AmmoTypeFactors,4,FALSE)))</f>
        <v>233.5689436111</v>
      </c>
      <c r="F620" s="16">
        <f>'Ammo Stats'!G620/0.005</f>
        <v>3193948400</v>
      </c>
      <c r="G620" s="16">
        <f>(IF(B620="HEAT",10,'Ammo Input'!F620)*VLOOKUP(B620,AmmoTypeFactors,7,FALSE)*0.5)^2*PI()/100</f>
        <v>188.424183015696</v>
      </c>
      <c r="H620" s="10">
        <f t="shared" si="21"/>
        <v>319394.84</v>
      </c>
      <c r="I620" s="10">
        <f>IF(B620&lt;&gt;"Arrow (Flaming)",39493.49*'Ammo Input'!M620^0.6/1000,0)</f>
        <v>93.4275774444399</v>
      </c>
      <c r="J620">
        <f t="shared" si="22"/>
        <v>311.425258148133</v>
      </c>
      <c r="K620">
        <f t="shared" si="23"/>
        <v>147</v>
      </c>
      <c r="L620">
        <f>200000/('Ammo Stats'!C620*(MAX('Ammo Input'!D620,'Ammo Input'!F620)*0.5)^2*PI())</f>
        <v>0.222663075211043</v>
      </c>
      <c r="M620">
        <f>IF(B620="Frag",1,('Ammo Input'!M620/1.33)/('Ammo Input'!H620/1000))</f>
        <v>0.0676208723092528</v>
      </c>
      <c r="N620" t="s">
        <v>353</v>
      </c>
      <c r="O620" t="s">
        <v>353</v>
      </c>
      <c r="P620" s="3">
        <f>(39493.49*(IF((VLOOKUP(B620,AmmoTypeFactors,6,FALSE)="Bomb_Secondary"),1.33,1)*('Ammo Input'!H620*0.35)/1000)^0.6/1000)*10/3*VLOOKUP(B620,AmmoTypeFactors,4,FALSE)</f>
        <v>527.832925248169</v>
      </c>
    </row>
    <row r="621" ht="14.4" spans="1:16">
      <c r="A621" t="str">
        <f>'Ammo Input'!A621</f>
        <v>155mm Howitzer</v>
      </c>
      <c r="B621" s="1" t="str">
        <f>'Ammo Input'!B621</f>
        <v>EMP</v>
      </c>
      <c r="C621">
        <f>(0.579*('Ammo Stats'!G621*IF(OR(B621="HEAT",B621="HEDP"),10,'Ammo Input'!F621)*VLOOKUP(B621,AmmoTypeFactors,7,FALSE))^(0.346))^IF(B621="HEDP",2.1,1)/IF(B621="HEDP",50,1)</f>
        <v>1029.83518689477</v>
      </c>
      <c r="D621" s="16">
        <f>IF(VLOOKUP(B621,AmmoTypeFactors,8,FALSE),J621,C621)*VLOOKUP('Ammo Input'!B621,AmmoTypeFactors,2,FALSE)</f>
        <v>545.801249408708</v>
      </c>
      <c r="E621" s="16">
        <f>IF(OR(VLOOKUP(B621,AmmoTypeFactors,6,FALSE)="Bomb",VLOOKUP(B621,AmmoTypeFactors,6,FALSE)="Thermobaric"),J621*VLOOKUP(B621,AmmoTypeFactors,4,FALSE),IF(VLOOKUP(B621,AmmoTypeFactors,11,FALSE),P621,C621*VLOOKUP(B621,AmmoTypeFactors,4,FALSE)))</f>
        <v>0</v>
      </c>
      <c r="F621" s="16">
        <f>'Ammo Stats'!G621/0.005</f>
        <v>3193948400</v>
      </c>
      <c r="G621" s="16">
        <f>(IF(B621="HEAT",10,'Ammo Input'!F621)*VLOOKUP(B621,AmmoTypeFactors,7,FALSE)*0.5)^2*PI()/100</f>
        <v>188.424183015696</v>
      </c>
      <c r="H621" s="10">
        <f t="shared" si="21"/>
        <v>319394.84</v>
      </c>
      <c r="I621" s="10">
        <f>IF(B621&lt;&gt;"Arrow (Flaming)",39493.49*'Ammo Input'!M621^0.6/1000,0)</f>
        <v>163.740374822612</v>
      </c>
      <c r="J621">
        <f t="shared" si="22"/>
        <v>545.801249408708</v>
      </c>
      <c r="K621">
        <f t="shared" si="23"/>
        <v>147</v>
      </c>
      <c r="L621">
        <f>200000/('Ammo Stats'!C621*(MAX('Ammo Input'!D621,'Ammo Input'!F621)*0.5)^2*PI())</f>
        <v>0.222663075211043</v>
      </c>
      <c r="M621">
        <f>IF(B621="Frag",1,('Ammo Input'!M621/1.33)/('Ammo Input'!H621/1000))</f>
        <v>0.172272222311668</v>
      </c>
      <c r="N621" t="s">
        <v>353</v>
      </c>
      <c r="O621" t="s">
        <v>353</v>
      </c>
      <c r="P621" s="3">
        <f>(39493.49*(IF((VLOOKUP(B621,AmmoTypeFactors,6,FALSE)="Bomb_Secondary"),1.33,1)*('Ammo Input'!H621*0.35)/1000)^0.6/1000)*10/3*VLOOKUP(B621,AmmoTypeFactors,4,FALSE)</f>
        <v>0</v>
      </c>
    </row>
    <row r="622" ht="14.4" spans="1:16">
      <c r="A622" t="str">
        <f>'Ammo Input'!A622</f>
        <v>155mm Howitzer</v>
      </c>
      <c r="B622" s="1" t="str">
        <f>'Ammo Input'!B622</f>
        <v>Smoke</v>
      </c>
      <c r="C622">
        <f>(0.579*('Ammo Stats'!G622*IF(OR(B622="HEAT",B622="HEDP"),10,'Ammo Input'!F622)*VLOOKUP(B622,AmmoTypeFactors,7,FALSE))^(0.346))^IF(B622="HEDP",2.1,1)/IF(B622="HEDP",50,1)</f>
        <v>1010.41595054781</v>
      </c>
      <c r="D622" s="16">
        <f>IF(VLOOKUP(B622,AmmoTypeFactors,8,FALSE),J622,C622)*VLOOKUP('Ammo Input'!B622,AmmoTypeFactors,2,FALSE)</f>
        <v>377.973241357819</v>
      </c>
      <c r="E622" s="16">
        <f>IF(OR(VLOOKUP(B622,AmmoTypeFactors,6,FALSE)="Bomb",VLOOKUP(B622,AmmoTypeFactors,6,FALSE)="Thermobaric"),J622*VLOOKUP(B622,AmmoTypeFactors,4,FALSE),IF(VLOOKUP(B622,AmmoTypeFactors,11,FALSE),P622,C622*VLOOKUP(B622,AmmoTypeFactors,4,FALSE)))</f>
        <v>0</v>
      </c>
      <c r="F622" s="16">
        <f>'Ammo Stats'!G622/0.005</f>
        <v>3022966200</v>
      </c>
      <c r="G622" s="16">
        <f>(IF(B622="HEAT",10,'Ammo Input'!F622)*VLOOKUP(B622,AmmoTypeFactors,7,FALSE)*0.5)^2*PI()/100</f>
        <v>188.424183015696</v>
      </c>
      <c r="H622" s="10">
        <f t="shared" si="21"/>
        <v>302296.62</v>
      </c>
      <c r="I622" s="10">
        <f>IF(B622&lt;&gt;"Arrow (Flaming)",39493.49*'Ammo Input'!M622^0.6/1000,0)</f>
        <v>113.391972407346</v>
      </c>
      <c r="J622">
        <f t="shared" si="22"/>
        <v>377.973241357819</v>
      </c>
      <c r="K622">
        <f t="shared" si="23"/>
        <v>145</v>
      </c>
      <c r="L622">
        <f>200000/('Ammo Stats'!C622*(MAX('Ammo Input'!D622,'Ammo Input'!F622)*0.5)^2*PI())</f>
        <v>0.222663075211043</v>
      </c>
      <c r="M622">
        <f>IF(B622="Frag",1,('Ammo Input'!M622/1.33)/('Ammo Input'!H622/1000))</f>
        <v>0.0986629469601606</v>
      </c>
      <c r="N622" t="s">
        <v>353</v>
      </c>
      <c r="O622" t="s">
        <v>353</v>
      </c>
      <c r="P622" s="3">
        <f>(39493.49*(IF((VLOOKUP(B622,AmmoTypeFactors,6,FALSE)="Bomb_Secondary"),1.33,1)*('Ammo Input'!H622*0.35)/1000)^0.6/1000)*10/3*VLOOKUP(B622,AmmoTypeFactors,4,FALSE)</f>
        <v>0</v>
      </c>
    </row>
    <row r="623" ht="14.4" spans="1:16">
      <c r="A623" t="str">
        <f>'Ammo Input'!A623</f>
        <v>28 cm Spgr.</v>
      </c>
      <c r="B623" s="1" t="str">
        <f>'Ammo Input'!B623</f>
        <v>HE</v>
      </c>
      <c r="C623">
        <f>(0.579*('Ammo Stats'!G623*IF(OR(B623="HEAT",B623="HEDP"),10,'Ammo Input'!F623)*VLOOKUP(B623,AmmoTypeFactors,7,FALSE))^(0.346))^IF(B623="HEDP",2.1,1)/IF(B623="HEDP",50,1)</f>
        <v>2540.40015549896</v>
      </c>
      <c r="D623" s="16">
        <f>IF(VLOOKUP(B623,AmmoTypeFactors,8,FALSE),J623,C623)*VLOOKUP('Ammo Input'!B623,AmmoTypeFactors,2,FALSE)</f>
        <v>836.52351766975</v>
      </c>
      <c r="E623" s="16">
        <f>IF(OR(VLOOKUP(B623,AmmoTypeFactors,6,FALSE)="Bomb",VLOOKUP(B623,AmmoTypeFactors,6,FALSE)="Thermobaric"),J623*VLOOKUP(B623,AmmoTypeFactors,4,FALSE),IF(VLOOKUP(B623,AmmoTypeFactors,11,FALSE),P623,C623*VLOOKUP(B623,AmmoTypeFactors,4,FALSE)))</f>
        <v>0</v>
      </c>
      <c r="F623" s="16">
        <f>'Ammo Stats'!G623/0.005</f>
        <v>23763000000</v>
      </c>
      <c r="G623" s="16">
        <f>(IF(B623="HEAT",10,'Ammo Input'!F623)*VLOOKUP(B623,AmmoTypeFactors,7,FALSE)*0.5)^2*PI()/100</f>
        <v>629.017535083382</v>
      </c>
      <c r="H623" s="10">
        <f t="shared" si="21"/>
        <v>2376300</v>
      </c>
      <c r="I623" s="10">
        <f>IF(B623&lt;&gt;"Arrow (Flaming)",39493.49*'Ammo Input'!M623^0.6/1000,0)</f>
        <v>250.957055300925</v>
      </c>
      <c r="J623">
        <f t="shared" si="22"/>
        <v>836.52351766975</v>
      </c>
      <c r="K623">
        <f t="shared" si="23"/>
        <v>287</v>
      </c>
      <c r="L623">
        <f>200000/('Ammo Stats'!C623*(MAX('Ammo Input'!D623,'Ammo Input'!F623)*0.5)^2*PI())</f>
        <v>0.0132354893208941</v>
      </c>
      <c r="M623">
        <f>IF(B623="Frag",1,('Ammo Input'!M623/1.33)/('Ammo Input'!H623/1000))</f>
        <v>0.0546365914786967</v>
      </c>
      <c r="N623">
        <v>1013</v>
      </c>
      <c r="O623">
        <v>410</v>
      </c>
      <c r="P623" s="3">
        <f>(39493.49*(IF((VLOOKUP(B623,AmmoTypeFactors,6,FALSE)="Bomb_Secondary"),1.33,1)*('Ammo Input'!H623*0.35)/1000)^0.6/1000)*10/3*VLOOKUP(B623,AmmoTypeFactors,4,FALSE)</f>
        <v>0</v>
      </c>
    </row>
    <row r="624" ht="14.4" spans="1:16">
      <c r="A624" t="str">
        <f>'Ammo Input'!A624</f>
        <v>37x223mmSR</v>
      </c>
      <c r="B624" s="1" t="str">
        <f>'Ammo Input'!B624</f>
        <v>HE</v>
      </c>
      <c r="C624">
        <f>(0.579*('Ammo Stats'!G624*IF(OR(B624="HEAT",B624="HEDP"),10,'Ammo Input'!F624)*VLOOKUP(B624,AmmoTypeFactors,7,FALSE))^(0.346))^IF(B624="HEDP",2.1,1)/IF(B624="HEDP",50,1)</f>
        <v>135.757023473912</v>
      </c>
      <c r="D624" s="16">
        <f>IF(VLOOKUP(B624,AmmoTypeFactors,8,FALSE),J624,C624)*VLOOKUP('Ammo Input'!B624,AmmoTypeFactors,2,FALSE)</f>
        <v>0</v>
      </c>
      <c r="E624" s="16">
        <f>IF(OR(VLOOKUP(B624,AmmoTypeFactors,6,FALSE)="Bomb",VLOOKUP(B624,AmmoTypeFactors,6,FALSE)="Thermobaric"),J624*VLOOKUP(B624,AmmoTypeFactors,4,FALSE),IF(VLOOKUP(B624,AmmoTypeFactors,11,FALSE),P624,C624*VLOOKUP(B624,AmmoTypeFactors,4,FALSE)))</f>
        <v>0</v>
      </c>
      <c r="F624" s="16">
        <f>'Ammo Stats'!G624/0.005</f>
        <v>38263200</v>
      </c>
      <c r="G624" s="16">
        <f>(IF(B624="HEAT",10,'Ammo Input'!F624)*VLOOKUP(B624,AmmoTypeFactors,7,FALSE)*0.5)^2*PI()/100</f>
        <v>10.7521008569111</v>
      </c>
      <c r="H624" s="10">
        <f t="shared" si="21"/>
        <v>3826.32</v>
      </c>
      <c r="I624" s="10">
        <f>IF(B624&lt;&gt;"Arrow (Flaming)",39493.49*'Ammo Input'!M624^0.6/1000,0)</f>
        <v>0</v>
      </c>
      <c r="J624">
        <f t="shared" si="22"/>
        <v>0</v>
      </c>
      <c r="K624">
        <f t="shared" si="23"/>
        <v>34</v>
      </c>
      <c r="L624">
        <f>200000/('Ammo Stats'!C624*(MAX('Ammo Input'!D624,'Ammo Input'!F624)*0.5)^2*PI())</f>
        <v>99.4718394324346</v>
      </c>
      <c r="M624">
        <f>IF(B624="Frag",1,('Ammo Input'!M624/1.33)/('Ammo Input'!H624/1000))</f>
        <v>0</v>
      </c>
      <c r="N624">
        <v>3</v>
      </c>
      <c r="O624">
        <v>0</v>
      </c>
      <c r="P624" s="3">
        <f>(39493.49*(IF((VLOOKUP(B624,AmmoTypeFactors,6,FALSE)="Bomb_Secondary"),1.33,1)*('Ammo Input'!H624*0.35)/1000)^0.6/1000)*10/3*VLOOKUP(B624,AmmoTypeFactors,4,FALSE)</f>
        <v>0</v>
      </c>
    </row>
    <row r="625" ht="14.4" spans="1:16">
      <c r="A625" t="str">
        <f>'Ammo Input'!A625</f>
        <v>37x223mmSR</v>
      </c>
      <c r="B625" s="1" t="str">
        <f>'Ammo Input'!B625</f>
        <v>AP</v>
      </c>
      <c r="C625">
        <f>(0.579*('Ammo Stats'!G625*IF(OR(B625="HEAT",B625="HEDP"),10,'Ammo Input'!F625)*VLOOKUP(B625,AmmoTypeFactors,7,FALSE))^(0.346))^IF(B625="HEDP",2.1,1)/IF(B625="HEDP",50,1)</f>
        <v>102.514747703935</v>
      </c>
      <c r="D625" s="16">
        <f>IF(VLOOKUP(B625,AmmoTypeFactors,8,FALSE),J625,C625)*VLOOKUP('Ammo Input'!B625,AmmoTypeFactors,2,FALSE)</f>
        <v>82.0117981631482</v>
      </c>
      <c r="E625" s="16">
        <f>IF(OR(VLOOKUP(B625,AmmoTypeFactors,6,FALSE)="Bomb",VLOOKUP(B625,AmmoTypeFactors,6,FALSE)="Thermobaric"),J625*VLOOKUP(B625,AmmoTypeFactors,4,FALSE),IF(VLOOKUP(B625,AmmoTypeFactors,11,FALSE),P625,C625*VLOOKUP(B625,AmmoTypeFactors,4,FALSE)))</f>
        <v>0</v>
      </c>
      <c r="F625" s="16">
        <f>'Ammo Stats'!G625/0.005</f>
        <v>33984400</v>
      </c>
      <c r="G625" s="16">
        <f>(IF(B625="HEAT",10,'Ammo Input'!F625)*VLOOKUP(B625,AmmoTypeFactors,7,FALSE)*0.5)^2*PI()/100</f>
        <v>2.68802521422777</v>
      </c>
      <c r="H625" s="10">
        <f t="shared" si="21"/>
        <v>3398.44</v>
      </c>
      <c r="I625" s="10">
        <f>IF(B625&lt;&gt;"Arrow (Flaming)",39493.49*'Ammo Input'!M625^0.6/1000,0)</f>
        <v>0</v>
      </c>
      <c r="J625">
        <f t="shared" si="22"/>
        <v>0</v>
      </c>
      <c r="K625">
        <f t="shared" si="23"/>
        <v>32</v>
      </c>
      <c r="L625">
        <f>200000/('Ammo Stats'!C625*(MAX('Ammo Input'!D625,'Ammo Input'!F625)*0.5)^2*PI())</f>
        <v>99.4718394324346</v>
      </c>
      <c r="M625">
        <f>IF(B625="Frag",1,('Ammo Input'!M625/1.33)/('Ammo Input'!H625/1000))</f>
        <v>0</v>
      </c>
      <c r="N625" t="s">
        <v>353</v>
      </c>
      <c r="O625" t="s">
        <v>353</v>
      </c>
      <c r="P625" s="3">
        <f>(39493.49*(IF((VLOOKUP(B625,AmmoTypeFactors,6,FALSE)="Bomb_Secondary"),1.33,1)*('Ammo Input'!H625*0.35)/1000)^0.6/1000)*10/3*VLOOKUP(B625,AmmoTypeFactors,4,FALSE)</f>
        <v>0</v>
      </c>
    </row>
    <row r="626" ht="14.4" spans="1:16">
      <c r="A626" t="str">
        <f>'Ammo Input'!A626</f>
        <v>40x365mm Bofors</v>
      </c>
      <c r="B626" s="1" t="str">
        <f>'Ammo Input'!B626</f>
        <v>HE</v>
      </c>
      <c r="C626">
        <f>(0.579*('Ammo Stats'!G626*IF(OR(B626="HEAT",B626="HEDP"),10,'Ammo Input'!F626)*VLOOKUP(B626,AmmoTypeFactors,7,FALSE))^(0.346))^IF(B626="HEDP",2.1,1)/IF(B626="HEDP",50,1)</f>
        <v>194.512133973781</v>
      </c>
      <c r="D626" s="16">
        <f>IF(VLOOKUP(B626,AmmoTypeFactors,8,FALSE),J626,C626)*VLOOKUP('Ammo Input'!B626,AmmoTypeFactors,2,FALSE)</f>
        <v>0</v>
      </c>
      <c r="E626" s="16">
        <f>IF(OR(VLOOKUP(B626,AmmoTypeFactors,6,FALSE)="Bomb",VLOOKUP(B626,AmmoTypeFactors,6,FALSE)="Thermobaric"),J626*VLOOKUP(B626,AmmoTypeFactors,4,FALSE),IF(VLOOKUP(B626,AmmoTypeFactors,11,FALSE),P626,C626*VLOOKUP(B626,AmmoTypeFactors,4,FALSE)))</f>
        <v>0</v>
      </c>
      <c r="F626" s="16">
        <f>'Ammo Stats'!G626/0.005</f>
        <v>100074400</v>
      </c>
      <c r="G626" s="16">
        <f>(IF(B626="HEAT",10,'Ammo Input'!F626)*VLOOKUP(B626,AmmoTypeFactors,7,FALSE)*0.5)^2*PI()/100</f>
        <v>12.5663706143592</v>
      </c>
      <c r="H626" s="10">
        <f t="shared" si="21"/>
        <v>10007.44</v>
      </c>
      <c r="I626" s="10">
        <f>IF(B626&lt;&gt;"Arrow (Flaming)",39493.49*'Ammo Input'!M626^0.6/1000,0)</f>
        <v>0</v>
      </c>
      <c r="J626">
        <f t="shared" si="22"/>
        <v>0</v>
      </c>
      <c r="K626">
        <f t="shared" si="23"/>
        <v>46</v>
      </c>
      <c r="L626">
        <f>200000/('Ammo Stats'!C626*(MAX('Ammo Input'!D626,'Ammo Input'!F626)*0.5)^2*PI())</f>
        <v>14.5917574342954</v>
      </c>
      <c r="M626">
        <f>IF(B626="Frag",1,('Ammo Input'!M626/1.33)/('Ammo Input'!H626/1000))</f>
        <v>0</v>
      </c>
      <c r="N626">
        <v>4</v>
      </c>
      <c r="O626">
        <v>0</v>
      </c>
      <c r="P626" s="3">
        <f>(39493.49*(IF((VLOOKUP(B626,AmmoTypeFactors,6,FALSE)="Bomb_Secondary"),1.33,1)*('Ammo Input'!H626*0.35)/1000)^0.6/1000)*10/3*VLOOKUP(B626,AmmoTypeFactors,4,FALSE)</f>
        <v>0</v>
      </c>
    </row>
    <row r="627" ht="14.4" spans="1:16">
      <c r="A627" t="str">
        <f>'Ammo Input'!A627</f>
        <v>40x365mm Bofors</v>
      </c>
      <c r="B627" s="1" t="str">
        <f>'Ammo Input'!B627</f>
        <v>AP</v>
      </c>
      <c r="C627">
        <f>(0.579*('Ammo Stats'!G627*IF(OR(B627="HEAT",B627="HEDP"),10,'Ammo Input'!F627)*VLOOKUP(B627,AmmoTypeFactors,7,FALSE))^(0.346))^IF(B627="HEDP",2.1,1)/IF(B627="HEDP",50,1)</f>
        <v>153.034842176153</v>
      </c>
      <c r="D627" s="16">
        <f>IF(VLOOKUP(B627,AmmoTypeFactors,8,FALSE),J627,C627)*VLOOKUP('Ammo Input'!B627,AmmoTypeFactors,2,FALSE)</f>
        <v>122.427873740922</v>
      </c>
      <c r="E627" s="16">
        <f>IF(OR(VLOOKUP(B627,AmmoTypeFactors,6,FALSE)="Bomb",VLOOKUP(B627,AmmoTypeFactors,6,FALSE)="Thermobaric"),J627*VLOOKUP(B627,AmmoTypeFactors,4,FALSE),IF(VLOOKUP(B627,AmmoTypeFactors,11,FALSE),P627,C627*VLOOKUP(B627,AmmoTypeFactors,4,FALSE)))</f>
        <v>0</v>
      </c>
      <c r="F627" s="16">
        <f>'Ammo Stats'!G627/0.005</f>
        <v>100074400</v>
      </c>
      <c r="G627" s="16">
        <f>(IF(B627="HEAT",10,'Ammo Input'!F627)*VLOOKUP(B627,AmmoTypeFactors,7,FALSE)*0.5)^2*PI()/100</f>
        <v>3.14159265358979</v>
      </c>
      <c r="H627" s="10">
        <f t="shared" si="21"/>
        <v>10007.44</v>
      </c>
      <c r="I627" s="10">
        <f>IF(B627&lt;&gt;"Arrow (Flaming)",39493.49*'Ammo Input'!M627^0.6/1000,0)</f>
        <v>0</v>
      </c>
      <c r="J627">
        <f t="shared" si="22"/>
        <v>0</v>
      </c>
      <c r="K627">
        <f t="shared" si="23"/>
        <v>46</v>
      </c>
      <c r="L627">
        <f>200000/('Ammo Stats'!C627*(MAX('Ammo Input'!D627,'Ammo Input'!F627)*0.5)^2*PI())</f>
        <v>14.5917574342954</v>
      </c>
      <c r="M627">
        <f>IF(B627="Frag",1,('Ammo Input'!M627/1.33)/('Ammo Input'!H627/1000))</f>
        <v>0</v>
      </c>
      <c r="N627" t="s">
        <v>353</v>
      </c>
      <c r="O627" t="s">
        <v>353</v>
      </c>
      <c r="P627" s="3">
        <f>(39493.49*(IF((VLOOKUP(B627,AmmoTypeFactors,6,FALSE)="Bomb_Secondary"),1.33,1)*('Ammo Input'!H627*0.35)/1000)^0.6/1000)*10/3*VLOOKUP(B627,AmmoTypeFactors,4,FALSE)</f>
        <v>0</v>
      </c>
    </row>
    <row r="628" ht="14.4" spans="1:16">
      <c r="A628" t="str">
        <f>'Ammo Input'!A628</f>
        <v>40x365mm Bofors</v>
      </c>
      <c r="B628" s="1" t="str">
        <f>'Ammo Input'!B628</f>
        <v>Sabot</v>
      </c>
      <c r="C628">
        <f>(0.579*('Ammo Stats'!G628*IF(OR(B628="HEAT",B628="HEDP"),10,'Ammo Input'!F628)*VLOOKUP(B628,AmmoTypeFactors,7,FALSE))^(0.346))^IF(B628="HEDP",2.1,1)/IF(B628="HEDP",50,1)</f>
        <v>166.915167123878</v>
      </c>
      <c r="D628" s="16">
        <f>IF(VLOOKUP(B628,AmmoTypeFactors,8,FALSE),J628,C628)*VLOOKUP('Ammo Input'!B628,AmmoTypeFactors,2,FALSE)</f>
        <v>116.840616986714</v>
      </c>
      <c r="E628" s="16">
        <f>IF(OR(VLOOKUP(B628,AmmoTypeFactors,6,FALSE)="Bomb",VLOOKUP(B628,AmmoTypeFactors,6,FALSE)="Thermobaric"),J628*VLOOKUP(B628,AmmoTypeFactors,4,FALSE),IF(VLOOKUP(B628,AmmoTypeFactors,11,FALSE),P628,C628*VLOOKUP(B628,AmmoTypeFactors,4,FALSE)))</f>
        <v>0</v>
      </c>
      <c r="F628" s="16">
        <f>'Ammo Stats'!G628/0.005</f>
        <v>128617000</v>
      </c>
      <c r="G628" s="16">
        <f>(IF(B628="HEAT",10,'Ammo Input'!F628)*VLOOKUP(B628,AmmoTypeFactors,7,FALSE)*0.5)^2*PI()/100</f>
        <v>3.14159265358979</v>
      </c>
      <c r="H628" s="10">
        <f t="shared" si="21"/>
        <v>12861.7</v>
      </c>
      <c r="I628" s="10">
        <f>IF(B628&lt;&gt;"Arrow (Flaming)",39493.49*'Ammo Input'!M628^0.6/1000,0)</f>
        <v>0</v>
      </c>
      <c r="J628">
        <f t="shared" si="22"/>
        <v>0</v>
      </c>
      <c r="K628">
        <f t="shared" si="23"/>
        <v>50</v>
      </c>
      <c r="L628">
        <f>200000/('Ammo Stats'!C628*(MAX('Ammo Input'!D628,'Ammo Input'!F628)*0.5)^2*PI())</f>
        <v>14.5917574342954</v>
      </c>
      <c r="M628">
        <f>IF(B628="Frag",1,('Ammo Input'!M628/1.33)/('Ammo Input'!H628/1000))</f>
        <v>0</v>
      </c>
      <c r="N628" t="s">
        <v>353</v>
      </c>
      <c r="O628" t="s">
        <v>353</v>
      </c>
      <c r="P628" s="3">
        <f>(39493.49*(IF((VLOOKUP(B628,AmmoTypeFactors,6,FALSE)="Bomb_Secondary"),1.33,1)*('Ammo Input'!H628*0.35)/1000)^0.6/1000)*10/3*VLOOKUP(B628,AmmoTypeFactors,4,FALSE)</f>
        <v>0</v>
      </c>
    </row>
    <row r="629" ht="14.4" spans="1:16">
      <c r="A629" t="str">
        <f>'Ammo Input'!A629</f>
        <v>57x307mmR</v>
      </c>
      <c r="B629" s="1" t="str">
        <f>'Ammo Input'!B629</f>
        <v>AP</v>
      </c>
      <c r="C629">
        <f>(0.579*('Ammo Stats'!G629*IF(OR(B629="HEAT",B629="HEDP"),10,'Ammo Input'!F629)*VLOOKUP(B629,AmmoTypeFactors,7,FALSE))^(0.346))^IF(B629="HEDP",2.1,1)/IF(B629="HEDP",50,1)</f>
        <v>131.804026959951</v>
      </c>
      <c r="D629" s="16">
        <f>IF(VLOOKUP(B629,AmmoTypeFactors,8,FALSE),J629,C629)*VLOOKUP('Ammo Input'!B629,AmmoTypeFactors,2,FALSE)</f>
        <v>105.443221567961</v>
      </c>
      <c r="E629" s="16">
        <f>IF(OR(VLOOKUP(B629,AmmoTypeFactors,6,FALSE)="Bomb",VLOOKUP(B629,AmmoTypeFactors,6,FALSE)="Thermobaric"),J629*VLOOKUP(B629,AmmoTypeFactors,4,FALSE),IF(VLOOKUP(B629,AmmoTypeFactors,11,FALSE),P629,C629*VLOOKUP(B629,AmmoTypeFactors,4,FALSE)))</f>
        <v>0</v>
      </c>
      <c r="F629" s="16">
        <f>'Ammo Stats'!G629/0.005</f>
        <v>45608600</v>
      </c>
      <c r="G629" s="16">
        <f>(IF(B629="HEAT",10,'Ammo Input'!F629)*VLOOKUP(B629,AmmoTypeFactors,7,FALSE)*0.5)^2*PI()/100</f>
        <v>6.37939658219577</v>
      </c>
      <c r="H629" s="10">
        <f t="shared" si="21"/>
        <v>4560.86</v>
      </c>
      <c r="I629" s="10">
        <f>IF(B629&lt;&gt;"Arrow (Flaming)",39493.49*'Ammo Input'!M629^0.6/1000,0)</f>
        <v>0</v>
      </c>
      <c r="J629">
        <f t="shared" si="22"/>
        <v>0</v>
      </c>
      <c r="K629">
        <f t="shared" si="23"/>
        <v>36</v>
      </c>
      <c r="L629">
        <f>200000/('Ammo Stats'!C629*(MAX('Ammo Input'!D629,'Ammo Input'!F629)*0.5)^2*PI())</f>
        <v>23.7439261062283</v>
      </c>
      <c r="M629">
        <f>IF(B629="Frag",1,('Ammo Input'!M629/1.33)/('Ammo Input'!H629/1000))</f>
        <v>0</v>
      </c>
      <c r="N629" t="s">
        <v>353</v>
      </c>
      <c r="O629" t="s">
        <v>353</v>
      </c>
      <c r="P629" s="3">
        <f>(39493.49*(IF((VLOOKUP(B629,AmmoTypeFactors,6,FALSE)="Bomb_Secondary"),1.33,1)*('Ammo Input'!H629*0.35)/1000)^0.6/1000)*10/3*VLOOKUP(B629,AmmoTypeFactors,4,FALSE)</f>
        <v>0</v>
      </c>
    </row>
    <row r="630" ht="14.4" spans="1:16">
      <c r="A630" t="str">
        <f>'Ammo Input'!A630</f>
        <v>57x307mmR</v>
      </c>
      <c r="B630" s="1" t="str">
        <f>'Ammo Input'!B630</f>
        <v>HE</v>
      </c>
      <c r="C630">
        <f>(0.579*('Ammo Stats'!G630*IF(OR(B630="HEAT",B630="HEDP"),10,'Ammo Input'!F630)*VLOOKUP(B630,AmmoTypeFactors,7,FALSE))^(0.346))^IF(B630="HEDP",2.1,1)/IF(B630="HEDP",50,1)</f>
        <v>167.527095044196</v>
      </c>
      <c r="D630" s="16">
        <f>IF(VLOOKUP(B630,AmmoTypeFactors,8,FALSE),J630,C630)*VLOOKUP('Ammo Input'!B630,AmmoTypeFactors,2,FALSE)</f>
        <v>33.0677205546531</v>
      </c>
      <c r="E630" s="16">
        <f>IF(OR(VLOOKUP(B630,AmmoTypeFactors,6,FALSE)="Bomb",VLOOKUP(B630,AmmoTypeFactors,6,FALSE)="Thermobaric"),J630*VLOOKUP(B630,AmmoTypeFactors,4,FALSE),IF(VLOOKUP(B630,AmmoTypeFactors,11,FALSE),P630,C630*VLOOKUP(B630,AmmoTypeFactors,4,FALSE)))</f>
        <v>0</v>
      </c>
      <c r="F630" s="16">
        <f>'Ammo Stats'!G630/0.005</f>
        <v>45608600</v>
      </c>
      <c r="G630" s="16">
        <f>(IF(B630="HEAT",10,'Ammo Input'!F630)*VLOOKUP(B630,AmmoTypeFactors,7,FALSE)*0.5)^2*PI()/100</f>
        <v>25.5175863287831</v>
      </c>
      <c r="H630" s="10">
        <f t="shared" si="21"/>
        <v>4560.86</v>
      </c>
      <c r="I630" s="10">
        <f>IF(B630&lt;&gt;"Arrow (Flaming)",39493.49*'Ammo Input'!M630^0.6/1000,0)</f>
        <v>9.92031616639593</v>
      </c>
      <c r="J630">
        <f t="shared" si="22"/>
        <v>33.0677205546531</v>
      </c>
      <c r="K630">
        <f t="shared" si="23"/>
        <v>36</v>
      </c>
      <c r="L630">
        <f>200000/('Ammo Stats'!C630*(MAX('Ammo Input'!D630,'Ammo Input'!F630)*0.5)^2*PI())</f>
        <v>23.7439261062283</v>
      </c>
      <c r="M630">
        <f>IF(B630="Frag",1,('Ammo Input'!M630/1.33)/('Ammo Input'!H630/1000))</f>
        <v>0.0278473962684489</v>
      </c>
      <c r="N630">
        <v>10</v>
      </c>
      <c r="O630">
        <v>2</v>
      </c>
      <c r="P630" s="3">
        <f>(39493.49*(IF((VLOOKUP(B630,AmmoTypeFactors,6,FALSE)="Bomb_Secondary"),1.33,1)*('Ammo Input'!H630*0.35)/1000)^0.6/1000)*10/3*VLOOKUP(B630,AmmoTypeFactors,4,FALSE)</f>
        <v>0</v>
      </c>
    </row>
    <row r="631" ht="14.4" spans="1:16">
      <c r="A631" t="str">
        <f>'Ammo Input'!A631</f>
        <v>57x438mm Bofors</v>
      </c>
      <c r="B631" s="1" t="str">
        <f>'Ammo Input'!B631</f>
        <v>AP</v>
      </c>
      <c r="C631">
        <f>(0.579*('Ammo Stats'!G631*IF(OR(B631="HEAT",B631="HEDP"),10,'Ammo Input'!F631)*VLOOKUP(B631,AmmoTypeFactors,7,FALSE))^(0.346))^IF(B631="HEDP",2.1,1)/IF(B631="HEDP",50,1)</f>
        <v>239.767501913865</v>
      </c>
      <c r="D631" s="16">
        <f>IF(VLOOKUP(B631,AmmoTypeFactors,8,FALSE),J631,C631)*VLOOKUP('Ammo Input'!B631,AmmoTypeFactors,2,FALSE)</f>
        <v>191.814001531092</v>
      </c>
      <c r="E631" s="16">
        <f>IF(OR(VLOOKUP(B631,AmmoTypeFactors,6,FALSE)="Bomb",VLOOKUP(B631,AmmoTypeFactors,6,FALSE)="Thermobaric"),J631*VLOOKUP(B631,AmmoTypeFactors,4,FALSE),IF(VLOOKUP(B631,AmmoTypeFactors,11,FALSE),P631,C631*VLOOKUP(B631,AmmoTypeFactors,4,FALSE)))</f>
        <v>0</v>
      </c>
      <c r="F631" s="16">
        <f>'Ammo Stats'!G631/0.005</f>
        <v>257094000</v>
      </c>
      <c r="G631" s="16">
        <f>(IF(B631="HEAT",10,'Ammo Input'!F631)*VLOOKUP(B631,AmmoTypeFactors,7,FALSE)*0.5)^2*PI()/100</f>
        <v>6.37939658219577</v>
      </c>
      <c r="H631" s="10">
        <f t="shared" si="21"/>
        <v>25709.4</v>
      </c>
      <c r="I631" s="10">
        <f>IF(B631&lt;&gt;"Arrow (Flaming)",39493.49*'Ammo Input'!M631^0.6/1000,0)</f>
        <v>32.4283619273324</v>
      </c>
      <c r="J631">
        <f t="shared" si="22"/>
        <v>108.094539757775</v>
      </c>
      <c r="K631">
        <f t="shared" si="23"/>
        <v>64</v>
      </c>
      <c r="L631">
        <f>200000/('Ammo Stats'!C631*(MAX('Ammo Input'!D631,'Ammo Input'!F631)*0.5)^2*PI())</f>
        <v>3.63682634820172</v>
      </c>
      <c r="M631">
        <f>IF(B631="Frag",1,('Ammo Input'!M631/1.33)/('Ammo Input'!H631/1000))</f>
        <v>0.225563909774436</v>
      </c>
      <c r="N631" t="s">
        <v>353</v>
      </c>
      <c r="O631" t="s">
        <v>353</v>
      </c>
      <c r="P631" s="3">
        <f>(39493.49*(IF((VLOOKUP(B631,AmmoTypeFactors,6,FALSE)="Bomb_Secondary"),1.33,1)*('Ammo Input'!H631*0.35)/1000)^0.6/1000)*10/3*VLOOKUP(B631,AmmoTypeFactors,4,FALSE)</f>
        <v>0</v>
      </c>
    </row>
    <row r="632" ht="14.4" spans="1:16">
      <c r="A632" t="str">
        <f>'Ammo Input'!A632</f>
        <v>57x438mm Bofors</v>
      </c>
      <c r="B632" s="1" t="str">
        <f>'Ammo Input'!B632</f>
        <v>HE</v>
      </c>
      <c r="C632">
        <f>(0.579*('Ammo Stats'!G632*IF(OR(B632="HEAT",B632="HEDP"),10,'Ammo Input'!F632)*VLOOKUP(B632,AmmoTypeFactors,7,FALSE))^(0.346))^IF(B632="HEDP",2.1,1)/IF(B632="HEDP",50,1)</f>
        <v>304.75209299818</v>
      </c>
      <c r="D632" s="16">
        <f>IF(VLOOKUP(B632,AmmoTypeFactors,8,FALSE),J632,C632)*VLOOKUP('Ammo Input'!B632,AmmoTypeFactors,2,FALSE)</f>
        <v>0</v>
      </c>
      <c r="E632" s="16">
        <f>IF(OR(VLOOKUP(B632,AmmoTypeFactors,6,FALSE)="Bomb",VLOOKUP(B632,AmmoTypeFactors,6,FALSE)="Thermobaric"),J632*VLOOKUP(B632,AmmoTypeFactors,4,FALSE),IF(VLOOKUP(B632,AmmoTypeFactors,11,FALSE),P632,C632*VLOOKUP(B632,AmmoTypeFactors,4,FALSE)))</f>
        <v>0</v>
      </c>
      <c r="F632" s="16">
        <f>'Ammo Stats'!G632/0.005</f>
        <v>257094000</v>
      </c>
      <c r="G632" s="16">
        <f>(IF(B632="HEAT",10,'Ammo Input'!F632)*VLOOKUP(B632,AmmoTypeFactors,7,FALSE)*0.5)^2*PI()/100</f>
        <v>25.5175863287831</v>
      </c>
      <c r="H632" s="10">
        <f t="shared" si="21"/>
        <v>25709.4</v>
      </c>
      <c r="I632" s="10">
        <f>IF(B632&lt;&gt;"Arrow (Flaming)",39493.49*'Ammo Input'!M632^0.6/1000,0)</f>
        <v>0</v>
      </c>
      <c r="J632">
        <f t="shared" si="22"/>
        <v>0</v>
      </c>
      <c r="K632">
        <f t="shared" si="23"/>
        <v>64</v>
      </c>
      <c r="L632">
        <f>200000/('Ammo Stats'!C632*(MAX('Ammo Input'!D632,'Ammo Input'!F632)*0.5)^2*PI())</f>
        <v>3.63682634820172</v>
      </c>
      <c r="M632">
        <f>IF(B632="Frag",1,('Ammo Input'!M632/1.33)/('Ammo Input'!H632/1000))</f>
        <v>0</v>
      </c>
      <c r="N632">
        <v>9</v>
      </c>
      <c r="O632">
        <v>0</v>
      </c>
      <c r="P632" s="3">
        <f>(39493.49*(IF((VLOOKUP(B632,AmmoTypeFactors,6,FALSE)="Bomb_Secondary"),1.33,1)*('Ammo Input'!H632*0.35)/1000)^0.6/1000)*10/3*VLOOKUP(B632,AmmoTypeFactors,4,FALSE)</f>
        <v>0</v>
      </c>
    </row>
    <row r="633" ht="14.4" spans="1:16">
      <c r="A633" t="str">
        <f>'Ammo Input'!A633</f>
        <v>57x438mm Bofors</v>
      </c>
      <c r="B633" s="1" t="str">
        <f>'Ammo Input'!B633</f>
        <v>Sabot</v>
      </c>
      <c r="C633">
        <f>(0.579*('Ammo Stats'!G633*IF(OR(B633="HEAT",B633="HEDP"),10,'Ammo Input'!F633)*VLOOKUP(B633,AmmoTypeFactors,7,FALSE))^(0.346))^IF(B633="HEDP",2.1,1)/IF(B633="HEDP",50,1)</f>
        <v>261.463199555622</v>
      </c>
      <c r="D633" s="16">
        <f>IF(VLOOKUP(B633,AmmoTypeFactors,8,FALSE),J633,C633)*VLOOKUP('Ammo Input'!B633,AmmoTypeFactors,2,FALSE)</f>
        <v>183.024239688936</v>
      </c>
      <c r="E633" s="16">
        <f>IF(OR(VLOOKUP(B633,AmmoTypeFactors,6,FALSE)="Bomb",VLOOKUP(B633,AmmoTypeFactors,6,FALSE)="Thermobaric"),J633*VLOOKUP(B633,AmmoTypeFactors,4,FALSE),IF(VLOOKUP(B633,AmmoTypeFactors,11,FALSE),P633,C633*VLOOKUP(B633,AmmoTypeFactors,4,FALSE)))</f>
        <v>0</v>
      </c>
      <c r="F633" s="16">
        <f>'Ammo Stats'!G633/0.005</f>
        <v>330233400</v>
      </c>
      <c r="G633" s="16">
        <f>(IF(B633="HEAT",10,'Ammo Input'!F633)*VLOOKUP(B633,AmmoTypeFactors,7,FALSE)*0.5)^2*PI()/100</f>
        <v>6.37939658219577</v>
      </c>
      <c r="H633" s="10">
        <f t="shared" si="21"/>
        <v>33023.34</v>
      </c>
      <c r="I633" s="10">
        <f>IF(B633&lt;&gt;"Arrow (Flaming)",39493.49*'Ammo Input'!M633^0.6/1000,0)</f>
        <v>0</v>
      </c>
      <c r="J633">
        <f t="shared" si="22"/>
        <v>0</v>
      </c>
      <c r="K633">
        <f t="shared" si="23"/>
        <v>69</v>
      </c>
      <c r="L633">
        <f>200000/('Ammo Stats'!C633*(MAX('Ammo Input'!D633,'Ammo Input'!F633)*0.5)^2*PI())</f>
        <v>3.63682634820172</v>
      </c>
      <c r="M633">
        <f>IF(B633="Frag",1,('Ammo Input'!M633/1.33)/('Ammo Input'!H633/1000))</f>
        <v>0</v>
      </c>
      <c r="N633" t="s">
        <v>353</v>
      </c>
      <c r="O633" t="s">
        <v>353</v>
      </c>
      <c r="P633" s="3">
        <f>(39493.49*(IF((VLOOKUP(B633,AmmoTypeFactors,6,FALSE)="Bomb_Secondary"),1.33,1)*('Ammo Input'!H633*0.35)/1000)^0.6/1000)*10/3*VLOOKUP(B633,AmmoTypeFactors,4,FALSE)</f>
        <v>0</v>
      </c>
    </row>
    <row r="634" ht="14.4" spans="1:16">
      <c r="A634" t="str">
        <f>'Ammo Input'!A634</f>
        <v>75x350mmR</v>
      </c>
      <c r="B634" s="1" t="str">
        <f>'Ammo Input'!B634</f>
        <v>AP</v>
      </c>
      <c r="C634">
        <f>(0.579*('Ammo Stats'!G634*IF(OR(B634="HEAT",B634="HEDP"),10,'Ammo Input'!F634)*VLOOKUP(B634,AmmoTypeFactors,7,FALSE))^(0.346))^IF(B634="HEDP",2.1,1)/IF(B634="HEDP",50,1)</f>
        <v>258.000461986101</v>
      </c>
      <c r="D634" s="16">
        <f>IF(VLOOKUP(B634,AmmoTypeFactors,8,FALSE),J634,C634)*VLOOKUP('Ammo Input'!B634,AmmoTypeFactors,2,FALSE)</f>
        <v>206.400369588881</v>
      </c>
      <c r="E634" s="16">
        <f>IF(OR(VLOOKUP(B634,AmmoTypeFactors,6,FALSE)="Bomb",VLOOKUP(B634,AmmoTypeFactors,6,FALSE)="Thermobaric"),J634*VLOOKUP(B634,AmmoTypeFactors,4,FALSE),IF(VLOOKUP(B634,AmmoTypeFactors,11,FALSE),P634,C634*VLOOKUP(B634,AmmoTypeFactors,4,FALSE)))</f>
        <v>0</v>
      </c>
      <c r="F634" s="16">
        <f>'Ammo Stats'!G634/0.005</f>
        <v>241490600</v>
      </c>
      <c r="G634" s="16">
        <f>(IF(B634="HEAT",10,'Ammo Input'!F634)*VLOOKUP(B634,AmmoTypeFactors,7,FALSE)*0.5)^2*PI()/100</f>
        <v>11.0446616727766</v>
      </c>
      <c r="H634" s="10">
        <f t="shared" si="21"/>
        <v>24149.06</v>
      </c>
      <c r="I634" s="10">
        <f>IF(B634&lt;&gt;"Arrow (Flaming)",39493.49*'Ammo Input'!M634^0.6/1000,0)</f>
        <v>0</v>
      </c>
      <c r="J634">
        <f t="shared" si="22"/>
        <v>0</v>
      </c>
      <c r="K634">
        <f t="shared" si="23"/>
        <v>62</v>
      </c>
      <c r="L634">
        <f>200000/('Ammo Stats'!C634*(MAX('Ammo Input'!D634,'Ammo Input'!F634)*0.5)^2*PI())</f>
        <v>3.68443200907088</v>
      </c>
      <c r="M634">
        <f>IF(B634="Frag",1,('Ammo Input'!M634/1.33)/('Ammo Input'!H634/1000))</f>
        <v>0</v>
      </c>
      <c r="N634" t="s">
        <v>353</v>
      </c>
      <c r="O634" t="s">
        <v>353</v>
      </c>
      <c r="P634" s="3">
        <f>(39493.49*(IF((VLOOKUP(B634,AmmoTypeFactors,6,FALSE)="Bomb_Secondary"),1.33,1)*('Ammo Input'!H634*0.35)/1000)^0.6/1000)*10/3*VLOOKUP(B634,AmmoTypeFactors,4,FALSE)</f>
        <v>0</v>
      </c>
    </row>
    <row r="635" ht="14.4" spans="1:16">
      <c r="A635" t="str">
        <f>'Ammo Input'!A635</f>
        <v>75x350mmR</v>
      </c>
      <c r="B635" s="1" t="str">
        <f>'Ammo Input'!B635</f>
        <v>HE</v>
      </c>
      <c r="C635">
        <f>(0.579*('Ammo Stats'!G635*IF(OR(B635="HEAT",B635="HEDP"),10,'Ammo Input'!F635)*VLOOKUP(B635,AmmoTypeFactors,7,FALSE))^(0.346))^IF(B635="HEDP",2.1,1)/IF(B635="HEDP",50,1)</f>
        <v>273.498754354419</v>
      </c>
      <c r="D635" s="16">
        <f>IF(VLOOKUP(B635,AmmoTypeFactors,8,FALSE),J635,C635)*VLOOKUP('Ammo Input'!B635,AmmoTypeFactors,2,FALSE)</f>
        <v>104.450279512124</v>
      </c>
      <c r="E635" s="16">
        <f>IF(OR(VLOOKUP(B635,AmmoTypeFactors,6,FALSE)="Bomb",VLOOKUP(B635,AmmoTypeFactors,6,FALSE)="Thermobaric"),J635*VLOOKUP(B635,AmmoTypeFactors,4,FALSE),IF(VLOOKUP(B635,AmmoTypeFactors,11,FALSE),P635,C635*VLOOKUP(B635,AmmoTypeFactors,4,FALSE)))</f>
        <v>0</v>
      </c>
      <c r="F635" s="16">
        <f>'Ammo Stats'!G635/0.005</f>
        <v>142919800</v>
      </c>
      <c r="G635" s="16">
        <f>(IF(B635="HEAT",10,'Ammo Input'!F635)*VLOOKUP(B635,AmmoTypeFactors,7,FALSE)*0.5)^2*PI()/100</f>
        <v>44.1786466911065</v>
      </c>
      <c r="H635" s="10">
        <f t="shared" si="21"/>
        <v>14291.98</v>
      </c>
      <c r="I635" s="10">
        <f>IF(B635&lt;&gt;"Arrow (Flaming)",39493.49*'Ammo Input'!M635^0.6/1000,0)</f>
        <v>31.3350838536371</v>
      </c>
      <c r="J635">
        <f t="shared" si="22"/>
        <v>104.450279512124</v>
      </c>
      <c r="K635">
        <f t="shared" si="23"/>
        <v>52</v>
      </c>
      <c r="L635">
        <f>200000/('Ammo Stats'!C635*(MAX('Ammo Input'!D635,'Ammo Input'!F635)*0.5)^2*PI())</f>
        <v>2.88292824993067</v>
      </c>
      <c r="M635">
        <f>IF(B635="Frag",1,('Ammo Input'!M635/1.33)/('Ammo Input'!H635/1000))</f>
        <v>0.0766878949285618</v>
      </c>
      <c r="N635">
        <v>22</v>
      </c>
      <c r="O635">
        <v>13</v>
      </c>
      <c r="P635" s="3">
        <f>(39493.49*(IF((VLOOKUP(B635,AmmoTypeFactors,6,FALSE)="Bomb_Secondary"),1.33,1)*('Ammo Input'!H635*0.35)/1000)^0.6/1000)*10/3*VLOOKUP(B635,AmmoTypeFactors,4,FALSE)</f>
        <v>0</v>
      </c>
    </row>
    <row r="636" ht="14.4" spans="1:16">
      <c r="A636" t="str">
        <f>'Ammo Input'!A636</f>
        <v>75x350mmR</v>
      </c>
      <c r="B636" s="1" t="str">
        <f>'Ammo Input'!B636</f>
        <v>APCR</v>
      </c>
      <c r="C636">
        <f>(0.579*('Ammo Stats'!G636*IF(OR(B636="HEAT",B636="HEDP"),10,'Ammo Input'!F636)*VLOOKUP(B636,AmmoTypeFactors,7,FALSE))^(0.346))^IF(B636="HEDP",2.1,1)/IF(B636="HEDP",50,1)</f>
        <v>281.43526164689</v>
      </c>
      <c r="D636" s="16">
        <f>IF(VLOOKUP(B636,AmmoTypeFactors,8,FALSE),J636,C636)*VLOOKUP('Ammo Input'!B636,AmmoTypeFactors,2,FALSE)</f>
        <v>197.004683152823</v>
      </c>
      <c r="E636" s="16">
        <f>IF(OR(VLOOKUP(B636,AmmoTypeFactors,6,FALSE)="Bomb",VLOOKUP(B636,AmmoTypeFactors,6,FALSE)="Thermobaric"),J636*VLOOKUP(B636,AmmoTypeFactors,4,FALSE),IF(VLOOKUP(B636,AmmoTypeFactors,11,FALSE),P636,C636*VLOOKUP(B636,AmmoTypeFactors,4,FALSE)))</f>
        <v>0</v>
      </c>
      <c r="F636" s="16">
        <f>'Ammo Stats'!G636/0.005</f>
        <v>310475600</v>
      </c>
      <c r="G636" s="16">
        <f>(IF(B636="HEAT",10,'Ammo Input'!F636)*VLOOKUP(B636,AmmoTypeFactors,7,FALSE)*0.5)^2*PI()/100</f>
        <v>11.0446616727766</v>
      </c>
      <c r="H636" s="10">
        <f t="shared" si="21"/>
        <v>31047.56</v>
      </c>
      <c r="I636" s="10">
        <f>IF(B636&lt;&gt;"Arrow (Flaming)",39493.49*'Ammo Input'!M636^0.6/1000,0)</f>
        <v>0</v>
      </c>
      <c r="J636">
        <f t="shared" si="22"/>
        <v>0</v>
      </c>
      <c r="K636">
        <f t="shared" si="23"/>
        <v>68</v>
      </c>
      <c r="L636">
        <f>200000/('Ammo Stats'!C636*(MAX('Ammo Input'!D636,'Ammo Input'!F636)*0.5)^2*PI())</f>
        <v>3.68443200907088</v>
      </c>
      <c r="M636">
        <f>IF(B636="Frag",1,('Ammo Input'!M636/1.33)/('Ammo Input'!H636/1000))</f>
        <v>0</v>
      </c>
      <c r="N636" t="s">
        <v>353</v>
      </c>
      <c r="O636" t="s">
        <v>353</v>
      </c>
      <c r="P636" s="3">
        <f>(39493.49*(IF((VLOOKUP(B636,AmmoTypeFactors,6,FALSE)="Bomb_Secondary"),1.33,1)*('Ammo Input'!H636*0.35)/1000)^0.6/1000)*10/3*VLOOKUP(B636,AmmoTypeFactors,4,FALSE)</f>
        <v>0</v>
      </c>
    </row>
    <row r="637" ht="14.4" spans="1:16">
      <c r="A637" t="str">
        <f>'Ammo Input'!A637</f>
        <v>77x230mmR</v>
      </c>
      <c r="B637" s="1" t="str">
        <f>'Ammo Input'!B637</f>
        <v>HE</v>
      </c>
      <c r="C637">
        <f>(0.579*('Ammo Stats'!G637*IF(OR(B637="HEAT",B637="HEDP"),10,'Ammo Input'!F637)*VLOOKUP(B637,AmmoTypeFactors,7,FALSE))^(0.346))^IF(B637="HEDP",2.1,1)/IF(B637="HEDP",50,1)</f>
        <v>260.614440994709</v>
      </c>
      <c r="D637" s="16">
        <f>IF(VLOOKUP(B637,AmmoTypeFactors,8,FALSE),J637,C637)*VLOOKUP('Ammo Input'!B637,AmmoTypeFactors,2,FALSE)</f>
        <v>57.3017999433831</v>
      </c>
      <c r="E637" s="16">
        <f>IF(OR(VLOOKUP(B637,AmmoTypeFactors,6,FALSE)="Bomb",VLOOKUP(B637,AmmoTypeFactors,6,FALSE)="Thermobaric"),J637*VLOOKUP(B637,AmmoTypeFactors,4,FALSE),IF(VLOOKUP(B637,AmmoTypeFactors,11,FALSE),P637,C637*VLOOKUP(B637,AmmoTypeFactors,4,FALSE)))</f>
        <v>0</v>
      </c>
      <c r="F637" s="16">
        <f>'Ammo Stats'!G637/0.005</f>
        <v>121086000</v>
      </c>
      <c r="G637" s="16">
        <f>(IF(B637="HEAT",10,'Ammo Input'!F637)*VLOOKUP(B637,AmmoTypeFactors,7,FALSE)*0.5)^2*PI()/100</f>
        <v>46.5662571078347</v>
      </c>
      <c r="H637" s="10">
        <f t="shared" si="21"/>
        <v>12108.6</v>
      </c>
      <c r="I637" s="10">
        <f>IF(B637&lt;&gt;"Arrow (Flaming)",39493.49*'Ammo Input'!M637^0.6/1000,0)</f>
        <v>17.1905399830149</v>
      </c>
      <c r="J637">
        <f t="shared" si="22"/>
        <v>57.3017999433831</v>
      </c>
      <c r="K637">
        <f t="shared" si="23"/>
        <v>49</v>
      </c>
      <c r="L637">
        <f>200000/('Ammo Stats'!C637*(MAX('Ammo Input'!D637,'Ammo Input'!F637)*0.5)^2*PI())</f>
        <v>4.49091666855427</v>
      </c>
      <c r="M637">
        <f>IF(B637="Frag",1,('Ammo Input'!M637/1.33)/('Ammo Input'!H637/1000))</f>
        <v>0.0335660580021482</v>
      </c>
      <c r="N637">
        <v>20</v>
      </c>
      <c r="O637">
        <v>5</v>
      </c>
      <c r="P637" s="3">
        <f>(39493.49*(IF((VLOOKUP(B637,AmmoTypeFactors,6,FALSE)="Bomb_Secondary"),1.33,1)*('Ammo Input'!H637*0.35)/1000)^0.6/1000)*10/3*VLOOKUP(B637,AmmoTypeFactors,4,FALSE)</f>
        <v>0</v>
      </c>
    </row>
    <row r="638" ht="14.4" spans="1:16">
      <c r="A638" t="str">
        <f>'Ammo Input'!A638</f>
        <v>77x230mmR</v>
      </c>
      <c r="B638" s="1" t="str">
        <f>'Ammo Input'!B638</f>
        <v>EMP</v>
      </c>
      <c r="C638">
        <f>(0.579*('Ammo Stats'!G638*IF(OR(B638="HEAT",B638="HEDP"),10,'Ammo Input'!F638)*VLOOKUP(B638,AmmoTypeFactors,7,FALSE))^(0.346))^IF(B638="HEDP",2.1,1)/IF(B638="HEDP",50,1)</f>
        <v>260.614440994709</v>
      </c>
      <c r="D638" s="16">
        <f>IF(VLOOKUP(B638,AmmoTypeFactors,8,FALSE),J638,C638)*VLOOKUP('Ammo Input'!B638,AmmoTypeFactors,2,FALSE)</f>
        <v>57.3017999433831</v>
      </c>
      <c r="E638" s="16">
        <f>IF(OR(VLOOKUP(B638,AmmoTypeFactors,6,FALSE)="Bomb",VLOOKUP(B638,AmmoTypeFactors,6,FALSE)="Thermobaric"),J638*VLOOKUP(B638,AmmoTypeFactors,4,FALSE),IF(VLOOKUP(B638,AmmoTypeFactors,11,FALSE),P638,C638*VLOOKUP(B638,AmmoTypeFactors,4,FALSE)))</f>
        <v>0</v>
      </c>
      <c r="F638" s="16">
        <f>'Ammo Stats'!G638/0.005</f>
        <v>121086000</v>
      </c>
      <c r="G638" s="16">
        <f>(IF(B638="HEAT",10,'Ammo Input'!F638)*VLOOKUP(B638,AmmoTypeFactors,7,FALSE)*0.5)^2*PI()/100</f>
        <v>46.5662571078347</v>
      </c>
      <c r="H638" s="10">
        <f t="shared" si="21"/>
        <v>12108.6</v>
      </c>
      <c r="I638" s="10">
        <f>IF(B638&lt;&gt;"Arrow (Flaming)",39493.49*'Ammo Input'!M638^0.6/1000,0)</f>
        <v>17.1905399830149</v>
      </c>
      <c r="J638">
        <f t="shared" si="22"/>
        <v>57.3017999433831</v>
      </c>
      <c r="K638">
        <f t="shared" si="23"/>
        <v>49</v>
      </c>
      <c r="L638">
        <f>200000/('Ammo Stats'!C638*(MAX('Ammo Input'!D638,'Ammo Input'!F638)*0.5)^2*PI())</f>
        <v>4.49091666855427</v>
      </c>
      <c r="M638">
        <f>IF(B638="Frag",1,('Ammo Input'!M638/1.33)/('Ammo Input'!H638/1000))</f>
        <v>0.0335660580021482</v>
      </c>
      <c r="N638" t="s">
        <v>353</v>
      </c>
      <c r="O638" t="s">
        <v>353</v>
      </c>
      <c r="P638" s="3">
        <f>(39493.49*(IF((VLOOKUP(B638,AmmoTypeFactors,6,FALSE)="Bomb_Secondary"),1.33,1)*('Ammo Input'!H638*0.35)/1000)^0.6/1000)*10/3*VLOOKUP(B638,AmmoTypeFactors,4,FALSE)</f>
        <v>0</v>
      </c>
    </row>
    <row r="639" ht="14.4" spans="1:16">
      <c r="A639" t="str">
        <f>'Ammo Input'!A639</f>
        <v>76.2x385mmR Cannon</v>
      </c>
      <c r="B639" s="1" t="str">
        <f>'Ammo Input'!B639</f>
        <v>HEAT</v>
      </c>
      <c r="C639">
        <f>(0.579*('Ammo Stats'!G639*IF(OR(B639="HEAT",B639="HEDP"),10,'Ammo Input'!F639)*VLOOKUP(B639,AmmoTypeFactors,7,FALSE))^(0.346))^IF(B639="HEDP",2.1,1)/IF(B639="HEDP",50,1)</f>
        <v>264.395897961691</v>
      </c>
      <c r="D639" s="16">
        <f>IF(VLOOKUP(B639,AmmoTypeFactors,8,FALSE),J639,C639)*VLOOKUP('Ammo Input'!B639,AmmoTypeFactors,2,FALSE)</f>
        <v>264.395897961691</v>
      </c>
      <c r="E639" s="16">
        <f>IF(OR(VLOOKUP(B639,AmmoTypeFactors,6,FALSE)="Bomb",VLOOKUP(B639,AmmoTypeFactors,6,FALSE)="Thermobaric"),J639*VLOOKUP(B639,AmmoTypeFactors,4,FALSE),IF(VLOOKUP(B639,AmmoTypeFactors,11,FALSE),P639,C639*VLOOKUP(B639,AmmoTypeFactors,4,FALSE)))</f>
        <v>0</v>
      </c>
      <c r="F639" s="16">
        <f>'Ammo Stats'!G639/0.005</f>
        <v>972000000</v>
      </c>
      <c r="G639" s="16">
        <f>(IF(B639="HEAT",10,'Ammo Input'!F639)*VLOOKUP(B639,AmmoTypeFactors,7,FALSE)*0.5)^2*PI()/100</f>
        <v>0.785398163397448</v>
      </c>
      <c r="H639" s="10">
        <f t="shared" si="21"/>
        <v>97200</v>
      </c>
      <c r="I639" s="10">
        <f>IF(B639&lt;&gt;"Arrow (Flaming)",39493.49*'Ammo Input'!M639^0.6/1000,0)</f>
        <v>32.9658702862415</v>
      </c>
      <c r="J639">
        <f t="shared" si="22"/>
        <v>109.886234287472</v>
      </c>
      <c r="K639">
        <f t="shared" si="23"/>
        <v>99</v>
      </c>
      <c r="L639">
        <f>200000/('Ammo Stats'!C639*(MAX('Ammo Input'!D639,'Ammo Input'!F639)*0.5)^2*PI())</f>
        <v>4.10193152298699</v>
      </c>
      <c r="M639">
        <f>IF(B639="Frag",1,('Ammo Input'!M639/1.33)/('Ammo Input'!H639/1000))</f>
        <v>0.0897404802328402</v>
      </c>
      <c r="N639">
        <v>11</v>
      </c>
      <c r="O639">
        <v>7</v>
      </c>
      <c r="P639" s="3">
        <f>(39493.49*(IF((VLOOKUP(B639,AmmoTypeFactors,6,FALSE)="Bomb_Secondary"),1.33,1)*('Ammo Input'!H639*0.35)/1000)^0.6/1000)*10/3*VLOOKUP(B639,AmmoTypeFactors,4,FALSE)</f>
        <v>0</v>
      </c>
    </row>
    <row r="640" ht="14.4" spans="1:16">
      <c r="A640" t="str">
        <f>'Ammo Input'!A640</f>
        <v>76.2x385mmR Cannon</v>
      </c>
      <c r="B640" s="1" t="str">
        <f>'Ammo Input'!B640</f>
        <v>AP</v>
      </c>
      <c r="C640">
        <f>(0.579*('Ammo Stats'!G640*IF(OR(B640="HEAT",B640="HEDP"),10,'Ammo Input'!F640)*VLOOKUP(B640,AmmoTypeFactors,7,FALSE))^(0.346))^IF(B640="HEDP",2.1,1)/IF(B640="HEDP",50,1)</f>
        <v>275.287136899719</v>
      </c>
      <c r="D640" s="16">
        <f>IF(VLOOKUP(B640,AmmoTypeFactors,8,FALSE),J640,C640)*VLOOKUP('Ammo Input'!B640,AmmoTypeFactors,2,FALSE)</f>
        <v>220.229709519776</v>
      </c>
      <c r="E640" s="16">
        <f>IF(OR(VLOOKUP(B640,AmmoTypeFactors,6,FALSE)="Bomb",VLOOKUP(B640,AmmoTypeFactors,6,FALSE)="Thermobaric"),J640*VLOOKUP(B640,AmmoTypeFactors,4,FALSE),IF(VLOOKUP(B640,AmmoTypeFactors,11,FALSE),P640,C640*VLOOKUP(B640,AmmoTypeFactors,4,FALSE)))</f>
        <v>0</v>
      </c>
      <c r="F640" s="16">
        <f>'Ammo Stats'!G640/0.005</f>
        <v>286688000</v>
      </c>
      <c r="G640" s="16">
        <f>(IF(B640="HEAT",10,'Ammo Input'!F640)*VLOOKUP(B640,AmmoTypeFactors,7,FALSE)*0.5)^2*PI()/100</f>
        <v>11.4009182796937</v>
      </c>
      <c r="H640" s="10">
        <f t="shared" si="21"/>
        <v>28668.8</v>
      </c>
      <c r="I640" s="10">
        <f>IF(B640&lt;&gt;"Arrow (Flaming)",39493.49*'Ammo Input'!M640^0.6/1000,0)</f>
        <v>0</v>
      </c>
      <c r="J640">
        <f t="shared" si="22"/>
        <v>0</v>
      </c>
      <c r="K640">
        <f t="shared" si="23"/>
        <v>66</v>
      </c>
      <c r="L640">
        <f>200000/('Ammo Stats'!C640*(MAX('Ammo Input'!D640,'Ammo Input'!F640)*0.5)^2*PI())</f>
        <v>4.10193152298699</v>
      </c>
      <c r="M640">
        <f>IF(B640="Frag",1,('Ammo Input'!M640/1.33)/('Ammo Input'!H640/1000))</f>
        <v>0</v>
      </c>
      <c r="N640" t="s">
        <v>353</v>
      </c>
      <c r="O640" t="s">
        <v>353</v>
      </c>
      <c r="P640" s="3">
        <f>(39493.49*(IF((VLOOKUP(B640,AmmoTypeFactors,6,FALSE)="Bomb_Secondary"),1.33,1)*('Ammo Input'!H640*0.35)/1000)^0.6/1000)*10/3*VLOOKUP(B640,AmmoTypeFactors,4,FALSE)</f>
        <v>0</v>
      </c>
    </row>
    <row r="641" ht="14.4" spans="1:16">
      <c r="A641" t="str">
        <f>'Ammo Input'!A641</f>
        <v>76.2x385mmR Cannon</v>
      </c>
      <c r="B641" s="1" t="str">
        <f>'Ammo Input'!B641</f>
        <v>HE</v>
      </c>
      <c r="C641">
        <f>(0.579*('Ammo Stats'!G641*IF(OR(B641="HEAT",B641="HEDP"),10,'Ammo Input'!F641)*VLOOKUP(B641,AmmoTypeFactors,7,FALSE))^(0.346))^IF(B641="HEDP",2.1,1)/IF(B641="HEDP",50,1)</f>
        <v>349.898674657771</v>
      </c>
      <c r="D641" s="16">
        <f>IF(VLOOKUP(B641,AmmoTypeFactors,8,FALSE),J641,C641)*VLOOKUP('Ammo Input'!B641,AmmoTypeFactors,2,FALSE)</f>
        <v>98.9143312195969</v>
      </c>
      <c r="E641" s="16">
        <f>IF(OR(VLOOKUP(B641,AmmoTypeFactors,6,FALSE)="Bomb",VLOOKUP(B641,AmmoTypeFactors,6,FALSE)="Thermobaric"),J641*VLOOKUP(B641,AmmoTypeFactors,4,FALSE),IF(VLOOKUP(B641,AmmoTypeFactors,11,FALSE),P641,C641*VLOOKUP(B641,AmmoTypeFactors,4,FALSE)))</f>
        <v>0</v>
      </c>
      <c r="F641" s="16">
        <f>'Ammo Stats'!G641/0.005</f>
        <v>286688000</v>
      </c>
      <c r="G641" s="16">
        <f>(IF(B641="HEAT",10,'Ammo Input'!F641)*VLOOKUP(B641,AmmoTypeFactors,7,FALSE)*0.5)^2*PI()/100</f>
        <v>45.6036731187748</v>
      </c>
      <c r="H641" s="10">
        <f t="shared" si="21"/>
        <v>28668.8</v>
      </c>
      <c r="I641" s="10">
        <f>IF(B641&lt;&gt;"Arrow (Flaming)",39493.49*'Ammo Input'!M641^0.6/1000,0)</f>
        <v>29.6742993658791</v>
      </c>
      <c r="J641">
        <f t="shared" si="22"/>
        <v>98.9143312195969</v>
      </c>
      <c r="K641">
        <f t="shared" si="23"/>
        <v>66</v>
      </c>
      <c r="L641">
        <f>200000/('Ammo Stats'!C641*(MAX('Ammo Input'!D641,'Ammo Input'!F641)*0.5)^2*PI())</f>
        <v>4.10193152298699</v>
      </c>
      <c r="M641">
        <f>IF(B641="Frag",1,('Ammo Input'!M641/1.33)/('Ammo Input'!H641/1000))</f>
        <v>0.0753092408440456</v>
      </c>
      <c r="N641">
        <v>21</v>
      </c>
      <c r="O641">
        <v>12</v>
      </c>
      <c r="P641" s="3">
        <f>(39493.49*(IF((VLOOKUP(B641,AmmoTypeFactors,6,FALSE)="Bomb_Secondary"),1.33,1)*('Ammo Input'!H641*0.35)/1000)^0.6/1000)*10/3*VLOOKUP(B641,AmmoTypeFactors,4,FALSE)</f>
        <v>0</v>
      </c>
    </row>
    <row r="642" ht="14.4" spans="1:16">
      <c r="A642" t="str">
        <f>'Ammo Input'!A642</f>
        <v>76.2x385mmR Cannon</v>
      </c>
      <c r="B642" s="1" t="str">
        <f>'Ammo Input'!B642</f>
        <v>APCR</v>
      </c>
      <c r="C642">
        <f>(0.579*('Ammo Stats'!G642*IF(OR(B642="HEAT",B642="HEDP"),10,'Ammo Input'!F642)*VLOOKUP(B642,AmmoTypeFactors,7,FALSE))^(0.346))^IF(B642="HEDP",2.1,1)/IF(B642="HEDP",50,1)</f>
        <v>300.21243312231</v>
      </c>
      <c r="D642" s="16">
        <f>IF(VLOOKUP(B642,AmmoTypeFactors,8,FALSE),J642,C642)*VLOOKUP('Ammo Input'!B642,AmmoTypeFactors,2,FALSE)</f>
        <v>210.148703185617</v>
      </c>
      <c r="E642" s="16">
        <f>IF(OR(VLOOKUP(B642,AmmoTypeFactors,6,FALSE)="Bomb",VLOOKUP(B642,AmmoTypeFactors,6,FALSE)="Thermobaric"),J642*VLOOKUP(B642,AmmoTypeFactors,4,FALSE),IF(VLOOKUP(B642,AmmoTypeFactors,11,FALSE),P642,C642*VLOOKUP(B642,AmmoTypeFactors,4,FALSE)))</f>
        <v>0</v>
      </c>
      <c r="F642" s="16">
        <f>'Ammo Stats'!G642/0.005</f>
        <v>368301600</v>
      </c>
      <c r="G642" s="16">
        <f>(IF(B642="HEAT",10,'Ammo Input'!F642)*VLOOKUP(B642,AmmoTypeFactors,7,FALSE)*0.5)^2*PI()/100</f>
        <v>11.4009182796937</v>
      </c>
      <c r="H642" s="10">
        <f t="shared" si="21"/>
        <v>36830.16</v>
      </c>
      <c r="I642" s="10">
        <f>IF(B642&lt;&gt;"Arrow (Flaming)",39493.49*'Ammo Input'!M642^0.6/1000,0)</f>
        <v>0</v>
      </c>
      <c r="J642">
        <f t="shared" si="22"/>
        <v>0</v>
      </c>
      <c r="K642">
        <f t="shared" si="23"/>
        <v>72</v>
      </c>
      <c r="L642">
        <f>200000/('Ammo Stats'!C642*(MAX('Ammo Input'!D642,'Ammo Input'!F642)*0.5)^2*PI())</f>
        <v>4.10193152298699</v>
      </c>
      <c r="M642">
        <f>IF(B642="Frag",1,('Ammo Input'!M642/1.33)/('Ammo Input'!H642/1000))</f>
        <v>0</v>
      </c>
      <c r="N642" t="s">
        <v>353</v>
      </c>
      <c r="O642" t="s">
        <v>353</v>
      </c>
      <c r="P642" s="3">
        <f>(39493.49*(IF((VLOOKUP(B642,AmmoTypeFactors,6,FALSE)="Bomb_Secondary"),1.33,1)*('Ammo Input'!H642*0.35)/1000)^0.6/1000)*10/3*VLOOKUP(B642,AmmoTypeFactors,4,FALSE)</f>
        <v>0</v>
      </c>
    </row>
    <row r="643" ht="14.4" spans="1:16">
      <c r="A643" t="str">
        <f>'Ammo Input'!A643</f>
        <v>76.2x385mmR Cannon</v>
      </c>
      <c r="B643" s="1" t="str">
        <f>'Ammo Input'!B643</f>
        <v>EMP</v>
      </c>
      <c r="C643">
        <f>(0.579*('Ammo Stats'!G643*IF(OR(B643="HEAT",B643="HEDP"),10,'Ammo Input'!F643)*VLOOKUP(B643,AmmoTypeFactors,7,FALSE))^(0.346))^IF(B643="HEDP",2.1,1)/IF(B643="HEDP",50,1)</f>
        <v>349.898674657771</v>
      </c>
      <c r="D643" s="16">
        <f>IF(VLOOKUP(B643,AmmoTypeFactors,8,FALSE),J643,C643)*VLOOKUP('Ammo Input'!B643,AmmoTypeFactors,2,FALSE)</f>
        <v>98.9143312195969</v>
      </c>
      <c r="E643" s="16">
        <f>IF(OR(VLOOKUP(B643,AmmoTypeFactors,6,FALSE)="Bomb",VLOOKUP(B643,AmmoTypeFactors,6,FALSE)="Thermobaric"),J643*VLOOKUP(B643,AmmoTypeFactors,4,FALSE),IF(VLOOKUP(B643,AmmoTypeFactors,11,FALSE),P643,C643*VLOOKUP(B643,AmmoTypeFactors,4,FALSE)))</f>
        <v>0</v>
      </c>
      <c r="F643" s="16">
        <f>'Ammo Stats'!G643/0.005</f>
        <v>286688000</v>
      </c>
      <c r="G643" s="16">
        <f>(IF(B643="HEAT",10,'Ammo Input'!F643)*VLOOKUP(B643,AmmoTypeFactors,7,FALSE)*0.5)^2*PI()/100</f>
        <v>45.6036731187748</v>
      </c>
      <c r="H643" s="10">
        <f t="shared" si="21"/>
        <v>28668.8</v>
      </c>
      <c r="I643" s="10">
        <f>IF(B643&lt;&gt;"Arrow (Flaming)",39493.49*'Ammo Input'!M643^0.6/1000,0)</f>
        <v>29.6742993658791</v>
      </c>
      <c r="J643">
        <f t="shared" si="22"/>
        <v>98.9143312195969</v>
      </c>
      <c r="K643">
        <f t="shared" si="23"/>
        <v>66</v>
      </c>
      <c r="L643">
        <f>200000/('Ammo Stats'!C643*(MAX('Ammo Input'!D643,'Ammo Input'!F643)*0.5)^2*PI())</f>
        <v>4.10193152298699</v>
      </c>
      <c r="M643">
        <f>IF(B643="Frag",1,('Ammo Input'!M643/1.33)/('Ammo Input'!H643/1000))</f>
        <v>0.0753092408440456</v>
      </c>
      <c r="N643" t="s">
        <v>353</v>
      </c>
      <c r="O643" t="s">
        <v>353</v>
      </c>
      <c r="P643" s="3">
        <f>(39493.49*(IF((VLOOKUP(B643,AmmoTypeFactors,6,FALSE)="Bomb_Secondary"),1.33,1)*('Ammo Input'!H643*0.35)/1000)^0.6/1000)*10/3*VLOOKUP(B643,AmmoTypeFactors,4,FALSE)</f>
        <v>0</v>
      </c>
    </row>
    <row r="644" ht="14.4" spans="1:16">
      <c r="A644" t="str">
        <f>'Ammo Input'!A644</f>
        <v>76.2x539mmR</v>
      </c>
      <c r="B644" s="1" t="str">
        <f>'Ammo Input'!B644</f>
        <v>AP</v>
      </c>
      <c r="C644">
        <f>(0.579*('Ammo Stats'!G644*IF(OR(B644="HEAT",B644="HEDP"),10,'Ammo Input'!F644)*VLOOKUP(B644,AmmoTypeFactors,7,FALSE))^(0.346))^IF(B644="HEDP",2.1,1)/IF(B644="HEDP",50,1)</f>
        <v>323.541128867714</v>
      </c>
      <c r="D644" s="16">
        <f>IF(VLOOKUP(B644,AmmoTypeFactors,8,FALSE),J644,C644)*VLOOKUP('Ammo Input'!B644,AmmoTypeFactors,2,FALSE)</f>
        <v>258.832903094171</v>
      </c>
      <c r="E644" s="16">
        <f>IF(OR(VLOOKUP(B644,AmmoTypeFactors,6,FALSE)="Bomb",VLOOKUP(B644,AmmoTypeFactors,6,FALSE)="Thermobaric"),J644*VLOOKUP(B644,AmmoTypeFactors,4,FALSE),IF(VLOOKUP(B644,AmmoTypeFactors,11,FALSE),P644,C644*VLOOKUP(B644,AmmoTypeFactors,4,FALSE)))</f>
        <v>0</v>
      </c>
      <c r="F644" s="16">
        <f>'Ammo Stats'!G644/0.005</f>
        <v>457232000</v>
      </c>
      <c r="G644" s="16">
        <f>(IF(B644="HEAT",10,'Ammo Input'!F644)*VLOOKUP(B644,AmmoTypeFactors,7,FALSE)*0.5)^2*PI()/100</f>
        <v>11.4009182796937</v>
      </c>
      <c r="H644" s="10">
        <f t="shared" si="21"/>
        <v>45723.2</v>
      </c>
      <c r="I644" s="10">
        <f>IF(B644&lt;&gt;"Arrow (Flaming)",39493.49*'Ammo Input'!M644^0.6/1000,0)</f>
        <v>0</v>
      </c>
      <c r="J644">
        <f t="shared" si="22"/>
        <v>0</v>
      </c>
      <c r="K644">
        <f t="shared" si="23"/>
        <v>77</v>
      </c>
      <c r="L644">
        <f>200000/('Ammo Stats'!C644*(MAX('Ammo Input'!D644,'Ammo Input'!F644)*0.5)^2*PI())</f>
        <v>2.67902350971092</v>
      </c>
      <c r="M644">
        <f>IF(B644="Frag",1,('Ammo Input'!M644/1.33)/('Ammo Input'!H644/1000))</f>
        <v>0</v>
      </c>
      <c r="N644" t="s">
        <v>353</v>
      </c>
      <c r="O644" t="s">
        <v>353</v>
      </c>
      <c r="P644" s="3">
        <f>(39493.49*(IF((VLOOKUP(B644,AmmoTypeFactors,6,FALSE)="Bomb_Secondary"),1.33,1)*('Ammo Input'!H644*0.35)/1000)^0.6/1000)*10/3*VLOOKUP(B644,AmmoTypeFactors,4,FALSE)</f>
        <v>0</v>
      </c>
    </row>
    <row r="645" ht="14.4" spans="1:16">
      <c r="A645" t="str">
        <f>'Ammo Input'!A645</f>
        <v>76.2x539mmR</v>
      </c>
      <c r="B645" s="1" t="str">
        <f>'Ammo Input'!B645</f>
        <v>HE</v>
      </c>
      <c r="C645">
        <f>(0.579*('Ammo Stats'!G645*IF(OR(B645="HEAT",B645="HEDP"),10,'Ammo Input'!F645)*VLOOKUP(B645,AmmoTypeFactors,7,FALSE))^(0.346))^IF(B645="HEDP",2.1,1)/IF(B645="HEDP",50,1)</f>
        <v>411.231027584593</v>
      </c>
      <c r="D645" s="16">
        <f>IF(VLOOKUP(B645,AmmoTypeFactors,8,FALSE),J645,C645)*VLOOKUP('Ammo Input'!B645,AmmoTypeFactors,2,FALSE)</f>
        <v>74.8243621098607</v>
      </c>
      <c r="E645" s="16">
        <f>IF(OR(VLOOKUP(B645,AmmoTypeFactors,6,FALSE)="Bomb",VLOOKUP(B645,AmmoTypeFactors,6,FALSE)="Thermobaric"),J645*VLOOKUP(B645,AmmoTypeFactors,4,FALSE),IF(VLOOKUP(B645,AmmoTypeFactors,11,FALSE),P645,C645*VLOOKUP(B645,AmmoTypeFactors,4,FALSE)))</f>
        <v>0</v>
      </c>
      <c r="F645" s="16">
        <f>'Ammo Stats'!G645/0.005</f>
        <v>457232000</v>
      </c>
      <c r="G645" s="16">
        <f>(IF(B645="HEAT",10,'Ammo Input'!F645)*VLOOKUP(B645,AmmoTypeFactors,7,FALSE)*0.5)^2*PI()/100</f>
        <v>45.6036731187748</v>
      </c>
      <c r="H645" s="10">
        <f t="shared" si="21"/>
        <v>45723.2</v>
      </c>
      <c r="I645" s="10">
        <f>IF(B645&lt;&gt;"Arrow (Flaming)",39493.49*'Ammo Input'!M645^0.6/1000,0)</f>
        <v>22.4473086329582</v>
      </c>
      <c r="J645">
        <f t="shared" si="22"/>
        <v>74.8243621098607</v>
      </c>
      <c r="K645">
        <f t="shared" si="23"/>
        <v>77</v>
      </c>
      <c r="L645">
        <f>200000/('Ammo Stats'!C645*(MAX('Ammo Input'!D645,'Ammo Input'!F645)*0.5)^2*PI())</f>
        <v>2.67902350971092</v>
      </c>
      <c r="M645">
        <f>IF(B645="Frag",1,('Ammo Input'!M645/1.33)/('Ammo Input'!H645/1000))</f>
        <v>0.0431225121627598</v>
      </c>
      <c r="N645">
        <v>24</v>
      </c>
      <c r="O645">
        <v>8</v>
      </c>
      <c r="P645" s="3">
        <f>(39493.49*(IF((VLOOKUP(B645,AmmoTypeFactors,6,FALSE)="Bomb_Secondary"),1.33,1)*('Ammo Input'!H645*0.35)/1000)^0.6/1000)*10/3*VLOOKUP(B645,AmmoTypeFactors,4,FALSE)</f>
        <v>0</v>
      </c>
    </row>
    <row r="646" ht="14.4" spans="1:16">
      <c r="A646" t="str">
        <f>'Ammo Input'!A646</f>
        <v>76.2x539mmR</v>
      </c>
      <c r="B646" s="1" t="str">
        <f>'Ammo Input'!B646</f>
        <v>APCR</v>
      </c>
      <c r="C646">
        <f>(0.579*('Ammo Stats'!G646*IF(OR(B646="HEAT",B646="HEDP"),10,'Ammo Input'!F646)*VLOOKUP(B646,AmmoTypeFactors,7,FALSE))^(0.346))^IF(B646="HEDP",2.1,1)/IF(B646="HEDP",50,1)</f>
        <v>352.911528122478</v>
      </c>
      <c r="D646" s="16">
        <f>IF(VLOOKUP(B646,AmmoTypeFactors,8,FALSE),J646,C646)*VLOOKUP('Ammo Input'!B646,AmmoTypeFactors,2,FALSE)</f>
        <v>247.038069685734</v>
      </c>
      <c r="E646" s="16">
        <f>IF(OR(VLOOKUP(B646,AmmoTypeFactors,6,FALSE)="Bomb",VLOOKUP(B646,AmmoTypeFactors,6,FALSE)="Thermobaric"),J646*VLOOKUP(B646,AmmoTypeFactors,4,FALSE),IF(VLOOKUP(B646,AmmoTypeFactors,11,FALSE),P646,C646*VLOOKUP(B646,AmmoTypeFactors,4,FALSE)))</f>
        <v>0</v>
      </c>
      <c r="F646" s="16">
        <f>'Ammo Stats'!G646/0.005</f>
        <v>587761600</v>
      </c>
      <c r="G646" s="16">
        <f>(IF(B646="HEAT",10,'Ammo Input'!F646)*VLOOKUP(B646,AmmoTypeFactors,7,FALSE)*0.5)^2*PI()/100</f>
        <v>11.4009182796937</v>
      </c>
      <c r="H646" s="10">
        <f t="shared" si="21"/>
        <v>58776.16</v>
      </c>
      <c r="I646" s="10">
        <f>IF(B646&lt;&gt;"Arrow (Flaming)",39493.49*'Ammo Input'!M646^0.6/1000,0)</f>
        <v>0</v>
      </c>
      <c r="J646">
        <f t="shared" si="22"/>
        <v>0</v>
      </c>
      <c r="K646">
        <f t="shared" si="23"/>
        <v>84</v>
      </c>
      <c r="L646">
        <f>200000/('Ammo Stats'!C646*(MAX('Ammo Input'!D646,'Ammo Input'!F646)*0.5)^2*PI())</f>
        <v>2.67902350971092</v>
      </c>
      <c r="M646">
        <f>IF(B646="Frag",1,('Ammo Input'!M646/1.33)/('Ammo Input'!H646/1000))</f>
        <v>0</v>
      </c>
      <c r="N646" t="s">
        <v>353</v>
      </c>
      <c r="O646" t="s">
        <v>353</v>
      </c>
      <c r="P646" s="3">
        <f>(39493.49*(IF((VLOOKUP(B646,AmmoTypeFactors,6,FALSE)="Bomb_Secondary"),1.33,1)*('Ammo Input'!H646*0.35)/1000)^0.6/1000)*10/3*VLOOKUP(B646,AmmoTypeFactors,4,FALSE)</f>
        <v>0</v>
      </c>
    </row>
    <row r="647" ht="14.4" spans="1:16">
      <c r="A647" t="str">
        <f>'Ammo Input'!A647</f>
        <v>81mm Mortar</v>
      </c>
      <c r="B647" s="1" t="str">
        <f>'Ammo Input'!B647</f>
        <v>HE</v>
      </c>
      <c r="C647">
        <f>(0.579*('Ammo Stats'!G647*IF(OR(B647="HEAT",B647="HEDP"),10,'Ammo Input'!F647)*VLOOKUP(B647,AmmoTypeFactors,7,FALSE))^(0.346))^IF(B647="HEDP",2.1,1)/IF(B647="HEDP",50,1)</f>
        <v>0</v>
      </c>
      <c r="D647" s="16">
        <f>IF(VLOOKUP(B647,AmmoTypeFactors,8,FALSE),J647,C647)*VLOOKUP('Ammo Input'!B647,AmmoTypeFactors,2,FALSE)</f>
        <v>156.212305992325</v>
      </c>
      <c r="E647" s="16">
        <f>IF(OR(VLOOKUP(B647,AmmoTypeFactors,6,FALSE)="Bomb",VLOOKUP(B647,AmmoTypeFactors,6,FALSE)="Thermobaric"),J647*VLOOKUP(B647,AmmoTypeFactors,4,FALSE),IF(VLOOKUP(B647,AmmoTypeFactors,11,FALSE),P647,C647*VLOOKUP(B647,AmmoTypeFactors,4,FALSE)))</f>
        <v>0</v>
      </c>
      <c r="F647" s="16">
        <f>'Ammo Stats'!G647/0.005</f>
        <v>0</v>
      </c>
      <c r="G647" s="16">
        <f>(IF(B647="HEAT",10,'Ammo Input'!F647)*VLOOKUP(B647,AmmoTypeFactors,7,FALSE)*0.5)^2*PI()/100</f>
        <v>51.5299735005066</v>
      </c>
      <c r="H647" s="10">
        <f t="shared" si="21"/>
        <v>0</v>
      </c>
      <c r="I647" s="10">
        <f>IF(B647&lt;&gt;"Arrow (Flaming)",39493.49*'Ammo Input'!M647^0.6/1000,0)</f>
        <v>46.8636917976976</v>
      </c>
      <c r="J647">
        <f t="shared" si="22"/>
        <v>156.212305992325</v>
      </c>
      <c r="K647">
        <f t="shared" si="23"/>
        <v>0</v>
      </c>
      <c r="L647">
        <f>200000/('Ammo Stats'!C647*(MAX('Ammo Input'!D647,'Ammo Input'!F647)*0.5)^2*PI())</f>
        <v>4.75059513883236</v>
      </c>
      <c r="M647">
        <f>IF(B647="Frag",1,('Ammo Input'!M647/1.33)/('Ammo Input'!H647/1000))</f>
        <v>0.189753320683112</v>
      </c>
      <c r="N647">
        <v>16</v>
      </c>
      <c r="O647">
        <v>25</v>
      </c>
      <c r="P647" s="3">
        <f>(39493.49*(IF((VLOOKUP(B647,AmmoTypeFactors,6,FALSE)="Bomb_Secondary"),1.33,1)*('Ammo Input'!H647*0.35)/1000)^0.6/1000)*10/3*VLOOKUP(B647,AmmoTypeFactors,4,FALSE)</f>
        <v>0</v>
      </c>
    </row>
    <row r="648" ht="14.4" spans="1:16">
      <c r="A648" t="str">
        <f>'Ammo Input'!A648</f>
        <v>81mm Mortar</v>
      </c>
      <c r="B648" s="1" t="str">
        <f>'Ammo Input'!B648</f>
        <v>Airburst</v>
      </c>
      <c r="C648">
        <f>(0.579*('Ammo Stats'!G648*IF(OR(B648="HEAT",B648="HEDP"),10,'Ammo Input'!F648)*VLOOKUP(B648,AmmoTypeFactors,7,FALSE))^(0.346))^IF(B648="HEDP",2.1,1)/IF(B648="HEDP",50,1)</f>
        <v>0</v>
      </c>
      <c r="D648" s="16">
        <f>IF(VLOOKUP(B648,AmmoTypeFactors,8,FALSE),J648,C648)*VLOOKUP('Ammo Input'!B648,AmmoTypeFactors,2,FALSE)</f>
        <v>156.212305992325</v>
      </c>
      <c r="E648" s="16">
        <f>IF(OR(VLOOKUP(B648,AmmoTypeFactors,6,FALSE)="Bomb",VLOOKUP(B648,AmmoTypeFactors,6,FALSE)="Thermobaric"),J648*VLOOKUP(B648,AmmoTypeFactors,4,FALSE),IF(VLOOKUP(B648,AmmoTypeFactors,11,FALSE),P648,C648*VLOOKUP(B648,AmmoTypeFactors,4,FALSE)))</f>
        <v>0</v>
      </c>
      <c r="F648" s="16">
        <f>'Ammo Stats'!G648/0.005</f>
        <v>0</v>
      </c>
      <c r="G648" s="16">
        <f>(IF(B648="HEAT",10,'Ammo Input'!F648)*VLOOKUP(B648,AmmoTypeFactors,7,FALSE)*0.5)^2*PI()/100</f>
        <v>51.5299735005066</v>
      </c>
      <c r="H648" s="10">
        <f t="shared" si="21"/>
        <v>0</v>
      </c>
      <c r="I648" s="10">
        <f>IF(B648&lt;&gt;"Arrow (Flaming)",39493.49*'Ammo Input'!M648^0.6/1000,0)</f>
        <v>46.8636917976976</v>
      </c>
      <c r="J648">
        <f t="shared" si="22"/>
        <v>156.212305992325</v>
      </c>
      <c r="K648">
        <f t="shared" si="23"/>
        <v>0</v>
      </c>
      <c r="L648">
        <f>200000/('Ammo Stats'!C648*(MAX('Ammo Input'!D648,'Ammo Input'!F648)*0.5)^2*PI())</f>
        <v>4.75059513883236</v>
      </c>
      <c r="M648">
        <f>IF(B648="Frag",1,('Ammo Input'!M648/1.33)/('Ammo Input'!H648/1000))</f>
        <v>0.189753320683112</v>
      </c>
      <c r="N648">
        <v>23</v>
      </c>
      <c r="O648">
        <v>38</v>
      </c>
      <c r="P648" s="3">
        <f>(39493.49*(IF((VLOOKUP(B648,AmmoTypeFactors,6,FALSE)="Bomb_Secondary"),1.33,1)*('Ammo Input'!H648*0.35)/1000)^0.6/1000)*10/3*VLOOKUP(B648,AmmoTypeFactors,4,FALSE)</f>
        <v>0</v>
      </c>
    </row>
    <row r="649" ht="14.4" spans="1:16">
      <c r="A649" t="str">
        <f>'Ammo Input'!A649</f>
        <v>81mm Mortar</v>
      </c>
      <c r="B649" s="1" t="str">
        <f>'Ammo Input'!B649</f>
        <v>Incendiary</v>
      </c>
      <c r="C649">
        <f>(0.579*('Ammo Stats'!G649*IF(OR(B649="HEAT",B649="HEDP"),10,'Ammo Input'!F649)*VLOOKUP(B649,AmmoTypeFactors,7,FALSE))^(0.346))^IF(B649="HEDP",2.1,1)/IF(B649="HEDP",50,1)</f>
        <v>0</v>
      </c>
      <c r="D649" s="16">
        <f>IF(VLOOKUP(B649,AmmoTypeFactors,8,FALSE),J649,C649)*VLOOKUP('Ammo Input'!B649,AmmoTypeFactors,2,FALSE)</f>
        <v>10.628282339428</v>
      </c>
      <c r="E649" s="16">
        <f>IF(OR(VLOOKUP(B649,AmmoTypeFactors,6,FALSE)="Bomb",VLOOKUP(B649,AmmoTypeFactors,6,FALSE)="Thermobaric"),J649*VLOOKUP(B649,AmmoTypeFactors,4,FALSE),IF(VLOOKUP(B649,AmmoTypeFactors,11,FALSE),P649,C649*VLOOKUP(B649,AmmoTypeFactors,4,FALSE)))</f>
        <v>0</v>
      </c>
      <c r="F649" s="16">
        <f>'Ammo Stats'!G649/0.005</f>
        <v>0</v>
      </c>
      <c r="G649" s="16">
        <f>(IF(B649="HEAT",10,'Ammo Input'!F649)*VLOOKUP(B649,AmmoTypeFactors,7,FALSE)*0.5)^2*PI()/100</f>
        <v>51.5299735005066</v>
      </c>
      <c r="H649" s="10">
        <f t="shared" si="21"/>
        <v>0</v>
      </c>
      <c r="I649" s="10">
        <f>IF(B649&lt;&gt;"Arrow (Flaming)",39493.49*'Ammo Input'!M649^0.6/1000,0)</f>
        <v>31.8848470182841</v>
      </c>
      <c r="J649">
        <f t="shared" si="22"/>
        <v>106.28282339428</v>
      </c>
      <c r="K649">
        <f t="shared" si="23"/>
        <v>0</v>
      </c>
      <c r="L649">
        <f>200000/('Ammo Stats'!C649*(MAX('Ammo Input'!D649,'Ammo Input'!F649)*0.5)^2*PI())</f>
        <v>4.31248469825116</v>
      </c>
      <c r="M649">
        <f>IF(B649="Frag",1,('Ammo Input'!M649/1.33)/('Ammo Input'!H649/1000))</f>
        <v>0.0931532370749883</v>
      </c>
      <c r="N649" t="s">
        <v>353</v>
      </c>
      <c r="O649" t="s">
        <v>353</v>
      </c>
      <c r="P649" s="3">
        <f>(39493.49*(IF((VLOOKUP(B649,AmmoTypeFactors,6,FALSE)="Bomb_Secondary"),1.33,1)*('Ammo Input'!H649*0.35)/1000)^0.6/1000)*10/3*VLOOKUP(B649,AmmoTypeFactors,4,FALSE)</f>
        <v>0</v>
      </c>
    </row>
    <row r="650" ht="14.4" spans="1:16">
      <c r="A650" t="str">
        <f>'Ammo Input'!A650</f>
        <v>81mm Mortar</v>
      </c>
      <c r="B650" s="1" t="str">
        <f>'Ammo Input'!B650</f>
        <v>EMP</v>
      </c>
      <c r="C650">
        <f>(0.579*('Ammo Stats'!G650*IF(OR(B650="HEAT",B650="HEDP"),10,'Ammo Input'!F650)*VLOOKUP(B650,AmmoTypeFactors,7,FALSE))^(0.346))^IF(B650="HEDP",2.1,1)/IF(B650="HEDP",50,1)</f>
        <v>0</v>
      </c>
      <c r="D650" s="16">
        <f>IF(VLOOKUP(B650,AmmoTypeFactors,8,FALSE),J650,C650)*VLOOKUP('Ammo Input'!B650,AmmoTypeFactors,2,FALSE)</f>
        <v>156.212305992325</v>
      </c>
      <c r="E650" s="16">
        <f>IF(OR(VLOOKUP(B650,AmmoTypeFactors,6,FALSE)="Bomb",VLOOKUP(B650,AmmoTypeFactors,6,FALSE)="Thermobaric"),J650*VLOOKUP(B650,AmmoTypeFactors,4,FALSE),IF(VLOOKUP(B650,AmmoTypeFactors,11,FALSE),P650,C650*VLOOKUP(B650,AmmoTypeFactors,4,FALSE)))</f>
        <v>0</v>
      </c>
      <c r="F650" s="16">
        <f>'Ammo Stats'!G650/0.005</f>
        <v>0</v>
      </c>
      <c r="G650" s="16">
        <f>(IF(B650="HEAT",10,'Ammo Input'!F650)*VLOOKUP(B650,AmmoTypeFactors,7,FALSE)*0.5)^2*PI()/100</f>
        <v>51.5299735005066</v>
      </c>
      <c r="H650" s="10">
        <f t="shared" si="21"/>
        <v>0</v>
      </c>
      <c r="I650" s="10">
        <f>IF(B650&lt;&gt;"Arrow (Flaming)",39493.49*'Ammo Input'!M650^0.6/1000,0)</f>
        <v>46.8636917976976</v>
      </c>
      <c r="J650">
        <f t="shared" si="22"/>
        <v>156.212305992325</v>
      </c>
      <c r="K650">
        <f t="shared" si="23"/>
        <v>0</v>
      </c>
      <c r="L650">
        <f>200000/('Ammo Stats'!C650*(MAX('Ammo Input'!D650,'Ammo Input'!F650)*0.5)^2*PI())</f>
        <v>4.75059513883236</v>
      </c>
      <c r="M650">
        <f>IF(B650="Frag",1,('Ammo Input'!M650/1.33)/('Ammo Input'!H650/1000))</f>
        <v>0.189753320683112</v>
      </c>
      <c r="N650" t="s">
        <v>353</v>
      </c>
      <c r="O650" t="s">
        <v>353</v>
      </c>
      <c r="P650" s="3">
        <f>(39493.49*(IF((VLOOKUP(B650,AmmoTypeFactors,6,FALSE)="Bomb_Secondary"),1.33,1)*('Ammo Input'!H650*0.35)/1000)^0.6/1000)*10/3*VLOOKUP(B650,AmmoTypeFactors,4,FALSE)</f>
        <v>0</v>
      </c>
    </row>
    <row r="651" ht="14.4" spans="1:16">
      <c r="A651" t="str">
        <f>'Ammo Input'!A651</f>
        <v>81mm Mortar</v>
      </c>
      <c r="B651" s="1" t="str">
        <f>'Ammo Input'!B651</f>
        <v>Foam</v>
      </c>
      <c r="C651">
        <f>(0.579*('Ammo Stats'!G651*IF(OR(B651="HEAT",B651="HEDP"),10,'Ammo Input'!F651)*VLOOKUP(B651,AmmoTypeFactors,7,FALSE))^(0.346))^IF(B651="HEDP",2.1,1)/IF(B651="HEDP",50,1)</f>
        <v>0</v>
      </c>
      <c r="D651" s="16">
        <f>IF(VLOOKUP(B651,AmmoTypeFactors,8,FALSE),J651,C651)*VLOOKUP('Ammo Input'!B651,AmmoTypeFactors,2,FALSE)</f>
        <v>131.644966666667</v>
      </c>
      <c r="E651" s="16">
        <f>IF(OR(VLOOKUP(B651,AmmoTypeFactors,6,FALSE)="Bomb",VLOOKUP(B651,AmmoTypeFactors,6,FALSE)="Thermobaric"),J651*VLOOKUP(B651,AmmoTypeFactors,4,FALSE),IF(VLOOKUP(B651,AmmoTypeFactors,11,FALSE),P651,C651*VLOOKUP(B651,AmmoTypeFactors,4,FALSE)))</f>
        <v>0</v>
      </c>
      <c r="F651" s="16">
        <f>'Ammo Stats'!G651/0.005</f>
        <v>0</v>
      </c>
      <c r="G651" s="16">
        <f>(IF(B651="HEAT",10,'Ammo Input'!F651)*VLOOKUP(B651,AmmoTypeFactors,7,FALSE)*0.5)^2*PI()/100</f>
        <v>51.5299735005066</v>
      </c>
      <c r="H651" s="10">
        <f t="shared" si="21"/>
        <v>0</v>
      </c>
      <c r="I651" s="10">
        <f>IF(B651&lt;&gt;"Arrow (Flaming)",39493.49*'Ammo Input'!M651^0.6/1000,0)</f>
        <v>39.49349</v>
      </c>
      <c r="J651">
        <f t="shared" si="22"/>
        <v>131.644966666667</v>
      </c>
      <c r="K651">
        <f t="shared" si="23"/>
        <v>0</v>
      </c>
      <c r="L651">
        <f>200000/('Ammo Stats'!C651*(MAX('Ammo Input'!D651,'Ammo Input'!F651)*0.5)^2*PI())</f>
        <v>3.87735886955648</v>
      </c>
      <c r="M651">
        <f>IF(B651="Frag",1,('Ammo Input'!M651/1.33)/('Ammo Input'!H651/1000))</f>
        <v>0.183385292499542</v>
      </c>
      <c r="N651" t="s">
        <v>353</v>
      </c>
      <c r="O651" t="s">
        <v>353</v>
      </c>
      <c r="P651" s="3">
        <f>(39493.49*(IF((VLOOKUP(B651,AmmoTypeFactors,6,FALSE)="Bomb_Secondary"),1.33,1)*('Ammo Input'!H651*0.35)/1000)^0.6/1000)*10/3*VLOOKUP(B651,AmmoTypeFactors,4,FALSE)</f>
        <v>0</v>
      </c>
    </row>
    <row r="652" ht="14.4" spans="1:16">
      <c r="A652" t="str">
        <f>'Ammo Input'!A652</f>
        <v>81mm Mortar</v>
      </c>
      <c r="B652" s="1" t="str">
        <f>'Ammo Input'!B652</f>
        <v>Smoke</v>
      </c>
      <c r="C652">
        <f>(0.579*('Ammo Stats'!G652*IF(OR(B652="HEAT",B652="HEDP"),10,'Ammo Input'!F652)*VLOOKUP(B652,AmmoTypeFactors,7,FALSE))^(0.346))^IF(B652="HEDP",2.1,1)/IF(B652="HEDP",50,1)</f>
        <v>0</v>
      </c>
      <c r="D652" s="16">
        <f>IF(VLOOKUP(B652,AmmoTypeFactors,8,FALSE),J652,C652)*VLOOKUP('Ammo Input'!B652,AmmoTypeFactors,2,FALSE)</f>
        <v>131.644966666667</v>
      </c>
      <c r="E652" s="16">
        <f>IF(OR(VLOOKUP(B652,AmmoTypeFactors,6,FALSE)="Bomb",VLOOKUP(B652,AmmoTypeFactors,6,FALSE)="Thermobaric"),J652*VLOOKUP(B652,AmmoTypeFactors,4,FALSE),IF(VLOOKUP(B652,AmmoTypeFactors,11,FALSE),P652,C652*VLOOKUP(B652,AmmoTypeFactors,4,FALSE)))</f>
        <v>0</v>
      </c>
      <c r="F652" s="16">
        <f>'Ammo Stats'!G652/0.005</f>
        <v>0</v>
      </c>
      <c r="G652" s="16">
        <f>(IF(B652="HEAT",10,'Ammo Input'!F652)*VLOOKUP(B652,AmmoTypeFactors,7,FALSE)*0.5)^2*PI()/100</f>
        <v>51.5299735005066</v>
      </c>
      <c r="H652" s="10">
        <f t="shared" si="21"/>
        <v>0</v>
      </c>
      <c r="I652" s="10">
        <f>IF(B652&lt;&gt;"Arrow (Flaming)",39493.49*'Ammo Input'!M652^0.6/1000,0)</f>
        <v>39.49349</v>
      </c>
      <c r="J652">
        <f t="shared" si="22"/>
        <v>131.644966666667</v>
      </c>
      <c r="K652">
        <f t="shared" si="23"/>
        <v>0</v>
      </c>
      <c r="L652">
        <f>200000/('Ammo Stats'!C652*(MAX('Ammo Input'!D652,'Ammo Input'!F652)*0.5)^2*PI())</f>
        <v>3.87735886955648</v>
      </c>
      <c r="M652">
        <f>IF(B652="Frag",1,('Ammo Input'!M652/1.33)/('Ammo Input'!H652/1000))</f>
        <v>0.183385292499542</v>
      </c>
      <c r="N652" t="s">
        <v>353</v>
      </c>
      <c r="O652" t="s">
        <v>353</v>
      </c>
      <c r="P652" s="3">
        <f>(39493.49*(IF((VLOOKUP(B652,AmmoTypeFactors,6,FALSE)="Bomb_Secondary"),1.33,1)*('Ammo Input'!H652*0.35)/1000)^0.6/1000)*10/3*VLOOKUP(B652,AmmoTypeFactors,4,FALSE)</f>
        <v>0</v>
      </c>
    </row>
    <row r="653" ht="14.4" spans="1:16">
      <c r="A653" t="str">
        <f>'Ammo Input'!A653</f>
        <v>60mm Mortar</v>
      </c>
      <c r="B653" s="1" t="str">
        <f>'Ammo Input'!B653</f>
        <v>HE</v>
      </c>
      <c r="C653">
        <f>(0.579*('Ammo Stats'!G653*IF(OR(B653="HEAT",B653="HEDP"),10,'Ammo Input'!F653)*VLOOKUP(B653,AmmoTypeFactors,7,FALSE))^(0.346))^IF(B653="HEDP",2.1,1)/IF(B653="HEDP",50,1)</f>
        <v>0</v>
      </c>
      <c r="D653" s="16">
        <f>IF(VLOOKUP(B653,AmmoTypeFactors,8,FALSE),J653,C653)*VLOOKUP('Ammo Input'!B653,AmmoTypeFactors,2,FALSE)</f>
        <v>75.9696724092633</v>
      </c>
      <c r="E653" s="16">
        <f>IF(OR(VLOOKUP(B653,AmmoTypeFactors,6,FALSE)="Bomb",VLOOKUP(B653,AmmoTypeFactors,6,FALSE)="Thermobaric"),J653*VLOOKUP(B653,AmmoTypeFactors,4,FALSE),IF(VLOOKUP(B653,AmmoTypeFactors,11,FALSE),P653,C653*VLOOKUP(B653,AmmoTypeFactors,4,FALSE)))</f>
        <v>0</v>
      </c>
      <c r="F653" s="16">
        <f>'Ammo Stats'!G653/0.005</f>
        <v>0</v>
      </c>
      <c r="G653" s="16">
        <f>(IF(B653="HEAT",10,'Ammo Input'!F653)*VLOOKUP(B653,AmmoTypeFactors,7,FALSE)*0.5)^2*PI()/100</f>
        <v>28.2743338823081</v>
      </c>
      <c r="H653" s="10">
        <f t="shared" si="21"/>
        <v>0</v>
      </c>
      <c r="I653" s="10">
        <f>IF(B653&lt;&gt;"Arrow (Flaming)",39493.49*'Ammo Input'!M653^0.6/1000,0)</f>
        <v>22.790901722779</v>
      </c>
      <c r="J653">
        <f t="shared" si="22"/>
        <v>75.9696724092633</v>
      </c>
      <c r="K653">
        <f t="shared" si="23"/>
        <v>0</v>
      </c>
      <c r="L653">
        <f>200000/('Ammo Stats'!C653*(MAX('Ammo Input'!D653,'Ammo Input'!F653)*0.5)^2*PI())</f>
        <v>20.7435572618958</v>
      </c>
      <c r="M653">
        <f>IF(B653="Frag",1,('Ammo Input'!M653/1.33)/('Ammo Input'!H653/1000))</f>
        <v>0.152665928781344</v>
      </c>
      <c r="N653">
        <v>6</v>
      </c>
      <c r="O653">
        <v>8</v>
      </c>
      <c r="P653" s="3">
        <f>(39493.49*(IF((VLOOKUP(B653,AmmoTypeFactors,6,FALSE)="Bomb_Secondary"),1.33,1)*('Ammo Input'!H653*0.35)/1000)^0.6/1000)*10/3*VLOOKUP(B653,AmmoTypeFactors,4,FALSE)</f>
        <v>0</v>
      </c>
    </row>
    <row r="654" ht="14.4" spans="1:16">
      <c r="A654" t="str">
        <f>'Ammo Input'!A654</f>
        <v>60mm Mortar</v>
      </c>
      <c r="B654" s="1" t="str">
        <f>'Ammo Input'!B654</f>
        <v>Incendiary</v>
      </c>
      <c r="C654">
        <f>(0.579*('Ammo Stats'!G654*IF(OR(B654="HEAT",B654="HEDP"),10,'Ammo Input'!F654)*VLOOKUP(B654,AmmoTypeFactors,7,FALSE))^(0.346))^IF(B654="HEDP",2.1,1)/IF(B654="HEDP",50,1)</f>
        <v>0</v>
      </c>
      <c r="D654" s="16">
        <f>IF(VLOOKUP(B654,AmmoTypeFactors,8,FALSE),J654,C654)*VLOOKUP('Ammo Input'!B654,AmmoTypeFactors,2,FALSE)</f>
        <v>6.13336877241925</v>
      </c>
      <c r="E654" s="16">
        <f>IF(OR(VLOOKUP(B654,AmmoTypeFactors,6,FALSE)="Bomb",VLOOKUP(B654,AmmoTypeFactors,6,FALSE)="Thermobaric"),J654*VLOOKUP(B654,AmmoTypeFactors,4,FALSE),IF(VLOOKUP(B654,AmmoTypeFactors,11,FALSE),P654,C654*VLOOKUP(B654,AmmoTypeFactors,4,FALSE)))</f>
        <v>0</v>
      </c>
      <c r="F654" s="16">
        <f>'Ammo Stats'!G654/0.005</f>
        <v>0</v>
      </c>
      <c r="G654" s="16">
        <f>(IF(B654="HEAT",10,'Ammo Input'!F654)*VLOOKUP(B654,AmmoTypeFactors,7,FALSE)*0.5)^2*PI()/100</f>
        <v>28.2743338823081</v>
      </c>
      <c r="H654" s="10">
        <f t="shared" si="21"/>
        <v>0</v>
      </c>
      <c r="I654" s="10">
        <f>IF(B654&lt;&gt;"Arrow (Flaming)",39493.49*'Ammo Input'!M654^0.6/1000,0)</f>
        <v>18.4001063172577</v>
      </c>
      <c r="J654">
        <f t="shared" si="22"/>
        <v>61.3336877241925</v>
      </c>
      <c r="K654">
        <f t="shared" si="23"/>
        <v>0</v>
      </c>
      <c r="L654">
        <f>200000/('Ammo Stats'!C654*(MAX('Ammo Input'!D654,'Ammo Input'!F654)*0.5)^2*PI())</f>
        <v>20.7435572618958</v>
      </c>
      <c r="M654">
        <f>IF(B654="Frag",1,('Ammo Input'!M654/1.33)/('Ammo Input'!H654/1000))</f>
        <v>0.106866150146941</v>
      </c>
      <c r="N654" t="s">
        <v>353</v>
      </c>
      <c r="O654" t="s">
        <v>353</v>
      </c>
      <c r="P654" s="3">
        <f>(39493.49*(IF((VLOOKUP(B654,AmmoTypeFactors,6,FALSE)="Bomb_Secondary"),1.33,1)*('Ammo Input'!H654*0.35)/1000)^0.6/1000)*10/3*VLOOKUP(B654,AmmoTypeFactors,4,FALSE)</f>
        <v>0</v>
      </c>
    </row>
    <row r="655" ht="14.4" spans="1:16">
      <c r="A655" t="str">
        <f>'Ammo Input'!A655</f>
        <v>60mm Mortar</v>
      </c>
      <c r="B655" s="1" t="str">
        <f>'Ammo Input'!B655</f>
        <v>EMP</v>
      </c>
      <c r="C655">
        <f>(0.579*('Ammo Stats'!G655*IF(OR(B655="HEAT",B655="HEDP"),10,'Ammo Input'!F655)*VLOOKUP(B655,AmmoTypeFactors,7,FALSE))^(0.346))^IF(B655="HEDP",2.1,1)/IF(B655="HEDP",50,1)</f>
        <v>0</v>
      </c>
      <c r="D655" s="16">
        <f>IF(VLOOKUP(B655,AmmoTypeFactors,8,FALSE),J655,C655)*VLOOKUP('Ammo Input'!B655,AmmoTypeFactors,2,FALSE)</f>
        <v>75.9696724092633</v>
      </c>
      <c r="E655" s="16">
        <f>IF(OR(VLOOKUP(B655,AmmoTypeFactors,6,FALSE)="Bomb",VLOOKUP(B655,AmmoTypeFactors,6,FALSE)="Thermobaric"),J655*VLOOKUP(B655,AmmoTypeFactors,4,FALSE),IF(VLOOKUP(B655,AmmoTypeFactors,11,FALSE),P655,C655*VLOOKUP(B655,AmmoTypeFactors,4,FALSE)))</f>
        <v>0</v>
      </c>
      <c r="F655" s="16">
        <f>'Ammo Stats'!G655/0.005</f>
        <v>0</v>
      </c>
      <c r="G655" s="16">
        <f>(IF(B655="HEAT",10,'Ammo Input'!F655)*VLOOKUP(B655,AmmoTypeFactors,7,FALSE)*0.5)^2*PI()/100</f>
        <v>28.2743338823081</v>
      </c>
      <c r="H655" s="10">
        <f t="shared" si="21"/>
        <v>0</v>
      </c>
      <c r="I655" s="10">
        <f>IF(B655&lt;&gt;"Arrow (Flaming)",39493.49*'Ammo Input'!M655^0.6/1000,0)</f>
        <v>22.790901722779</v>
      </c>
      <c r="J655">
        <f t="shared" si="22"/>
        <v>75.9696724092633</v>
      </c>
      <c r="K655">
        <f t="shared" si="23"/>
        <v>0</v>
      </c>
      <c r="L655">
        <f>200000/('Ammo Stats'!C655*(MAX('Ammo Input'!D655,'Ammo Input'!F655)*0.5)^2*PI())</f>
        <v>20.7435572618958</v>
      </c>
      <c r="M655">
        <f>IF(B655="Frag",1,('Ammo Input'!M655/1.33)/('Ammo Input'!H655/1000))</f>
        <v>0.152665928781344</v>
      </c>
      <c r="N655" t="s">
        <v>353</v>
      </c>
      <c r="O655" t="s">
        <v>353</v>
      </c>
      <c r="P655" s="3">
        <f>(39493.49*(IF((VLOOKUP(B655,AmmoTypeFactors,6,FALSE)="Bomb_Secondary"),1.33,1)*('Ammo Input'!H655*0.35)/1000)^0.6/1000)*10/3*VLOOKUP(B655,AmmoTypeFactors,4,FALSE)</f>
        <v>0</v>
      </c>
    </row>
    <row r="656" ht="14.4" spans="1:16">
      <c r="A656" t="str">
        <f>'Ammo Input'!A656</f>
        <v>60mm Mortar</v>
      </c>
      <c r="B656" s="1" t="str">
        <f>'Ammo Input'!B656</f>
        <v>Foam</v>
      </c>
      <c r="C656">
        <f>(0.579*('Ammo Stats'!G656*IF(OR(B656="HEAT",B656="HEDP"),10,'Ammo Input'!F656)*VLOOKUP(B656,AmmoTypeFactors,7,FALSE))^(0.346))^IF(B656="HEDP",2.1,1)/IF(B656="HEDP",50,1)</f>
        <v>0</v>
      </c>
      <c r="D656" s="16">
        <f>IF(VLOOKUP(B656,AmmoTypeFactors,8,FALSE),J656,C656)*VLOOKUP('Ammo Input'!B656,AmmoTypeFactors,2,FALSE)</f>
        <v>75.9696724092633</v>
      </c>
      <c r="E656" s="16">
        <f>IF(OR(VLOOKUP(B656,AmmoTypeFactors,6,FALSE)="Bomb",VLOOKUP(B656,AmmoTypeFactors,6,FALSE)="Thermobaric"),J656*VLOOKUP(B656,AmmoTypeFactors,4,FALSE),IF(VLOOKUP(B656,AmmoTypeFactors,11,FALSE),P656,C656*VLOOKUP(B656,AmmoTypeFactors,4,FALSE)))</f>
        <v>0</v>
      </c>
      <c r="F656" s="16">
        <f>'Ammo Stats'!G656/0.005</f>
        <v>0</v>
      </c>
      <c r="G656" s="16">
        <f>(IF(B656="HEAT",10,'Ammo Input'!F656)*VLOOKUP(B656,AmmoTypeFactors,7,FALSE)*0.5)^2*PI()/100</f>
        <v>28.2743338823081</v>
      </c>
      <c r="H656" s="10">
        <f t="shared" si="21"/>
        <v>0</v>
      </c>
      <c r="I656" s="10">
        <f>IF(B656&lt;&gt;"Arrow (Flaming)",39493.49*'Ammo Input'!M656^0.6/1000,0)</f>
        <v>22.790901722779</v>
      </c>
      <c r="J656">
        <f t="shared" si="22"/>
        <v>75.9696724092633</v>
      </c>
      <c r="K656">
        <f t="shared" si="23"/>
        <v>0</v>
      </c>
      <c r="L656">
        <f>200000/('Ammo Stats'!C656*(MAX('Ammo Input'!D656,'Ammo Input'!F656)*0.5)^2*PI())</f>
        <v>20.7435572618958</v>
      </c>
      <c r="M656">
        <f>IF(B656="Frag",1,('Ammo Input'!M656/1.33)/('Ammo Input'!H656/1000))</f>
        <v>0.152665928781344</v>
      </c>
      <c r="N656" t="s">
        <v>353</v>
      </c>
      <c r="O656" t="s">
        <v>353</v>
      </c>
      <c r="P656" s="3">
        <f>(39493.49*(IF((VLOOKUP(B656,AmmoTypeFactors,6,FALSE)="Bomb_Secondary"),1.33,1)*('Ammo Input'!H656*0.35)/1000)^0.6/1000)*10/3*VLOOKUP(B656,AmmoTypeFactors,4,FALSE)</f>
        <v>0</v>
      </c>
    </row>
    <row r="657" ht="14.4" spans="1:16">
      <c r="A657" t="str">
        <f>'Ammo Input'!A657</f>
        <v>60mm Mortar</v>
      </c>
      <c r="B657" s="1" t="str">
        <f>'Ammo Input'!B657</f>
        <v>Smoke</v>
      </c>
      <c r="C657">
        <f>(0.579*('Ammo Stats'!G657*IF(OR(B657="HEAT",B657="HEDP"),10,'Ammo Input'!F657)*VLOOKUP(B657,AmmoTypeFactors,7,FALSE))^(0.346))^IF(B657="HEDP",2.1,1)/IF(B657="HEDP",50,1)</f>
        <v>0</v>
      </c>
      <c r="D657" s="16">
        <f>IF(VLOOKUP(B657,AmmoTypeFactors,8,FALSE),J657,C657)*VLOOKUP('Ammo Input'!B657,AmmoTypeFactors,2,FALSE)</f>
        <v>75.9696724092633</v>
      </c>
      <c r="E657" s="16">
        <f>IF(OR(VLOOKUP(B657,AmmoTypeFactors,6,FALSE)="Bomb",VLOOKUP(B657,AmmoTypeFactors,6,FALSE)="Thermobaric"),J657*VLOOKUP(B657,AmmoTypeFactors,4,FALSE),IF(VLOOKUP(B657,AmmoTypeFactors,11,FALSE),P657,C657*VLOOKUP(B657,AmmoTypeFactors,4,FALSE)))</f>
        <v>0</v>
      </c>
      <c r="F657" s="16">
        <f>'Ammo Stats'!G657/0.005</f>
        <v>0</v>
      </c>
      <c r="G657" s="16">
        <f>(IF(B657="HEAT",10,'Ammo Input'!F657)*VLOOKUP(B657,AmmoTypeFactors,7,FALSE)*0.5)^2*PI()/100</f>
        <v>28.2743338823081</v>
      </c>
      <c r="H657" s="10">
        <f t="shared" si="21"/>
        <v>0</v>
      </c>
      <c r="I657" s="10">
        <f>IF(B657&lt;&gt;"Arrow (Flaming)",39493.49*'Ammo Input'!M657^0.6/1000,0)</f>
        <v>22.790901722779</v>
      </c>
      <c r="J657">
        <f t="shared" si="22"/>
        <v>75.9696724092633</v>
      </c>
      <c r="K657">
        <f t="shared" si="23"/>
        <v>0</v>
      </c>
      <c r="L657">
        <f>200000/('Ammo Stats'!C657*(MAX('Ammo Input'!D657,'Ammo Input'!F657)*0.5)^2*PI())</f>
        <v>20.7435572618958</v>
      </c>
      <c r="M657">
        <f>IF(B657="Frag",1,('Ammo Input'!M657/1.33)/('Ammo Input'!H657/1000))</f>
        <v>0.152665928781344</v>
      </c>
      <c r="N657" t="s">
        <v>353</v>
      </c>
      <c r="O657" t="s">
        <v>353</v>
      </c>
      <c r="P657" s="3">
        <f>(39493.49*(IF((VLOOKUP(B657,AmmoTypeFactors,6,FALSE)="Bomb_Secondary"),1.33,1)*('Ammo Input'!H657*0.35)/1000)^0.6/1000)*10/3*VLOOKUP(B657,AmmoTypeFactors,4,FALSE)</f>
        <v>0</v>
      </c>
    </row>
    <row r="658" ht="14.4" spans="1:16">
      <c r="A658" t="str">
        <f>'Ammo Input'!A658</f>
        <v>50mm Type 89</v>
      </c>
      <c r="B658" s="1" t="str">
        <f>'Ammo Input'!B658</f>
        <v>HE</v>
      </c>
      <c r="C658">
        <f>(0.579*('Ammo Stats'!G658*IF(OR(B658="HEAT",B658="HEDP"),10,'Ammo Input'!F658)*VLOOKUP(B658,AmmoTypeFactors,7,FALSE))^(0.346))^IF(B658="HEDP",2.1,1)/IF(B658="HEDP",50,1)</f>
        <v>0</v>
      </c>
      <c r="D658" s="16">
        <f>IF(VLOOKUP(B658,AmmoTypeFactors,8,FALSE),J658,C658)*VLOOKUP('Ammo Input'!B658,AmmoTypeFactors,2,FALSE)</f>
        <v>42.1753809752516</v>
      </c>
      <c r="E658" s="16">
        <f>IF(OR(VLOOKUP(B658,AmmoTypeFactors,6,FALSE)="Bomb",VLOOKUP(B658,AmmoTypeFactors,6,FALSE)="Thermobaric"),J658*VLOOKUP(B658,AmmoTypeFactors,4,FALSE),IF(VLOOKUP(B658,AmmoTypeFactors,11,FALSE),P658,C658*VLOOKUP(B658,AmmoTypeFactors,4,FALSE)))</f>
        <v>0</v>
      </c>
      <c r="F658" s="16">
        <f>'Ammo Stats'!G658/0.005</f>
        <v>0</v>
      </c>
      <c r="G658" s="16">
        <f>(IF(B658="HEAT",10,'Ammo Input'!F658)*VLOOKUP(B658,AmmoTypeFactors,7,FALSE)*0.5)^2*PI()/100</f>
        <v>19.6349540849362</v>
      </c>
      <c r="H658" s="10">
        <f t="shared" si="21"/>
        <v>0</v>
      </c>
      <c r="I658" s="10">
        <f>IF(B658&lt;&gt;"Arrow (Flaming)",39493.49*'Ammo Input'!M658^0.6/1000,0)</f>
        <v>12.6526142925755</v>
      </c>
      <c r="J658">
        <f t="shared" si="22"/>
        <v>42.1753809752516</v>
      </c>
      <c r="K658">
        <f t="shared" si="23"/>
        <v>0</v>
      </c>
      <c r="L658">
        <f>200000/('Ammo Stats'!C658*(MAX('Ammo Input'!D658,'Ammo Input'!F658)*0.5)^2*PI())</f>
        <v>117.079498366452</v>
      </c>
      <c r="M658">
        <f>IF(B658="Frag",1,('Ammo Input'!M658/1.33)/('Ammo Input'!H658/1000))</f>
        <v>0.12531328320802</v>
      </c>
      <c r="N658">
        <v>3</v>
      </c>
      <c r="O658">
        <v>3</v>
      </c>
      <c r="P658" s="3">
        <f>(39493.49*(IF((VLOOKUP(B658,AmmoTypeFactors,6,FALSE)="Bomb_Secondary"),1.33,1)*('Ammo Input'!H658*0.35)/1000)^0.6/1000)*10/3*VLOOKUP(B658,AmmoTypeFactors,4,FALSE)</f>
        <v>0</v>
      </c>
    </row>
    <row r="659" ht="14.4" spans="1:16">
      <c r="A659" t="str">
        <f>'Ammo Input'!A659</f>
        <v>50mm Type 89</v>
      </c>
      <c r="B659" s="1" t="str">
        <f>'Ammo Input'!B659</f>
        <v>Incendiary</v>
      </c>
      <c r="C659">
        <f>(0.579*('Ammo Stats'!G659*IF(OR(B659="HEAT",B659="HEDP"),10,'Ammo Input'!F659)*VLOOKUP(B659,AmmoTypeFactors,7,FALSE))^(0.346))^IF(B659="HEDP",2.1,1)/IF(B659="HEDP",50,1)</f>
        <v>0</v>
      </c>
      <c r="D659" s="16">
        <f>IF(VLOOKUP(B659,AmmoTypeFactors,8,FALSE),J659,C659)*VLOOKUP('Ammo Input'!B659,AmmoTypeFactors,2,FALSE)</f>
        <v>5.59153443625069</v>
      </c>
      <c r="E659" s="16">
        <f>IF(OR(VLOOKUP(B659,AmmoTypeFactors,6,FALSE)="Bomb",VLOOKUP(B659,AmmoTypeFactors,6,FALSE)="Thermobaric"),J659*VLOOKUP(B659,AmmoTypeFactors,4,FALSE),IF(VLOOKUP(B659,AmmoTypeFactors,11,FALSE),P659,C659*VLOOKUP(B659,AmmoTypeFactors,4,FALSE)))</f>
        <v>0</v>
      </c>
      <c r="F659" s="16">
        <f>'Ammo Stats'!G659/0.005</f>
        <v>0</v>
      </c>
      <c r="G659" s="16">
        <f>(IF(B659="HEAT",10,'Ammo Input'!F659)*VLOOKUP(B659,AmmoTypeFactors,7,FALSE)*0.5)^2*PI()/100</f>
        <v>19.6349540849362</v>
      </c>
      <c r="H659" s="10">
        <f t="shared" si="21"/>
        <v>0</v>
      </c>
      <c r="I659" s="10">
        <f>IF(B659&lt;&gt;"Arrow (Flaming)",39493.49*'Ammo Input'!M659^0.6/1000,0)</f>
        <v>16.7746033087521</v>
      </c>
      <c r="J659">
        <f t="shared" si="22"/>
        <v>55.9153443625069</v>
      </c>
      <c r="K659">
        <f t="shared" si="23"/>
        <v>0</v>
      </c>
      <c r="L659">
        <f>200000/('Ammo Stats'!C659*(MAX('Ammo Input'!D659,'Ammo Input'!F659)*0.5)^2*PI())</f>
        <v>117.079498366452</v>
      </c>
      <c r="M659">
        <f>IF(B659="Frag",1,('Ammo Input'!M659/1.33)/('Ammo Input'!H659/1000))</f>
        <v>0.200501253132832</v>
      </c>
      <c r="N659" t="s">
        <v>353</v>
      </c>
      <c r="O659" t="s">
        <v>353</v>
      </c>
      <c r="P659" s="3">
        <f>(39493.49*(IF((VLOOKUP(B659,AmmoTypeFactors,6,FALSE)="Bomb_Secondary"),1.33,1)*('Ammo Input'!H659*0.35)/1000)^0.6/1000)*10/3*VLOOKUP(B659,AmmoTypeFactors,4,FALSE)</f>
        <v>0</v>
      </c>
    </row>
    <row r="660" ht="14.4" spans="1:16">
      <c r="A660" t="str">
        <f>'Ammo Input'!A660</f>
        <v>50mm Type 89</v>
      </c>
      <c r="B660" s="1" t="str">
        <f>'Ammo Input'!B660</f>
        <v>EMP</v>
      </c>
      <c r="C660">
        <f>(0.579*('Ammo Stats'!G660*IF(OR(B660="HEAT",B660="HEDP"),10,'Ammo Input'!F660)*VLOOKUP(B660,AmmoTypeFactors,7,FALSE))^(0.346))^IF(B660="HEDP",2.1,1)/IF(B660="HEDP",50,1)</f>
        <v>0</v>
      </c>
      <c r="D660" s="16">
        <f>IF(VLOOKUP(B660,AmmoTypeFactors,8,FALSE),J660,C660)*VLOOKUP('Ammo Input'!B660,AmmoTypeFactors,2,FALSE)</f>
        <v>42.1753809752516</v>
      </c>
      <c r="E660" s="16">
        <f>IF(OR(VLOOKUP(B660,AmmoTypeFactors,6,FALSE)="Bomb",VLOOKUP(B660,AmmoTypeFactors,6,FALSE)="Thermobaric"),J660*VLOOKUP(B660,AmmoTypeFactors,4,FALSE),IF(VLOOKUP(B660,AmmoTypeFactors,11,FALSE),P660,C660*VLOOKUP(B660,AmmoTypeFactors,4,FALSE)))</f>
        <v>0</v>
      </c>
      <c r="F660" s="16">
        <f>'Ammo Stats'!G660/0.005</f>
        <v>0</v>
      </c>
      <c r="G660" s="16">
        <f>(IF(B660="HEAT",10,'Ammo Input'!F660)*VLOOKUP(B660,AmmoTypeFactors,7,FALSE)*0.5)^2*PI()/100</f>
        <v>19.6349540849362</v>
      </c>
      <c r="H660" s="10">
        <f t="shared" si="21"/>
        <v>0</v>
      </c>
      <c r="I660" s="10">
        <f>IF(B660&lt;&gt;"Arrow (Flaming)",39493.49*'Ammo Input'!M660^0.6/1000,0)</f>
        <v>12.6526142925755</v>
      </c>
      <c r="J660">
        <f t="shared" si="22"/>
        <v>42.1753809752516</v>
      </c>
      <c r="K660">
        <f t="shared" si="23"/>
        <v>0</v>
      </c>
      <c r="L660">
        <f>200000/('Ammo Stats'!C660*(MAX('Ammo Input'!D660,'Ammo Input'!F660)*0.5)^2*PI())</f>
        <v>117.079498366452</v>
      </c>
      <c r="M660">
        <f>IF(B660="Frag",1,('Ammo Input'!M660/1.33)/('Ammo Input'!H660/1000))</f>
        <v>0.12531328320802</v>
      </c>
      <c r="N660" t="s">
        <v>353</v>
      </c>
      <c r="O660" t="s">
        <v>353</v>
      </c>
      <c r="P660" s="3">
        <f>(39493.49*(IF((VLOOKUP(B660,AmmoTypeFactors,6,FALSE)="Bomb_Secondary"),1.33,1)*('Ammo Input'!H660*0.35)/1000)^0.6/1000)*10/3*VLOOKUP(B660,AmmoTypeFactors,4,FALSE)</f>
        <v>0</v>
      </c>
    </row>
    <row r="661" ht="14.4" spans="1:16">
      <c r="A661" t="str">
        <f>'Ammo Input'!A661</f>
        <v>50mm Type 89</v>
      </c>
      <c r="B661" s="1" t="str">
        <f>'Ammo Input'!B661</f>
        <v>Smoke</v>
      </c>
      <c r="C661">
        <f>(0.579*('Ammo Stats'!G661*IF(OR(B661="HEAT",B661="HEDP"),10,'Ammo Input'!F661)*VLOOKUP(B661,AmmoTypeFactors,7,FALSE))^(0.346))^IF(B661="HEDP",2.1,1)/IF(B661="HEDP",50,1)</f>
        <v>0</v>
      </c>
      <c r="D661" s="16">
        <f>IF(VLOOKUP(B661,AmmoTypeFactors,8,FALSE),J661,C661)*VLOOKUP('Ammo Input'!B661,AmmoTypeFactors,2,FALSE)</f>
        <v>42.1753809752516</v>
      </c>
      <c r="E661" s="16">
        <f>IF(OR(VLOOKUP(B661,AmmoTypeFactors,6,FALSE)="Bomb",VLOOKUP(B661,AmmoTypeFactors,6,FALSE)="Thermobaric"),J661*VLOOKUP(B661,AmmoTypeFactors,4,FALSE),IF(VLOOKUP(B661,AmmoTypeFactors,11,FALSE),P661,C661*VLOOKUP(B661,AmmoTypeFactors,4,FALSE)))</f>
        <v>0</v>
      </c>
      <c r="F661" s="16">
        <f>'Ammo Stats'!G661/0.005</f>
        <v>0</v>
      </c>
      <c r="G661" s="16">
        <f>(IF(B661="HEAT",10,'Ammo Input'!F661)*VLOOKUP(B661,AmmoTypeFactors,7,FALSE)*0.5)^2*PI()/100</f>
        <v>19.6349540849362</v>
      </c>
      <c r="H661" s="10">
        <f t="shared" si="21"/>
        <v>0</v>
      </c>
      <c r="I661" s="10">
        <f>IF(B661&lt;&gt;"Arrow (Flaming)",39493.49*'Ammo Input'!M661^0.6/1000,0)</f>
        <v>12.6526142925755</v>
      </c>
      <c r="J661">
        <f t="shared" si="22"/>
        <v>42.1753809752516</v>
      </c>
      <c r="K661">
        <f t="shared" si="23"/>
        <v>0</v>
      </c>
      <c r="L661">
        <f>200000/('Ammo Stats'!C661*(MAX('Ammo Input'!D661,'Ammo Input'!F661)*0.5)^2*PI())</f>
        <v>117.079498366452</v>
      </c>
      <c r="M661">
        <f>IF(B661="Frag",1,('Ammo Input'!M661/1.33)/('Ammo Input'!H661/1000))</f>
        <v>0.12531328320802</v>
      </c>
      <c r="N661" t="s">
        <v>353</v>
      </c>
      <c r="O661" t="s">
        <v>353</v>
      </c>
      <c r="P661" s="3">
        <f>(39493.49*(IF((VLOOKUP(B661,AmmoTypeFactors,6,FALSE)="Bomb_Secondary"),1.33,1)*('Ammo Input'!H661*0.35)/1000)^0.6/1000)*10/3*VLOOKUP(B661,AmmoTypeFactors,4,FALSE)</f>
        <v>0</v>
      </c>
    </row>
    <row r="662" ht="14.4" spans="1:16">
      <c r="A662" t="str">
        <f>'Ammo Input'!A662</f>
        <v>90mm Cannon</v>
      </c>
      <c r="B662" s="1" t="str">
        <f>'Ammo Input'!B662</f>
        <v>HEAT</v>
      </c>
      <c r="C662">
        <f>(0.579*('Ammo Stats'!G662*IF(OR(B662="HEAT",B662="HEDP"),10,'Ammo Input'!F662)*VLOOKUP(B662,AmmoTypeFactors,7,FALSE))^(0.346))^IF(B662="HEDP",2.1,1)/IF(B662="HEDP",50,1)</f>
        <v>304.216165897505</v>
      </c>
      <c r="D662" s="16">
        <f>IF(VLOOKUP(B662,AmmoTypeFactors,8,FALSE),J662,C662)*VLOOKUP('Ammo Input'!B662,AmmoTypeFactors,2,FALSE)</f>
        <v>304.216165897505</v>
      </c>
      <c r="E662" s="16">
        <f>IF(OR(VLOOKUP(B662,AmmoTypeFactors,6,FALSE)="Bomb",VLOOKUP(B662,AmmoTypeFactors,6,FALSE)="Thermobaric"),J662*VLOOKUP(B662,AmmoTypeFactors,4,FALSE),IF(VLOOKUP(B662,AmmoTypeFactors,11,FALSE),P662,C662*VLOOKUP(B662,AmmoTypeFactors,4,FALSE)))</f>
        <v>0</v>
      </c>
      <c r="F662" s="16">
        <f>'Ammo Stats'!G662/0.005</f>
        <v>1458000000</v>
      </c>
      <c r="G662" s="16">
        <f>(IF(B662="HEAT",10,'Ammo Input'!F662)*VLOOKUP(B662,AmmoTypeFactors,7,FALSE)*0.5)^2*PI()/100</f>
        <v>0.785398163397448</v>
      </c>
      <c r="H662" s="10">
        <f t="shared" si="21"/>
        <v>145800</v>
      </c>
      <c r="I662" s="10">
        <f>IF(B662&lt;&gt;"Arrow (Flaming)",39493.49*'Ammo Input'!M662^0.6/1000,0)</f>
        <v>38.0541675273481</v>
      </c>
      <c r="J662">
        <f t="shared" si="22"/>
        <v>126.84722509116</v>
      </c>
      <c r="K662">
        <f t="shared" si="23"/>
        <v>113</v>
      </c>
      <c r="L662">
        <f>200000/('Ammo Stats'!C662*(MAX('Ammo Input'!D662,'Ammo Input'!F662)*0.5)^2*PI())</f>
        <v>1.1363137391657</v>
      </c>
      <c r="M662">
        <f>IF(B662="Frag",1,('Ammo Input'!M662/1.33)/('Ammo Input'!H662/1000))</f>
        <v>0.0565413533834586</v>
      </c>
      <c r="N662">
        <v>22</v>
      </c>
      <c r="O662">
        <v>9</v>
      </c>
      <c r="P662" s="3">
        <f>(39493.49*(IF((VLOOKUP(B662,AmmoTypeFactors,6,FALSE)="Bomb_Secondary"),1.33,1)*('Ammo Input'!H662*0.35)/1000)^0.6/1000)*10/3*VLOOKUP(B662,AmmoTypeFactors,4,FALSE)</f>
        <v>0</v>
      </c>
    </row>
    <row r="663" ht="14.4" spans="1:16">
      <c r="A663" t="str">
        <f>'Ammo Input'!A663</f>
        <v>90mm Cannon</v>
      </c>
      <c r="B663" s="1" t="str">
        <f>'Ammo Input'!B663</f>
        <v>AP</v>
      </c>
      <c r="C663">
        <f>(0.579*('Ammo Stats'!G663*IF(OR(B663="HEAT",B663="HEDP"),10,'Ammo Input'!F663)*VLOOKUP(B663,AmmoTypeFactors,7,FALSE))^(0.346))^IF(B663="HEDP",2.1,1)/IF(B663="HEDP",50,1)</f>
        <v>397.918247348107</v>
      </c>
      <c r="D663" s="16">
        <f>IF(VLOOKUP(B663,AmmoTypeFactors,8,FALSE),J663,C663)*VLOOKUP('Ammo Input'!B663,AmmoTypeFactors,2,FALSE)</f>
        <v>318.334597878486</v>
      </c>
      <c r="E663" s="16">
        <f>IF(OR(VLOOKUP(B663,AmmoTypeFactors,6,FALSE)="Bomb",VLOOKUP(B663,AmmoTypeFactors,6,FALSE)="Thermobaric"),J663*VLOOKUP(B663,AmmoTypeFactors,4,FALSE),IF(VLOOKUP(B663,AmmoTypeFactors,11,FALSE),P663,C663*VLOOKUP(B663,AmmoTypeFactors,4,FALSE)))</f>
        <v>0</v>
      </c>
      <c r="F663" s="16">
        <f>'Ammo Stats'!G663/0.005</f>
        <v>704000000</v>
      </c>
      <c r="G663" s="16">
        <f>(IF(B663="HEAT",10,'Ammo Input'!F663)*VLOOKUP(B663,AmmoTypeFactors,7,FALSE)*0.5)^2*PI()/100</f>
        <v>15.9043128087983</v>
      </c>
      <c r="H663" s="10">
        <f t="shared" si="21"/>
        <v>70400</v>
      </c>
      <c r="I663" s="10">
        <f>IF(B663&lt;&gt;"Arrow (Flaming)",39493.49*'Ammo Input'!M663^0.6/1000,0)</f>
        <v>0</v>
      </c>
      <c r="J663">
        <f t="shared" si="22"/>
        <v>0</v>
      </c>
      <c r="K663">
        <f t="shared" si="23"/>
        <v>89</v>
      </c>
      <c r="L663">
        <f>200000/('Ammo Stats'!C663*(MAX('Ammo Input'!D663,'Ammo Input'!F663)*0.5)^2*PI())</f>
        <v>1.1363137391657</v>
      </c>
      <c r="M663">
        <f>IF(B663="Frag",1,('Ammo Input'!M663/1.33)/('Ammo Input'!H663/1000))</f>
        <v>0</v>
      </c>
      <c r="N663" t="s">
        <v>353</v>
      </c>
      <c r="O663" t="s">
        <v>353</v>
      </c>
      <c r="P663" s="3">
        <f>(39493.49*(IF((VLOOKUP(B663,AmmoTypeFactors,6,FALSE)="Bomb_Secondary"),1.33,1)*('Ammo Input'!H663*0.35)/1000)^0.6/1000)*10/3*VLOOKUP(B663,AmmoTypeFactors,4,FALSE)</f>
        <v>0</v>
      </c>
    </row>
    <row r="664" ht="14.4" spans="1:16">
      <c r="A664" t="str">
        <f>'Ammo Input'!A664</f>
        <v>90mm Cannon</v>
      </c>
      <c r="B664" s="1" t="str">
        <f>'Ammo Input'!B664</f>
        <v>HE</v>
      </c>
      <c r="C664">
        <f>(0.579*('Ammo Stats'!G664*IF(OR(B664="HEAT",B664="HEDP"),10,'Ammo Input'!F664)*VLOOKUP(B664,AmmoTypeFactors,7,FALSE))^(0.346))^IF(B664="HEDP",2.1,1)/IF(B664="HEDP",50,1)</f>
        <v>505.766702132415</v>
      </c>
      <c r="D664" s="16">
        <f>IF(VLOOKUP(B664,AmmoTypeFactors,8,FALSE),J664,C664)*VLOOKUP('Ammo Input'!B664,AmmoTypeFactors,2,FALSE)</f>
        <v>151.513909097335</v>
      </c>
      <c r="E664" s="16">
        <f>IF(OR(VLOOKUP(B664,AmmoTypeFactors,6,FALSE)="Bomb",VLOOKUP(B664,AmmoTypeFactors,6,FALSE)="Thermobaric"),J664*VLOOKUP(B664,AmmoTypeFactors,4,FALSE),IF(VLOOKUP(B664,AmmoTypeFactors,11,FALSE),P664,C664*VLOOKUP(B664,AmmoTypeFactors,4,FALSE)))</f>
        <v>0</v>
      </c>
      <c r="F664" s="16">
        <f>'Ammo Stats'!G664/0.005</f>
        <v>704000000</v>
      </c>
      <c r="G664" s="16">
        <f>(IF(B664="HEAT",10,'Ammo Input'!F664)*VLOOKUP(B664,AmmoTypeFactors,7,FALSE)*0.5)^2*PI()/100</f>
        <v>63.6172512351933</v>
      </c>
      <c r="H664" s="10">
        <f t="shared" si="21"/>
        <v>70400</v>
      </c>
      <c r="I664" s="10">
        <f>IF(B664&lt;&gt;"Arrow (Flaming)",39493.49*'Ammo Input'!M664^0.6/1000,0)</f>
        <v>45.4541727292005</v>
      </c>
      <c r="J664">
        <f t="shared" si="22"/>
        <v>151.513909097335</v>
      </c>
      <c r="K664">
        <f t="shared" si="23"/>
        <v>89</v>
      </c>
      <c r="L664">
        <f>200000/('Ammo Stats'!C664*(MAX('Ammo Input'!D664,'Ammo Input'!F664)*0.5)^2*PI())</f>
        <v>1.1363137391657</v>
      </c>
      <c r="M664">
        <f>IF(B664="Frag",1,('Ammo Input'!M664/1.33)/('Ammo Input'!H664/1000))</f>
        <v>0.0863978127136022</v>
      </c>
      <c r="N664">
        <v>36</v>
      </c>
      <c r="O664">
        <v>24</v>
      </c>
      <c r="P664" s="3">
        <f>(39493.49*(IF((VLOOKUP(B664,AmmoTypeFactors,6,FALSE)="Bomb_Secondary"),1.33,1)*('Ammo Input'!H664*0.35)/1000)^0.6/1000)*10/3*VLOOKUP(B664,AmmoTypeFactors,4,FALSE)</f>
        <v>0</v>
      </c>
    </row>
    <row r="665" ht="14.4" spans="1:16">
      <c r="A665" t="str">
        <f>'Ammo Input'!A665</f>
        <v>90mm Cannon</v>
      </c>
      <c r="B665" s="1" t="str">
        <f>'Ammo Input'!B665</f>
        <v>APCR</v>
      </c>
      <c r="C665">
        <f>(0.579*('Ammo Stats'!G665*IF(OR(B665="HEAT",B665="HEDP"),10,'Ammo Input'!F665)*VLOOKUP(B665,AmmoTypeFactors,7,FALSE))^(0.346))^IF(B665="HEDP",2.1,1)/IF(B665="HEDP",50,1)</f>
        <v>434.409153108818</v>
      </c>
      <c r="D665" s="16">
        <f>IF(VLOOKUP(B665,AmmoTypeFactors,8,FALSE),J665,C665)*VLOOKUP('Ammo Input'!B665,AmmoTypeFactors,2,FALSE)</f>
        <v>304.086407176173</v>
      </c>
      <c r="E665" s="16">
        <f>IF(OR(VLOOKUP(B665,AmmoTypeFactors,6,FALSE)="Bomb",VLOOKUP(B665,AmmoTypeFactors,6,FALSE)="Thermobaric"),J665*VLOOKUP(B665,AmmoTypeFactors,4,FALSE),IF(VLOOKUP(B665,AmmoTypeFactors,11,FALSE),P665,C665*VLOOKUP(B665,AmmoTypeFactors,4,FALSE)))</f>
        <v>0</v>
      </c>
      <c r="F665" s="16">
        <f>'Ammo Stats'!G665/0.005</f>
        <v>907200000</v>
      </c>
      <c r="G665" s="16">
        <f>(IF(B665="HEAT",10,'Ammo Input'!F665)*VLOOKUP(B665,AmmoTypeFactors,7,FALSE)*0.5)^2*PI()/100</f>
        <v>15.9043128087983</v>
      </c>
      <c r="H665" s="10">
        <f t="shared" si="21"/>
        <v>90720</v>
      </c>
      <c r="I665" s="10">
        <f>IF(B665&lt;&gt;"Arrow (Flaming)",39493.49*'Ammo Input'!M665^0.6/1000,0)</f>
        <v>0</v>
      </c>
      <c r="J665">
        <f t="shared" si="22"/>
        <v>0</v>
      </c>
      <c r="K665">
        <f t="shared" si="23"/>
        <v>97</v>
      </c>
      <c r="L665">
        <f>200000/('Ammo Stats'!C665*(MAX('Ammo Input'!D665,'Ammo Input'!F665)*0.5)^2*PI())</f>
        <v>1.1363137391657</v>
      </c>
      <c r="M665">
        <f>IF(B665="Frag",1,('Ammo Input'!M665/1.33)/('Ammo Input'!H665/1000))</f>
        <v>0</v>
      </c>
      <c r="N665" t="s">
        <v>353</v>
      </c>
      <c r="O665" t="s">
        <v>353</v>
      </c>
      <c r="P665" s="3">
        <f>(39493.49*(IF((VLOOKUP(B665,AmmoTypeFactors,6,FALSE)="Bomb_Secondary"),1.33,1)*('Ammo Input'!H665*0.35)/1000)^0.6/1000)*10/3*VLOOKUP(B665,AmmoTypeFactors,4,FALSE)</f>
        <v>0</v>
      </c>
    </row>
    <row r="666" ht="14.4" spans="1:16">
      <c r="A666" t="str">
        <f>'Ammo Input'!A666</f>
        <v>90mm Cannon</v>
      </c>
      <c r="B666" s="1" t="str">
        <f>'Ammo Input'!B666</f>
        <v>EMP</v>
      </c>
      <c r="C666">
        <f>(0.579*('Ammo Stats'!G666*IF(OR(B666="HEAT",B666="HEDP"),10,'Ammo Input'!F666)*VLOOKUP(B666,AmmoTypeFactors,7,FALSE))^(0.346))^IF(B666="HEDP",2.1,1)/IF(B666="HEDP",50,1)</f>
        <v>505.766702132415</v>
      </c>
      <c r="D666" s="16">
        <f>IF(VLOOKUP(B666,AmmoTypeFactors,8,FALSE),J666,C666)*VLOOKUP('Ammo Input'!B666,AmmoTypeFactors,2,FALSE)</f>
        <v>151.513909097335</v>
      </c>
      <c r="E666" s="16">
        <f>IF(OR(VLOOKUP(B666,AmmoTypeFactors,6,FALSE)="Bomb",VLOOKUP(B666,AmmoTypeFactors,6,FALSE)="Thermobaric"),J666*VLOOKUP(B666,AmmoTypeFactors,4,FALSE),IF(VLOOKUP(B666,AmmoTypeFactors,11,FALSE),P666,C666*VLOOKUP(B666,AmmoTypeFactors,4,FALSE)))</f>
        <v>0</v>
      </c>
      <c r="F666" s="16">
        <f>'Ammo Stats'!G666/0.005</f>
        <v>704000000</v>
      </c>
      <c r="G666" s="16">
        <f>(IF(B666="HEAT",10,'Ammo Input'!F666)*VLOOKUP(B666,AmmoTypeFactors,7,FALSE)*0.5)^2*PI()/100</f>
        <v>63.6172512351933</v>
      </c>
      <c r="H666" s="10">
        <f t="shared" si="21"/>
        <v>70400</v>
      </c>
      <c r="I666" s="10">
        <f>IF(B666&lt;&gt;"Arrow (Flaming)",39493.49*'Ammo Input'!M666^0.6/1000,0)</f>
        <v>45.4541727292005</v>
      </c>
      <c r="J666">
        <f t="shared" si="22"/>
        <v>151.513909097335</v>
      </c>
      <c r="K666">
        <f t="shared" si="23"/>
        <v>89</v>
      </c>
      <c r="L666">
        <f>200000/('Ammo Stats'!C666*(MAX('Ammo Input'!D666,'Ammo Input'!F666)*0.5)^2*PI())</f>
        <v>1.1363137391657</v>
      </c>
      <c r="M666">
        <f>IF(B666="Frag",1,('Ammo Input'!M666/1.33)/('Ammo Input'!H666/1000))</f>
        <v>0.0863978127136022</v>
      </c>
      <c r="N666" t="s">
        <v>353</v>
      </c>
      <c r="O666" t="s">
        <v>353</v>
      </c>
      <c r="P666" s="3">
        <f>(39493.49*(IF((VLOOKUP(B666,AmmoTypeFactors,6,FALSE)="Bomb_Secondary"),1.33,1)*('Ammo Input'!H666*0.35)/1000)^0.6/1000)*10/3*VLOOKUP(B666,AmmoTypeFactors,4,FALSE)</f>
        <v>0</v>
      </c>
    </row>
    <row r="667" ht="14.4" spans="1:16">
      <c r="A667" s="14" t="s">
        <v>231</v>
      </c>
      <c r="B667" s="15"/>
      <c r="C667" s="15"/>
      <c r="D667" s="15"/>
      <c r="E667" s="15"/>
      <c r="F667" s="15"/>
      <c r="G667" s="15"/>
      <c r="H667" s="15"/>
      <c r="I667" s="15"/>
      <c r="J667" s="15"/>
      <c r="K667" s="15"/>
      <c r="L667" s="15"/>
      <c r="M667" s="15"/>
      <c r="N667" s="15"/>
      <c r="O667" s="15"/>
      <c r="P667" s="15"/>
    </row>
    <row r="668" ht="14.4" spans="1:16">
      <c r="A668" t="str">
        <f>'Ammo Input'!A668</f>
        <v>Crossbow Bolt</v>
      </c>
      <c r="B668" s="1" t="str">
        <f>'Ammo Input'!B668</f>
        <v>Arrow (Stone)</v>
      </c>
      <c r="C668">
        <f>(0.579*('Ammo Stats'!G668*IF(OR(B668="HEAT",B668="HEDP"),10,'Ammo Input'!F668)*VLOOKUP(B668,AmmoTypeFactors,7,FALSE))^(0.346))^IF(B668="HEDP",2.1,1)/IF(B668="HEDP",50,1)</f>
        <v>7.59300857823526</v>
      </c>
      <c r="D668" s="16">
        <f>IF(VLOOKUP(B668,AmmoTypeFactors,8,FALSE),J668,C668)*VLOOKUP('Ammo Input'!B668,AmmoTypeFactors,2,FALSE)</f>
        <v>7.59300857823526</v>
      </c>
      <c r="E668" s="16">
        <f>IF(OR(VLOOKUP(B668,AmmoTypeFactors,6,FALSE)="Bomb",VLOOKUP(B668,AmmoTypeFactors,6,FALSE)="Thermobaric"),J668*VLOOKUP(B668,AmmoTypeFactors,4,FALSE),IF(VLOOKUP(B668,AmmoTypeFactors,11,FALSE),P668,C668*VLOOKUP(B668,AmmoTypeFactors,4,FALSE)))</f>
        <v>0</v>
      </c>
      <c r="F668" s="16">
        <f>'Ammo Stats'!G668/0.005</f>
        <v>10000</v>
      </c>
      <c r="G668" s="16">
        <f>(IF(B668="HEAT",10,'Ammo Input'!F668)*VLOOKUP(B668,AmmoTypeFactors,7,FALSE)*0.5)^2*PI()/100</f>
        <v>9.0792027688745</v>
      </c>
      <c r="H668" s="10">
        <f t="shared" ref="H668:H702" si="24">F668/10000</f>
        <v>1</v>
      </c>
      <c r="I668" s="10">
        <f>IF(B668&lt;&gt;"Arrow (Flaming)",39493.49*'Ammo Input'!M668^0.6/1000,0)</f>
        <v>0</v>
      </c>
      <c r="J668">
        <f t="shared" ref="J668:J702" si="25">I668*10/3</f>
        <v>0</v>
      </c>
      <c r="K668">
        <f t="shared" ref="K668:K702" si="26">ROUND(F668^(1/3)/10,0)</f>
        <v>2</v>
      </c>
      <c r="L668">
        <f>200000/('Ammo Stats'!C668*(MAX('Ammo Input'!D668,'Ammo Input'!F668)*0.5)^2*PI())</f>
        <v>3671.39430431131</v>
      </c>
      <c r="M668">
        <f>IF(B668="Frag",1,('Ammo Input'!M668/1.33)/('Ammo Input'!H668/1000))</f>
        <v>0</v>
      </c>
      <c r="N668" t="s">
        <v>353</v>
      </c>
      <c r="O668" t="s">
        <v>353</v>
      </c>
      <c r="P668" s="3">
        <f>(39493.49*(IF((VLOOKUP(B668,AmmoTypeFactors,6,FALSE)="Bomb_Secondary"),1.33,1)*('Ammo Input'!H668*0.35)/1000)^0.6/1000)*10/3*VLOOKUP(B668,AmmoTypeFactors,4,FALSE)</f>
        <v>0</v>
      </c>
    </row>
    <row r="669" ht="14.4" spans="1:16">
      <c r="A669" t="str">
        <f>'Ammo Input'!A669</f>
        <v>Crossbow Bolt</v>
      </c>
      <c r="B669" s="1" t="str">
        <f>'Ammo Input'!B669</f>
        <v>Arrow (Steel)</v>
      </c>
      <c r="C669">
        <f>(0.579*('Ammo Stats'!G669*IF(OR(B669="HEAT",B669="HEDP"),10,'Ammo Input'!F669)*VLOOKUP(B669,AmmoTypeFactors,7,FALSE))^(0.346))^IF(B669="HEDP",2.1,1)/IF(B669="HEDP",50,1)</f>
        <v>11.4163042238531</v>
      </c>
      <c r="D669" s="16">
        <f>IF(VLOOKUP(B669,AmmoTypeFactors,8,FALSE),J669,C669)*VLOOKUP('Ammo Input'!B669,AmmoTypeFactors,2,FALSE)</f>
        <v>11.4163042238531</v>
      </c>
      <c r="E669" s="16">
        <f>IF(OR(VLOOKUP(B669,AmmoTypeFactors,6,FALSE)="Bomb",VLOOKUP(B669,AmmoTypeFactors,6,FALSE)="Thermobaric"),J669*VLOOKUP(B669,AmmoTypeFactors,4,FALSE),IF(VLOOKUP(B669,AmmoTypeFactors,11,FALSE),P669,C669*VLOOKUP(B669,AmmoTypeFactors,4,FALSE)))</f>
        <v>0</v>
      </c>
      <c r="F669" s="16">
        <f>'Ammo Stats'!G669/0.005</f>
        <v>65000</v>
      </c>
      <c r="G669" s="16">
        <f>(IF(B669="HEAT",10,'Ammo Input'!F669)*VLOOKUP(B669,AmmoTypeFactors,7,FALSE)*0.5)^2*PI()/100</f>
        <v>2.26980069221863</v>
      </c>
      <c r="H669" s="10">
        <f t="shared" si="24"/>
        <v>6.5</v>
      </c>
      <c r="I669" s="10">
        <f>IF(B669&lt;&gt;"Arrow (Flaming)",39493.49*'Ammo Input'!M669^0.6/1000,0)</f>
        <v>0</v>
      </c>
      <c r="J669">
        <f t="shared" si="25"/>
        <v>0</v>
      </c>
      <c r="K669">
        <f t="shared" si="26"/>
        <v>4</v>
      </c>
      <c r="L669">
        <f>200000/('Ammo Stats'!C669*(MAX('Ammo Input'!D669,'Ammo Input'!F669)*0.5)^2*PI())</f>
        <v>3671.39430431131</v>
      </c>
      <c r="M669">
        <f>IF(B669="Frag",1,('Ammo Input'!M669/1.33)/('Ammo Input'!H669/1000))</f>
        <v>0</v>
      </c>
      <c r="N669" t="s">
        <v>353</v>
      </c>
      <c r="O669" t="s">
        <v>353</v>
      </c>
      <c r="P669" s="3">
        <f>(39493.49*(IF((VLOOKUP(B669,AmmoTypeFactors,6,FALSE)="Bomb_Secondary"),1.33,1)*('Ammo Input'!H669*0.35)/1000)^0.6/1000)*10/3*VLOOKUP(B669,AmmoTypeFactors,4,FALSE)</f>
        <v>0</v>
      </c>
    </row>
    <row r="670" ht="14.4" spans="1:16">
      <c r="A670" t="str">
        <f>'Ammo Input'!A670</f>
        <v>Crossbow Bolt</v>
      </c>
      <c r="B670" s="1" t="str">
        <f>'Ammo Input'!B670</f>
        <v>Arrow (Plasteel)</v>
      </c>
      <c r="C670">
        <f>(0.579*('Ammo Stats'!G670*IF(OR(B670="HEAT",B670="HEDP"),10,'Ammo Input'!F670)*VLOOKUP(B670,AmmoTypeFactors,7,FALSE))^(0.346))^IF(B670="HEDP",2.1,1)/IF(B670="HEDP",50,1)</f>
        <v>9.70079930200261</v>
      </c>
      <c r="D670" s="16">
        <f>IF(VLOOKUP(B670,AmmoTypeFactors,8,FALSE),J670,C670)*VLOOKUP('Ammo Input'!B670,AmmoTypeFactors,2,FALSE)</f>
        <v>9.70079930200261</v>
      </c>
      <c r="E670" s="16">
        <f>IF(OR(VLOOKUP(B670,AmmoTypeFactors,6,FALSE)="Bomb",VLOOKUP(B670,AmmoTypeFactors,6,FALSE)="Thermobaric"),J670*VLOOKUP(B670,AmmoTypeFactors,4,FALSE),IF(VLOOKUP(B670,AmmoTypeFactors,11,FALSE),P670,C670*VLOOKUP(B670,AmmoTypeFactors,4,FALSE)))</f>
        <v>0</v>
      </c>
      <c r="F670" s="16">
        <f>'Ammo Stats'!G670/0.005</f>
        <v>81200</v>
      </c>
      <c r="G670" s="16">
        <f>(IF(B670="HEAT",10,'Ammo Input'!F670)*VLOOKUP(B670,AmmoTypeFactors,7,FALSE)*0.5)^2*PI()/100</f>
        <v>0.567450173054656</v>
      </c>
      <c r="H670" s="10">
        <f t="shared" si="24"/>
        <v>8.12</v>
      </c>
      <c r="I670" s="10">
        <f>IF(B670&lt;&gt;"Arrow (Flaming)",39493.49*'Ammo Input'!M670^0.6/1000,0)</f>
        <v>0</v>
      </c>
      <c r="J670">
        <f t="shared" si="25"/>
        <v>0</v>
      </c>
      <c r="K670">
        <f t="shared" si="26"/>
        <v>4</v>
      </c>
      <c r="L670">
        <f>200000/('Ammo Stats'!C670*(MAX('Ammo Input'!D670,'Ammo Input'!F670)*0.5)^2*PI())</f>
        <v>3671.39430431131</v>
      </c>
      <c r="M670">
        <f>IF(B670="Frag",1,('Ammo Input'!M670/1.33)/('Ammo Input'!H670/1000))</f>
        <v>0</v>
      </c>
      <c r="N670" t="s">
        <v>353</v>
      </c>
      <c r="O670" t="s">
        <v>353</v>
      </c>
      <c r="P670" s="3">
        <f>(39493.49*(IF((VLOOKUP(B670,AmmoTypeFactors,6,FALSE)="Bomb_Secondary"),1.33,1)*('Ammo Input'!H670*0.35)/1000)^0.6/1000)*10/3*VLOOKUP(B670,AmmoTypeFactors,4,FALSE)</f>
        <v>0</v>
      </c>
    </row>
    <row r="671" ht="14.4" spans="1:16">
      <c r="A671" t="str">
        <f>'Ammo Input'!A671</f>
        <v>Crossbow Bolt</v>
      </c>
      <c r="B671" s="1" t="str">
        <f>'Ammo Input'!B671</f>
        <v>Arrow (Venom)</v>
      </c>
      <c r="C671">
        <f>(0.579*('Ammo Stats'!G671*IF(OR(B671="HEAT",B671="HEDP"),10,'Ammo Input'!F671)*VLOOKUP(B671,AmmoTypeFactors,7,FALSE))^(0.346))^IF(B671="HEDP",2.1,1)/IF(B671="HEDP",50,1)</f>
        <v>11.4163042238531</v>
      </c>
      <c r="D671" s="16">
        <f>IF(VLOOKUP(B671,AmmoTypeFactors,8,FALSE),J671,C671)*VLOOKUP('Ammo Input'!B671,AmmoTypeFactors,2,FALSE)</f>
        <v>11.4163042238531</v>
      </c>
      <c r="E671" s="16">
        <f>IF(OR(VLOOKUP(B671,AmmoTypeFactors,6,FALSE)="Bomb",VLOOKUP(B671,AmmoTypeFactors,6,FALSE)="Thermobaric"),J671*VLOOKUP(B671,AmmoTypeFactors,4,FALSE),IF(VLOOKUP(B671,AmmoTypeFactors,11,FALSE),P671,C671*VLOOKUP(B671,AmmoTypeFactors,4,FALSE)))</f>
        <v>0</v>
      </c>
      <c r="F671" s="16">
        <f>'Ammo Stats'!G671/0.005</f>
        <v>65000</v>
      </c>
      <c r="G671" s="16">
        <f>(IF(B671="HEAT",10,'Ammo Input'!F671)*VLOOKUP(B671,AmmoTypeFactors,7,FALSE)*0.5)^2*PI()/100</f>
        <v>2.26980069221863</v>
      </c>
      <c r="H671" s="10">
        <f t="shared" si="24"/>
        <v>6.5</v>
      </c>
      <c r="I671" s="10">
        <f>IF(B671&lt;&gt;"Arrow (Flaming)",39493.49*'Ammo Input'!M671^0.6/1000,0)</f>
        <v>0</v>
      </c>
      <c r="J671">
        <f t="shared" si="25"/>
        <v>0</v>
      </c>
      <c r="K671">
        <f t="shared" si="26"/>
        <v>4</v>
      </c>
      <c r="L671">
        <f>200000/('Ammo Stats'!C671*(MAX('Ammo Input'!D671,'Ammo Input'!F671)*0.5)^2*PI())</f>
        <v>3671.39430431131</v>
      </c>
      <c r="M671">
        <f>IF(B671="Frag",1,('Ammo Input'!M671/1.33)/('Ammo Input'!H671/1000))</f>
        <v>0</v>
      </c>
      <c r="N671" t="s">
        <v>353</v>
      </c>
      <c r="O671" t="s">
        <v>353</v>
      </c>
      <c r="P671" s="3">
        <f>(39493.49*(IF((VLOOKUP(B671,AmmoTypeFactors,6,FALSE)="Bomb_Secondary"),1.33,1)*('Ammo Input'!H671*0.35)/1000)^0.6/1000)*10/3*VLOOKUP(B671,AmmoTypeFactors,4,FALSE)</f>
        <v>0</v>
      </c>
    </row>
    <row r="672" ht="14.4" spans="1:16">
      <c r="A672" t="str">
        <f>'Ammo Input'!A672</f>
        <v>Crossbow Bolt</v>
      </c>
      <c r="B672" s="1" t="str">
        <f>'Ammo Input'!B672</f>
        <v>Arrow (Flaming)</v>
      </c>
      <c r="C672">
        <f>(0.579*('Ammo Stats'!G672*IF(OR(B672="HEAT",B672="HEDP"),10,'Ammo Input'!F672)*VLOOKUP(B672,AmmoTypeFactors,7,FALSE))^(0.346))^IF(B672="HEDP",2.1,1)/IF(B672="HEDP",50,1)</f>
        <v>8.99147211281908</v>
      </c>
      <c r="D672" s="16">
        <f>IF(VLOOKUP(B672,AmmoTypeFactors,8,FALSE),J672,C672)*VLOOKUP('Ammo Input'!B672,AmmoTypeFactors,2,FALSE)</f>
        <v>4.49573605640954</v>
      </c>
      <c r="E672" s="16">
        <f>IF(OR(VLOOKUP(B672,AmmoTypeFactors,6,FALSE)="Bomb",VLOOKUP(B672,AmmoTypeFactors,6,FALSE)="Thermobaric"),J672*VLOOKUP(B672,AmmoTypeFactors,4,FALSE),IF(VLOOKUP(B672,AmmoTypeFactors,11,FALSE),P672,C672*VLOOKUP(B672,AmmoTypeFactors,4,FALSE)))</f>
        <v>0</v>
      </c>
      <c r="F672" s="16">
        <f>'Ammo Stats'!G672/0.005</f>
        <v>32600</v>
      </c>
      <c r="G672" s="16">
        <f>(IF(B672="HEAT",10,'Ammo Input'!F672)*VLOOKUP(B672,AmmoTypeFactors,7,FALSE)*0.5)^2*PI()/100</f>
        <v>2.26980069221863</v>
      </c>
      <c r="H672" s="10">
        <f t="shared" si="24"/>
        <v>3.26</v>
      </c>
      <c r="I672" s="10">
        <f>IF(B672&lt;&gt;"Arrow (Flaming)",39493.49*'Ammo Input'!M672^0.6/1000,0)</f>
        <v>0</v>
      </c>
      <c r="J672">
        <f t="shared" si="25"/>
        <v>0</v>
      </c>
      <c r="K672">
        <f t="shared" si="26"/>
        <v>3</v>
      </c>
      <c r="L672">
        <f>200000/('Ammo Stats'!C672*(MAX('Ammo Input'!D672,'Ammo Input'!F672)*0.5)^2*PI())</f>
        <v>3671.39430431131</v>
      </c>
      <c r="M672">
        <f>IF(B672="Frag",1,('Ammo Input'!M672/1.33)/('Ammo Input'!H672/1000))</f>
        <v>0.0334168755221387</v>
      </c>
      <c r="N672" t="s">
        <v>353</v>
      </c>
      <c r="O672" t="s">
        <v>353</v>
      </c>
      <c r="P672" s="3">
        <f>(39493.49*(IF((VLOOKUP(B672,AmmoTypeFactors,6,FALSE)="Bomb_Secondary"),1.33,1)*('Ammo Input'!H672*0.35)/1000)^0.6/1000)*10/3*VLOOKUP(B672,AmmoTypeFactors,4,FALSE)</f>
        <v>0</v>
      </c>
    </row>
    <row r="673" ht="14.4" spans="1:16">
      <c r="A673" t="str">
        <f>'Ammo Input'!A673</f>
        <v>Arrow</v>
      </c>
      <c r="B673" s="1" t="str">
        <f>'Ammo Input'!B673</f>
        <v>Arrow (Stone)</v>
      </c>
      <c r="C673">
        <f>(0.579*('Ammo Stats'!G673*IF(OR(B673="HEAT",B673="HEDP"),10,'Ammo Input'!F673)*VLOOKUP(B673,AmmoTypeFactors,7,FALSE))^(0.346))^IF(B673="HEDP",2.1,1)/IF(B673="HEDP",50,1)</f>
        <v>5.59678603028931</v>
      </c>
      <c r="D673" s="16">
        <f>IF(VLOOKUP(B673,AmmoTypeFactors,8,FALSE),J673,C673)*VLOOKUP('Ammo Input'!B673,AmmoTypeFactors,2,FALSE)</f>
        <v>5.59678603028931</v>
      </c>
      <c r="E673" s="16">
        <f>IF(OR(VLOOKUP(B673,AmmoTypeFactors,6,FALSE)="Bomb",VLOOKUP(B673,AmmoTypeFactors,6,FALSE)="Thermobaric"),J673*VLOOKUP(B673,AmmoTypeFactors,4,FALSE),IF(VLOOKUP(B673,AmmoTypeFactors,11,FALSE),P673,C673*VLOOKUP(B673,AmmoTypeFactors,4,FALSE)))</f>
        <v>0</v>
      </c>
      <c r="F673" s="16">
        <f>'Ammo Stats'!G673/0.005</f>
        <v>8800</v>
      </c>
      <c r="G673" s="16">
        <f>(IF(B673="HEAT",10,'Ammo Input'!F673)*VLOOKUP(B673,AmmoTypeFactors,7,FALSE)*0.5)^2*PI()/100</f>
        <v>2.01061929829747</v>
      </c>
      <c r="H673" s="10">
        <f t="shared" si="24"/>
        <v>0.88</v>
      </c>
      <c r="I673" s="10">
        <f>IF(B673&lt;&gt;"Arrow (Flaming)",39493.49*'Ammo Input'!M673^0.6/1000,0)</f>
        <v>0</v>
      </c>
      <c r="J673">
        <f t="shared" si="25"/>
        <v>0</v>
      </c>
      <c r="K673">
        <f t="shared" si="26"/>
        <v>2</v>
      </c>
      <c r="L673">
        <f>200000/('Ammo Stats'!C673*(MAX('Ammo Input'!D673,'Ammo Input'!F673)*0.5)^2*PI())</f>
        <v>49735.9197162173</v>
      </c>
      <c r="M673">
        <f>IF(B673="Frag",1,('Ammo Input'!M673/1.33)/('Ammo Input'!H673/1000))</f>
        <v>0</v>
      </c>
      <c r="N673" t="s">
        <v>353</v>
      </c>
      <c r="O673" t="s">
        <v>353</v>
      </c>
      <c r="P673" s="3">
        <f>(39493.49*(IF((VLOOKUP(B673,AmmoTypeFactors,6,FALSE)="Bomb_Secondary"),1.33,1)*('Ammo Input'!H673*0.35)/1000)^0.6/1000)*10/3*VLOOKUP(B673,AmmoTypeFactors,4,FALSE)</f>
        <v>0</v>
      </c>
    </row>
    <row r="674" ht="14.4" spans="1:16">
      <c r="A674" t="str">
        <f>'Ammo Input'!A674</f>
        <v>Arrow</v>
      </c>
      <c r="B674" s="1" t="str">
        <f>'Ammo Input'!B674</f>
        <v>Arrow (Steel)</v>
      </c>
      <c r="C674">
        <f>(0.579*('Ammo Stats'!G674*IF(OR(B674="HEAT",B674="HEDP"),10,'Ammo Input'!F674)*VLOOKUP(B674,AmmoTypeFactors,7,FALSE))^(0.346))^IF(B674="HEDP",2.1,1)/IF(B674="HEDP",50,1)</f>
        <v>6.74642540882358</v>
      </c>
      <c r="D674" s="16">
        <f>IF(VLOOKUP(B674,AmmoTypeFactors,8,FALSE),J674,C674)*VLOOKUP('Ammo Input'!B674,AmmoTypeFactors,2,FALSE)</f>
        <v>6.74642540882358</v>
      </c>
      <c r="E674" s="16">
        <f>IF(OR(VLOOKUP(B674,AmmoTypeFactors,6,FALSE)="Bomb",VLOOKUP(B674,AmmoTypeFactors,6,FALSE)="Thermobaric"),J674*VLOOKUP(B674,AmmoTypeFactors,4,FALSE),IF(VLOOKUP(B674,AmmoTypeFactors,11,FALSE),P674,C674*VLOOKUP(B674,AmmoTypeFactors,4,FALSE)))</f>
        <v>0</v>
      </c>
      <c r="F674" s="16">
        <f>'Ammo Stats'!G674/0.005</f>
        <v>30200</v>
      </c>
      <c r="G674" s="16">
        <f>(IF(B674="HEAT",10,'Ammo Input'!F674)*VLOOKUP(B674,AmmoTypeFactors,7,FALSE)*0.5)^2*PI()/100</f>
        <v>0.502654824574367</v>
      </c>
      <c r="H674" s="10">
        <f t="shared" si="24"/>
        <v>3.02</v>
      </c>
      <c r="I674" s="10">
        <f>IF(B674&lt;&gt;"Arrow (Flaming)",39493.49*'Ammo Input'!M674^0.6/1000,0)</f>
        <v>0</v>
      </c>
      <c r="J674">
        <f t="shared" si="25"/>
        <v>0</v>
      </c>
      <c r="K674">
        <f t="shared" si="26"/>
        <v>3</v>
      </c>
      <c r="L674">
        <f>200000/('Ammo Stats'!C674*(MAX('Ammo Input'!D674,'Ammo Input'!F674)*0.5)^2*PI())</f>
        <v>49735.9197162173</v>
      </c>
      <c r="M674">
        <f>IF(B674="Frag",1,('Ammo Input'!M674/1.33)/('Ammo Input'!H674/1000))</f>
        <v>0</v>
      </c>
      <c r="N674" t="s">
        <v>353</v>
      </c>
      <c r="O674" t="s">
        <v>353</v>
      </c>
      <c r="P674" s="3">
        <f>(39493.49*(IF((VLOOKUP(B674,AmmoTypeFactors,6,FALSE)="Bomb_Secondary"),1.33,1)*('Ammo Input'!H674*0.35)/1000)^0.6/1000)*10/3*VLOOKUP(B674,AmmoTypeFactors,4,FALSE)</f>
        <v>0</v>
      </c>
    </row>
    <row r="675" ht="14.4" spans="1:16">
      <c r="A675" t="str">
        <f>'Ammo Input'!A675</f>
        <v>Arrow</v>
      </c>
      <c r="B675" s="1" t="str">
        <f>'Ammo Input'!B675</f>
        <v>Arrow (Plasteel)</v>
      </c>
      <c r="C675">
        <f>(0.579*('Ammo Stats'!G675*IF(OR(B675="HEAT",B675="HEDP"),10,'Ammo Input'!F675)*VLOOKUP(B675,AmmoTypeFactors,7,FALSE))^(0.346))^IF(B675="HEDP",2.1,1)/IF(B675="HEDP",50,1)</f>
        <v>4.31511466531548</v>
      </c>
      <c r="D675" s="16">
        <f>IF(VLOOKUP(B675,AmmoTypeFactors,8,FALSE),J675,C675)*VLOOKUP('Ammo Input'!B675,AmmoTypeFactors,2,FALSE)</f>
        <v>4.31511466531548</v>
      </c>
      <c r="E675" s="16">
        <f>IF(OR(VLOOKUP(B675,AmmoTypeFactors,6,FALSE)="Bomb",VLOOKUP(B675,AmmoTypeFactors,6,FALSE)="Thermobaric"),J675*VLOOKUP(B675,AmmoTypeFactors,4,FALSE),IF(VLOOKUP(B675,AmmoTypeFactors,11,FALSE),P675,C675*VLOOKUP(B675,AmmoTypeFactors,4,FALSE)))</f>
        <v>0</v>
      </c>
      <c r="F675" s="16">
        <f>'Ammo Stats'!G675/0.005</f>
        <v>16600</v>
      </c>
      <c r="G675" s="16">
        <f>(IF(B675="HEAT",10,'Ammo Input'!F675)*VLOOKUP(B675,AmmoTypeFactors,7,FALSE)*0.5)^2*PI()/100</f>
        <v>0.125663706143592</v>
      </c>
      <c r="H675" s="10">
        <f t="shared" si="24"/>
        <v>1.66</v>
      </c>
      <c r="I675" s="10">
        <f>IF(B675&lt;&gt;"Arrow (Flaming)",39493.49*'Ammo Input'!M675^0.6/1000,0)</f>
        <v>0</v>
      </c>
      <c r="J675">
        <f t="shared" si="25"/>
        <v>0</v>
      </c>
      <c r="K675">
        <f t="shared" si="26"/>
        <v>3</v>
      </c>
      <c r="L675">
        <f>200000/('Ammo Stats'!C675*(MAX('Ammo Input'!D675,'Ammo Input'!F675)*0.5)^2*PI())</f>
        <v>49735.9197162173</v>
      </c>
      <c r="M675">
        <f>IF(B675="Frag",1,('Ammo Input'!M675/1.33)/('Ammo Input'!H675/1000))</f>
        <v>0</v>
      </c>
      <c r="N675" t="s">
        <v>353</v>
      </c>
      <c r="O675" t="s">
        <v>353</v>
      </c>
      <c r="P675" s="3">
        <f>(39493.49*(IF((VLOOKUP(B675,AmmoTypeFactors,6,FALSE)="Bomb_Secondary"),1.33,1)*('Ammo Input'!H675*0.35)/1000)^0.6/1000)*10/3*VLOOKUP(B675,AmmoTypeFactors,4,FALSE)</f>
        <v>0</v>
      </c>
    </row>
    <row r="676" ht="14.4" spans="1:16">
      <c r="A676" t="str">
        <f>'Ammo Input'!A676</f>
        <v>Arrow</v>
      </c>
      <c r="B676" s="1" t="str">
        <f>'Ammo Input'!B676</f>
        <v>Arrow (Venom)</v>
      </c>
      <c r="C676">
        <f>(0.579*('Ammo Stats'!G676*IF(OR(B676="HEAT",B676="HEDP"),10,'Ammo Input'!F676)*VLOOKUP(B676,AmmoTypeFactors,7,FALSE))^(0.346))^IF(B676="HEDP",2.1,1)/IF(B676="HEDP",50,1)</f>
        <v>6.74642540882358</v>
      </c>
      <c r="D676" s="16">
        <f>IF(VLOOKUP(B676,AmmoTypeFactors,8,FALSE),J676,C676)*VLOOKUP('Ammo Input'!B676,AmmoTypeFactors,2,FALSE)</f>
        <v>6.74642540882358</v>
      </c>
      <c r="E676" s="16">
        <f>IF(OR(VLOOKUP(B676,AmmoTypeFactors,6,FALSE)="Bomb",VLOOKUP(B676,AmmoTypeFactors,6,FALSE)="Thermobaric"),J676*VLOOKUP(B676,AmmoTypeFactors,4,FALSE),IF(VLOOKUP(B676,AmmoTypeFactors,11,FALSE),P676,C676*VLOOKUP(B676,AmmoTypeFactors,4,FALSE)))</f>
        <v>0</v>
      </c>
      <c r="F676" s="16">
        <f>'Ammo Stats'!G676/0.005</f>
        <v>30200</v>
      </c>
      <c r="G676" s="16">
        <f>(IF(B676="HEAT",10,'Ammo Input'!F676)*VLOOKUP(B676,AmmoTypeFactors,7,FALSE)*0.5)^2*PI()/100</f>
        <v>0.502654824574367</v>
      </c>
      <c r="H676" s="10">
        <f t="shared" si="24"/>
        <v>3.02</v>
      </c>
      <c r="I676" s="10">
        <f>IF(B676&lt;&gt;"Arrow (Flaming)",39493.49*'Ammo Input'!M676^0.6/1000,0)</f>
        <v>0</v>
      </c>
      <c r="J676">
        <f t="shared" si="25"/>
        <v>0</v>
      </c>
      <c r="K676">
        <f t="shared" si="26"/>
        <v>3</v>
      </c>
      <c r="L676">
        <f>200000/('Ammo Stats'!C676*(MAX('Ammo Input'!D676,'Ammo Input'!F676)*0.5)^2*PI())</f>
        <v>49735.9197162173</v>
      </c>
      <c r="M676">
        <f>IF(B676="Frag",1,('Ammo Input'!M676/1.33)/('Ammo Input'!H676/1000))</f>
        <v>0</v>
      </c>
      <c r="N676" t="s">
        <v>353</v>
      </c>
      <c r="O676" t="s">
        <v>353</v>
      </c>
      <c r="P676" s="3">
        <f>(39493.49*(IF((VLOOKUP(B676,AmmoTypeFactors,6,FALSE)="Bomb_Secondary"),1.33,1)*('Ammo Input'!H676*0.35)/1000)^0.6/1000)*10/3*VLOOKUP(B676,AmmoTypeFactors,4,FALSE)</f>
        <v>0</v>
      </c>
    </row>
    <row r="677" ht="14.4" spans="1:16">
      <c r="A677" t="str">
        <f>'Ammo Input'!A677</f>
        <v>Arrow</v>
      </c>
      <c r="B677" s="1" t="str">
        <f>'Ammo Input'!B677</f>
        <v>Arrow (Flaming)</v>
      </c>
      <c r="C677">
        <f>(0.579*('Ammo Stats'!G677*IF(OR(B677="HEAT",B677="HEDP"),10,'Ammo Input'!F677)*VLOOKUP(B677,AmmoTypeFactors,7,FALSE))^(0.346))^IF(B677="HEDP",2.1,1)/IF(B677="HEDP",50,1)</f>
        <v>5.29564539521251</v>
      </c>
      <c r="D677" s="16">
        <f>IF(VLOOKUP(B677,AmmoTypeFactors,8,FALSE),J677,C677)*VLOOKUP('Ammo Input'!B677,AmmoTypeFactors,2,FALSE)</f>
        <v>2.64782269760625</v>
      </c>
      <c r="E677" s="16">
        <f>IF(OR(VLOOKUP(B677,AmmoTypeFactors,6,FALSE)="Bomb",VLOOKUP(B677,AmmoTypeFactors,6,FALSE)="Thermobaric"),J677*VLOOKUP(B677,AmmoTypeFactors,4,FALSE),IF(VLOOKUP(B677,AmmoTypeFactors,11,FALSE),P677,C677*VLOOKUP(B677,AmmoTypeFactors,4,FALSE)))</f>
        <v>0</v>
      </c>
      <c r="F677" s="16">
        <f>'Ammo Stats'!G677/0.005</f>
        <v>15000</v>
      </c>
      <c r="G677" s="16">
        <f>(IF(B677="HEAT",10,'Ammo Input'!F677)*VLOOKUP(B677,AmmoTypeFactors,7,FALSE)*0.5)^2*PI()/100</f>
        <v>0.502654824574367</v>
      </c>
      <c r="H677" s="10">
        <f t="shared" si="24"/>
        <v>1.5</v>
      </c>
      <c r="I677" s="10">
        <f>IF(B677&lt;&gt;"Arrow (Flaming)",39493.49*'Ammo Input'!M677^0.6/1000,0)</f>
        <v>0</v>
      </c>
      <c r="J677">
        <f t="shared" si="25"/>
        <v>0</v>
      </c>
      <c r="K677">
        <f t="shared" si="26"/>
        <v>2</v>
      </c>
      <c r="L677">
        <f>200000/('Ammo Stats'!C677*(MAX('Ammo Input'!D677,'Ammo Input'!F677)*0.5)^2*PI())</f>
        <v>49735.9197162173</v>
      </c>
      <c r="M677">
        <f>IF(B677="Frag",1,('Ammo Input'!M677/1.33)/('Ammo Input'!H677/1000))</f>
        <v>0.0341763499658237</v>
      </c>
      <c r="N677" t="s">
        <v>353</v>
      </c>
      <c r="O677" t="s">
        <v>353</v>
      </c>
      <c r="P677" s="3">
        <f>(39493.49*(IF((VLOOKUP(B677,AmmoTypeFactors,6,FALSE)="Bomb_Secondary"),1.33,1)*('Ammo Input'!H677*0.35)/1000)^0.6/1000)*10/3*VLOOKUP(B677,AmmoTypeFactors,4,FALSE)</f>
        <v>0</v>
      </c>
    </row>
    <row r="678" ht="14.4" spans="1:16">
      <c r="A678" t="str">
        <f>'Ammo Input'!A678</f>
        <v>Streamlined Arrow</v>
      </c>
      <c r="B678" s="1" t="str">
        <f>'Ammo Input'!B678</f>
        <v>Arrow (Stone)</v>
      </c>
      <c r="C678">
        <f>(0.579*('Ammo Stats'!G678*IF(OR(B678="HEAT",B678="HEDP"),10,'Ammo Input'!F678)*VLOOKUP(B678,AmmoTypeFactors,7,FALSE))^(0.346))^IF(B678="HEDP",2.1,1)/IF(B678="HEDP",50,1)</f>
        <v>7.08561806849486</v>
      </c>
      <c r="D678" s="16">
        <f>IF(VLOOKUP(B678,AmmoTypeFactors,8,FALSE),J678,C678)*VLOOKUP('Ammo Input'!B678,AmmoTypeFactors,2,FALSE)</f>
        <v>7.08561806849486</v>
      </c>
      <c r="E678" s="16">
        <f>IF(OR(VLOOKUP(B678,AmmoTypeFactors,6,FALSE)="Bomb",VLOOKUP(B678,AmmoTypeFactors,6,FALSE)="Thermobaric"),J678*VLOOKUP(B678,AmmoTypeFactors,4,FALSE),IF(VLOOKUP(B678,AmmoTypeFactors,11,FALSE),P678,C678*VLOOKUP(B678,AmmoTypeFactors,4,FALSE)))</f>
        <v>0</v>
      </c>
      <c r="F678" s="16">
        <f>'Ammo Stats'!G678/0.005</f>
        <v>17400</v>
      </c>
      <c r="G678" s="16">
        <f>(IF(B678="HEAT",10,'Ammo Input'!F678)*VLOOKUP(B678,AmmoTypeFactors,7,FALSE)*0.5)^2*PI()/100</f>
        <v>2.01061929829747</v>
      </c>
      <c r="H678" s="10">
        <f t="shared" si="24"/>
        <v>1.74</v>
      </c>
      <c r="I678" s="10">
        <f>IF(B678&lt;&gt;"Arrow (Flaming)",39493.49*'Ammo Input'!M678^0.6/1000,0)</f>
        <v>0</v>
      </c>
      <c r="J678">
        <f t="shared" si="25"/>
        <v>0</v>
      </c>
      <c r="K678">
        <f t="shared" si="26"/>
        <v>3</v>
      </c>
      <c r="L678">
        <f>200000/('Ammo Stats'!C678*(MAX('Ammo Input'!D678,'Ammo Input'!F678)*0.5)^2*PI())</f>
        <v>49735.9197162173</v>
      </c>
      <c r="M678">
        <f>IF(B678="Frag",1,('Ammo Input'!M678/1.33)/('Ammo Input'!H678/1000))</f>
        <v>0</v>
      </c>
      <c r="N678" t="s">
        <v>353</v>
      </c>
      <c r="O678" t="s">
        <v>353</v>
      </c>
      <c r="P678" s="3">
        <f>(39493.49*(IF((VLOOKUP(B678,AmmoTypeFactors,6,FALSE)="Bomb_Secondary"),1.33,1)*('Ammo Input'!H678*0.35)/1000)^0.6/1000)*10/3*VLOOKUP(B678,AmmoTypeFactors,4,FALSE)</f>
        <v>0</v>
      </c>
    </row>
    <row r="679" ht="14.4" spans="1:16">
      <c r="A679" t="str">
        <f>'Ammo Input'!A679</f>
        <v>Streamlined Arrow</v>
      </c>
      <c r="B679" s="1" t="str">
        <f>'Ammo Input'!B679</f>
        <v>Arrow (Steel)</v>
      </c>
      <c r="C679">
        <f>(0.579*('Ammo Stats'!G679*IF(OR(B679="HEAT",B679="HEDP"),10,'Ammo Input'!F679)*VLOOKUP(B679,AmmoTypeFactors,7,FALSE))^(0.346))^IF(B679="HEDP",2.1,1)/IF(B679="HEDP",50,1)</f>
        <v>8.50562275428746</v>
      </c>
      <c r="D679" s="16">
        <f>IF(VLOOKUP(B679,AmmoTypeFactors,8,FALSE),J679,C679)*VLOOKUP('Ammo Input'!B679,AmmoTypeFactors,2,FALSE)</f>
        <v>8.50562275428746</v>
      </c>
      <c r="E679" s="16">
        <f>IF(OR(VLOOKUP(B679,AmmoTypeFactors,6,FALSE)="Bomb",VLOOKUP(B679,AmmoTypeFactors,6,FALSE)="Thermobaric"),J679*VLOOKUP(B679,AmmoTypeFactors,4,FALSE),IF(VLOOKUP(B679,AmmoTypeFactors,11,FALSE),P679,C679*VLOOKUP(B679,AmmoTypeFactors,4,FALSE)))</f>
        <v>0</v>
      </c>
      <c r="F679" s="16">
        <f>'Ammo Stats'!G679/0.005</f>
        <v>59000</v>
      </c>
      <c r="G679" s="16">
        <f>(IF(B679="HEAT",10,'Ammo Input'!F679)*VLOOKUP(B679,AmmoTypeFactors,7,FALSE)*0.5)^2*PI()/100</f>
        <v>0.502654824574367</v>
      </c>
      <c r="H679" s="10">
        <f t="shared" si="24"/>
        <v>5.9</v>
      </c>
      <c r="I679" s="10">
        <f>IF(B679&lt;&gt;"Arrow (Flaming)",39493.49*'Ammo Input'!M679^0.6/1000,0)</f>
        <v>0</v>
      </c>
      <c r="J679">
        <f t="shared" si="25"/>
        <v>0</v>
      </c>
      <c r="K679">
        <f t="shared" si="26"/>
        <v>4</v>
      </c>
      <c r="L679">
        <f>200000/('Ammo Stats'!C679*(MAX('Ammo Input'!D679,'Ammo Input'!F679)*0.5)^2*PI())</f>
        <v>49735.9197162173</v>
      </c>
      <c r="M679">
        <f>IF(B679="Frag",1,('Ammo Input'!M679/1.33)/('Ammo Input'!H679/1000))</f>
        <v>0</v>
      </c>
      <c r="N679" t="s">
        <v>353</v>
      </c>
      <c r="O679" t="s">
        <v>353</v>
      </c>
      <c r="P679" s="3">
        <f>(39493.49*(IF((VLOOKUP(B679,AmmoTypeFactors,6,FALSE)="Bomb_Secondary"),1.33,1)*('Ammo Input'!H679*0.35)/1000)^0.6/1000)*10/3*VLOOKUP(B679,AmmoTypeFactors,4,FALSE)</f>
        <v>0</v>
      </c>
    </row>
    <row r="680" ht="14.4" spans="1:16">
      <c r="A680" t="str">
        <f>'Ammo Input'!A680</f>
        <v>Streamlined Arrow</v>
      </c>
      <c r="B680" s="1" t="str">
        <f>'Ammo Input'!B680</f>
        <v>Arrow (Plasteel)</v>
      </c>
      <c r="C680">
        <f>(0.579*('Ammo Stats'!G680*IF(OR(B680="HEAT",B680="HEDP"),10,'Ammo Input'!F680)*VLOOKUP(B680,AmmoTypeFactors,7,FALSE))^(0.346))^IF(B680="HEDP",2.1,1)/IF(B680="HEDP",50,1)</f>
        <v>5.45014719745345</v>
      </c>
      <c r="D680" s="16">
        <f>IF(VLOOKUP(B680,AmmoTypeFactors,8,FALSE),J680,C680)*VLOOKUP('Ammo Input'!B680,AmmoTypeFactors,2,FALSE)</f>
        <v>5.45014719745345</v>
      </c>
      <c r="E680" s="16">
        <f>IF(OR(VLOOKUP(B680,AmmoTypeFactors,6,FALSE)="Bomb",VLOOKUP(B680,AmmoTypeFactors,6,FALSE)="Thermobaric"),J680*VLOOKUP(B680,AmmoTypeFactors,4,FALSE),IF(VLOOKUP(B680,AmmoTypeFactors,11,FALSE),P680,C680*VLOOKUP(B680,AmmoTypeFactors,4,FALSE)))</f>
        <v>0</v>
      </c>
      <c r="F680" s="16">
        <f>'Ammo Stats'!G680/0.005</f>
        <v>32600</v>
      </c>
      <c r="G680" s="16">
        <f>(IF(B680="HEAT",10,'Ammo Input'!F680)*VLOOKUP(B680,AmmoTypeFactors,7,FALSE)*0.5)^2*PI()/100</f>
        <v>0.125663706143592</v>
      </c>
      <c r="H680" s="10">
        <f t="shared" si="24"/>
        <v>3.26</v>
      </c>
      <c r="I680" s="10">
        <f>IF(B680&lt;&gt;"Arrow (Flaming)",39493.49*'Ammo Input'!M680^0.6/1000,0)</f>
        <v>0</v>
      </c>
      <c r="J680">
        <f t="shared" si="25"/>
        <v>0</v>
      </c>
      <c r="K680">
        <f t="shared" si="26"/>
        <v>3</v>
      </c>
      <c r="L680">
        <f>200000/('Ammo Stats'!C680*(MAX('Ammo Input'!D680,'Ammo Input'!F680)*0.5)^2*PI())</f>
        <v>49735.9197162173</v>
      </c>
      <c r="M680">
        <f>IF(B680="Frag",1,('Ammo Input'!M680/1.33)/('Ammo Input'!H680/1000))</f>
        <v>0</v>
      </c>
      <c r="N680" t="s">
        <v>353</v>
      </c>
      <c r="O680" t="s">
        <v>353</v>
      </c>
      <c r="P680" s="3">
        <f>(39493.49*(IF((VLOOKUP(B680,AmmoTypeFactors,6,FALSE)="Bomb_Secondary"),1.33,1)*('Ammo Input'!H680*0.35)/1000)^0.6/1000)*10/3*VLOOKUP(B680,AmmoTypeFactors,4,FALSE)</f>
        <v>0</v>
      </c>
    </row>
    <row r="681" ht="14.4" spans="1:16">
      <c r="A681" t="str">
        <f>'Ammo Input'!A681</f>
        <v>Streamlined Arrow</v>
      </c>
      <c r="B681" s="1" t="str">
        <f>'Ammo Input'!B681</f>
        <v>Arrow (Venom)</v>
      </c>
      <c r="C681">
        <f>(0.579*('Ammo Stats'!G681*IF(OR(B681="HEAT",B681="HEDP"),10,'Ammo Input'!F681)*VLOOKUP(B681,AmmoTypeFactors,7,FALSE))^(0.346))^IF(B681="HEDP",2.1,1)/IF(B681="HEDP",50,1)</f>
        <v>8.50562275428746</v>
      </c>
      <c r="D681" s="16">
        <f>IF(VLOOKUP(B681,AmmoTypeFactors,8,FALSE),J681,C681)*VLOOKUP('Ammo Input'!B681,AmmoTypeFactors,2,FALSE)</f>
        <v>8.50562275428746</v>
      </c>
      <c r="E681" s="16">
        <f>IF(OR(VLOOKUP(B681,AmmoTypeFactors,6,FALSE)="Bomb",VLOOKUP(B681,AmmoTypeFactors,6,FALSE)="Thermobaric"),J681*VLOOKUP(B681,AmmoTypeFactors,4,FALSE),IF(VLOOKUP(B681,AmmoTypeFactors,11,FALSE),P681,C681*VLOOKUP(B681,AmmoTypeFactors,4,FALSE)))</f>
        <v>0</v>
      </c>
      <c r="F681" s="16">
        <f>'Ammo Stats'!G681/0.005</f>
        <v>59000</v>
      </c>
      <c r="G681" s="16">
        <f>(IF(B681="HEAT",10,'Ammo Input'!F681)*VLOOKUP(B681,AmmoTypeFactors,7,FALSE)*0.5)^2*PI()/100</f>
        <v>0.502654824574367</v>
      </c>
      <c r="H681" s="10">
        <f t="shared" si="24"/>
        <v>5.9</v>
      </c>
      <c r="I681" s="10">
        <f>IF(B681&lt;&gt;"Arrow (Flaming)",39493.49*'Ammo Input'!M681^0.6/1000,0)</f>
        <v>0</v>
      </c>
      <c r="J681">
        <f t="shared" si="25"/>
        <v>0</v>
      </c>
      <c r="K681">
        <f t="shared" si="26"/>
        <v>4</v>
      </c>
      <c r="L681">
        <f>200000/('Ammo Stats'!C681*(MAX('Ammo Input'!D681,'Ammo Input'!F681)*0.5)^2*PI())</f>
        <v>49735.9197162173</v>
      </c>
      <c r="M681">
        <f>IF(B681="Frag",1,('Ammo Input'!M681/1.33)/('Ammo Input'!H681/1000))</f>
        <v>0</v>
      </c>
      <c r="N681" t="s">
        <v>353</v>
      </c>
      <c r="O681" t="s">
        <v>353</v>
      </c>
      <c r="P681" s="3">
        <f>(39493.49*(IF((VLOOKUP(B681,AmmoTypeFactors,6,FALSE)="Bomb_Secondary"),1.33,1)*('Ammo Input'!H681*0.35)/1000)^0.6/1000)*10/3*VLOOKUP(B681,AmmoTypeFactors,4,FALSE)</f>
        <v>0</v>
      </c>
    </row>
    <row r="682" ht="14.4" spans="1:16">
      <c r="A682" t="str">
        <f>'Ammo Input'!A682</f>
        <v>Streamlined Arrow</v>
      </c>
      <c r="B682" s="1" t="str">
        <f>'Ammo Input'!B682</f>
        <v>Arrow (Flaming)</v>
      </c>
      <c r="C682">
        <f>(0.579*('Ammo Stats'!G682*IF(OR(B682="HEAT",B682="HEDP"),10,'Ammo Input'!F682)*VLOOKUP(B682,AmmoTypeFactors,7,FALSE))^(0.346))^IF(B682="HEDP",2.1,1)/IF(B682="HEDP",50,1)</f>
        <v>6.69974468352634</v>
      </c>
      <c r="D682" s="16">
        <f>IF(VLOOKUP(B682,AmmoTypeFactors,8,FALSE),J682,C682)*VLOOKUP('Ammo Input'!B682,AmmoTypeFactors,2,FALSE)</f>
        <v>3.34987234176317</v>
      </c>
      <c r="E682" s="16">
        <f>IF(OR(VLOOKUP(B682,AmmoTypeFactors,6,FALSE)="Bomb",VLOOKUP(B682,AmmoTypeFactors,6,FALSE)="Thermobaric"),J682*VLOOKUP(B682,AmmoTypeFactors,4,FALSE),IF(VLOOKUP(B682,AmmoTypeFactors,11,FALSE),P682,C682*VLOOKUP(B682,AmmoTypeFactors,4,FALSE)))</f>
        <v>0</v>
      </c>
      <c r="F682" s="16">
        <f>'Ammo Stats'!G682/0.005</f>
        <v>29600</v>
      </c>
      <c r="G682" s="16">
        <f>(IF(B682="HEAT",10,'Ammo Input'!F682)*VLOOKUP(B682,AmmoTypeFactors,7,FALSE)*0.5)^2*PI()/100</f>
        <v>0.502654824574367</v>
      </c>
      <c r="H682" s="10">
        <f t="shared" si="24"/>
        <v>2.96</v>
      </c>
      <c r="I682" s="10">
        <f>IF(B682&lt;&gt;"Arrow (Flaming)",39493.49*'Ammo Input'!M682^0.6/1000,0)</f>
        <v>0</v>
      </c>
      <c r="J682">
        <f t="shared" si="25"/>
        <v>0</v>
      </c>
      <c r="K682">
        <f t="shared" si="26"/>
        <v>3</v>
      </c>
      <c r="L682">
        <f>200000/('Ammo Stats'!C682*(MAX('Ammo Input'!D682,'Ammo Input'!F682)*0.5)^2*PI())</f>
        <v>49735.9197162173</v>
      </c>
      <c r="M682">
        <f>IF(B682="Frag",1,('Ammo Input'!M682/1.33)/('Ammo Input'!H682/1000))</f>
        <v>0.0341763499658237</v>
      </c>
      <c r="N682" t="s">
        <v>353</v>
      </c>
      <c r="O682" t="s">
        <v>353</v>
      </c>
      <c r="P682" s="3">
        <f>(39493.49*(IF((VLOOKUP(B682,AmmoTypeFactors,6,FALSE)="Bomb_Secondary"),1.33,1)*('Ammo Input'!H682*0.35)/1000)^0.6/1000)*10/3*VLOOKUP(B682,AmmoTypeFactors,4,FALSE)</f>
        <v>0</v>
      </c>
    </row>
    <row r="683" ht="14.4" spans="1:16">
      <c r="A683" t="str">
        <f>'Ammo Input'!A683</f>
        <v>Great Arrow</v>
      </c>
      <c r="B683" s="1" t="str">
        <f>'Ammo Input'!B683</f>
        <v>Arrow (Stone)</v>
      </c>
      <c r="C683">
        <f>(0.579*('Ammo Stats'!G683*IF(OR(B683="HEAT",B683="HEDP"),10,'Ammo Input'!F683)*VLOOKUP(B683,AmmoTypeFactors,7,FALSE))^(0.346))^IF(B683="HEDP",2.1,1)/IF(B683="HEDP",50,1)</f>
        <v>8.24632338773747</v>
      </c>
      <c r="D683" s="16">
        <f>IF(VLOOKUP(B683,AmmoTypeFactors,8,FALSE),J683,C683)*VLOOKUP('Ammo Input'!B683,AmmoTypeFactors,2,FALSE)</f>
        <v>8.24632338773747</v>
      </c>
      <c r="E683" s="16">
        <f>IF(OR(VLOOKUP(B683,AmmoTypeFactors,6,FALSE)="Bomb",VLOOKUP(B683,AmmoTypeFactors,6,FALSE)="Thermobaric"),J683*VLOOKUP(B683,AmmoTypeFactors,4,FALSE),IF(VLOOKUP(B683,AmmoTypeFactors,11,FALSE),P683,C683*VLOOKUP(B683,AmmoTypeFactors,4,FALSE)))</f>
        <v>0</v>
      </c>
      <c r="F683" s="16">
        <f>'Ammo Stats'!G683/0.005</f>
        <v>16600</v>
      </c>
      <c r="G683" s="16">
        <f>(IF(B683="HEAT",10,'Ammo Input'!F683)*VLOOKUP(B683,AmmoTypeFactors,7,FALSE)*0.5)^2*PI()/100</f>
        <v>5.30929158456675</v>
      </c>
      <c r="H683" s="10">
        <f t="shared" si="24"/>
        <v>1.66</v>
      </c>
      <c r="I683" s="10">
        <f>IF(B683&lt;&gt;"Arrow (Flaming)",39493.49*'Ammo Input'!M683^0.6/1000,0)</f>
        <v>0</v>
      </c>
      <c r="J683">
        <f t="shared" si="25"/>
        <v>0</v>
      </c>
      <c r="K683">
        <f t="shared" si="26"/>
        <v>3</v>
      </c>
      <c r="L683">
        <f>200000/('Ammo Stats'!C683*(MAX('Ammo Input'!D683,'Ammo Input'!F683)*0.5)^2*PI())</f>
        <v>4708.72612697915</v>
      </c>
      <c r="M683">
        <f>IF(B683="Frag",1,('Ammo Input'!M683/1.33)/('Ammo Input'!H683/1000))</f>
        <v>0</v>
      </c>
      <c r="N683" t="s">
        <v>353</v>
      </c>
      <c r="O683" t="s">
        <v>353</v>
      </c>
      <c r="P683" s="3">
        <f>(39493.49*(IF((VLOOKUP(B683,AmmoTypeFactors,6,FALSE)="Bomb_Secondary"),1.33,1)*('Ammo Input'!H683*0.35)/1000)^0.6/1000)*10/3*VLOOKUP(B683,AmmoTypeFactors,4,FALSE)</f>
        <v>0</v>
      </c>
    </row>
    <row r="684" ht="14.4" spans="1:16">
      <c r="A684" t="str">
        <f>'Ammo Input'!A684</f>
        <v>Great Arrow</v>
      </c>
      <c r="B684" s="1" t="str">
        <f>'Ammo Input'!B684</f>
        <v>Arrow (Steel)</v>
      </c>
      <c r="C684">
        <f>(0.579*('Ammo Stats'!G684*IF(OR(B684="HEAT",B684="HEDP"),10,'Ammo Input'!F684)*VLOOKUP(B684,AmmoTypeFactors,7,FALSE))^(0.346))^IF(B684="HEDP",2.1,1)/IF(B684="HEDP",50,1)</f>
        <v>7.30626250447004</v>
      </c>
      <c r="D684" s="16">
        <f>IF(VLOOKUP(B684,AmmoTypeFactors,8,FALSE),J684,C684)*VLOOKUP('Ammo Input'!B684,AmmoTypeFactors,2,FALSE)</f>
        <v>7.30626250447004</v>
      </c>
      <c r="E684" s="16">
        <f>IF(OR(VLOOKUP(B684,AmmoTypeFactors,6,FALSE)="Bomb",VLOOKUP(B684,AmmoTypeFactors,6,FALSE)="Thermobaric"),J684*VLOOKUP(B684,AmmoTypeFactors,4,FALSE),IF(VLOOKUP(B684,AmmoTypeFactors,11,FALSE),P684,C684*VLOOKUP(B684,AmmoTypeFactors,4,FALSE)))</f>
        <v>0</v>
      </c>
      <c r="F684" s="16">
        <f>'Ammo Stats'!G684/0.005</f>
        <v>23400</v>
      </c>
      <c r="G684" s="16">
        <f>(IF(B684="HEAT",10,'Ammo Input'!F684)*VLOOKUP(B684,AmmoTypeFactors,7,FALSE)*0.5)^2*PI()/100</f>
        <v>1.32732289614169</v>
      </c>
      <c r="H684" s="10">
        <f t="shared" si="24"/>
        <v>2.34</v>
      </c>
      <c r="I684" s="10">
        <f>IF(B684&lt;&gt;"Arrow (Flaming)",39493.49*'Ammo Input'!M684^0.6/1000,0)</f>
        <v>0</v>
      </c>
      <c r="J684">
        <f t="shared" si="25"/>
        <v>0</v>
      </c>
      <c r="K684">
        <f t="shared" si="26"/>
        <v>3</v>
      </c>
      <c r="L684">
        <f>200000/('Ammo Stats'!C684*(MAX('Ammo Input'!D684,'Ammo Input'!F684)*0.5)^2*PI())</f>
        <v>4708.72612697915</v>
      </c>
      <c r="M684">
        <f>IF(B684="Frag",1,('Ammo Input'!M684/1.33)/('Ammo Input'!H684/1000))</f>
        <v>0</v>
      </c>
      <c r="N684" t="s">
        <v>353</v>
      </c>
      <c r="O684" t="s">
        <v>353</v>
      </c>
      <c r="P684" s="3">
        <f>(39493.49*(IF((VLOOKUP(B684,AmmoTypeFactors,6,FALSE)="Bomb_Secondary"),1.33,1)*('Ammo Input'!H684*0.35)/1000)^0.6/1000)*10/3*VLOOKUP(B684,AmmoTypeFactors,4,FALSE)</f>
        <v>0</v>
      </c>
    </row>
    <row r="685" ht="14.4" spans="1:16">
      <c r="A685" t="str">
        <f>'Ammo Input'!A685</f>
        <v>Great Arrow</v>
      </c>
      <c r="B685" s="1" t="str">
        <f>'Ammo Input'!B685</f>
        <v>Arrow (Plasteel)</v>
      </c>
      <c r="C685">
        <f>(0.579*('Ammo Stats'!G685*IF(OR(B685="HEAT",B685="HEDP"),10,'Ammo Input'!F685)*VLOOKUP(B685,AmmoTypeFactors,7,FALSE))^(0.346))^IF(B685="HEDP",2.1,1)/IF(B685="HEDP",50,1)</f>
        <v>5.57331220784388</v>
      </c>
      <c r="D685" s="16">
        <f>IF(VLOOKUP(B685,AmmoTypeFactors,8,FALSE),J685,C685)*VLOOKUP('Ammo Input'!B685,AmmoTypeFactors,2,FALSE)</f>
        <v>5.57331220784388</v>
      </c>
      <c r="E685" s="16">
        <f>IF(OR(VLOOKUP(B685,AmmoTypeFactors,6,FALSE)="Bomb",VLOOKUP(B685,AmmoTypeFactors,6,FALSE)="Thermobaric"),J685*VLOOKUP(B685,AmmoTypeFactors,4,FALSE),IF(VLOOKUP(B685,AmmoTypeFactors,11,FALSE),P685,C685*VLOOKUP(B685,AmmoTypeFactors,4,FALSE)))</f>
        <v>0</v>
      </c>
      <c r="F685" s="16">
        <f>'Ammo Stats'!G685/0.005</f>
        <v>21400</v>
      </c>
      <c r="G685" s="16">
        <f>(IF(B685="HEAT",10,'Ammo Input'!F685)*VLOOKUP(B685,AmmoTypeFactors,7,FALSE)*0.5)^2*PI()/100</f>
        <v>0.331830724035422</v>
      </c>
      <c r="H685" s="10">
        <f t="shared" si="24"/>
        <v>2.14</v>
      </c>
      <c r="I685" s="10">
        <f>IF(B685&lt;&gt;"Arrow (Flaming)",39493.49*'Ammo Input'!M685^0.6/1000,0)</f>
        <v>0</v>
      </c>
      <c r="J685">
        <f t="shared" si="25"/>
        <v>0</v>
      </c>
      <c r="K685">
        <f t="shared" si="26"/>
        <v>3</v>
      </c>
      <c r="L685">
        <f>200000/('Ammo Stats'!C685*(MAX('Ammo Input'!D685,'Ammo Input'!F685)*0.5)^2*PI())</f>
        <v>4708.72612697915</v>
      </c>
      <c r="M685">
        <f>IF(B685="Frag",1,('Ammo Input'!M685/1.33)/('Ammo Input'!H685/1000))</f>
        <v>0</v>
      </c>
      <c r="N685" t="s">
        <v>353</v>
      </c>
      <c r="O685" t="s">
        <v>353</v>
      </c>
      <c r="P685" s="3">
        <f>(39493.49*(IF((VLOOKUP(B685,AmmoTypeFactors,6,FALSE)="Bomb_Secondary"),1.33,1)*('Ammo Input'!H685*0.35)/1000)^0.6/1000)*10/3*VLOOKUP(B685,AmmoTypeFactors,4,FALSE)</f>
        <v>0</v>
      </c>
    </row>
    <row r="686" ht="14.4" spans="1:16">
      <c r="A686" t="str">
        <f>'Ammo Input'!A686</f>
        <v>Great Arrow</v>
      </c>
      <c r="B686" s="1" t="str">
        <f>'Ammo Input'!B686</f>
        <v>Arrow (Venom)</v>
      </c>
      <c r="C686">
        <f>(0.579*('Ammo Stats'!G686*IF(OR(B686="HEAT",B686="HEDP"),10,'Ammo Input'!F686)*VLOOKUP(B686,AmmoTypeFactors,7,FALSE))^(0.346))^IF(B686="HEDP",2.1,1)/IF(B686="HEDP",50,1)</f>
        <v>7.30626250447004</v>
      </c>
      <c r="D686" s="16">
        <f>IF(VLOOKUP(B686,AmmoTypeFactors,8,FALSE),J686,C686)*VLOOKUP('Ammo Input'!B686,AmmoTypeFactors,2,FALSE)</f>
        <v>7.30626250447004</v>
      </c>
      <c r="E686" s="16">
        <f>IF(OR(VLOOKUP(B686,AmmoTypeFactors,6,FALSE)="Bomb",VLOOKUP(B686,AmmoTypeFactors,6,FALSE)="Thermobaric"),J686*VLOOKUP(B686,AmmoTypeFactors,4,FALSE),IF(VLOOKUP(B686,AmmoTypeFactors,11,FALSE),P686,C686*VLOOKUP(B686,AmmoTypeFactors,4,FALSE)))</f>
        <v>0</v>
      </c>
      <c r="F686" s="16">
        <f>'Ammo Stats'!G686/0.005</f>
        <v>23400</v>
      </c>
      <c r="G686" s="16">
        <f>(IF(B686="HEAT",10,'Ammo Input'!F686)*VLOOKUP(B686,AmmoTypeFactors,7,FALSE)*0.5)^2*PI()/100</f>
        <v>1.32732289614169</v>
      </c>
      <c r="H686" s="10">
        <f t="shared" si="24"/>
        <v>2.34</v>
      </c>
      <c r="I686" s="10">
        <f>IF(B686&lt;&gt;"Arrow (Flaming)",39493.49*'Ammo Input'!M686^0.6/1000,0)</f>
        <v>0</v>
      </c>
      <c r="J686">
        <f t="shared" si="25"/>
        <v>0</v>
      </c>
      <c r="K686">
        <f t="shared" si="26"/>
        <v>3</v>
      </c>
      <c r="L686">
        <f>200000/('Ammo Stats'!C686*(MAX('Ammo Input'!D686,'Ammo Input'!F686)*0.5)^2*PI())</f>
        <v>4708.72612697915</v>
      </c>
      <c r="M686">
        <f>IF(B686="Frag",1,('Ammo Input'!M686/1.33)/('Ammo Input'!H686/1000))</f>
        <v>0</v>
      </c>
      <c r="N686" t="s">
        <v>353</v>
      </c>
      <c r="O686" t="s">
        <v>353</v>
      </c>
      <c r="P686" s="3">
        <f>(39493.49*(IF((VLOOKUP(B686,AmmoTypeFactors,6,FALSE)="Bomb_Secondary"),1.33,1)*('Ammo Input'!H686*0.35)/1000)^0.6/1000)*10/3*VLOOKUP(B686,AmmoTypeFactors,4,FALSE)</f>
        <v>0</v>
      </c>
    </row>
    <row r="687" ht="14.4" spans="1:16">
      <c r="A687" t="str">
        <f>'Ammo Input'!A687</f>
        <v>Great Arrow</v>
      </c>
      <c r="B687" s="1" t="str">
        <f>'Ammo Input'!B687</f>
        <v>Arrow (Flaming)</v>
      </c>
      <c r="C687">
        <f>(0.579*('Ammo Stats'!G687*IF(OR(B687="HEAT",B687="HEDP"),10,'Ammo Input'!F687)*VLOOKUP(B687,AmmoTypeFactors,7,FALSE))^(0.346))^IF(B687="HEDP",2.1,1)/IF(B687="HEDP",50,1)</f>
        <v>5.76524489169509</v>
      </c>
      <c r="D687" s="16">
        <f>IF(VLOOKUP(B687,AmmoTypeFactors,8,FALSE),J687,C687)*VLOOKUP('Ammo Input'!B687,AmmoTypeFactors,2,FALSE)</f>
        <v>2.88262244584754</v>
      </c>
      <c r="E687" s="16">
        <f>IF(OR(VLOOKUP(B687,AmmoTypeFactors,6,FALSE)="Bomb",VLOOKUP(B687,AmmoTypeFactors,6,FALSE)="Thermobaric"),J687*VLOOKUP(B687,AmmoTypeFactors,4,FALSE),IF(VLOOKUP(B687,AmmoTypeFactors,11,FALSE),P687,C687*VLOOKUP(B687,AmmoTypeFactors,4,FALSE)))</f>
        <v>0</v>
      </c>
      <c r="F687" s="16">
        <f>'Ammo Stats'!G687/0.005</f>
        <v>11800</v>
      </c>
      <c r="G687" s="16">
        <f>(IF(B687="HEAT",10,'Ammo Input'!F687)*VLOOKUP(B687,AmmoTypeFactors,7,FALSE)*0.5)^2*PI()/100</f>
        <v>1.32732289614169</v>
      </c>
      <c r="H687" s="10">
        <f t="shared" si="24"/>
        <v>1.18</v>
      </c>
      <c r="I687" s="10">
        <f>IF(B687&lt;&gt;"Arrow (Flaming)",39493.49*'Ammo Input'!M687^0.6/1000,0)</f>
        <v>0</v>
      </c>
      <c r="J687">
        <f t="shared" si="25"/>
        <v>0</v>
      </c>
      <c r="K687">
        <f t="shared" si="26"/>
        <v>2</v>
      </c>
      <c r="L687">
        <f>200000/('Ammo Stats'!C687*(MAX('Ammo Input'!D687,'Ammo Input'!F687)*0.5)^2*PI())</f>
        <v>4708.72612697915</v>
      </c>
      <c r="M687">
        <f>IF(B687="Frag",1,('Ammo Input'!M687/1.33)/('Ammo Input'!H687/1000))</f>
        <v>0.0462695199537305</v>
      </c>
      <c r="N687" t="s">
        <v>353</v>
      </c>
      <c r="O687" t="s">
        <v>353</v>
      </c>
      <c r="P687" s="3">
        <f>(39493.49*(IF((VLOOKUP(B687,AmmoTypeFactors,6,FALSE)="Bomb_Secondary"),1.33,1)*('Ammo Input'!H687*0.35)/1000)^0.6/1000)*10/3*VLOOKUP(B687,AmmoTypeFactors,4,FALSE)</f>
        <v>0</v>
      </c>
    </row>
    <row r="688" ht="14.4" spans="1:16">
      <c r="A688" t="str">
        <f>'Ammo Input'!A688</f>
        <v>Javelin</v>
      </c>
      <c r="B688" s="1" t="str">
        <f>'Ammo Input'!B688</f>
        <v>Javelin</v>
      </c>
      <c r="C688">
        <f>(0.579*('Ammo Stats'!G688*IF(OR(B688="HEAT",B688="HEDP"),10,'Ammo Input'!F688)*VLOOKUP(B688,AmmoTypeFactors,7,FALSE))^(0.346))^IF(B688="HEDP",2.1,1)/IF(B688="HEDP",50,1)</f>
        <v>14.4328521096642</v>
      </c>
      <c r="D688" s="16">
        <f>IF(VLOOKUP(B688,AmmoTypeFactors,8,FALSE),J688,C688)*VLOOKUP('Ammo Input'!B688,AmmoTypeFactors,2,FALSE)</f>
        <v>14.4328521096642</v>
      </c>
      <c r="E688" s="16">
        <f>IF(OR(VLOOKUP(B688,AmmoTypeFactors,6,FALSE)="Bomb",VLOOKUP(B688,AmmoTypeFactors,6,FALSE)="Thermobaric"),J688*VLOOKUP(B688,AmmoTypeFactors,4,FALSE),IF(VLOOKUP(B688,AmmoTypeFactors,11,FALSE),P688,C688*VLOOKUP(B688,AmmoTypeFactors,4,FALSE)))</f>
        <v>0</v>
      </c>
      <c r="F688" s="16">
        <f>'Ammo Stats'!G688/0.005</f>
        <v>54400</v>
      </c>
      <c r="G688" s="16">
        <f>(IF(B688="HEAT",10,'Ammo Input'!F688)*VLOOKUP(B688,AmmoTypeFactors,7,FALSE)*0.5)^2*PI()/100</f>
        <v>12.5663706143592</v>
      </c>
      <c r="H688" s="10">
        <f t="shared" si="24"/>
        <v>5.44</v>
      </c>
      <c r="I688" s="10">
        <f>IF(B688&lt;&gt;"Arrow (Flaming)",39493.49*'Ammo Input'!M688^0.6/1000,0)</f>
        <v>0</v>
      </c>
      <c r="J688">
        <f t="shared" si="25"/>
        <v>0</v>
      </c>
      <c r="K688">
        <f t="shared" si="26"/>
        <v>4</v>
      </c>
      <c r="L688">
        <f>200000/('Ammo Stats'!C688*(MAX('Ammo Input'!D688,'Ammo Input'!F688)*0.5)^2*PI())</f>
        <v>21.1080826381824</v>
      </c>
      <c r="M688">
        <f>IF(B688="Frag",1,('Ammo Input'!M688/1.33)/('Ammo Input'!H688/1000))</f>
        <v>0</v>
      </c>
      <c r="N688" t="s">
        <v>353</v>
      </c>
      <c r="O688" t="s">
        <v>353</v>
      </c>
      <c r="P688" s="3">
        <f>(39493.49*(IF((VLOOKUP(B688,AmmoTypeFactors,6,FALSE)="Bomb_Secondary"),1.33,1)*('Ammo Input'!H688*0.35)/1000)^0.6/1000)*10/3*VLOOKUP(B688,AmmoTypeFactors,4,FALSE)</f>
        <v>0</v>
      </c>
    </row>
    <row r="689" ht="14.4" spans="1:16">
      <c r="A689" t="str">
        <f>'Ammo Input'!A689</f>
        <v>Javelin (Fired)</v>
      </c>
      <c r="B689" s="1" t="str">
        <f>'Ammo Input'!B689</f>
        <v>Javelin</v>
      </c>
      <c r="C689">
        <f>(0.579*('Ammo Stats'!G689*IF(OR(B689="HEAT",B689="HEDP"),10,'Ammo Input'!F689)*VLOOKUP(B689,AmmoTypeFactors,7,FALSE))^(0.346))^IF(B689="HEDP",2.1,1)/IF(B689="HEDP",50,1)</f>
        <v>44.5238372598625</v>
      </c>
      <c r="D689" s="16">
        <f>IF(VLOOKUP(B689,AmmoTypeFactors,8,FALSE),J689,C689)*VLOOKUP('Ammo Input'!B689,AmmoTypeFactors,2,FALSE)</f>
        <v>44.5238372598625</v>
      </c>
      <c r="E689" s="16">
        <f>IF(OR(VLOOKUP(B689,AmmoTypeFactors,6,FALSE)="Bomb",VLOOKUP(B689,AmmoTypeFactors,6,FALSE)="Thermobaric"),J689*VLOOKUP(B689,AmmoTypeFactors,4,FALSE),IF(VLOOKUP(B689,AmmoTypeFactors,11,FALSE),P689,C689*VLOOKUP(B689,AmmoTypeFactors,4,FALSE)))</f>
        <v>0</v>
      </c>
      <c r="F689" s="16">
        <f>'Ammo Stats'!G689/0.005</f>
        <v>1411200</v>
      </c>
      <c r="G689" s="16">
        <f>(IF(B689="HEAT",10,'Ammo Input'!F689)*VLOOKUP(B689,AmmoTypeFactors,7,FALSE)*0.5)^2*PI()/100</f>
        <v>12.5663706143592</v>
      </c>
      <c r="H689" s="10">
        <f t="shared" si="24"/>
        <v>141.12</v>
      </c>
      <c r="I689" s="10">
        <f>IF(B689&lt;&gt;"Arrow (Flaming)",39493.49*'Ammo Input'!M689^0.6/1000,0)</f>
        <v>0</v>
      </c>
      <c r="J689">
        <f t="shared" si="25"/>
        <v>0</v>
      </c>
      <c r="K689">
        <f t="shared" si="26"/>
        <v>11</v>
      </c>
      <c r="L689">
        <f>200000/('Ammo Stats'!C689*(MAX('Ammo Input'!D689,'Ammo Input'!F689)*0.5)^2*PI())</f>
        <v>21.1080826381824</v>
      </c>
      <c r="M689">
        <f>IF(B689="Frag",1,('Ammo Input'!M689/1.33)/('Ammo Input'!H689/1000))</f>
        <v>0</v>
      </c>
      <c r="N689" t="s">
        <v>353</v>
      </c>
      <c r="O689" t="s">
        <v>353</v>
      </c>
      <c r="P689" s="3">
        <f>(39493.49*(IF((VLOOKUP(B689,AmmoTypeFactors,6,FALSE)="Bomb_Secondary"),1.33,1)*('Ammo Input'!H689*0.35)/1000)^0.6/1000)*10/3*VLOOKUP(B689,AmmoTypeFactors,4,FALSE)</f>
        <v>0</v>
      </c>
    </row>
    <row r="690" ht="14.4" spans="1:16">
      <c r="A690" t="str">
        <f>'Ammo Input'!A690</f>
        <v>Sling Stone (Stone)</v>
      </c>
      <c r="B690" s="1" t="str">
        <f>'Ammo Input'!B690</f>
        <v>Sling Bullet (Stone)</v>
      </c>
      <c r="C690">
        <f>(0.579*('Ammo Stats'!G690*IF(OR(B690="HEAT",B690="HEDP"),10,'Ammo Input'!F690)*VLOOKUP(B690,AmmoTypeFactors,7,FALSE))^(0.346))^IF(B690="HEDP",2.1,1)/IF(B690="HEDP",50,1)</f>
        <v>5.29564539521251</v>
      </c>
      <c r="D690" s="16">
        <f>IF(VLOOKUP(B690,AmmoTypeFactors,8,FALSE),J690,C690)*VLOOKUP('Ammo Input'!B690,AmmoTypeFactors,2,FALSE)</f>
        <v>5.29564539521251</v>
      </c>
      <c r="E690" s="16">
        <f>IF(OR(VLOOKUP(B690,AmmoTypeFactors,6,FALSE)="Bomb",VLOOKUP(B690,AmmoTypeFactors,6,FALSE)="Thermobaric"),J690*VLOOKUP(B690,AmmoTypeFactors,4,FALSE),IF(VLOOKUP(B690,AmmoTypeFactors,11,FALSE),P690,C690*VLOOKUP(B690,AmmoTypeFactors,4,FALSE)))</f>
        <v>0</v>
      </c>
      <c r="F690" s="16">
        <f>'Ammo Stats'!G690/0.005</f>
        <v>6000</v>
      </c>
      <c r="G690" s="16">
        <f>(IF(B690="HEAT",10,'Ammo Input'!F690)*VLOOKUP(B690,AmmoTypeFactors,7,FALSE)*0.5)^2*PI()/100</f>
        <v>3.14159265358979</v>
      </c>
      <c r="H690" s="10">
        <f t="shared" si="24"/>
        <v>0.6</v>
      </c>
      <c r="I690" s="10">
        <f>IF(B690&lt;&gt;"Arrow (Flaming)",39493.49*'Ammo Input'!M690^0.6/1000,0)</f>
        <v>0</v>
      </c>
      <c r="J690">
        <f t="shared" si="25"/>
        <v>0</v>
      </c>
      <c r="K690">
        <f t="shared" si="26"/>
        <v>2</v>
      </c>
      <c r="L690">
        <f>200000/('Ammo Stats'!C690*(MAX('Ammo Input'!D690,'Ammo Input'!F690)*0.5)^2*PI())</f>
        <v>15915.4943091895</v>
      </c>
      <c r="M690">
        <f>IF(B690="Frag",1,('Ammo Input'!M690/1.33)/('Ammo Input'!H690/1000))</f>
        <v>0</v>
      </c>
      <c r="N690" t="s">
        <v>353</v>
      </c>
      <c r="O690" t="s">
        <v>353</v>
      </c>
      <c r="P690" s="3">
        <f>(39493.49*(IF((VLOOKUP(B690,AmmoTypeFactors,6,FALSE)="Bomb_Secondary"),1.33,1)*('Ammo Input'!H690*0.35)/1000)^0.6/1000)*10/3*VLOOKUP(B690,AmmoTypeFactors,4,FALSE)</f>
        <v>0</v>
      </c>
    </row>
    <row r="691" ht="14.4" spans="1:16">
      <c r="A691" t="str">
        <f>'Ammo Input'!A691</f>
        <v>Sling Stone (Steel)</v>
      </c>
      <c r="B691" s="1" t="str">
        <f>'Ammo Input'!B691</f>
        <v>Sling Bullet (Steel)</v>
      </c>
      <c r="C691">
        <f>(0.579*('Ammo Stats'!G691*IF(OR(B691="HEAT",B691="HEDP"),10,'Ammo Input'!F691)*VLOOKUP(B691,AmmoTypeFactors,7,FALSE))^(0.346))^IF(B691="HEDP",2.1,1)/IF(B691="HEDP",50,1)</f>
        <v>7.62379844996745</v>
      </c>
      <c r="D691" s="16">
        <f>IF(VLOOKUP(B691,AmmoTypeFactors,8,FALSE),J691,C691)*VLOOKUP('Ammo Input'!B691,AmmoTypeFactors,2,FALSE)</f>
        <v>7.62379844996745</v>
      </c>
      <c r="E691" s="16">
        <f>IF(OR(VLOOKUP(B691,AmmoTypeFactors,6,FALSE)="Bomb",VLOOKUP(B691,AmmoTypeFactors,6,FALSE)="Thermobaric"),J691*VLOOKUP(B691,AmmoTypeFactors,4,FALSE),IF(VLOOKUP(B691,AmmoTypeFactors,11,FALSE),P691,C691*VLOOKUP(B691,AmmoTypeFactors,4,FALSE)))</f>
        <v>0</v>
      </c>
      <c r="F691" s="16">
        <f>'Ammo Stats'!G691/0.005</f>
        <v>17200</v>
      </c>
      <c r="G691" s="16">
        <f>(IF(B691="HEAT",10,'Ammo Input'!F691)*VLOOKUP(B691,AmmoTypeFactors,7,FALSE)*0.5)^2*PI()/100</f>
        <v>3.14159265358979</v>
      </c>
      <c r="H691" s="10">
        <f t="shared" si="24"/>
        <v>1.72</v>
      </c>
      <c r="I691" s="10">
        <f>IF(B691&lt;&gt;"Arrow (Flaming)",39493.49*'Ammo Input'!M691^0.6/1000,0)</f>
        <v>0</v>
      </c>
      <c r="J691">
        <f t="shared" si="25"/>
        <v>0</v>
      </c>
      <c r="K691">
        <f t="shared" si="26"/>
        <v>3</v>
      </c>
      <c r="L691">
        <f>200000/('Ammo Stats'!C691*(MAX('Ammo Input'!D691,'Ammo Input'!F691)*0.5)^2*PI())</f>
        <v>15915.4943091895</v>
      </c>
      <c r="M691">
        <f>IF(B691="Frag",1,('Ammo Input'!M691/1.33)/('Ammo Input'!H691/1000))</f>
        <v>0</v>
      </c>
      <c r="N691" t="s">
        <v>353</v>
      </c>
      <c r="O691" t="s">
        <v>353</v>
      </c>
      <c r="P691" s="3">
        <f>(39493.49*(IF((VLOOKUP(B691,AmmoTypeFactors,6,FALSE)="Bomb_Secondary"),1.33,1)*('Ammo Input'!H691*0.35)/1000)^0.6/1000)*10/3*VLOOKUP(B691,AmmoTypeFactors,4,FALSE)</f>
        <v>0</v>
      </c>
    </row>
    <row r="692" ht="14.4" spans="1:16">
      <c r="A692" t="str">
        <f>'Ammo Input'!A692</f>
        <v>Musket Ball (Fast)</v>
      </c>
      <c r="B692" s="1" t="str">
        <f>'Ammo Input'!B692</f>
        <v>FMJ</v>
      </c>
      <c r="C692">
        <f>(0.579*('Ammo Stats'!G692*IF(OR(B692="HEAT",B692="HEDP"),10,'Ammo Input'!F692)*VLOOKUP(B692,AmmoTypeFactors,7,FALSE))^(0.346))^IF(B692="HEDP",2.1,1)/IF(B692="HEDP",50,1)</f>
        <v>25.5516118823738</v>
      </c>
      <c r="D692" s="16">
        <f>IF(VLOOKUP(B692,AmmoTypeFactors,8,FALSE),J692,C692)*VLOOKUP('Ammo Input'!B692,AmmoTypeFactors,2,FALSE)</f>
        <v>25.5516118823738</v>
      </c>
      <c r="E692" s="16">
        <f>IF(OR(VLOOKUP(B692,AmmoTypeFactors,6,FALSE)="Bomb",VLOOKUP(B692,AmmoTypeFactors,6,FALSE)="Thermobaric"),J692*VLOOKUP(B692,AmmoTypeFactors,4,FALSE),IF(VLOOKUP(B692,AmmoTypeFactors,11,FALSE),P692,C692*VLOOKUP(B692,AmmoTypeFactors,4,FALSE)))</f>
        <v>0</v>
      </c>
      <c r="F692" s="16">
        <f>'Ammo Stats'!G692/0.005</f>
        <v>648000</v>
      </c>
      <c r="G692" s="16">
        <f>(IF(B692="HEAT",10,'Ammo Input'!F692)*VLOOKUP(B692,AmmoTypeFactors,7,FALSE)*0.5)^2*PI()/100</f>
        <v>2.40528187540469</v>
      </c>
      <c r="H692" s="10">
        <f t="shared" si="24"/>
        <v>64.8</v>
      </c>
      <c r="I692" s="10">
        <f>IF(B692&lt;&gt;"Arrow (Flaming)",39493.49*'Ammo Input'!M692^0.6/1000,0)</f>
        <v>0</v>
      </c>
      <c r="J692">
        <f t="shared" si="25"/>
        <v>0</v>
      </c>
      <c r="K692">
        <f t="shared" si="26"/>
        <v>9</v>
      </c>
      <c r="L692">
        <f>200000/('Ammo Stats'!C692*(MAX('Ammo Input'!D692,'Ammo Input'!F692)*0.5)^2*PI())</f>
        <v>4384.43369399161</v>
      </c>
      <c r="M692">
        <f>IF(B692="Frag",1,('Ammo Input'!M692/1.33)/('Ammo Input'!H692/1000))</f>
        <v>0</v>
      </c>
      <c r="N692" t="s">
        <v>353</v>
      </c>
      <c r="O692" t="s">
        <v>353</v>
      </c>
      <c r="P692" s="3">
        <f>(39493.49*(IF((VLOOKUP(B692,AmmoTypeFactors,6,FALSE)="Bomb_Secondary"),1.33,1)*('Ammo Input'!H692*0.35)/1000)^0.6/1000)*10/3*VLOOKUP(B692,AmmoTypeFactors,4,FALSE)</f>
        <v>0</v>
      </c>
    </row>
    <row r="693" ht="14.4" spans="1:16">
      <c r="A693" t="str">
        <f>'Ammo Input'!A693</f>
        <v>Musket Ball (Slow)</v>
      </c>
      <c r="B693" s="1" t="str">
        <f>'Ammo Input'!B693</f>
        <v>FMJ</v>
      </c>
      <c r="C693">
        <f>(0.579*('Ammo Stats'!G693*IF(OR(B693="HEAT",B693="HEDP"),10,'Ammo Input'!F693)*VLOOKUP(B693,AmmoTypeFactors,7,FALSE))^(0.346))^IF(B693="HEDP",2.1,1)/IF(B693="HEDP",50,1)</f>
        <v>17.0125622989141</v>
      </c>
      <c r="D693" s="16">
        <f>IF(VLOOKUP(B693,AmmoTypeFactors,8,FALSE),J693,C693)*VLOOKUP('Ammo Input'!B693,AmmoTypeFactors,2,FALSE)</f>
        <v>17.0125622989141</v>
      </c>
      <c r="E693" s="16">
        <f>IF(OR(VLOOKUP(B693,AmmoTypeFactors,6,FALSE)="Bomb",VLOOKUP(B693,AmmoTypeFactors,6,FALSE)="Thermobaric"),J693*VLOOKUP(B693,AmmoTypeFactors,4,FALSE),IF(VLOOKUP(B693,AmmoTypeFactors,11,FALSE),P693,C693*VLOOKUP(B693,AmmoTypeFactors,4,FALSE)))</f>
        <v>0</v>
      </c>
      <c r="F693" s="16">
        <f>'Ammo Stats'!G693/0.005</f>
        <v>200000</v>
      </c>
      <c r="G693" s="16">
        <f>(IF(B693="HEAT",10,'Ammo Input'!F693)*VLOOKUP(B693,AmmoTypeFactors,7,FALSE)*0.5)^2*PI()/100</f>
        <v>2.40528187540469</v>
      </c>
      <c r="H693" s="10">
        <f t="shared" si="24"/>
        <v>20</v>
      </c>
      <c r="I693" s="10">
        <f>IF(B693&lt;&gt;"Arrow (Flaming)",39493.49*'Ammo Input'!M693^0.6/1000,0)</f>
        <v>0</v>
      </c>
      <c r="J693">
        <f t="shared" si="25"/>
        <v>0</v>
      </c>
      <c r="K693">
        <f t="shared" si="26"/>
        <v>6</v>
      </c>
      <c r="L693">
        <f>200000/('Ammo Stats'!C693*(MAX('Ammo Input'!D693,'Ammo Input'!F693)*0.5)^2*PI())</f>
        <v>4384.43369399161</v>
      </c>
      <c r="M693">
        <f>IF(B693="Frag",1,('Ammo Input'!M693/1.33)/('Ammo Input'!H693/1000))</f>
        <v>0</v>
      </c>
      <c r="N693" t="s">
        <v>353</v>
      </c>
      <c r="O693" t="s">
        <v>353</v>
      </c>
      <c r="P693" s="3">
        <f>(39493.49*(IF((VLOOKUP(B693,AmmoTypeFactors,6,FALSE)="Bomb_Secondary"),1.33,1)*('Ammo Input'!H693*0.35)/1000)^0.6/1000)*10/3*VLOOKUP(B693,AmmoTypeFactors,4,FALSE)</f>
        <v>0</v>
      </c>
    </row>
    <row r="694" ht="14.4" spans="1:16">
      <c r="A694" t="str">
        <f>'Ammo Input'!A694</f>
        <v>Blunderbuss Shot</v>
      </c>
      <c r="B694" s="1" t="str">
        <f>'Ammo Input'!B694</f>
        <v>Buck</v>
      </c>
      <c r="C694">
        <f>(0.579*('Ammo Stats'!G694*IF(OR(B694="HEAT",B694="HEDP"),10,'Ammo Input'!F694)*VLOOKUP(B694,AmmoTypeFactors,7,FALSE))^(0.346))^IF(B694="HEDP",2.1,1)/IF(B694="HEDP",50,1)</f>
        <v>6.94867938973752</v>
      </c>
      <c r="D694" s="16">
        <f>IF(VLOOKUP(B694,AmmoTypeFactors,8,FALSE),J694,C694)*VLOOKUP('Ammo Input'!B694,AmmoTypeFactors,2,FALSE)</f>
        <v>6.94867938973752</v>
      </c>
      <c r="E694" s="16">
        <f>IF(OR(VLOOKUP(B694,AmmoTypeFactors,6,FALSE)="Bomb",VLOOKUP(B694,AmmoTypeFactors,6,FALSE)="Thermobaric"),J694*VLOOKUP(B694,AmmoTypeFactors,4,FALSE),IF(VLOOKUP(B694,AmmoTypeFactors,11,FALSE),P694,C694*VLOOKUP(B694,AmmoTypeFactors,4,FALSE)))</f>
        <v>0</v>
      </c>
      <c r="F694" s="16">
        <f>'Ammo Stats'!G694/0.005</f>
        <v>31400</v>
      </c>
      <c r="G694" s="16">
        <f>(IF(B694="HEAT",10,'Ammo Input'!F694)*VLOOKUP(B694,AmmoTypeFactors,7,FALSE)*0.5)^2*PI()/100</f>
        <v>0.551541147856878</v>
      </c>
      <c r="H694" s="10">
        <f t="shared" si="24"/>
        <v>3.14</v>
      </c>
      <c r="I694" s="10">
        <f>IF(B694&lt;&gt;"Arrow (Flaming)",39493.49*'Ammo Input'!M694^0.6/1000,0)</f>
        <v>0</v>
      </c>
      <c r="J694">
        <f t="shared" si="25"/>
        <v>0</v>
      </c>
      <c r="K694">
        <f t="shared" si="26"/>
        <v>3</v>
      </c>
      <c r="L694">
        <f>200000/('Ammo Stats'!C694*(MAX('Ammo Input'!D694,'Ammo Input'!F694)*0.5)^2*PI())</f>
        <v>989.8849716114</v>
      </c>
      <c r="M694">
        <f>IF(B694="Frag",1,('Ammo Input'!M694/1.33)/('Ammo Input'!H694/1000))</f>
        <v>0</v>
      </c>
      <c r="N694" t="s">
        <v>353</v>
      </c>
      <c r="O694" t="s">
        <v>353</v>
      </c>
      <c r="P694" s="3">
        <f>(39493.49*(IF((VLOOKUP(B694,AmmoTypeFactors,6,FALSE)="Bomb_Secondary"),1.33,1)*('Ammo Input'!H694*0.35)/1000)^0.6/1000)*10/3*VLOOKUP(B694,AmmoTypeFactors,4,FALSE)</f>
        <v>0</v>
      </c>
    </row>
    <row r="695" ht="14.4" spans="1:16">
      <c r="A695" t="str">
        <f>'Ammo Input'!A695</f>
        <v>Mini Cannon Ball</v>
      </c>
      <c r="B695" s="1" t="str">
        <f>'Ammo Input'!B695</f>
        <v>FMJ</v>
      </c>
      <c r="C695">
        <f>(0.579*('Ammo Stats'!G695*IF(OR(B695="HEAT",B695="HEDP"),10,'Ammo Input'!F695)*VLOOKUP(B695,AmmoTypeFactors,7,FALSE))^(0.346))^IF(B695="HEDP",2.1,1)/IF(B695="HEDP",50,1)</f>
        <v>49.9405187470789</v>
      </c>
      <c r="D695" s="16">
        <f>IF(VLOOKUP(B695,AmmoTypeFactors,8,FALSE),J695,C695)*VLOOKUP('Ammo Input'!B695,AmmoTypeFactors,2,FALSE)</f>
        <v>49.9405187470789</v>
      </c>
      <c r="E695" s="16">
        <f>IF(OR(VLOOKUP(B695,AmmoTypeFactors,6,FALSE)="Bomb",VLOOKUP(B695,AmmoTypeFactors,6,FALSE)="Thermobaric"),J695*VLOOKUP(B695,AmmoTypeFactors,4,FALSE),IF(VLOOKUP(B695,AmmoTypeFactors,11,FALSE),P695,C695*VLOOKUP(B695,AmmoTypeFactors,4,FALSE)))</f>
        <v>0</v>
      </c>
      <c r="F695" s="16">
        <f>'Ammo Stats'!G695/0.005</f>
        <v>2070000</v>
      </c>
      <c r="G695" s="16">
        <f>(IF(B695="HEAT",10,'Ammo Input'!F695)*VLOOKUP(B695,AmmoTypeFactors,7,FALSE)*0.5)^2*PI()/100</f>
        <v>11.3411494794592</v>
      </c>
      <c r="H695" s="10">
        <f t="shared" si="24"/>
        <v>207</v>
      </c>
      <c r="I695" s="10">
        <f>IF(B695&lt;&gt;"Arrow (Flaming)",39493.49*'Ammo Input'!M695^0.6/1000,0)</f>
        <v>0</v>
      </c>
      <c r="J695">
        <f t="shared" si="25"/>
        <v>0</v>
      </c>
      <c r="K695">
        <f t="shared" si="26"/>
        <v>13</v>
      </c>
      <c r="L695">
        <f>200000/('Ammo Stats'!C695*(MAX('Ammo Input'!D695,'Ammo Input'!F695)*0.5)^2*PI())</f>
        <v>464.076230039059</v>
      </c>
      <c r="M695">
        <f>IF(B695="Frag",1,('Ammo Input'!M695/1.33)/('Ammo Input'!H695/1000))</f>
        <v>0</v>
      </c>
      <c r="N695" t="s">
        <v>353</v>
      </c>
      <c r="O695" t="s">
        <v>353</v>
      </c>
      <c r="P695" s="3">
        <f>(39493.49*(IF((VLOOKUP(B695,AmmoTypeFactors,6,FALSE)="Bomb_Secondary"),1.33,1)*('Ammo Input'!H695*0.35)/1000)^0.6/1000)*10/3*VLOOKUP(B695,AmmoTypeFactors,4,FALSE)</f>
        <v>0</v>
      </c>
    </row>
    <row r="696" ht="14.4" spans="1:16">
      <c r="A696" t="str">
        <f>'Ammo Input'!A696</f>
        <v>Mini Cannon Ball</v>
      </c>
      <c r="B696" s="1" t="str">
        <f>'Ammo Input'!B696</f>
        <v>Buck</v>
      </c>
      <c r="C696">
        <f>(0.579*('Ammo Stats'!G696*IF(OR(B696="HEAT",B696="HEDP"),10,'Ammo Input'!F696)*VLOOKUP(B696,AmmoTypeFactors,7,FALSE))^(0.346))^IF(B696="HEDP",2.1,1)/IF(B696="HEDP",50,1)</f>
        <v>15.1093101430851</v>
      </c>
      <c r="D696" s="16">
        <f>IF(VLOOKUP(B696,AmmoTypeFactors,8,FALSE),J696,C696)*VLOOKUP('Ammo Input'!B696,AmmoTypeFactors,2,FALSE)</f>
        <v>15.1093101430851</v>
      </c>
      <c r="E696" s="16">
        <f>IF(OR(VLOOKUP(B696,AmmoTypeFactors,6,FALSE)="Bomb",VLOOKUP(B696,AmmoTypeFactors,6,FALSE)="Thermobaric"),J696*VLOOKUP(B696,AmmoTypeFactors,4,FALSE),IF(VLOOKUP(B696,AmmoTypeFactors,11,FALSE),P696,C696*VLOOKUP(B696,AmmoTypeFactors,4,FALSE)))</f>
        <v>0</v>
      </c>
      <c r="F696" s="16">
        <f>'Ammo Stats'!G696/0.005</f>
        <v>207000</v>
      </c>
      <c r="G696" s="16">
        <f>(IF(B696="HEAT",10,'Ammo Input'!F696)*VLOOKUP(B696,AmmoTypeFactors,7,FALSE)*0.5)^2*PI()/100</f>
        <v>1.13097335529233</v>
      </c>
      <c r="H696" s="10">
        <f t="shared" si="24"/>
        <v>20.7</v>
      </c>
      <c r="I696" s="10">
        <f>IF(B696&lt;&gt;"Arrow (Flaming)",39493.49*'Ammo Input'!M696^0.6/1000,0)</f>
        <v>0</v>
      </c>
      <c r="J696">
        <f t="shared" si="25"/>
        <v>0</v>
      </c>
      <c r="K696">
        <f t="shared" si="26"/>
        <v>6</v>
      </c>
      <c r="L696">
        <f>200000/('Ammo Stats'!C696*(MAX('Ammo Input'!D696,'Ammo Input'!F696)*0.5)^2*PI())</f>
        <v>464.076230039059</v>
      </c>
      <c r="M696">
        <f>IF(B696="Frag",1,('Ammo Input'!M696/1.33)/('Ammo Input'!H696/1000))</f>
        <v>0</v>
      </c>
      <c r="N696" t="s">
        <v>353</v>
      </c>
      <c r="O696" t="s">
        <v>353</v>
      </c>
      <c r="P696" s="3">
        <f>(39493.49*(IF((VLOOKUP(B696,AmmoTypeFactors,6,FALSE)="Bomb_Secondary"),1.33,1)*('Ammo Input'!H696*0.35)/1000)^0.6/1000)*10/3*VLOOKUP(B696,AmmoTypeFactors,4,FALSE)</f>
        <v>0</v>
      </c>
    </row>
    <row r="697" ht="14.4" spans="1:16">
      <c r="A697" t="str">
        <f>'Ammo Input'!A697</f>
        <v>Cannon Ball</v>
      </c>
      <c r="B697" s="1" t="str">
        <f>'Ammo Input'!B697</f>
        <v>FMJ</v>
      </c>
      <c r="C697">
        <f>(0.579*('Ammo Stats'!G697*IF(OR(B697="HEAT",B697="HEDP"),10,'Ammo Input'!F697)*VLOOKUP(B697,AmmoTypeFactors,7,FALSE))^(0.346))^IF(B697="HEDP",2.1,1)/IF(B697="HEDP",50,1)</f>
        <v>293.159670318874</v>
      </c>
      <c r="D697" s="16">
        <f>IF(VLOOKUP(B697,AmmoTypeFactors,8,FALSE),J697,C697)*VLOOKUP('Ammo Input'!B697,AmmoTypeFactors,2,FALSE)</f>
        <v>293.159670318874</v>
      </c>
      <c r="E697" s="16">
        <f>IF(OR(VLOOKUP(B697,AmmoTypeFactors,6,FALSE)="Bomb",VLOOKUP(B697,AmmoTypeFactors,6,FALSE)="Thermobaric"),J697*VLOOKUP(B697,AmmoTypeFactors,4,FALSE),IF(VLOOKUP(B697,AmmoTypeFactors,11,FALSE),P697,C697*VLOOKUP(B697,AmmoTypeFactors,4,FALSE)))</f>
        <v>0</v>
      </c>
      <c r="F697" s="16">
        <f>'Ammo Stats'!G697/0.005</f>
        <v>114917000</v>
      </c>
      <c r="G697" s="16">
        <f>(IF(B697="HEAT",10,'Ammo Input'!F697)*VLOOKUP(B697,AmmoTypeFactors,7,FALSE)*0.5)^2*PI()/100</f>
        <v>102.070345315132</v>
      </c>
      <c r="H697" s="10">
        <f t="shared" si="24"/>
        <v>11491.7</v>
      </c>
      <c r="I697" s="10">
        <f>IF(B697&lt;&gt;"Arrow (Flaming)",39493.49*'Ammo Input'!M697^0.6/1000,0)</f>
        <v>0</v>
      </c>
      <c r="J697">
        <f t="shared" si="25"/>
        <v>0</v>
      </c>
      <c r="K697">
        <f t="shared" si="26"/>
        <v>49</v>
      </c>
      <c r="L697">
        <f>200000/('Ammo Stats'!C697*(MAX('Ammo Input'!D697,'Ammo Input'!F697)*0.5)^2*PI())</f>
        <v>4.9108595771329</v>
      </c>
      <c r="M697">
        <f>IF(B697="Frag",1,('Ammo Input'!M697/1.33)/('Ammo Input'!H697/1000))</f>
        <v>0</v>
      </c>
      <c r="N697" t="s">
        <v>353</v>
      </c>
      <c r="O697" t="s">
        <v>353</v>
      </c>
      <c r="P697" s="3">
        <f>(39493.49*(IF((VLOOKUP(B697,AmmoTypeFactors,6,FALSE)="Bomb_Secondary"),1.33,1)*('Ammo Input'!H697*0.35)/1000)^0.6/1000)*10/3*VLOOKUP(B697,AmmoTypeFactors,4,FALSE)</f>
        <v>0</v>
      </c>
    </row>
    <row r="698" ht="14.4" spans="1:16">
      <c r="A698" t="str">
        <f>'Ammo Input'!A698</f>
        <v>Cannon Ball</v>
      </c>
      <c r="B698" s="1" t="str">
        <f>'Ammo Input'!B698</f>
        <v>HE</v>
      </c>
      <c r="C698">
        <f>(0.579*('Ammo Stats'!G698*IF(OR(B698="HEAT",B698="HEDP"),10,'Ammo Input'!F698)*VLOOKUP(B698,AmmoTypeFactors,7,FALSE))^(0.346))^IF(B698="HEDP",2.1,1)/IF(B698="HEDP",50,1)</f>
        <v>293.159670318874</v>
      </c>
      <c r="D698" s="16">
        <f>IF(VLOOKUP(B698,AmmoTypeFactors,8,FALSE),J698,C698)*VLOOKUP('Ammo Input'!B698,AmmoTypeFactors,2,FALSE)</f>
        <v>141.661333286512</v>
      </c>
      <c r="E698" s="16">
        <f>IF(OR(VLOOKUP(B698,AmmoTypeFactors,6,FALSE)="Bomb",VLOOKUP(B698,AmmoTypeFactors,6,FALSE)="Thermobaric"),J698*VLOOKUP(B698,AmmoTypeFactors,4,FALSE),IF(VLOOKUP(B698,AmmoTypeFactors,11,FALSE),P698,C698*VLOOKUP(B698,AmmoTypeFactors,4,FALSE)))</f>
        <v>0</v>
      </c>
      <c r="F698" s="16">
        <f>'Ammo Stats'!G698/0.005</f>
        <v>114917000</v>
      </c>
      <c r="G698" s="16">
        <f>(IF(B698="HEAT",10,'Ammo Input'!F698)*VLOOKUP(B698,AmmoTypeFactors,7,FALSE)*0.5)^2*PI()/100</f>
        <v>102.070345315132</v>
      </c>
      <c r="H698" s="10">
        <f t="shared" si="24"/>
        <v>11491.7</v>
      </c>
      <c r="I698" s="10">
        <f>IF(B698&lt;&gt;"Arrow (Flaming)",39493.49*'Ammo Input'!M698^0.6/1000,0)</f>
        <v>42.4983999859535</v>
      </c>
      <c r="J698">
        <f t="shared" si="25"/>
        <v>141.661333286512</v>
      </c>
      <c r="K698">
        <f t="shared" si="26"/>
        <v>49</v>
      </c>
      <c r="L698">
        <f>200000/('Ammo Stats'!C698*(MAX('Ammo Input'!D698,'Ammo Input'!F698)*0.5)^2*PI())</f>
        <v>4.9108595771329</v>
      </c>
      <c r="M698">
        <f>IF(B698="Frag",1,('Ammo Input'!M698/1.33)/('Ammo Input'!H698/1000))</f>
        <v>0.15171858216971</v>
      </c>
      <c r="N698">
        <v>17</v>
      </c>
      <c r="O698">
        <v>22</v>
      </c>
      <c r="P698" s="3">
        <f>(39493.49*(IF((VLOOKUP(B698,AmmoTypeFactors,6,FALSE)="Bomb_Secondary"),1.33,1)*('Ammo Input'!H698*0.35)/1000)^0.6/1000)*10/3*VLOOKUP(B698,AmmoTypeFactors,4,FALSE)</f>
        <v>0</v>
      </c>
    </row>
    <row r="699" ht="14.4" spans="1:16">
      <c r="A699" t="str">
        <f>'Ammo Input'!A699</f>
        <v>Cannon Ball</v>
      </c>
      <c r="B699" s="1" t="str">
        <f>'Ammo Input'!B699</f>
        <v>Incendiary</v>
      </c>
      <c r="C699">
        <f>(0.579*('Ammo Stats'!G699*IF(OR(B699="HEAT",B699="HEDP"),10,'Ammo Input'!F699)*VLOOKUP(B699,AmmoTypeFactors,7,FALSE))^(0.346))^IF(B699="HEDP",2.1,1)/IF(B699="HEDP",50,1)</f>
        <v>293.159670318874</v>
      </c>
      <c r="D699" s="16">
        <f>IF(VLOOKUP(B699,AmmoTypeFactors,8,FALSE),J699,C699)*VLOOKUP('Ammo Input'!B699,AmmoTypeFactors,2,FALSE)</f>
        <v>5.73017999433831</v>
      </c>
      <c r="E699" s="16">
        <f>IF(OR(VLOOKUP(B699,AmmoTypeFactors,6,FALSE)="Bomb",VLOOKUP(B699,AmmoTypeFactors,6,FALSE)="Thermobaric"),J699*VLOOKUP(B699,AmmoTypeFactors,4,FALSE),IF(VLOOKUP(B699,AmmoTypeFactors,11,FALSE),P699,C699*VLOOKUP(B699,AmmoTypeFactors,4,FALSE)))</f>
        <v>0</v>
      </c>
      <c r="F699" s="16">
        <f>'Ammo Stats'!G699/0.005</f>
        <v>114917000</v>
      </c>
      <c r="G699" s="16">
        <f>(IF(B699="HEAT",10,'Ammo Input'!F699)*VLOOKUP(B699,AmmoTypeFactors,7,FALSE)*0.5)^2*PI()/100</f>
        <v>102.070345315132</v>
      </c>
      <c r="H699" s="10">
        <f t="shared" si="24"/>
        <v>11491.7</v>
      </c>
      <c r="I699" s="10">
        <f>IF(B699&lt;&gt;"Arrow (Flaming)",39493.49*'Ammo Input'!M699^0.6/1000,0)</f>
        <v>17.1905399830149</v>
      </c>
      <c r="J699">
        <f t="shared" si="25"/>
        <v>57.3017999433831</v>
      </c>
      <c r="K699">
        <f t="shared" si="26"/>
        <v>49</v>
      </c>
      <c r="L699">
        <f>200000/('Ammo Stats'!C699*(MAX('Ammo Input'!D699,'Ammo Input'!F699)*0.5)^2*PI())</f>
        <v>4.9108595771329</v>
      </c>
      <c r="M699">
        <f>IF(B699="Frag",1,('Ammo Input'!M699/1.33)/('Ammo Input'!H699/1000))</f>
        <v>0.0335660580021482</v>
      </c>
      <c r="N699" t="s">
        <v>353</v>
      </c>
      <c r="O699" t="s">
        <v>353</v>
      </c>
      <c r="P699" s="3">
        <f>(39493.49*(IF((VLOOKUP(B699,AmmoTypeFactors,6,FALSE)="Bomb_Secondary"),1.33,1)*('Ammo Input'!H699*0.35)/1000)^0.6/1000)*10/3*VLOOKUP(B699,AmmoTypeFactors,4,FALSE)</f>
        <v>0</v>
      </c>
    </row>
    <row r="700" ht="14.4" spans="1:16">
      <c r="A700" t="str">
        <f>'Ammo Input'!A700</f>
        <v>Cannon Ball</v>
      </c>
      <c r="B700" s="1" t="str">
        <f>'Ammo Input'!B700</f>
        <v>Buck</v>
      </c>
      <c r="C700">
        <f>(0.579*('Ammo Stats'!G700*IF(OR(B700="HEAT",B700="HEDP"),10,'Ammo Input'!F700)*VLOOKUP(B700,AmmoTypeFactors,7,FALSE))^(0.346))^IF(B700="HEDP",2.1,1)/IF(B700="HEDP",50,1)</f>
        <v>62.6455455812407</v>
      </c>
      <c r="D700" s="16">
        <f>IF(VLOOKUP(B700,AmmoTypeFactors,8,FALSE),J700,C700)*VLOOKUP('Ammo Input'!B700,AmmoTypeFactors,2,FALSE)</f>
        <v>62.6455455812407</v>
      </c>
      <c r="E700" s="16">
        <f>IF(OR(VLOOKUP(B700,AmmoTypeFactors,6,FALSE)="Bomb",VLOOKUP(B700,AmmoTypeFactors,6,FALSE)="Thermobaric"),J700*VLOOKUP(B700,AmmoTypeFactors,4,FALSE),IF(VLOOKUP(B700,AmmoTypeFactors,11,FALSE),P700,C700*VLOOKUP(B700,AmmoTypeFactors,4,FALSE)))</f>
        <v>0</v>
      </c>
      <c r="F700" s="16">
        <f>'Ammo Stats'!G700/0.005</f>
        <v>4206800</v>
      </c>
      <c r="G700" s="16">
        <f>(IF(B700="HEAT",10,'Ammo Input'!F700)*VLOOKUP(B700,AmmoTypeFactors,7,FALSE)*0.5)^2*PI()/100</f>
        <v>10.1787601976309</v>
      </c>
      <c r="H700" s="10">
        <f t="shared" si="24"/>
        <v>420.68</v>
      </c>
      <c r="I700" s="10">
        <f>IF(B700&lt;&gt;"Arrow (Flaming)",39493.49*'Ammo Input'!M700^0.6/1000,0)</f>
        <v>0</v>
      </c>
      <c r="J700">
        <f t="shared" si="25"/>
        <v>0</v>
      </c>
      <c r="K700">
        <f t="shared" si="26"/>
        <v>16</v>
      </c>
      <c r="L700">
        <f>200000/('Ammo Stats'!C700*(MAX('Ammo Input'!D700,'Ammo Input'!F700)*0.5)^2*PI())</f>
        <v>4.9108595771329</v>
      </c>
      <c r="M700">
        <f>IF(B700="Frag",1,('Ammo Input'!M700/1.33)/('Ammo Input'!H700/1000))</f>
        <v>0</v>
      </c>
      <c r="N700" t="s">
        <v>353</v>
      </c>
      <c r="O700" t="s">
        <v>353</v>
      </c>
      <c r="P700" s="3">
        <f>(39493.49*(IF((VLOOKUP(B700,AmmoTypeFactors,6,FALSE)="Bomb_Secondary"),1.33,1)*('Ammo Input'!H700*0.35)/1000)^0.6/1000)*10/3*VLOOKUP(B700,AmmoTypeFactors,4,FALSE)</f>
        <v>0</v>
      </c>
    </row>
    <row r="701" ht="14.4" spans="1:16">
      <c r="A701" t="str">
        <f>'Ammo Input'!A701</f>
        <v>Mortar Grenade</v>
      </c>
      <c r="B701" s="1" t="str">
        <f>'Ammo Input'!B701</f>
        <v>HE</v>
      </c>
      <c r="C701">
        <f>(0.579*('Ammo Stats'!G701*IF(OR(B701="HEAT",B701="HEDP"),10,'Ammo Input'!F701)*VLOOKUP(B701,AmmoTypeFactors,7,FALSE))^(0.346))^IF(B701="HEDP",2.1,1)/IF(B701="HEDP",50,1)</f>
        <v>32.1649174989892</v>
      </c>
      <c r="D701" s="16">
        <f>IF(VLOOKUP(B701,AmmoTypeFactors,8,FALSE),J701,C701)*VLOOKUP('Ammo Input'!B701,AmmoTypeFactors,2,FALSE)</f>
        <v>29.569985686587</v>
      </c>
      <c r="E701" s="16">
        <f>IF(OR(VLOOKUP(B701,AmmoTypeFactors,6,FALSE)="Bomb",VLOOKUP(B701,AmmoTypeFactors,6,FALSE)="Thermobaric"),J701*VLOOKUP(B701,AmmoTypeFactors,4,FALSE),IF(VLOOKUP(B701,AmmoTypeFactors,11,FALSE),P701,C701*VLOOKUP(B701,AmmoTypeFactors,4,FALSE)))</f>
        <v>0</v>
      </c>
      <c r="F701" s="16">
        <f>'Ammo Stats'!G701/0.005</f>
        <v>367600</v>
      </c>
      <c r="G701" s="16">
        <f>(IF(B701="HEAT",10,'Ammo Input'!F701)*VLOOKUP(B701,AmmoTypeFactors,7,FALSE)*0.5)^2*PI()/100</f>
        <v>28.2743338823081</v>
      </c>
      <c r="H701" s="10">
        <f t="shared" si="24"/>
        <v>36.76</v>
      </c>
      <c r="I701" s="10">
        <f>IF(B701&lt;&gt;"Arrow (Flaming)",39493.49*'Ammo Input'!M701^0.6/1000,0)</f>
        <v>8.8709957059761</v>
      </c>
      <c r="J701">
        <f t="shared" si="25"/>
        <v>29.569985686587</v>
      </c>
      <c r="K701">
        <f t="shared" si="26"/>
        <v>7</v>
      </c>
      <c r="L701">
        <f>200000/('Ammo Stats'!C701*(MAX('Ammo Input'!D701,'Ammo Input'!F701)*0.5)^2*PI())</f>
        <v>138.697118162872</v>
      </c>
      <c r="M701">
        <f>IF(B701="Frag",1,('Ammo Input'!M701/1.33)/('Ammo Input'!H701/1000))</f>
        <v>0.0832080200501253</v>
      </c>
      <c r="N701">
        <v>3</v>
      </c>
      <c r="O701">
        <v>2</v>
      </c>
      <c r="P701" s="3">
        <f>(39493.49*(IF((VLOOKUP(B701,AmmoTypeFactors,6,FALSE)="Bomb_Secondary"),1.33,1)*('Ammo Input'!H701*0.35)/1000)^0.6/1000)*10/3*VLOOKUP(B701,AmmoTypeFactors,4,FALSE)</f>
        <v>0</v>
      </c>
    </row>
    <row r="702" ht="14.4" spans="1:16">
      <c r="A702" t="str">
        <f>'Ammo Input'!A702</f>
        <v>Nerve Spiker Bolt</v>
      </c>
      <c r="B702" s="1" t="str">
        <f>'Ammo Input'!B702</f>
        <v>Arrow (Steel)</v>
      </c>
      <c r="C702">
        <f>(0.579*('Ammo Stats'!G702*IF(OR(B702="HEAT",B702="HEDP"),10,'Ammo Input'!F702)*VLOOKUP(B702,AmmoTypeFactors,7,FALSE))^(0.346))^IF(B702="HEDP",2.1,1)/IF(B702="HEDP",50,1)</f>
        <v>12.4391318411248</v>
      </c>
      <c r="D702" s="16">
        <f>IF(VLOOKUP(B702,AmmoTypeFactors,8,FALSE),J702,C702)*VLOOKUP('Ammo Input'!B702,AmmoTypeFactors,2,FALSE)</f>
        <v>12.4391318411248</v>
      </c>
      <c r="E702" s="16">
        <f>IF(OR(VLOOKUP(B702,AmmoTypeFactors,6,FALSE)="Bomb",VLOOKUP(B702,AmmoTypeFactors,6,FALSE)="Thermobaric"),J702*VLOOKUP(B702,AmmoTypeFactors,4,FALSE),IF(VLOOKUP(B702,AmmoTypeFactors,11,FALSE),P702,C702*VLOOKUP(B702,AmmoTypeFactors,4,FALSE)))</f>
        <v>0</v>
      </c>
      <c r="F702" s="16">
        <f>'Ammo Stats'!G702/0.005</f>
        <v>70800</v>
      </c>
      <c r="G702" s="16">
        <f>(IF(B702="HEAT",10,'Ammo Input'!F702)*VLOOKUP(B702,AmmoTypeFactors,7,FALSE)*0.5)^2*PI()/100</f>
        <v>3.14159265358979</v>
      </c>
      <c r="H702" s="10">
        <f t="shared" si="24"/>
        <v>7.08</v>
      </c>
      <c r="I702" s="10">
        <f>IF(B702&lt;&gt;"Arrow (Flaming)",39493.49*'Ammo Input'!M702^0.6/1000,0)</f>
        <v>0</v>
      </c>
      <c r="J702">
        <f t="shared" si="25"/>
        <v>0</v>
      </c>
      <c r="K702">
        <f t="shared" si="26"/>
        <v>4</v>
      </c>
      <c r="L702">
        <f>200000/('Ammo Stats'!C702*(MAX('Ammo Input'!D702,'Ammo Input'!F702)*0.5)^2*PI())</f>
        <v>1872.41109519877</v>
      </c>
      <c r="M702">
        <f>IF(B702="Frag",1,('Ammo Input'!M702/1.33)/('Ammo Input'!H702/1000))</f>
        <v>0</v>
      </c>
      <c r="N702" t="s">
        <v>353</v>
      </c>
      <c r="O702" t="s">
        <v>353</v>
      </c>
      <c r="P702" s="3">
        <f>(39493.49*(IF((VLOOKUP(B702,AmmoTypeFactors,6,FALSE)="Bomb_Secondary"),1.33,1)*('Ammo Input'!H702*0.35)/1000)^0.6/1000)*10/3*VLOOKUP(B702,AmmoTypeFactors,4,FALSE)</f>
        <v>0</v>
      </c>
    </row>
    <row r="703" ht="14.4" spans="1:16">
      <c r="A703" s="14" t="s">
        <v>254</v>
      </c>
      <c r="B703" s="15"/>
      <c r="C703" s="15"/>
      <c r="D703" s="15"/>
      <c r="E703" s="15"/>
      <c r="F703" s="15"/>
      <c r="G703" s="15"/>
      <c r="H703" s="15"/>
      <c r="I703" s="15"/>
      <c r="J703" s="15"/>
      <c r="K703" s="15"/>
      <c r="L703" s="15"/>
      <c r="M703" s="15"/>
      <c r="N703" s="15"/>
      <c r="O703" s="15"/>
      <c r="P703" s="15"/>
    </row>
    <row r="704" ht="14.4" spans="1:16">
      <c r="A704" t="str">
        <f>'Ammo Input'!A704</f>
        <v>Concussion grenade</v>
      </c>
      <c r="B704" s="1" t="str">
        <f>'Ammo Input'!B704</f>
        <v>Concussion bomb</v>
      </c>
      <c r="C704">
        <f>(0.579*('Ammo Stats'!G704*IF(OR(B704="HEAT",B704="HEDP"),10,'Ammo Input'!F704)*VLOOKUP(B704,AmmoTypeFactors,7,FALSE))^(0.346))^IF(B704="HEDP",2.1,1)/IF(B704="HEDP",50,1)</f>
        <v>12.1558741662958</v>
      </c>
      <c r="D704" s="16">
        <f>IF(VLOOKUP(B704,AmmoTypeFactors,8,FALSE),J704,C704)*VLOOKUP('Ammo Input'!B704,AmmoTypeFactors,2,FALSE)</f>
        <v>79.9074045538454</v>
      </c>
      <c r="E704" s="16">
        <f>IF(OR(VLOOKUP(B704,AmmoTypeFactors,6,FALSE)="Bomb",VLOOKUP(B704,AmmoTypeFactors,6,FALSE)="Thermobaric"),J704*VLOOKUP(B704,AmmoTypeFactors,4,FALSE),IF(VLOOKUP(B704,AmmoTypeFactors,11,FALSE),P704,C704*VLOOKUP(B704,AmmoTypeFactors,4,FALSE)))</f>
        <v>0</v>
      </c>
      <c r="F704" s="16">
        <f>'Ammo Stats'!G704/0.005</f>
        <v>19200</v>
      </c>
      <c r="G704" s="16">
        <f>(IF(B704="HEAT",10,'Ammo Input'!F704)*VLOOKUP(B704,AmmoTypeFactors,7,FALSE)*0.5)^2*PI()/100</f>
        <v>37.3928065593525</v>
      </c>
      <c r="H704" s="10">
        <f t="shared" ref="H704:H711" si="27">F704/10000</f>
        <v>1.92</v>
      </c>
      <c r="I704" s="10">
        <f>IF(B704&lt;&gt;"Arrow (Flaming)",39493.49*'Ammo Input'!M704^0.6/1000,0)</f>
        <v>19.1777770929229</v>
      </c>
      <c r="J704">
        <f t="shared" ref="J704:J711" si="28">I704*10/3</f>
        <v>63.9259236430764</v>
      </c>
      <c r="K704">
        <f t="shared" ref="K704:K711" si="29">ROUND(F704^(1/3)/10,0)</f>
        <v>3</v>
      </c>
      <c r="L704">
        <f>200000/('Ammo Stats'!C704*(MAX('Ammo Input'!D704,'Ammo Input'!F704)*0.5)^2*PI())</f>
        <v>34.5072408137397</v>
      </c>
      <c r="M704">
        <f>IF(B704="Frag",1,('Ammo Input'!M704/1.33)/('Ammo Input'!H704/1000))</f>
        <v>0.517348416913844</v>
      </c>
      <c r="N704">
        <v>1</v>
      </c>
      <c r="O704">
        <v>2</v>
      </c>
      <c r="P704" s="3">
        <f>(39493.49*(IF((VLOOKUP(B704,AmmoTypeFactors,6,FALSE)="Bomb_Secondary"),1.33,1)*('Ammo Input'!H704*0.35)/1000)^0.6/1000)*10/3*VLOOKUP(B704,AmmoTypeFactors,4,FALSE)</f>
        <v>0</v>
      </c>
    </row>
    <row r="705" ht="14.4" spans="1:16">
      <c r="A705" t="str">
        <f>'Ammo Input'!A705</f>
        <v>Frag grenade</v>
      </c>
      <c r="B705" s="1" t="str">
        <f>'Ammo Input'!B705</f>
        <v>Frag</v>
      </c>
      <c r="C705">
        <f>(0.579*('Ammo Stats'!G705*IF(OR(B705="HEAT",B705="HEDP"),10,'Ammo Input'!F705)*VLOOKUP(B705,AmmoTypeFactors,7,FALSE))^(0.346))^IF(B705="HEDP",2.1,1)/IF(B705="HEDP",50,1)</f>
        <v>11.4923234138595</v>
      </c>
      <c r="D705" s="16">
        <f>IF(VLOOKUP(B705,AmmoTypeFactors,8,FALSE),J705,C705)*VLOOKUP('Ammo Input'!B705,AmmoTypeFactors,2,FALSE)</f>
        <v>55.9153443625069</v>
      </c>
      <c r="E705" s="16">
        <f>IF(OR(VLOOKUP(B705,AmmoTypeFactors,6,FALSE)="Bomb",VLOOKUP(B705,AmmoTypeFactors,6,FALSE)="Thermobaric"),J705*VLOOKUP(B705,AmmoTypeFactors,4,FALSE),IF(VLOOKUP(B705,AmmoTypeFactors,11,FALSE),P705,C705*VLOOKUP(B705,AmmoTypeFactors,4,FALSE)))</f>
        <v>0</v>
      </c>
      <c r="F705" s="16">
        <f>'Ammo Stats'!G705/0.005</f>
        <v>17600</v>
      </c>
      <c r="G705" s="16">
        <f>(IF(B705="HEAT",10,'Ammo Input'!F705)*VLOOKUP(B705,AmmoTypeFactors,7,FALSE)*0.5)^2*PI()/100</f>
        <v>32.1699087727595</v>
      </c>
      <c r="H705" s="10">
        <f t="shared" si="27"/>
        <v>1.76</v>
      </c>
      <c r="I705" s="10">
        <f>IF(B705&lt;&gt;"Arrow (Flaming)",39493.49*'Ammo Input'!M705^0.6/1000,0)</f>
        <v>16.7746033087521</v>
      </c>
      <c r="J705">
        <f t="shared" si="28"/>
        <v>55.9153443625069</v>
      </c>
      <c r="K705">
        <f t="shared" si="29"/>
        <v>3</v>
      </c>
      <c r="L705">
        <f>200000/('Ammo Stats'!C705*(MAX('Ammo Input'!D705,'Ammo Input'!F705)*0.5)^2*PI())</f>
        <v>71.45965476468</v>
      </c>
      <c r="M705">
        <f>IF(B705="Frag",1,('Ammo Input'!M705/1.33)/('Ammo Input'!H705/1000))</f>
        <v>1</v>
      </c>
      <c r="N705">
        <v>0</v>
      </c>
      <c r="O705">
        <v>40</v>
      </c>
      <c r="P705" s="3">
        <f>(39493.49*(IF((VLOOKUP(B705,AmmoTypeFactors,6,FALSE)="Bomb_Secondary"),1.33,1)*('Ammo Input'!H705*0.35)/1000)^0.6/1000)*10/3*VLOOKUP(B705,AmmoTypeFactors,4,FALSE)</f>
        <v>0</v>
      </c>
    </row>
    <row r="706" ht="14.4" spans="1:16">
      <c r="A706" t="str">
        <f>'Ammo Input'!A706</f>
        <v>EMP grenade</v>
      </c>
      <c r="B706" s="1" t="str">
        <f>'Ammo Input'!B706</f>
        <v>EMP</v>
      </c>
      <c r="C706">
        <f>(0.579*('Ammo Stats'!G706*IF(OR(B706="HEAT",B706="HEDP"),10,'Ammo Input'!F706)*VLOOKUP(B706,AmmoTypeFactors,7,FALSE))^(0.346))^IF(B706="HEDP",2.1,1)/IF(B706="HEDP",50,1)</f>
        <v>11.4923234138595</v>
      </c>
      <c r="D706" s="16">
        <f>IF(VLOOKUP(B706,AmmoTypeFactors,8,FALSE),J706,C706)*VLOOKUP('Ammo Input'!B706,AmmoTypeFactors,2,FALSE)</f>
        <v>55.9153443625069</v>
      </c>
      <c r="E706" s="16">
        <f>IF(OR(VLOOKUP(B706,AmmoTypeFactors,6,FALSE)="Bomb",VLOOKUP(B706,AmmoTypeFactors,6,FALSE)="Thermobaric"),J706*VLOOKUP(B706,AmmoTypeFactors,4,FALSE),IF(VLOOKUP(B706,AmmoTypeFactors,11,FALSE),P706,C706*VLOOKUP(B706,AmmoTypeFactors,4,FALSE)))</f>
        <v>0</v>
      </c>
      <c r="F706" s="16">
        <f>'Ammo Stats'!G706/0.005</f>
        <v>17600</v>
      </c>
      <c r="G706" s="16">
        <f>(IF(B706="HEAT",10,'Ammo Input'!F706)*VLOOKUP(B706,AmmoTypeFactors,7,FALSE)*0.5)^2*PI()/100</f>
        <v>32.1699087727595</v>
      </c>
      <c r="H706" s="10">
        <f t="shared" si="27"/>
        <v>1.76</v>
      </c>
      <c r="I706" s="10">
        <f>IF(B706&lt;&gt;"Arrow (Flaming)",39493.49*'Ammo Input'!M706^0.6/1000,0)</f>
        <v>16.7746033087521</v>
      </c>
      <c r="J706">
        <f t="shared" si="28"/>
        <v>55.9153443625069</v>
      </c>
      <c r="K706">
        <f t="shared" si="29"/>
        <v>3</v>
      </c>
      <c r="L706">
        <f>200000/('Ammo Stats'!C706*(MAX('Ammo Input'!D706,'Ammo Input'!F706)*0.5)^2*PI())</f>
        <v>71.45965476468</v>
      </c>
      <c r="M706">
        <f>IF(B706="Frag",1,('Ammo Input'!M706/1.33)/('Ammo Input'!H706/1000))</f>
        <v>0.451127819548872</v>
      </c>
      <c r="N706" t="s">
        <v>353</v>
      </c>
      <c r="O706" t="s">
        <v>353</v>
      </c>
      <c r="P706" s="3">
        <f>(39493.49*(IF((VLOOKUP(B706,AmmoTypeFactors,6,FALSE)="Bomb_Secondary"),1.33,1)*('Ammo Input'!H706*0.35)/1000)^0.6/1000)*10/3*VLOOKUP(B706,AmmoTypeFactors,4,FALSE)</f>
        <v>0</v>
      </c>
    </row>
    <row r="707" ht="14.4" spans="1:16">
      <c r="A707" t="str">
        <f>'Ammo Input'!A707</f>
        <v>Smoke grenade</v>
      </c>
      <c r="B707" s="1" t="str">
        <f>'Ammo Input'!B707</f>
        <v>Smoke</v>
      </c>
      <c r="C707">
        <f>(0.579*('Ammo Stats'!G707*IF(OR(B707="HEAT",B707="HEDP"),10,'Ammo Input'!F707)*VLOOKUP(B707,AmmoTypeFactors,7,FALSE))^(0.346))^IF(B707="HEDP",2.1,1)/IF(B707="HEDP",50,1)</f>
        <v>12.1055159128734</v>
      </c>
      <c r="D707" s="16">
        <f>IF(VLOOKUP(B707,AmmoTypeFactors,8,FALSE),J707,C707)*VLOOKUP('Ammo Input'!B707,AmmoTypeFactors,2,FALSE)</f>
        <v>67.1946689952526</v>
      </c>
      <c r="E707" s="16">
        <f>IF(OR(VLOOKUP(B707,AmmoTypeFactors,6,FALSE)="Bomb",VLOOKUP(B707,AmmoTypeFactors,6,FALSE)="Thermobaric"),J707*VLOOKUP(B707,AmmoTypeFactors,4,FALSE),IF(VLOOKUP(B707,AmmoTypeFactors,11,FALSE),P707,C707*VLOOKUP(B707,AmmoTypeFactors,4,FALSE)))</f>
        <v>0</v>
      </c>
      <c r="F707" s="16">
        <f>'Ammo Stats'!G707/0.005</f>
        <v>23800</v>
      </c>
      <c r="G707" s="16">
        <f>(IF(B707="HEAT",10,'Ammo Input'!F707)*VLOOKUP(B707,AmmoTypeFactors,7,FALSE)*0.5)^2*PI()/100</f>
        <v>23.7582944427728</v>
      </c>
      <c r="H707" s="10">
        <f t="shared" si="27"/>
        <v>2.38</v>
      </c>
      <c r="I707" s="10">
        <f>IF(B707&lt;&gt;"Arrow (Flaming)",39493.49*'Ammo Input'!M707^0.6/1000,0)</f>
        <v>20.1584006985758</v>
      </c>
      <c r="J707">
        <f t="shared" si="28"/>
        <v>67.1946689952526</v>
      </c>
      <c r="K707">
        <f t="shared" si="29"/>
        <v>3</v>
      </c>
      <c r="L707">
        <f>200000/('Ammo Stats'!C707*(MAX('Ammo Input'!D707,'Ammo Input'!F707)*0.5)^2*PI())</f>
        <v>80.1725018329894</v>
      </c>
      <c r="M707">
        <f>IF(B707="Frag",1,('Ammo Input'!M707/1.33)/('Ammo Input'!H707/1000))</f>
        <v>0.454754697504429</v>
      </c>
      <c r="N707" t="s">
        <v>353</v>
      </c>
      <c r="O707" t="s">
        <v>353</v>
      </c>
      <c r="P707" s="3">
        <f>(39493.49*(IF((VLOOKUP(B707,AmmoTypeFactors,6,FALSE)="Bomb_Secondary"),1.33,1)*('Ammo Input'!H707*0.35)/1000)^0.6/1000)*10/3*VLOOKUP(B707,AmmoTypeFactors,4,FALSE)</f>
        <v>0</v>
      </c>
    </row>
    <row r="708" ht="14.4" spans="1:16">
      <c r="A708" t="str">
        <f>'Ammo Input'!A708</f>
        <v>Flashbang</v>
      </c>
      <c r="B708" s="1" t="str">
        <f>'Ammo Input'!B708</f>
        <v>Flashbang</v>
      </c>
      <c r="C708">
        <f>(0.579*('Ammo Stats'!G708*IF(OR(B708="HEAT",B708="HEDP"),10,'Ammo Input'!F708)*VLOOKUP(B708,AmmoTypeFactors,7,FALSE))^(0.346))^IF(B708="HEDP",2.1,1)/IF(B708="HEDP",50,1)</f>
        <v>8.4149268816504</v>
      </c>
      <c r="D708" s="16">
        <f>IF(VLOOKUP(B708,AmmoTypeFactors,8,FALSE),J708,C708)*VLOOKUP('Ammo Input'!B708,AmmoTypeFactors,2,FALSE)</f>
        <v>54.800719618323</v>
      </c>
      <c r="E708" s="16">
        <f>IF(OR(VLOOKUP(B708,AmmoTypeFactors,6,FALSE)="Bomb",VLOOKUP(B708,AmmoTypeFactors,6,FALSE)="Thermobaric"),J708*VLOOKUP(B708,AmmoTypeFactors,4,FALSE),IF(VLOOKUP(B708,AmmoTypeFactors,11,FALSE),P708,C708*VLOOKUP(B708,AmmoTypeFactors,4,FALSE)))</f>
        <v>0</v>
      </c>
      <c r="F708" s="16">
        <f>'Ammo Stats'!G708/0.005</f>
        <v>10400</v>
      </c>
      <c r="G708" s="16">
        <f>(IF(B708="HEAT",10,'Ammo Input'!F708)*VLOOKUP(B708,AmmoTypeFactors,7,FALSE)*0.5)^2*PI()/100</f>
        <v>15.2053084433746</v>
      </c>
      <c r="H708" s="10">
        <f t="shared" si="27"/>
        <v>1.04</v>
      </c>
      <c r="I708" s="10">
        <f>IF(B708&lt;&gt;"Arrow (Flaming)",39493.49*'Ammo Input'!M708^0.6/1000,0)</f>
        <v>1.64402158854969</v>
      </c>
      <c r="J708">
        <f t="shared" si="28"/>
        <v>5.4800719618323</v>
      </c>
      <c r="K708">
        <f t="shared" si="29"/>
        <v>2</v>
      </c>
      <c r="L708">
        <f>200000/('Ammo Stats'!C708*(MAX('Ammo Input'!D708,'Ammo Input'!F708)*0.5)^2*PI())</f>
        <v>215.627886589751</v>
      </c>
      <c r="M708">
        <f>IF(B708="Frag",1,('Ammo Input'!M708/1.33)/('Ammo Input'!H708/1000))</f>
        <v>0.0159296546450873</v>
      </c>
      <c r="N708" t="s">
        <v>353</v>
      </c>
      <c r="O708" t="s">
        <v>353</v>
      </c>
      <c r="P708" s="3">
        <f>(39493.49*(IF((VLOOKUP(B708,AmmoTypeFactors,6,FALSE)="Bomb_Secondary"),1.33,1)*('Ammo Input'!H708*0.35)/1000)^0.6/1000)*10/3*VLOOKUP(B708,AmmoTypeFactors,4,FALSE)</f>
        <v>0</v>
      </c>
    </row>
    <row r="709" ht="14.4" spans="1:16">
      <c r="A709" t="str">
        <f>'Ammo Input'!A709</f>
        <v>Stick bomb</v>
      </c>
      <c r="B709" s="1" t="str">
        <f>'Ammo Input'!B709</f>
        <v>Stick bomb</v>
      </c>
      <c r="C709">
        <f>(0.579*('Ammo Stats'!G709*IF(OR(B709="HEAT",B709="HEDP"),10,'Ammo Input'!F709)*VLOOKUP(B709,AmmoTypeFactors,7,FALSE))^(0.346))^IF(B709="HEDP",2.1,1)/IF(B709="HEDP",50,1)</f>
        <v>13.2512702755307</v>
      </c>
      <c r="D709" s="16">
        <f>IF(VLOOKUP(B709,AmmoTypeFactors,8,FALSE),J709,C709)*VLOOKUP('Ammo Input'!B709,AmmoTypeFactors,2,FALSE)</f>
        <v>234.318458988488</v>
      </c>
      <c r="E709" s="16">
        <f>IF(OR(VLOOKUP(B709,AmmoTypeFactors,6,FALSE)="Bomb",VLOOKUP(B709,AmmoTypeFactors,6,FALSE)="Thermobaric"),J709*VLOOKUP(B709,AmmoTypeFactors,4,FALSE),IF(VLOOKUP(B709,AmmoTypeFactors,11,FALSE),P709,C709*VLOOKUP(B709,AmmoTypeFactors,4,FALSE)))</f>
        <v>0</v>
      </c>
      <c r="F709" s="16">
        <f>'Ammo Stats'!G709/0.005</f>
        <v>17000</v>
      </c>
      <c r="G709" s="16">
        <f>(IF(B709="HEAT",10,'Ammo Input'!F709)*VLOOKUP(B709,AmmoTypeFactors,7,FALSE)*0.5)^2*PI()/100</f>
        <v>78.5398163397448</v>
      </c>
      <c r="H709" s="10">
        <f t="shared" si="27"/>
        <v>1.7</v>
      </c>
      <c r="I709" s="10">
        <f>IF(B709&lt;&gt;"Arrow (Flaming)",39493.49*'Ammo Input'!M709^0.6/1000,0)</f>
        <v>46.8636917976976</v>
      </c>
      <c r="J709">
        <f t="shared" si="28"/>
        <v>156.212305992325</v>
      </c>
      <c r="K709">
        <f t="shared" si="29"/>
        <v>3</v>
      </c>
      <c r="L709">
        <f>200000/('Ammo Stats'!C709*(MAX('Ammo Input'!D709,'Ammo Input'!F709)*0.5)^2*PI())</f>
        <v>5.39508281667442</v>
      </c>
      <c r="M709">
        <f>IF(B709="Frag",1,('Ammo Input'!M709/1.33)/('Ammo Input'!H709/1000))</f>
        <v>1</v>
      </c>
      <c r="N709" t="s">
        <v>353</v>
      </c>
      <c r="O709" t="s">
        <v>353</v>
      </c>
      <c r="P709" s="3">
        <f>(39493.49*(IF((VLOOKUP(B709,AmmoTypeFactors,6,FALSE)="Bomb_Secondary"),1.33,1)*('Ammo Input'!H709*0.35)/1000)^0.6/1000)*10/3*VLOOKUP(B709,AmmoTypeFactors,4,FALSE)</f>
        <v>0</v>
      </c>
    </row>
    <row r="710" ht="14.4" spans="1:16">
      <c r="A710" t="str">
        <f>'Ammo Input'!A710</f>
        <v>Foam grenade</v>
      </c>
      <c r="B710" s="1" t="str">
        <f>'Ammo Input'!B710</f>
        <v>Foam</v>
      </c>
      <c r="C710">
        <f>(0.579*('Ammo Stats'!G710*IF(OR(B710="HEAT",B710="HEDP"),10,'Ammo Input'!F710)*VLOOKUP(B710,AmmoTypeFactors,7,FALSE))^(0.346))^IF(B710="HEDP",2.1,1)/IF(B710="HEDP",50,1)</f>
        <v>11.7805596695741</v>
      </c>
      <c r="D710" s="16">
        <f>IF(VLOOKUP(B710,AmmoTypeFactors,8,FALSE),J710,C710)*VLOOKUP('Ammo Input'!B710,AmmoTypeFactors,2,FALSE)</f>
        <v>67.1946689952526</v>
      </c>
      <c r="E710" s="16">
        <f>IF(OR(VLOOKUP(B710,AmmoTypeFactors,6,FALSE)="Bomb",VLOOKUP(B710,AmmoTypeFactors,6,FALSE)="Thermobaric"),J710*VLOOKUP(B710,AmmoTypeFactors,4,FALSE),IF(VLOOKUP(B710,AmmoTypeFactors,11,FALSE),P710,C710*VLOOKUP(B710,AmmoTypeFactors,4,FALSE)))</f>
        <v>0</v>
      </c>
      <c r="F710" s="16">
        <f>'Ammo Stats'!G710/0.005</f>
        <v>22000</v>
      </c>
      <c r="G710" s="16">
        <f>(IF(B710="HEAT",10,'Ammo Input'!F710)*VLOOKUP(B710,AmmoTypeFactors,7,FALSE)*0.5)^2*PI()/100</f>
        <v>23.7582944427728</v>
      </c>
      <c r="H710" s="10">
        <f t="shared" si="27"/>
        <v>2.2</v>
      </c>
      <c r="I710" s="10">
        <f>IF(B710&lt;&gt;"Arrow (Flaming)",39493.49*'Ammo Input'!M710^0.6/1000,0)</f>
        <v>20.1584006985758</v>
      </c>
      <c r="J710">
        <f t="shared" si="28"/>
        <v>67.1946689952526</v>
      </c>
      <c r="K710">
        <f t="shared" si="29"/>
        <v>3</v>
      </c>
      <c r="L710">
        <f>200000/('Ammo Stats'!C710*(MAX('Ammo Input'!D710,'Ammo Input'!F710)*0.5)^2*PI())</f>
        <v>80.1725018329894</v>
      </c>
      <c r="M710">
        <f>IF(B710="Frag",1,('Ammo Input'!M710/1.33)/('Ammo Input'!H710/1000))</f>
        <v>0.490225563909774</v>
      </c>
      <c r="N710" t="s">
        <v>353</v>
      </c>
      <c r="O710" t="s">
        <v>353</v>
      </c>
      <c r="P710" s="3">
        <f>(39493.49*(IF((VLOOKUP(B710,AmmoTypeFactors,6,FALSE)="Bomb_Secondary"),1.33,1)*('Ammo Input'!H710*0.35)/1000)^0.6/1000)*10/3*VLOOKUP(B710,AmmoTypeFactors,4,FALSE)</f>
        <v>0</v>
      </c>
    </row>
    <row r="711" ht="14.4" spans="1:16">
      <c r="A711" t="str">
        <f>'Ammo Input'!A711</f>
        <v>Molotov</v>
      </c>
      <c r="B711" s="1" t="str">
        <f>'Ammo Input'!B711</f>
        <v>Fire bomb</v>
      </c>
      <c r="C711">
        <f>(0.579*('Ammo Stats'!G711*IF(OR(B711="HEAT",B711="HEDP"),10,'Ammo Input'!F711)*VLOOKUP(B711,AmmoTypeFactors,7,FALSE))^(0.346))^IF(B711="HEDP",2.1,1)/IF(B711="HEDP",50,1)</f>
        <v>8.84206131993686</v>
      </c>
      <c r="D711" s="16">
        <f>IF(VLOOKUP(B711,AmmoTypeFactors,8,FALSE),J711,C711)*VLOOKUP('Ammo Input'!B711,AmmoTypeFactors,2,FALSE)</f>
        <v>10.6079760311485</v>
      </c>
      <c r="E711" s="16">
        <f>IF(OR(VLOOKUP(B711,AmmoTypeFactors,6,FALSE)="Bomb",VLOOKUP(B711,AmmoTypeFactors,6,FALSE)="Thermobaric"),J711*VLOOKUP(B711,AmmoTypeFactors,4,FALSE),IF(VLOOKUP(B711,AmmoTypeFactors,11,FALSE),P711,C711*VLOOKUP(B711,AmmoTypeFactors,4,FALSE)))</f>
        <v>0</v>
      </c>
      <c r="F711" s="16">
        <f>'Ammo Stats'!G711/0.005</f>
        <v>8800</v>
      </c>
      <c r="G711" s="16">
        <f>(IF(B711="HEAT",10,'Ammo Input'!F711)*VLOOKUP(B711,AmmoTypeFactors,7,FALSE)*0.5)^2*PI()/100</f>
        <v>28.2743338823081</v>
      </c>
      <c r="H711" s="10">
        <f t="shared" si="27"/>
        <v>0.88</v>
      </c>
      <c r="I711" s="10">
        <f>IF(B711&lt;&gt;"Arrow (Flaming)",39493.49*'Ammo Input'!M711^0.6/1000,0)</f>
        <v>21.215952062297</v>
      </c>
      <c r="J711">
        <f t="shared" si="28"/>
        <v>70.7198402076565</v>
      </c>
      <c r="K711">
        <f t="shared" si="29"/>
        <v>2</v>
      </c>
      <c r="L711">
        <f>200000/('Ammo Stats'!C711*(MAX('Ammo Input'!D711,'Ammo Input'!F711)*0.5)^2*PI())</f>
        <v>36.0895562566656</v>
      </c>
      <c r="M711">
        <f>IF(B711="Frag",1,('Ammo Input'!M711/1.33)/('Ammo Input'!H711/1000))</f>
        <v>1.33458646616541</v>
      </c>
      <c r="N711" t="s">
        <v>353</v>
      </c>
      <c r="O711" t="s">
        <v>353</v>
      </c>
      <c r="P711" s="3">
        <f>(39493.49*(IF((VLOOKUP(B711,AmmoTypeFactors,6,FALSE)="Bomb_Secondary"),1.33,1)*('Ammo Input'!H711*0.35)/1000)^0.6/1000)*10/3*VLOOKUP(B711,AmmoTypeFactors,4,FALSE)</f>
        <v>0</v>
      </c>
    </row>
    <row r="712" ht="14.4" spans="1:16">
      <c r="A712" s="14" t="s">
        <v>265</v>
      </c>
      <c r="B712" s="15"/>
      <c r="C712" s="15"/>
      <c r="D712" s="15"/>
      <c r="E712" s="15"/>
      <c r="F712" s="15"/>
      <c r="G712" s="15"/>
      <c r="H712" s="15"/>
      <c r="I712" s="15"/>
      <c r="J712" s="15"/>
      <c r="K712" s="15"/>
      <c r="L712" s="15"/>
      <c r="M712" s="15"/>
      <c r="N712" s="15"/>
      <c r="O712" s="15"/>
      <c r="P712" s="15"/>
    </row>
    <row r="713" ht="14.4" spans="1:16">
      <c r="A713" t="str">
        <f>'Ammo Input'!A713</f>
        <v>RPG 7</v>
      </c>
      <c r="B713" s="1" t="str">
        <f>'Ammo Input'!B713</f>
        <v>HEAT</v>
      </c>
      <c r="C713">
        <f>(0.579*('Ammo Stats'!G713*IF(OR(B713="HEAT",B713="HEDP"),10,'Ammo Input'!F713)*VLOOKUP(B713,AmmoTypeFactors,7,FALSE))^(0.346))^IF(B713="HEDP",2.1,1)/IF(B713="HEDP",50,1)</f>
        <v>304.216165897505</v>
      </c>
      <c r="D713" s="16">
        <f>IF(VLOOKUP(B713,AmmoTypeFactors,8,FALSE),J713,C713)*VLOOKUP('Ammo Input'!B713,AmmoTypeFactors,2,FALSE)</f>
        <v>304.216165897505</v>
      </c>
      <c r="E713" s="16">
        <f>IF(OR(VLOOKUP(B713,AmmoTypeFactors,6,FALSE)="Bomb",VLOOKUP(B713,AmmoTypeFactors,6,FALSE)="Thermobaric"),J713*VLOOKUP(B713,AmmoTypeFactors,4,FALSE),IF(VLOOKUP(B713,AmmoTypeFactors,11,FALSE),P713,C713*VLOOKUP(B713,AmmoTypeFactors,4,FALSE)))</f>
        <v>0</v>
      </c>
      <c r="F713" s="16">
        <f>'Ammo Stats'!G713/0.005</f>
        <v>1458000000</v>
      </c>
      <c r="G713" s="16">
        <f>(IF(B713="HEAT",10,'Ammo Input'!F713)*VLOOKUP(B713,AmmoTypeFactors,7,FALSE)*0.5)^2*PI()/100</f>
        <v>0.785398163397448</v>
      </c>
      <c r="H713" s="10">
        <f t="shared" ref="H713:H759" si="30">F713/10000</f>
        <v>145800</v>
      </c>
      <c r="I713" s="10">
        <f>IF(B713&lt;&gt;"Arrow (Flaming)",39493.49*'Ammo Input'!M713^0.6/1000,0)</f>
        <v>44.9560952292841</v>
      </c>
      <c r="J713">
        <f t="shared" ref="J713:J759" si="31">I713*10/3</f>
        <v>149.85365076428</v>
      </c>
      <c r="K713">
        <f t="shared" ref="K713:K759" si="32">ROUND(F713^(1/3)/10,0)</f>
        <v>113</v>
      </c>
      <c r="L713">
        <f>200000/('Ammo Stats'!C713*(MAX('Ammo Input'!D713,'Ammo Input'!F713)*0.5)^2*PI())</f>
        <v>10.601953995803</v>
      </c>
      <c r="M713">
        <f>IF(B713="Frag",1,('Ammo Input'!M713/1.33)/('Ammo Input'!H713/1000))</f>
        <v>0.358877964141122</v>
      </c>
      <c r="N713">
        <v>3</v>
      </c>
      <c r="O713">
        <v>12</v>
      </c>
      <c r="P713" s="3">
        <f>(39493.49*(IF((VLOOKUP(B713,AmmoTypeFactors,6,FALSE)="Bomb_Secondary"),1.33,1)*('Ammo Input'!H713*0.35)/1000)^0.6/1000)*10/3*VLOOKUP(B713,AmmoTypeFactors,4,FALSE)</f>
        <v>0</v>
      </c>
    </row>
    <row r="714" ht="14.4" spans="1:16">
      <c r="A714" t="str">
        <f>'Ammo Input'!A714</f>
        <v>RPG 7</v>
      </c>
      <c r="B714" s="1" t="str">
        <f>'Ammo Input'!B714</f>
        <v>Thermobaric</v>
      </c>
      <c r="C714">
        <f>(0.579*('Ammo Stats'!G714*IF(OR(B714="HEAT",B714="HEDP"),10,'Ammo Input'!F714)*VLOOKUP(B714,AmmoTypeFactors,7,FALSE))^(0.346))^IF(B714="HEDP",2.1,1)/IF(B714="HEDP",50,1)</f>
        <v>165.527115800169</v>
      </c>
      <c r="D714" s="16">
        <f>IF(VLOOKUP(B714,AmmoTypeFactors,8,FALSE),J714,C714)*VLOOKUP('Ammo Input'!B714,AmmoTypeFactors,2,FALSE)</f>
        <v>274.952305246574</v>
      </c>
      <c r="E714" s="16">
        <f>IF(OR(VLOOKUP(B714,AmmoTypeFactors,6,FALSE)="Bomb",VLOOKUP(B714,AmmoTypeFactors,6,FALSE)="Thermobaric"),J714*VLOOKUP(B714,AmmoTypeFactors,4,FALSE),IF(VLOOKUP(B714,AmmoTypeFactors,11,FALSE),P714,C714*VLOOKUP(B714,AmmoTypeFactors,4,FALSE)))</f>
        <v>0</v>
      </c>
      <c r="F714" s="16">
        <f>'Ammo Stats'!G714/0.005</f>
        <v>40500000</v>
      </c>
      <c r="G714" s="16">
        <f>(IF(B714="HEAT",10,'Ammo Input'!F714)*VLOOKUP(B714,AmmoTypeFactors,7,FALSE)*0.5)^2*PI()/100</f>
        <v>30.1907054009979</v>
      </c>
      <c r="H714" s="10">
        <f t="shared" si="30"/>
        <v>4050</v>
      </c>
      <c r="I714" s="10">
        <f>IF(B714&lt;&gt;"Arrow (Flaming)",39493.49*'Ammo Input'!M714^0.6/1000,0)</f>
        <v>103.107114467465</v>
      </c>
      <c r="J714">
        <f t="shared" si="31"/>
        <v>343.690381558218</v>
      </c>
      <c r="K714">
        <f t="shared" si="32"/>
        <v>34</v>
      </c>
      <c r="L714">
        <f>200000/('Ammo Stats'!C714*(MAX('Ammo Input'!D714,'Ammo Input'!F714)*0.5)^2*PI())</f>
        <v>7.69402483581613</v>
      </c>
      <c r="M714">
        <f>IF(B714="Frag",1,('Ammo Input'!M714/1.33)/('Ammo Input'!H714/1000))</f>
        <v>0.827067669172932</v>
      </c>
      <c r="N714" t="s">
        <v>353</v>
      </c>
      <c r="O714" t="s">
        <v>353</v>
      </c>
      <c r="P714" s="3">
        <f>(39493.49*(IF((VLOOKUP(B714,AmmoTypeFactors,6,FALSE)="Bomb_Secondary"),1.33,1)*('Ammo Input'!H714*0.35)/1000)^0.6/1000)*10/3*VLOOKUP(B714,AmmoTypeFactors,4,FALSE)</f>
        <v>0</v>
      </c>
    </row>
    <row r="715" ht="14.4" spans="1:16">
      <c r="A715" t="str">
        <f>'Ammo Input'!A715</f>
        <v>RPG 7</v>
      </c>
      <c r="B715" s="1" t="str">
        <f>'Ammo Input'!B715</f>
        <v>Frag</v>
      </c>
      <c r="C715">
        <f>(0.579*('Ammo Stats'!G715*IF(OR(B715="HEAT",B715="HEDP"),10,'Ammo Input'!F715)*VLOOKUP(B715,AmmoTypeFactors,7,FALSE))^(0.346))^IF(B715="HEDP",2.1,1)/IF(B715="HEDP",50,1)</f>
        <v>107.438325019308</v>
      </c>
      <c r="D715" s="16">
        <f>IF(VLOOKUP(B715,AmmoTypeFactors,8,FALSE),J715,C715)*VLOOKUP('Ammo Input'!B715,AmmoTypeFactors,2,FALSE)</f>
        <v>57.5764101404014</v>
      </c>
      <c r="E715" s="16">
        <f>IF(OR(VLOOKUP(B715,AmmoTypeFactors,6,FALSE)="Bomb",VLOOKUP(B715,AmmoTypeFactors,6,FALSE)="Thermobaric"),J715*VLOOKUP(B715,AmmoTypeFactors,4,FALSE),IF(VLOOKUP(B715,AmmoTypeFactors,11,FALSE),P715,C715*VLOOKUP(B715,AmmoTypeFactors,4,FALSE)))</f>
        <v>0</v>
      </c>
      <c r="F715" s="16">
        <f>'Ammo Stats'!G715/0.005</f>
        <v>18000000</v>
      </c>
      <c r="G715" s="16">
        <f>(IF(B715="HEAT",10,'Ammo Input'!F715)*VLOOKUP(B715,AmmoTypeFactors,7,FALSE)*0.5)^2*PI()/100</f>
        <v>12.5663706143592</v>
      </c>
      <c r="H715" s="10">
        <f t="shared" si="30"/>
        <v>1800</v>
      </c>
      <c r="I715" s="10">
        <f>IF(B715&lt;&gt;"Arrow (Flaming)",39493.49*'Ammo Input'!M715^0.6/1000,0)</f>
        <v>17.2729230421204</v>
      </c>
      <c r="J715">
        <f t="shared" si="31"/>
        <v>57.5764101404014</v>
      </c>
      <c r="K715">
        <f t="shared" si="32"/>
        <v>26</v>
      </c>
      <c r="L715">
        <f>200000/('Ammo Stats'!C715*(MAX('Ammo Input'!D715,'Ammo Input'!F715)*0.5)^2*PI())</f>
        <v>46.8102773799692</v>
      </c>
      <c r="M715">
        <f>IF(B715="Frag",1,('Ammo Input'!M715/1.33)/('Ammo Input'!H715/1000))</f>
        <v>1</v>
      </c>
      <c r="N715">
        <v>0</v>
      </c>
      <c r="O715">
        <v>200</v>
      </c>
      <c r="P715" s="3">
        <f>(39493.49*(IF((VLOOKUP(B715,AmmoTypeFactors,6,FALSE)="Bomb_Secondary"),1.33,1)*('Ammo Input'!H715*0.35)/1000)^0.6/1000)*10/3*VLOOKUP(B715,AmmoTypeFactors,4,FALSE)</f>
        <v>0</v>
      </c>
    </row>
    <row r="716" ht="14.4" spans="1:16">
      <c r="A716" t="str">
        <f>'Ammo Input'!A716</f>
        <v>RPO</v>
      </c>
      <c r="B716" s="1" t="str">
        <f>'Ammo Input'!B716</f>
        <v>Thermobaric</v>
      </c>
      <c r="C716">
        <f>(0.579*('Ammo Stats'!G716*IF(OR(B716="HEAT",B716="HEDP"),10,'Ammo Input'!F716)*VLOOKUP(B716,AmmoTypeFactors,7,FALSE))^(0.346))^IF(B716="HEDP",2.1,1)/IF(B716="HEDP",50,1)</f>
        <v>79.8297190115771</v>
      </c>
      <c r="D716" s="16">
        <f>IF(VLOOKUP(B716,AmmoTypeFactors,8,FALSE),J716,C716)*VLOOKUP('Ammo Input'!B716,AmmoTypeFactors,2,FALSE)</f>
        <v>292.894933670185</v>
      </c>
      <c r="E716" s="16">
        <f>IF(OR(VLOOKUP(B716,AmmoTypeFactors,6,FALSE)="Bomb",VLOOKUP(B716,AmmoTypeFactors,6,FALSE)="Thermobaric"),J716*VLOOKUP(B716,AmmoTypeFactors,4,FALSE),IF(VLOOKUP(B716,AmmoTypeFactors,11,FALSE),P716,C716*VLOOKUP(B716,AmmoTypeFactors,4,FALSE)))</f>
        <v>0</v>
      </c>
      <c r="F716" s="16">
        <f>'Ammo Stats'!G716/0.005</f>
        <v>3281200</v>
      </c>
      <c r="G716" s="16">
        <f>(IF(B716="HEAT",10,'Ammo Input'!F716)*VLOOKUP(B716,AmmoTypeFactors,7,FALSE)*0.5)^2*PI()/100</f>
        <v>67.9290871522453</v>
      </c>
      <c r="H716" s="10">
        <f t="shared" si="30"/>
        <v>328.12</v>
      </c>
      <c r="I716" s="10">
        <f>IF(B716&lt;&gt;"Arrow (Flaming)",39493.49*'Ammo Input'!M716^0.6/1000,0)</f>
        <v>109.835600126319</v>
      </c>
      <c r="J716">
        <f t="shared" si="31"/>
        <v>366.118667087731</v>
      </c>
      <c r="K716">
        <f t="shared" si="32"/>
        <v>15</v>
      </c>
      <c r="L716">
        <f>200000/('Ammo Stats'!C716*(MAX('Ammo Input'!D716,'Ammo Input'!F716)*0.5)^2*PI())</f>
        <v>0.966414895575983</v>
      </c>
      <c r="M716">
        <f>IF(B716="Frag",1,('Ammo Input'!M716/1.33)/('Ammo Input'!H716/1000))</f>
        <v>1.96920873612603</v>
      </c>
      <c r="N716" t="s">
        <v>353</v>
      </c>
      <c r="O716" t="s">
        <v>353</v>
      </c>
      <c r="P716" s="3">
        <f>(39493.49*(IF((VLOOKUP(B716,AmmoTypeFactors,6,FALSE)="Bomb_Secondary"),1.33,1)*('Ammo Input'!H716*0.35)/1000)^0.6/1000)*10/3*VLOOKUP(B716,AmmoTypeFactors,4,FALSE)</f>
        <v>0</v>
      </c>
    </row>
    <row r="717" ht="14.4" spans="1:16">
      <c r="A717" t="str">
        <f>'Ammo Input'!A717</f>
        <v>RPO</v>
      </c>
      <c r="B717" s="1" t="str">
        <f>'Ammo Input'!B717</f>
        <v>Incendiary</v>
      </c>
      <c r="C717">
        <f>(0.579*('Ammo Stats'!G717*IF(OR(B717="HEAT",B717="HEDP"),10,'Ammo Input'!F717)*VLOOKUP(B717,AmmoTypeFactors,7,FALSE))^(0.346))^IF(B717="HEDP",2.1,1)/IF(B717="HEDP",50,1)</f>
        <v>79.8297190115771</v>
      </c>
      <c r="D717" s="16">
        <f>IF(VLOOKUP(B717,AmmoTypeFactors,8,FALSE),J717,C717)*VLOOKUP('Ammo Input'!B717,AmmoTypeFactors,2,FALSE)</f>
        <v>20.5464045870476</v>
      </c>
      <c r="E717" s="16">
        <f>IF(OR(VLOOKUP(B717,AmmoTypeFactors,6,FALSE)="Bomb",VLOOKUP(B717,AmmoTypeFactors,6,FALSE)="Thermobaric"),J717*VLOOKUP(B717,AmmoTypeFactors,4,FALSE),IF(VLOOKUP(B717,AmmoTypeFactors,11,FALSE),P717,C717*VLOOKUP(B717,AmmoTypeFactors,4,FALSE)))</f>
        <v>0</v>
      </c>
      <c r="F717" s="16">
        <f>'Ammo Stats'!G717/0.005</f>
        <v>3281200</v>
      </c>
      <c r="G717" s="16">
        <f>(IF(B717="HEAT",10,'Ammo Input'!F717)*VLOOKUP(B717,AmmoTypeFactors,7,FALSE)*0.5)^2*PI()/100</f>
        <v>67.9290871522453</v>
      </c>
      <c r="H717" s="10">
        <f t="shared" si="30"/>
        <v>328.12</v>
      </c>
      <c r="I717" s="10">
        <f>IF(B717&lt;&gt;"Arrow (Flaming)",39493.49*'Ammo Input'!M717^0.6/1000,0)</f>
        <v>61.6392137611428</v>
      </c>
      <c r="J717">
        <f t="shared" si="31"/>
        <v>205.464045870476</v>
      </c>
      <c r="K717">
        <f t="shared" si="32"/>
        <v>15</v>
      </c>
      <c r="L717">
        <f>200000/('Ammo Stats'!C717*(MAX('Ammo Input'!D717,'Ammo Input'!F717)*0.5)^2*PI())</f>
        <v>0.966414895575983</v>
      </c>
      <c r="M717">
        <f>IF(B717="Frag",1,('Ammo Input'!M717/1.33)/('Ammo Input'!H717/1000))</f>
        <v>0.75187969924812</v>
      </c>
      <c r="N717" t="s">
        <v>353</v>
      </c>
      <c r="O717" t="s">
        <v>353</v>
      </c>
      <c r="P717" s="3">
        <f>(39493.49*(IF((VLOOKUP(B717,AmmoTypeFactors,6,FALSE)="Bomb_Secondary"),1.33,1)*('Ammo Input'!H717*0.35)/1000)^0.6/1000)*10/3*VLOOKUP(B717,AmmoTypeFactors,4,FALSE)</f>
        <v>0</v>
      </c>
    </row>
    <row r="718" ht="14.4" spans="1:16">
      <c r="A718" t="str">
        <f>'Ammo Input'!A718</f>
        <v>RPO</v>
      </c>
      <c r="B718" s="1" t="str">
        <f>'Ammo Input'!B718</f>
        <v>Smoke</v>
      </c>
      <c r="C718">
        <f>(0.579*('Ammo Stats'!G718*IF(OR(B718="HEAT",B718="HEDP"),10,'Ammo Input'!F718)*VLOOKUP(B718,AmmoTypeFactors,7,FALSE))^(0.346))^IF(B718="HEDP",2.1,1)/IF(B718="HEDP",50,1)</f>
        <v>79.8297190115771</v>
      </c>
      <c r="D718" s="16">
        <f>IF(VLOOKUP(B718,AmmoTypeFactors,8,FALSE),J718,C718)*VLOOKUP('Ammo Input'!B718,AmmoTypeFactors,2,FALSE)</f>
        <v>216.990619888264</v>
      </c>
      <c r="E718" s="16">
        <f>IF(OR(VLOOKUP(B718,AmmoTypeFactors,6,FALSE)="Bomb",VLOOKUP(B718,AmmoTypeFactors,6,FALSE)="Thermobaric"),J718*VLOOKUP(B718,AmmoTypeFactors,4,FALSE),IF(VLOOKUP(B718,AmmoTypeFactors,11,FALSE),P718,C718*VLOOKUP(B718,AmmoTypeFactors,4,FALSE)))</f>
        <v>0</v>
      </c>
      <c r="F718" s="16">
        <f>'Ammo Stats'!G718/0.005</f>
        <v>3281200</v>
      </c>
      <c r="G718" s="16">
        <f>(IF(B718="HEAT",10,'Ammo Input'!F718)*VLOOKUP(B718,AmmoTypeFactors,7,FALSE)*0.5)^2*PI()/100</f>
        <v>67.9290871522453</v>
      </c>
      <c r="H718" s="10">
        <f t="shared" si="30"/>
        <v>328.12</v>
      </c>
      <c r="I718" s="10">
        <f>IF(B718&lt;&gt;"Arrow (Flaming)",39493.49*'Ammo Input'!M718^0.6/1000,0)</f>
        <v>65.0971859664792</v>
      </c>
      <c r="J718">
        <f t="shared" si="31"/>
        <v>216.990619888264</v>
      </c>
      <c r="K718">
        <f t="shared" si="32"/>
        <v>15</v>
      </c>
      <c r="L718">
        <f>200000/('Ammo Stats'!C718*(MAX('Ammo Input'!D718,'Ammo Input'!F718)*0.5)^2*PI())</f>
        <v>0.966414895575983</v>
      </c>
      <c r="M718">
        <f>IF(B718="Frag",1,('Ammo Input'!M718/1.33)/('Ammo Input'!H718/1000))</f>
        <v>0.823487289652703</v>
      </c>
      <c r="N718" t="s">
        <v>353</v>
      </c>
      <c r="O718" t="s">
        <v>353</v>
      </c>
      <c r="P718" s="3">
        <f>(39493.49*(IF((VLOOKUP(B718,AmmoTypeFactors,6,FALSE)="Bomb_Secondary"),1.33,1)*('Ammo Input'!H718*0.35)/1000)^0.6/1000)*10/3*VLOOKUP(B718,AmmoTypeFactors,4,FALSE)</f>
        <v>0</v>
      </c>
    </row>
    <row r="719" ht="14.4" spans="1:16">
      <c r="A719" t="str">
        <f>'Ammo Input'!A719</f>
        <v>SPG-9</v>
      </c>
      <c r="B719" s="1" t="str">
        <f>'Ammo Input'!B719</f>
        <v>HEAT</v>
      </c>
      <c r="C719">
        <f>(0.579*('Ammo Stats'!G719*IF(OR(B719="HEAT",B719="HEDP"),10,'Ammo Input'!F719)*VLOOKUP(B719,AmmoTypeFactors,7,FALSE))^(0.346))^IF(B719="HEDP",2.1,1)/IF(B719="HEDP",50,1)</f>
        <v>248.232134528328</v>
      </c>
      <c r="D719" s="16">
        <f>IF(VLOOKUP(B719,AmmoTypeFactors,8,FALSE),J719,C719)*VLOOKUP('Ammo Input'!B719,AmmoTypeFactors,2,FALSE)</f>
        <v>248.232134528328</v>
      </c>
      <c r="E719" s="16">
        <f>IF(OR(VLOOKUP(B719,AmmoTypeFactors,6,FALSE)="Bomb",VLOOKUP(B719,AmmoTypeFactors,6,FALSE)="Thermobaric"),J719*VLOOKUP(B719,AmmoTypeFactors,4,FALSE),IF(VLOOKUP(B719,AmmoTypeFactors,11,FALSE),P719,C719*VLOOKUP(B719,AmmoTypeFactors,4,FALSE)))</f>
        <v>0</v>
      </c>
      <c r="F719" s="16">
        <f>'Ammo Stats'!G719/0.005</f>
        <v>810000000</v>
      </c>
      <c r="G719" s="16">
        <f>(IF(B719="HEAT",10,'Ammo Input'!F719)*VLOOKUP(B719,AmmoTypeFactors,7,FALSE)*0.5)^2*PI()/100</f>
        <v>0.785398163397448</v>
      </c>
      <c r="H719" s="10">
        <f t="shared" si="30"/>
        <v>81000</v>
      </c>
      <c r="I719" s="10">
        <f>IF(B719&lt;&gt;"Arrow (Flaming)",39493.49*'Ammo Input'!M719^0.6/1000,0)</f>
        <v>26.5283981015134</v>
      </c>
      <c r="J719">
        <f t="shared" si="31"/>
        <v>88.4279936717114</v>
      </c>
      <c r="K719">
        <f t="shared" si="32"/>
        <v>93</v>
      </c>
      <c r="L719">
        <f>200000/('Ammo Stats'!C719*(MAX('Ammo Input'!D719,'Ammo Input'!F719)*0.5)^2*PI())</f>
        <v>4.13367720507935</v>
      </c>
      <c r="M719">
        <f>IF(B719="Frag",1,('Ammo Input'!M719/1.33)/('Ammo Input'!H719/1000))</f>
        <v>0.0774736842105263</v>
      </c>
      <c r="N719">
        <v>9</v>
      </c>
      <c r="O719">
        <v>5</v>
      </c>
      <c r="P719" s="3">
        <f>(39493.49*(IF((VLOOKUP(B719,AmmoTypeFactors,6,FALSE)="Bomb_Secondary"),1.33,1)*('Ammo Input'!H719*0.35)/1000)^0.6/1000)*10/3*VLOOKUP(B719,AmmoTypeFactors,4,FALSE)</f>
        <v>0</v>
      </c>
    </row>
    <row r="720" ht="14.4" spans="1:16">
      <c r="A720" t="str">
        <f>'Ammo Input'!A720</f>
        <v>SPG-9</v>
      </c>
      <c r="B720" s="1" t="str">
        <f>'Ammo Input'!B720</f>
        <v>Thermobaric</v>
      </c>
      <c r="C720">
        <f>(0.579*('Ammo Stats'!G720*IF(OR(B720="HEAT",B720="HEDP"),10,'Ammo Input'!F720)*VLOOKUP(B720,AmmoTypeFactors,7,FALSE))^(0.346))^IF(B720="HEDP",2.1,1)/IF(B720="HEDP",50,1)</f>
        <v>200.565249738634</v>
      </c>
      <c r="D720" s="16">
        <f>IF(VLOOKUP(B720,AmmoTypeFactors,8,FALSE),J720,C720)*VLOOKUP('Ammo Input'!B720,AmmoTypeFactors,2,FALSE)</f>
        <v>276.615332207846</v>
      </c>
      <c r="E720" s="16">
        <f>IF(OR(VLOOKUP(B720,AmmoTypeFactors,6,FALSE)="Bomb",VLOOKUP(B720,AmmoTypeFactors,6,FALSE)="Thermobaric"),J720*VLOOKUP(B720,AmmoTypeFactors,4,FALSE),IF(VLOOKUP(B720,AmmoTypeFactors,11,FALSE),P720,C720*VLOOKUP(B720,AmmoTypeFactors,4,FALSE)))</f>
        <v>0</v>
      </c>
      <c r="F720" s="16">
        <f>'Ammo Stats'!G720/0.005</f>
        <v>59913600</v>
      </c>
      <c r="G720" s="16">
        <f>(IF(B720="HEAT",10,'Ammo Input'!F720)*VLOOKUP(B720,AmmoTypeFactors,7,FALSE)*0.5)^2*PI()/100</f>
        <v>41.85386812745</v>
      </c>
      <c r="H720" s="10">
        <f t="shared" si="30"/>
        <v>5991.36</v>
      </c>
      <c r="I720" s="10">
        <f>IF(B720&lt;&gt;"Arrow (Flaming)",39493.49*'Ammo Input'!M720^0.6/1000,0)</f>
        <v>103.730749577942</v>
      </c>
      <c r="J720">
        <f t="shared" si="31"/>
        <v>345.769165259807</v>
      </c>
      <c r="K720">
        <f t="shared" si="32"/>
        <v>39</v>
      </c>
      <c r="L720">
        <f>200000/('Ammo Stats'!C720*(MAX('Ammo Input'!D720,'Ammo Input'!F720)*0.5)^2*PI())</f>
        <v>4.13367720507935</v>
      </c>
      <c r="M720">
        <f>IF(B720="Frag",1,('Ammo Input'!M720/1.33)/('Ammo Input'!H720/1000))</f>
        <v>0.6265664160401</v>
      </c>
      <c r="N720" t="s">
        <v>353</v>
      </c>
      <c r="O720" t="s">
        <v>353</v>
      </c>
      <c r="P720" s="3">
        <f>(39493.49*(IF((VLOOKUP(B720,AmmoTypeFactors,6,FALSE)="Bomb_Secondary"),1.33,1)*('Ammo Input'!H720*0.35)/1000)^0.6/1000)*10/3*VLOOKUP(B720,AmmoTypeFactors,4,FALSE)</f>
        <v>0</v>
      </c>
    </row>
    <row r="721" ht="14.4" spans="1:16">
      <c r="A721" t="str">
        <f>'Ammo Input'!A721</f>
        <v>SPG-9</v>
      </c>
      <c r="B721" s="1" t="str">
        <f>'Ammo Input'!B721</f>
        <v>Frag</v>
      </c>
      <c r="C721">
        <f>(0.579*('Ammo Stats'!G721*IF(OR(B721="HEAT",B721="HEDP"),10,'Ammo Input'!F721)*VLOOKUP(B721,AmmoTypeFactors,7,FALSE))^(0.346))^IF(B721="HEDP",2.1,1)/IF(B721="HEDP",50,1)</f>
        <v>201.715642368269</v>
      </c>
      <c r="D721" s="16">
        <f>IF(VLOOKUP(B721,AmmoTypeFactors,8,FALSE),J721,C721)*VLOOKUP('Ammo Input'!B721,AmmoTypeFactors,2,FALSE)</f>
        <v>111.040458047153</v>
      </c>
      <c r="E721" s="16">
        <f>IF(OR(VLOOKUP(B721,AmmoTypeFactors,6,FALSE)="Bomb",VLOOKUP(B721,AmmoTypeFactors,6,FALSE)="Thermobaric"),J721*VLOOKUP(B721,AmmoTypeFactors,4,FALSE),IF(VLOOKUP(B721,AmmoTypeFactors,11,FALSE),P721,C721*VLOOKUP(B721,AmmoTypeFactors,4,FALSE)))</f>
        <v>0</v>
      </c>
      <c r="F721" s="16">
        <f>'Ammo Stats'!G721/0.005</f>
        <v>60912200</v>
      </c>
      <c r="G721" s="16">
        <f>(IF(B721="HEAT",10,'Ammo Input'!F721)*VLOOKUP(B721,AmmoTypeFactors,7,FALSE)*0.5)^2*PI()/100</f>
        <v>41.85386812745</v>
      </c>
      <c r="H721" s="10">
        <f t="shared" si="30"/>
        <v>6091.22</v>
      </c>
      <c r="I721" s="10">
        <f>IF(B721&lt;&gt;"Arrow (Flaming)",39493.49*'Ammo Input'!M721^0.6/1000,0)</f>
        <v>33.3121374141458</v>
      </c>
      <c r="J721">
        <f t="shared" si="31"/>
        <v>111.040458047153</v>
      </c>
      <c r="K721">
        <f t="shared" si="32"/>
        <v>39</v>
      </c>
      <c r="L721">
        <f>200000/('Ammo Stats'!C721*(MAX('Ammo Input'!D721,'Ammo Input'!F721)*0.5)^2*PI())</f>
        <v>3.58210708326217</v>
      </c>
      <c r="M721">
        <f>IF(B721="Frag",1,('Ammo Input'!M721/1.33)/('Ammo Input'!H721/1000))</f>
        <v>1</v>
      </c>
      <c r="N721">
        <v>0</v>
      </c>
      <c r="O721">
        <v>610</v>
      </c>
      <c r="P721" s="3">
        <f>(39493.49*(IF((VLOOKUP(B721,AmmoTypeFactors,6,FALSE)="Bomb_Secondary"),1.33,1)*('Ammo Input'!H721*0.35)/1000)^0.6/1000)*10/3*VLOOKUP(B721,AmmoTypeFactors,4,FALSE)</f>
        <v>0</v>
      </c>
    </row>
    <row r="722" ht="14.4" spans="1:16">
      <c r="A722" t="str">
        <f>'Ammo Input'!A722</f>
        <v>SPG-9</v>
      </c>
      <c r="B722" s="1" t="str">
        <f>'Ammo Input'!B722</f>
        <v>EMP</v>
      </c>
      <c r="C722">
        <f>(0.579*('Ammo Stats'!G722*IF(OR(B722="HEAT",B722="HEDP"),10,'Ammo Input'!F722)*VLOOKUP(B722,AmmoTypeFactors,7,FALSE))^(0.346))^IF(B722="HEDP",2.1,1)/IF(B722="HEDP",50,1)</f>
        <v>192.763976665006</v>
      </c>
      <c r="D722" s="16">
        <f>IF(VLOOKUP(B722,AmmoTypeFactors,8,FALSE),J722,C722)*VLOOKUP('Ammo Input'!B722,AmmoTypeFactors,2,FALSE)</f>
        <v>110.77481079282</v>
      </c>
      <c r="E722" s="16">
        <f>IF(OR(VLOOKUP(B722,AmmoTypeFactors,6,FALSE)="Bomb",VLOOKUP(B722,AmmoTypeFactors,6,FALSE)="Thermobaric"),J722*VLOOKUP(B722,AmmoTypeFactors,4,FALSE),IF(VLOOKUP(B722,AmmoTypeFactors,11,FALSE),P722,C722*VLOOKUP(B722,AmmoTypeFactors,4,FALSE)))</f>
        <v>0</v>
      </c>
      <c r="F722" s="16">
        <f>'Ammo Stats'!G722/0.005</f>
        <v>53423000</v>
      </c>
      <c r="G722" s="16">
        <f>(IF(B722="HEAT",10,'Ammo Input'!F722)*VLOOKUP(B722,AmmoTypeFactors,7,FALSE)*0.5)^2*PI()/100</f>
        <v>41.85386812745</v>
      </c>
      <c r="H722" s="10">
        <f t="shared" si="30"/>
        <v>5342.3</v>
      </c>
      <c r="I722" s="10">
        <f>IF(B722&lt;&gt;"Arrow (Flaming)",39493.49*'Ammo Input'!M722^0.6/1000,0)</f>
        <v>33.232443237846</v>
      </c>
      <c r="J722">
        <f t="shared" si="31"/>
        <v>110.77481079282</v>
      </c>
      <c r="K722">
        <f t="shared" si="32"/>
        <v>38</v>
      </c>
      <c r="L722">
        <f>200000/('Ammo Stats'!C722*(MAX('Ammo Input'!D722,'Ammo Input'!F722)*0.5)^2*PI())</f>
        <v>4.13367720507935</v>
      </c>
      <c r="M722">
        <f>IF(B722="Frag",1,('Ammo Input'!M722/1.33)/('Ammo Input'!H722/1000))</f>
        <v>0.105403696156279</v>
      </c>
      <c r="N722" t="s">
        <v>353</v>
      </c>
      <c r="O722" t="s">
        <v>353</v>
      </c>
      <c r="P722" s="3">
        <f>(39493.49*(IF((VLOOKUP(B722,AmmoTypeFactors,6,FALSE)="Bomb_Secondary"),1.33,1)*('Ammo Input'!H722*0.35)/1000)^0.6/1000)*10/3*VLOOKUP(B722,AmmoTypeFactors,4,FALSE)</f>
        <v>0</v>
      </c>
    </row>
    <row r="723" ht="14.4" spans="1:16">
      <c r="A723" t="str">
        <f>'Ammo Input'!A723</f>
        <v>M6</v>
      </c>
      <c r="B723" s="1" t="str">
        <f>'Ammo Input'!B723</f>
        <v>HEAT</v>
      </c>
      <c r="C723">
        <f>(0.579*('Ammo Stats'!G723*IF(OR(B723="HEAT",B723="HEDP"),10,'Ammo Input'!F723)*VLOOKUP(B723,AmmoTypeFactors,7,FALSE))^(0.346))^IF(B723="HEDP",2.1,1)/IF(B723="HEDP",50,1)</f>
        <v>208.016763221792</v>
      </c>
      <c r="D723" s="16">
        <f>IF(VLOOKUP(B723,AmmoTypeFactors,8,FALSE),J723,C723)*VLOOKUP('Ammo Input'!B723,AmmoTypeFactors,2,FALSE)</f>
        <v>208.016763221792</v>
      </c>
      <c r="E723" s="16">
        <f>IF(OR(VLOOKUP(B723,AmmoTypeFactors,6,FALSE)="Bomb",VLOOKUP(B723,AmmoTypeFactors,6,FALSE)="Thermobaric"),J723*VLOOKUP(B723,AmmoTypeFactors,4,FALSE),IF(VLOOKUP(B723,AmmoTypeFactors,11,FALSE),P723,C723*VLOOKUP(B723,AmmoTypeFactors,4,FALSE)))</f>
        <v>0</v>
      </c>
      <c r="F723" s="16">
        <f>'Ammo Stats'!G723/0.005</f>
        <v>486000000</v>
      </c>
      <c r="G723" s="16">
        <f>(IF(B723="HEAT",10,'Ammo Input'!F723)*VLOOKUP(B723,AmmoTypeFactors,7,FALSE)*0.5)^2*PI()/100</f>
        <v>0.785398163397448</v>
      </c>
      <c r="H723" s="10">
        <f t="shared" si="30"/>
        <v>48600</v>
      </c>
      <c r="I723" s="10">
        <f>IF(B723&lt;&gt;"Arrow (Flaming)",39493.49*'Ammo Input'!M723^0.6/1000,0)</f>
        <v>42.272343716809</v>
      </c>
      <c r="J723">
        <f t="shared" si="31"/>
        <v>140.907812389363</v>
      </c>
      <c r="K723">
        <f t="shared" si="32"/>
        <v>79</v>
      </c>
      <c r="L723">
        <f>200000/('Ammo Stats'!C723*(MAX('Ammo Input'!D723,'Ammo Input'!F723)*0.5)^2*PI())</f>
        <v>15.1792983397134</v>
      </c>
      <c r="M723">
        <f>IF(B723="Frag",1,('Ammo Input'!M723/1.33)/('Ammo Input'!H723/1000))</f>
        <v>0.652794777641779</v>
      </c>
      <c r="N723">
        <v>1</v>
      </c>
      <c r="O723">
        <v>11</v>
      </c>
      <c r="P723" s="3">
        <f>(39493.49*(IF((VLOOKUP(B723,AmmoTypeFactors,6,FALSE)="Bomb_Secondary"),1.33,1)*('Ammo Input'!H723*0.35)/1000)^0.6/1000)*10/3*VLOOKUP(B723,AmmoTypeFactors,4,FALSE)</f>
        <v>0</v>
      </c>
    </row>
    <row r="724" ht="14.4" spans="1:16">
      <c r="A724" t="str">
        <f>'Ammo Input'!A724</f>
        <v>M6A1</v>
      </c>
      <c r="B724" s="1" t="str">
        <f>'Ammo Input'!B724</f>
        <v>HEAT</v>
      </c>
      <c r="C724">
        <f>(0.579*('Ammo Stats'!G724*IF(OR(B724="HEAT",B724="HEDP"),10,'Ammo Input'!F724)*VLOOKUP(B724,AmmoTypeFactors,7,FALSE))^(0.346))^IF(B724="HEDP",2.1,1)/IF(B724="HEDP",50,1)</f>
        <v>208.016763221792</v>
      </c>
      <c r="D724" s="16">
        <f>IF(VLOOKUP(B724,AmmoTypeFactors,8,FALSE),J724,C724)*VLOOKUP('Ammo Input'!B724,AmmoTypeFactors,2,FALSE)</f>
        <v>208.016763221792</v>
      </c>
      <c r="E724" s="16">
        <f>IF(OR(VLOOKUP(B724,AmmoTypeFactors,6,FALSE)="Bomb",VLOOKUP(B724,AmmoTypeFactors,6,FALSE)="Thermobaric"),J724*VLOOKUP(B724,AmmoTypeFactors,4,FALSE),IF(VLOOKUP(B724,AmmoTypeFactors,11,FALSE),P724,C724*VLOOKUP(B724,AmmoTypeFactors,4,FALSE)))</f>
        <v>0</v>
      </c>
      <c r="F724" s="16">
        <f>'Ammo Stats'!G724/0.005</f>
        <v>486000000</v>
      </c>
      <c r="G724" s="16">
        <f>(IF(B724="HEAT",10,'Ammo Input'!F724)*VLOOKUP(B724,AmmoTypeFactors,7,FALSE)*0.5)^2*PI()/100</f>
        <v>0.785398163397448</v>
      </c>
      <c r="H724" s="10">
        <f t="shared" si="30"/>
        <v>48600</v>
      </c>
      <c r="I724" s="10">
        <f>IF(B724&lt;&gt;"Arrow (Flaming)",39493.49*'Ammo Input'!M724^0.6/1000,0)</f>
        <v>42.272343716809</v>
      </c>
      <c r="J724">
        <f t="shared" si="31"/>
        <v>140.907812389363</v>
      </c>
      <c r="K724">
        <f t="shared" si="32"/>
        <v>79</v>
      </c>
      <c r="L724">
        <f>200000/('Ammo Stats'!C724*(MAX('Ammo Input'!D724,'Ammo Input'!F724)*0.5)^2*PI())</f>
        <v>15.1792983397134</v>
      </c>
      <c r="M724">
        <f>IF(B724="Frag",1,('Ammo Input'!M724/1.33)/('Ammo Input'!H724/1000))</f>
        <v>0.652794777641779</v>
      </c>
      <c r="N724">
        <v>1</v>
      </c>
      <c r="O724">
        <v>11</v>
      </c>
      <c r="P724" s="3">
        <f>(39493.49*(IF((VLOOKUP(B724,AmmoTypeFactors,6,FALSE)="Bomb_Secondary"),1.33,1)*('Ammo Input'!H724*0.35)/1000)^0.6/1000)*10/3*VLOOKUP(B724,AmmoTypeFactors,4,FALSE)</f>
        <v>0</v>
      </c>
    </row>
    <row r="725" ht="14.4" spans="1:16">
      <c r="A725" t="str">
        <f>'Ammo Input'!A725</f>
        <v>M6A3</v>
      </c>
      <c r="B725" s="1" t="str">
        <f>'Ammo Input'!B725</f>
        <v>HEAT</v>
      </c>
      <c r="C725">
        <f>(0.579*('Ammo Stats'!G725*IF(OR(B725="HEAT",B725="HEDP"),10,'Ammo Input'!F725)*VLOOKUP(B725,AmmoTypeFactors,7,FALSE))^(0.346))^IF(B725="HEDP",2.1,1)/IF(B725="HEDP",50,1)</f>
        <v>208.016763221792</v>
      </c>
      <c r="D725" s="16">
        <f>IF(VLOOKUP(B725,AmmoTypeFactors,8,FALSE),J725,C725)*VLOOKUP('Ammo Input'!B725,AmmoTypeFactors,2,FALSE)</f>
        <v>208.016763221792</v>
      </c>
      <c r="E725" s="16">
        <f>IF(OR(VLOOKUP(B725,AmmoTypeFactors,6,FALSE)="Bomb",VLOOKUP(B725,AmmoTypeFactors,6,FALSE)="Thermobaric"),J725*VLOOKUP(B725,AmmoTypeFactors,4,FALSE),IF(VLOOKUP(B725,AmmoTypeFactors,11,FALSE),P725,C725*VLOOKUP(B725,AmmoTypeFactors,4,FALSE)))</f>
        <v>0</v>
      </c>
      <c r="F725" s="16">
        <f>'Ammo Stats'!G725/0.005</f>
        <v>486000000</v>
      </c>
      <c r="G725" s="16">
        <f>(IF(B725="HEAT",10,'Ammo Input'!F725)*VLOOKUP(B725,AmmoTypeFactors,7,FALSE)*0.5)^2*PI()/100</f>
        <v>0.785398163397448</v>
      </c>
      <c r="H725" s="10">
        <f t="shared" si="30"/>
        <v>48600</v>
      </c>
      <c r="I725" s="10">
        <f>IF(B725&lt;&gt;"Arrow (Flaming)",39493.49*'Ammo Input'!M725^0.6/1000,0)</f>
        <v>42.272343716809</v>
      </c>
      <c r="J725">
        <f t="shared" si="31"/>
        <v>140.907812389363</v>
      </c>
      <c r="K725">
        <f t="shared" si="32"/>
        <v>79</v>
      </c>
      <c r="L725">
        <f>200000/('Ammo Stats'!C725*(MAX('Ammo Input'!D725,'Ammo Input'!F725)*0.5)^2*PI())</f>
        <v>16.8819881296097</v>
      </c>
      <c r="M725">
        <f>IF(B725="Frag",1,('Ammo Input'!M725/1.33)/('Ammo Input'!H725/1000))</f>
        <v>0.684638425331622</v>
      </c>
      <c r="N725">
        <v>1</v>
      </c>
      <c r="O725">
        <v>11</v>
      </c>
      <c r="P725" s="3">
        <f>(39493.49*(IF((VLOOKUP(B725,AmmoTypeFactors,6,FALSE)="Bomb_Secondary"),1.33,1)*('Ammo Input'!H725*0.35)/1000)^0.6/1000)*10/3*VLOOKUP(B725,AmmoTypeFactors,4,FALSE)</f>
        <v>0</v>
      </c>
    </row>
    <row r="726" ht="14.4" spans="1:16">
      <c r="A726" t="str">
        <f>'Ammo Input'!A726</f>
        <v>M6A3</v>
      </c>
      <c r="B726" s="1" t="str">
        <f>'Ammo Input'!B726</f>
        <v>Incendiary</v>
      </c>
      <c r="C726">
        <f>(0.579*('Ammo Stats'!G726*IF(OR(B726="HEAT",B726="HEDP"),10,'Ammo Input'!F726)*VLOOKUP(B726,AmmoTypeFactors,7,FALSE))^(0.346))^IF(B726="HEDP",2.1,1)/IF(B726="HEDP",50,1)</f>
        <v>42.9243467371379</v>
      </c>
      <c r="D726" s="16">
        <f>IF(VLOOKUP(B726,AmmoTypeFactors,8,FALSE),J726,C726)*VLOOKUP('Ammo Input'!B726,AmmoTypeFactors,2,FALSE)</f>
        <v>11.5148491023088</v>
      </c>
      <c r="E726" s="16">
        <f>IF(OR(VLOOKUP(B726,AmmoTypeFactors,6,FALSE)="Bomb",VLOOKUP(B726,AmmoTypeFactors,6,FALSE)="Thermobaric"),J726*VLOOKUP(B726,AmmoTypeFactors,4,FALSE),IF(VLOOKUP(B726,AmmoTypeFactors,11,FALSE),P726,C726*VLOOKUP(B726,AmmoTypeFactors,4,FALSE)))</f>
        <v>0</v>
      </c>
      <c r="F726" s="16">
        <f>'Ammo Stats'!G726/0.005</f>
        <v>846400</v>
      </c>
      <c r="G726" s="16">
        <f>(IF(B726="HEAT",10,'Ammo Input'!F726)*VLOOKUP(B726,AmmoTypeFactors,7,FALSE)*0.5)^2*PI()/100</f>
        <v>28.2743338823081</v>
      </c>
      <c r="H726" s="10">
        <f t="shared" si="30"/>
        <v>84.64</v>
      </c>
      <c r="I726" s="10">
        <f>IF(B726&lt;&gt;"Arrow (Flaming)",39493.49*'Ammo Input'!M726^0.6/1000,0)</f>
        <v>34.5445473069265</v>
      </c>
      <c r="J726">
        <f t="shared" si="31"/>
        <v>115.148491023088</v>
      </c>
      <c r="K726">
        <f t="shared" si="32"/>
        <v>9</v>
      </c>
      <c r="L726">
        <f>200000/('Ammo Stats'!C726*(MAX('Ammo Input'!D726,'Ammo Input'!F726)*0.5)^2*PI())</f>
        <v>18.5657559745576</v>
      </c>
      <c r="M726">
        <f>IF(B726="Frag",1,('Ammo Input'!M726/1.33)/('Ammo Input'!H726/1000))</f>
        <v>0.466281984029842</v>
      </c>
      <c r="N726" t="s">
        <v>353</v>
      </c>
      <c r="O726" t="s">
        <v>353</v>
      </c>
      <c r="P726" s="3">
        <f>(39493.49*(IF((VLOOKUP(B726,AmmoTypeFactors,6,FALSE)="Bomb_Secondary"),1.33,1)*('Ammo Input'!H726*0.35)/1000)^0.6/1000)*10/3*VLOOKUP(B726,AmmoTypeFactors,4,FALSE)</f>
        <v>0</v>
      </c>
    </row>
    <row r="727" ht="14.4" spans="1:16">
      <c r="A727" t="str">
        <f>'Ammo Input'!A727</f>
        <v>M72 LAW</v>
      </c>
      <c r="B727" s="1" t="str">
        <f>'Ammo Input'!B727</f>
        <v>HEAT</v>
      </c>
      <c r="C727">
        <f>(0.579*('Ammo Stats'!G727*IF(OR(B727="HEAT",B727="HEDP"),10,'Ammo Input'!F727)*VLOOKUP(B727,AmmoTypeFactors,7,FALSE))^(0.346))^IF(B727="HEDP",2.1,1)/IF(B727="HEDP",50,1)</f>
        <v>248.232134528328</v>
      </c>
      <c r="D727" s="16">
        <f>IF(VLOOKUP(B727,AmmoTypeFactors,8,FALSE),J727,C727)*VLOOKUP('Ammo Input'!B727,AmmoTypeFactors,2,FALSE)</f>
        <v>248.232134528328</v>
      </c>
      <c r="E727" s="16">
        <f>IF(OR(VLOOKUP(B727,AmmoTypeFactors,6,FALSE)="Bomb",VLOOKUP(B727,AmmoTypeFactors,6,FALSE)="Thermobaric"),J727*VLOOKUP(B727,AmmoTypeFactors,4,FALSE),IF(VLOOKUP(B727,AmmoTypeFactors,11,FALSE),P727,C727*VLOOKUP(B727,AmmoTypeFactors,4,FALSE)))</f>
        <v>0</v>
      </c>
      <c r="F727" s="16">
        <f>'Ammo Stats'!G727/0.005</f>
        <v>810000000</v>
      </c>
      <c r="G727" s="16">
        <f>(IF(B727="HEAT",10,'Ammo Input'!F727)*VLOOKUP(B727,AmmoTypeFactors,7,FALSE)*0.5)^2*PI()/100</f>
        <v>0.785398163397448</v>
      </c>
      <c r="H727" s="10">
        <f t="shared" si="30"/>
        <v>81000</v>
      </c>
      <c r="I727" s="10">
        <f>IF(B727&lt;&gt;"Arrow (Flaming)",39493.49*'Ammo Input'!M727^0.6/1000,0)</f>
        <v>31.5832666332664</v>
      </c>
      <c r="J727">
        <f t="shared" si="31"/>
        <v>105.277555444221</v>
      </c>
      <c r="K727">
        <f t="shared" si="32"/>
        <v>93</v>
      </c>
      <c r="L727">
        <f>200000/('Ammo Stats'!C727*(MAX('Ammo Input'!D727,'Ammo Input'!F727)*0.5)^2*PI())</f>
        <v>1.61271633278678</v>
      </c>
      <c r="M727">
        <f>IF(B727="Frag",1,('Ammo Input'!M727/1.33)/('Ammo Input'!H727/1000))</f>
        <v>0.287802840434419</v>
      </c>
      <c r="N727">
        <v>3</v>
      </c>
      <c r="O727">
        <v>7</v>
      </c>
      <c r="P727" s="3">
        <f>(39493.49*(IF((VLOOKUP(B727,AmmoTypeFactors,6,FALSE)="Bomb_Secondary"),1.33,1)*('Ammo Input'!H727*0.35)/1000)^0.6/1000)*10/3*VLOOKUP(B727,AmmoTypeFactors,4,FALSE)</f>
        <v>0</v>
      </c>
    </row>
    <row r="728" ht="14.4" spans="1:16">
      <c r="A728" t="str">
        <f>'Ammo Input'!A728</f>
        <v>M74</v>
      </c>
      <c r="B728" s="1" t="str">
        <f>'Ammo Input'!B728</f>
        <v>Incendiary</v>
      </c>
      <c r="C728">
        <f>(0.579*('Ammo Stats'!G728*IF(OR(B728="HEAT",B728="HEDP"),10,'Ammo Input'!F728)*VLOOKUP(B728,AmmoTypeFactors,7,FALSE))^(0.346))^IF(B728="HEDP",2.1,1)/IF(B728="HEDP",50,1)</f>
        <v>57.235073550845</v>
      </c>
      <c r="D728" s="16">
        <f>IF(VLOOKUP(B728,AmmoTypeFactors,8,FALSE),J728,C728)*VLOOKUP('Ammo Input'!B728,AmmoTypeFactors,2,FALSE)</f>
        <v>9.494258564404</v>
      </c>
      <c r="E728" s="16">
        <f>IF(OR(VLOOKUP(B728,AmmoTypeFactors,6,FALSE)="Bomb",VLOOKUP(B728,AmmoTypeFactors,6,FALSE)="Thermobaric"),J728*VLOOKUP(B728,AmmoTypeFactors,4,FALSE),IF(VLOOKUP(B728,AmmoTypeFactors,11,FALSE),P728,C728*VLOOKUP(B728,AmmoTypeFactors,4,FALSE)))</f>
        <v>0</v>
      </c>
      <c r="F728" s="16">
        <f>'Ammo Stats'!G728/0.005</f>
        <v>1767400</v>
      </c>
      <c r="G728" s="16">
        <f>(IF(B728="HEAT",10,'Ammo Input'!F728)*VLOOKUP(B728,AmmoTypeFactors,7,FALSE)*0.5)^2*PI()/100</f>
        <v>34.2119439975928</v>
      </c>
      <c r="H728" s="10">
        <f t="shared" si="30"/>
        <v>176.74</v>
      </c>
      <c r="I728" s="10">
        <f>IF(B728&lt;&gt;"Arrow (Flaming)",39493.49*'Ammo Input'!M728^0.6/1000,0)</f>
        <v>28.482775693212</v>
      </c>
      <c r="J728">
        <f t="shared" si="31"/>
        <v>94.9425856440401</v>
      </c>
      <c r="K728">
        <f t="shared" si="32"/>
        <v>12</v>
      </c>
      <c r="L728">
        <f>200000/('Ammo Stats'!C728*(MAX('Ammo Input'!D728,'Ammo Input'!F728)*0.5)^2*PI())</f>
        <v>3.01419112658206</v>
      </c>
      <c r="M728">
        <f>IF(B728="Frag",1,('Ammo Input'!M728/1.33)/('Ammo Input'!H728/1000))</f>
        <v>0.320654577620522</v>
      </c>
      <c r="N728" t="s">
        <v>353</v>
      </c>
      <c r="O728" t="s">
        <v>353</v>
      </c>
      <c r="P728" s="3">
        <f>(39493.49*(IF((VLOOKUP(B728,AmmoTypeFactors,6,FALSE)="Bomb_Secondary"),1.33,1)*('Ammo Input'!H728*0.35)/1000)^0.6/1000)*10/3*VLOOKUP(B728,AmmoTypeFactors,4,FALSE)</f>
        <v>0</v>
      </c>
    </row>
    <row r="729" ht="14.4" spans="1:16">
      <c r="A729" t="str">
        <f>'Ammo Input'!A729</f>
        <v>RPG 28</v>
      </c>
      <c r="B729" s="1" t="str">
        <f>'Ammo Input'!B729</f>
        <v>HEAT</v>
      </c>
      <c r="C729">
        <f>(0.579*('Ammo Stats'!G729*IF(OR(B729="HEAT",B729="HEDP"),10,'Ammo Input'!F729)*VLOOKUP(B729,AmmoTypeFactors,7,FALSE))^(0.346))^IF(B729="HEDP",2.1,1)/IF(B729="HEDP",50,1)</f>
        <v>278.880598697061</v>
      </c>
      <c r="D729" s="16">
        <f>IF(VLOOKUP(B729,AmmoTypeFactors,8,FALSE),J729,C729)*VLOOKUP('Ammo Input'!B729,AmmoTypeFactors,2,FALSE)</f>
        <v>278.880598697061</v>
      </c>
      <c r="E729" s="16">
        <f>IF(OR(VLOOKUP(B729,AmmoTypeFactors,6,FALSE)="Bomb",VLOOKUP(B729,AmmoTypeFactors,6,FALSE)="Thermobaric"),J729*VLOOKUP(B729,AmmoTypeFactors,4,FALSE),IF(VLOOKUP(B729,AmmoTypeFactors,11,FALSE),P729,C729*VLOOKUP(B729,AmmoTypeFactors,4,FALSE)))</f>
        <v>0</v>
      </c>
      <c r="F729" s="16">
        <f>'Ammo Stats'!G729/0.005</f>
        <v>1134000000</v>
      </c>
      <c r="G729" s="16">
        <f>(IF(B729="HEAT",10,'Ammo Input'!F729)*VLOOKUP(B729,AmmoTypeFactors,7,FALSE)*0.5)^2*PI()/100</f>
        <v>0.785398163397448</v>
      </c>
      <c r="H729" s="10">
        <f t="shared" si="30"/>
        <v>113400</v>
      </c>
      <c r="I729" s="10">
        <f>IF(B729&lt;&gt;"Arrow (Flaming)",39493.49*'Ammo Input'!M729^0.6/1000,0)</f>
        <v>46.226554554636</v>
      </c>
      <c r="J729">
        <f t="shared" si="31"/>
        <v>154.08851518212</v>
      </c>
      <c r="K729">
        <f t="shared" si="32"/>
        <v>104</v>
      </c>
      <c r="L729">
        <f>200000/('Ammo Stats'!C729*(MAX('Ammo Input'!D729,'Ammo Input'!F729)*0.5)^2*PI())</f>
        <v>0.3724667358029</v>
      </c>
      <c r="M729">
        <f>IF(B729="Frag",1,('Ammo Input'!M729/1.33)/('Ammo Input'!H729/1000))</f>
        <v>0.081453634085213</v>
      </c>
      <c r="N729">
        <v>20</v>
      </c>
      <c r="O729">
        <v>13</v>
      </c>
      <c r="P729" s="3">
        <f>(39493.49*(IF((VLOOKUP(B729,AmmoTypeFactors,6,FALSE)="Bomb_Secondary"),1.33,1)*('Ammo Input'!H729*0.35)/1000)^0.6/1000)*10/3*VLOOKUP(B729,AmmoTypeFactors,4,FALSE)</f>
        <v>0</v>
      </c>
    </row>
    <row r="730" ht="14.4" spans="1:16">
      <c r="A730" t="str">
        <f>'Ammo Input'!A730</f>
        <v>RPG 32</v>
      </c>
      <c r="B730" s="1" t="str">
        <f>'Ammo Input'!B730</f>
        <v>HEAT</v>
      </c>
      <c r="C730">
        <f>(0.579*('Ammo Stats'!G730*IF(OR(B730="HEAT",B730="HEDP"),10,'Ammo Input'!F730)*VLOOKUP(B730,AmmoTypeFactors,7,FALSE))^(0.346))^IF(B730="HEDP",2.1,1)/IF(B730="HEDP",50,1)</f>
        <v>264.395897961691</v>
      </c>
      <c r="D730" s="16">
        <f>IF(VLOOKUP(B730,AmmoTypeFactors,8,FALSE),J730,C730)*VLOOKUP('Ammo Input'!B730,AmmoTypeFactors,2,FALSE)</f>
        <v>264.395897961691</v>
      </c>
      <c r="E730" s="16">
        <f>IF(OR(VLOOKUP(B730,AmmoTypeFactors,6,FALSE)="Bomb",VLOOKUP(B730,AmmoTypeFactors,6,FALSE)="Thermobaric"),J730*VLOOKUP(B730,AmmoTypeFactors,4,FALSE),IF(VLOOKUP(B730,AmmoTypeFactors,11,FALSE),P730,C730*VLOOKUP(B730,AmmoTypeFactors,4,FALSE)))</f>
        <v>0</v>
      </c>
      <c r="F730" s="16">
        <f>'Ammo Stats'!G730/0.005</f>
        <v>972000000</v>
      </c>
      <c r="G730" s="16">
        <f>(IF(B730="HEAT",10,'Ammo Input'!F730)*VLOOKUP(B730,AmmoTypeFactors,7,FALSE)*0.5)^2*PI()/100</f>
        <v>0.785398163397448</v>
      </c>
      <c r="H730" s="10">
        <f t="shared" si="30"/>
        <v>97200</v>
      </c>
      <c r="I730" s="10">
        <f>IF(B730&lt;&gt;"Arrow (Flaming)",39493.49*'Ammo Input'!M730^0.6/1000,0)</f>
        <v>41.817794558338</v>
      </c>
      <c r="J730">
        <f t="shared" si="31"/>
        <v>139.392648527793</v>
      </c>
      <c r="K730">
        <f t="shared" si="32"/>
        <v>99</v>
      </c>
      <c r="L730">
        <f>200000/('Ammo Stats'!C730*(MAX('Ammo Input'!D730,'Ammo Input'!F730)*0.5)^2*PI())</f>
        <v>0.878717400048422</v>
      </c>
      <c r="M730">
        <f>IF(B730="Frag",1,('Ammo Input'!M730/1.33)/('Ammo Input'!H730/1000))</f>
        <v>0.206766917293233</v>
      </c>
      <c r="N730">
        <v>6</v>
      </c>
      <c r="O730">
        <v>11</v>
      </c>
      <c r="P730" s="3">
        <f>(39493.49*(IF((VLOOKUP(B730,AmmoTypeFactors,6,FALSE)="Bomb_Secondary"),1.33,1)*('Ammo Input'!H730*0.35)/1000)^0.6/1000)*10/3*VLOOKUP(B730,AmmoTypeFactors,4,FALSE)</f>
        <v>0</v>
      </c>
    </row>
    <row r="731" ht="14.4" spans="1:16">
      <c r="A731" t="str">
        <f>'Ammo Input'!A731</f>
        <v>RPG 32</v>
      </c>
      <c r="B731" s="1" t="str">
        <f>'Ammo Input'!B731</f>
        <v>Thermobaric</v>
      </c>
      <c r="C731">
        <f>(0.579*('Ammo Stats'!G731*IF(OR(B731="HEAT",B731="HEDP"),10,'Ammo Input'!F731)*VLOOKUP(B731,AmmoTypeFactors,7,FALSE))^(0.346))^IF(B731="HEDP",2.1,1)/IF(B731="HEDP",50,1)</f>
        <v>112.534851036864</v>
      </c>
      <c r="D731" s="16">
        <f>IF(VLOOKUP(B731,AmmoTypeFactors,8,FALSE),J731,C731)*VLOOKUP('Ammo Input'!B731,AmmoTypeFactors,2,FALSE)</f>
        <v>279.921561114911</v>
      </c>
      <c r="E731" s="16">
        <f>IF(OR(VLOOKUP(B731,AmmoTypeFactors,6,FALSE)="Bomb",VLOOKUP(B731,AmmoTypeFactors,6,FALSE)="Thermobaric"),J731*VLOOKUP(B731,AmmoTypeFactors,4,FALSE),IF(VLOOKUP(B731,AmmoTypeFactors,11,FALSE),P731,C731*VLOOKUP(B731,AmmoTypeFactors,4,FALSE)))</f>
        <v>0</v>
      </c>
      <c r="F731" s="16">
        <f>'Ammo Stats'!G731/0.005</f>
        <v>7840000</v>
      </c>
      <c r="G731" s="16">
        <f>(IF(B731="HEAT",10,'Ammo Input'!F731)*VLOOKUP(B731,AmmoTypeFactors,7,FALSE)*0.5)^2*PI()/100</f>
        <v>86.5901475145687</v>
      </c>
      <c r="H731" s="10">
        <f t="shared" si="30"/>
        <v>784</v>
      </c>
      <c r="I731" s="10">
        <f>IF(B731&lt;&gt;"Arrow (Flaming)",39493.49*'Ammo Input'!M731^0.6/1000,0)</f>
        <v>104.970585418092</v>
      </c>
      <c r="J731">
        <f t="shared" si="31"/>
        <v>349.901951393639</v>
      </c>
      <c r="K731">
        <f t="shared" si="32"/>
        <v>20</v>
      </c>
      <c r="L731">
        <f>200000/('Ammo Stats'!C731*(MAX('Ammo Input'!D731,'Ammo Input'!F731)*0.5)^2*PI())</f>
        <v>0.878717400048422</v>
      </c>
      <c r="M731">
        <f>IF(B731="Frag",1,('Ammo Input'!M731/1.33)/('Ammo Input'!H731/1000))</f>
        <v>0.958646616541353</v>
      </c>
      <c r="N731" t="s">
        <v>353</v>
      </c>
      <c r="O731" t="s">
        <v>353</v>
      </c>
      <c r="P731" s="3">
        <f>(39493.49*(IF((VLOOKUP(B731,AmmoTypeFactors,6,FALSE)="Bomb_Secondary"),1.33,1)*('Ammo Input'!H731*0.35)/1000)^0.6/1000)*10/3*VLOOKUP(B731,AmmoTypeFactors,4,FALSE)</f>
        <v>0</v>
      </c>
    </row>
    <row r="732" ht="14.4" spans="1:16">
      <c r="A732" t="str">
        <f>'Ammo Input'!A732</f>
        <v>S-5MO 57mm Rocket</v>
      </c>
      <c r="B732" s="1" t="str">
        <f>'Ammo Input'!B732</f>
        <v>HE</v>
      </c>
      <c r="C732">
        <f>(0.579*('Ammo Stats'!G732*IF(OR(B732="HEAT",B732="HEDP"),10,'Ammo Input'!F732)*VLOOKUP(B732,AmmoTypeFactors,7,FALSE))^(0.346))^IF(B732="HEDP",2.1,1)/IF(B732="HEDP",50,1)</f>
        <v>258.46815094817</v>
      </c>
      <c r="D732" s="16">
        <f>IF(VLOOKUP(B732,AmmoTypeFactors,8,FALSE),J732,C732)*VLOOKUP('Ammo Input'!B732,AmmoTypeFactors,2,FALSE)</f>
        <v>187.312932015826</v>
      </c>
      <c r="E732" s="16">
        <f>IF(OR(VLOOKUP(B732,AmmoTypeFactors,6,FALSE)="Bomb",VLOOKUP(B732,AmmoTypeFactors,6,FALSE)="Thermobaric"),J732*VLOOKUP(B732,AmmoTypeFactors,4,FALSE),IF(VLOOKUP(B732,AmmoTypeFactors,11,FALSE),P732,C732*VLOOKUP(B732,AmmoTypeFactors,4,FALSE)))</f>
        <v>0</v>
      </c>
      <c r="F732" s="16">
        <f>'Ammo Stats'!G732/0.005</f>
        <v>165516800</v>
      </c>
      <c r="G732" s="16">
        <f>(IF(B732="HEAT",10,'Ammo Input'!F732)*VLOOKUP(B732,AmmoTypeFactors,7,FALSE)*0.5)^2*PI()/100</f>
        <v>23.7582944427728</v>
      </c>
      <c r="H732" s="10">
        <f t="shared" si="30"/>
        <v>16551.68</v>
      </c>
      <c r="I732" s="10">
        <f>IF(B732&lt;&gt;"Arrow (Flaming)",39493.49*'Ammo Input'!M732^0.6/1000,0)</f>
        <v>56.1938796047479</v>
      </c>
      <c r="J732">
        <f t="shared" si="31"/>
        <v>187.312932015826</v>
      </c>
      <c r="K732">
        <f t="shared" si="32"/>
        <v>55</v>
      </c>
      <c r="L732">
        <f>200000/('Ammo Stats'!C732*(MAX('Ammo Input'!D732,'Ammo Input'!F732)*0.5)^2*PI())</f>
        <v>11.9405853793814</v>
      </c>
      <c r="M732">
        <f>IF(B732="Frag",1,('Ammo Input'!M732/1.33)/('Ammo Input'!H732/1000))</f>
        <v>0.280784949926684</v>
      </c>
      <c r="N732">
        <v>13</v>
      </c>
      <c r="O732">
        <v>34</v>
      </c>
      <c r="P732" s="3">
        <f>(39493.49*(IF((VLOOKUP(B732,AmmoTypeFactors,6,FALSE)="Bomb_Secondary"),1.33,1)*('Ammo Input'!H732*0.35)/1000)^0.6/1000)*10/3*VLOOKUP(B732,AmmoTypeFactors,4,FALSE)</f>
        <v>0</v>
      </c>
    </row>
    <row r="733" ht="14.4" spans="1:16">
      <c r="A733" t="str">
        <f>'Ammo Input'!A733</f>
        <v>S-5KO 57mm Rocket</v>
      </c>
      <c r="B733" s="1" t="str">
        <f>'Ammo Input'!B733</f>
        <v>HEAT</v>
      </c>
      <c r="C733">
        <f>(0.579*('Ammo Stats'!G733*IF(OR(B733="HEAT",B733="HEDP"),10,'Ammo Input'!F733)*VLOOKUP(B733,AmmoTypeFactors,7,FALSE))^(0.346))^IF(B733="HEDP",2.1,1)/IF(B733="HEDP",50,1)</f>
        <v>158.204503664759</v>
      </c>
      <c r="D733" s="16">
        <f>IF(VLOOKUP(B733,AmmoTypeFactors,8,FALSE),J733,C733)*VLOOKUP('Ammo Input'!B733,AmmoTypeFactors,2,FALSE)</f>
        <v>158.204503664759</v>
      </c>
      <c r="E733" s="16">
        <f>IF(OR(VLOOKUP(B733,AmmoTypeFactors,6,FALSE)="Bomb",VLOOKUP(B733,AmmoTypeFactors,6,FALSE)="Thermobaric"),J733*VLOOKUP(B733,AmmoTypeFactors,4,FALSE),IF(VLOOKUP(B733,AmmoTypeFactors,11,FALSE),P733,C733*VLOOKUP(B733,AmmoTypeFactors,4,FALSE)))</f>
        <v>0</v>
      </c>
      <c r="F733" s="16">
        <f>'Ammo Stats'!G733/0.005</f>
        <v>220320000</v>
      </c>
      <c r="G733" s="16">
        <f>(IF(B733="HEAT",10,'Ammo Input'!F733)*VLOOKUP(B733,AmmoTypeFactors,7,FALSE)*0.5)^2*PI()/100</f>
        <v>0.785398163397448</v>
      </c>
      <c r="H733" s="10">
        <f t="shared" si="30"/>
        <v>22032</v>
      </c>
      <c r="I733" s="10">
        <f>IF(B733&lt;&gt;"Arrow (Flaming)",39493.49*'Ammo Input'!M733^0.6/1000,0)</f>
        <v>26.3115425554747</v>
      </c>
      <c r="J733">
        <f t="shared" si="31"/>
        <v>87.7051418515822</v>
      </c>
      <c r="K733">
        <f t="shared" si="32"/>
        <v>60</v>
      </c>
      <c r="L733">
        <f>200000/('Ammo Stats'!C733*(MAX('Ammo Input'!D733,'Ammo Input'!F733)*0.5)^2*PI())</f>
        <v>11.9575464381589</v>
      </c>
      <c r="M733">
        <f>IF(B733="Frag",1,('Ammo Input'!M733/1.33)/('Ammo Input'!H733/1000))</f>
        <v>0.0849122807017544</v>
      </c>
      <c r="N733">
        <v>8</v>
      </c>
      <c r="O733">
        <v>5</v>
      </c>
      <c r="P733" s="3">
        <f>(39493.49*(IF((VLOOKUP(B733,AmmoTypeFactors,6,FALSE)="Bomb_Secondary"),1.33,1)*('Ammo Input'!H733*0.35)/1000)^0.6/1000)*10/3*VLOOKUP(B733,AmmoTypeFactors,4,FALSE)</f>
        <v>0</v>
      </c>
    </row>
    <row r="734" ht="14.4" spans="1:16">
      <c r="A734" t="str">
        <f>'Ammo Input'!A734</f>
        <v>S-5TB 57mm Rocket</v>
      </c>
      <c r="B734" s="1" t="str">
        <f>'Ammo Input'!B734</f>
        <v>Thermobaric</v>
      </c>
      <c r="C734">
        <f>(0.579*('Ammo Stats'!G734*IF(OR(B734="HEAT",B734="HEDP"),10,'Ammo Input'!F734)*VLOOKUP(B734,AmmoTypeFactors,7,FALSE))^(0.346))^IF(B734="HEDP",2.1,1)/IF(B734="HEDP",50,1)</f>
        <v>261.948962525157</v>
      </c>
      <c r="D734" s="16">
        <f>IF(VLOOKUP(B734,AmmoTypeFactors,8,FALSE),J734,C734)*VLOOKUP('Ammo Input'!B734,AmmoTypeFactors,2,FALSE)</f>
        <v>159.629165499501</v>
      </c>
      <c r="E734" s="16">
        <f>IF(OR(VLOOKUP(B734,AmmoTypeFactors,6,FALSE)="Bomb",VLOOKUP(B734,AmmoTypeFactors,6,FALSE)="Thermobaric"),J734*VLOOKUP(B734,AmmoTypeFactors,4,FALSE),IF(VLOOKUP(B734,AmmoTypeFactors,11,FALSE),P734,C734*VLOOKUP(B734,AmmoTypeFactors,4,FALSE)))</f>
        <v>0</v>
      </c>
      <c r="F734" s="16">
        <f>'Ammo Stats'!G734/0.005</f>
        <v>172041400</v>
      </c>
      <c r="G734" s="16">
        <f>(IF(B734="HEAT",10,'Ammo Input'!F734)*VLOOKUP(B734,AmmoTypeFactors,7,FALSE)*0.5)^2*PI()/100</f>
        <v>23.7582944427728</v>
      </c>
      <c r="H734" s="10">
        <f t="shared" si="30"/>
        <v>17204.14</v>
      </c>
      <c r="I734" s="10">
        <f>IF(B734&lt;&gt;"Arrow (Flaming)",39493.49*'Ammo Input'!M734^0.6/1000,0)</f>
        <v>59.8609370623127</v>
      </c>
      <c r="J734">
        <f t="shared" si="31"/>
        <v>199.536456874376</v>
      </c>
      <c r="K734">
        <f t="shared" si="32"/>
        <v>56</v>
      </c>
      <c r="L734">
        <f>200000/('Ammo Stats'!C734*(MAX('Ammo Input'!D734,'Ammo Input'!F734)*0.5)^2*PI())</f>
        <v>10.9326138863167</v>
      </c>
      <c r="M734">
        <f>IF(B734="Frag",1,('Ammo Input'!M734/1.33)/('Ammo Input'!H734/1000))</f>
        <v>0.300151576546156</v>
      </c>
      <c r="N734" t="s">
        <v>353</v>
      </c>
      <c r="O734" t="s">
        <v>353</v>
      </c>
      <c r="P734" s="3">
        <f>(39493.49*(IF((VLOOKUP(B734,AmmoTypeFactors,6,FALSE)="Bomb_Secondary"),1.33,1)*('Ammo Input'!H734*0.35)/1000)^0.6/1000)*10/3*VLOOKUP(B734,AmmoTypeFactors,4,FALSE)</f>
        <v>0</v>
      </c>
    </row>
    <row r="735" ht="14.4" spans="1:16">
      <c r="A735" t="str">
        <f>'Ammo Input'!A735</f>
        <v>Tomahawk TLAM</v>
      </c>
      <c r="B735" s="1" t="str">
        <f>'Ammo Input'!B735</f>
        <v>HE</v>
      </c>
      <c r="C735">
        <f>(0.579*('Ammo Stats'!G735*IF(OR(B735="HEAT",B735="HEDP"),10,'Ammo Input'!F735)*VLOOKUP(B735,AmmoTypeFactors,7,FALSE))^(0.346))^IF(B735="HEDP",2.1,1)/IF(B735="HEDP",50,1)</f>
        <v>2207.40072105326</v>
      </c>
      <c r="D735" s="16">
        <f>IF(VLOOKUP(B735,AmmoTypeFactors,8,FALSE),J735,C735)*VLOOKUP('Ammo Input'!B735,AmmoTypeFactors,2,FALSE)</f>
        <v>5652.53531306423</v>
      </c>
      <c r="E735" s="16">
        <f>IF(OR(VLOOKUP(B735,AmmoTypeFactors,6,FALSE)="Bomb",VLOOKUP(B735,AmmoTypeFactors,6,FALSE)="Thermobaric"),J735*VLOOKUP(B735,AmmoTypeFactors,4,FALSE),IF(VLOOKUP(B735,AmmoTypeFactors,11,FALSE),P735,C735*VLOOKUP(B735,AmmoTypeFactors,4,FALSE)))</f>
        <v>0</v>
      </c>
      <c r="F735" s="16">
        <f>'Ammo Stats'!G735/0.005</f>
        <v>8785296000</v>
      </c>
      <c r="G735" s="16">
        <f>(IF(B735="HEAT",10,'Ammo Input'!F735)*VLOOKUP(B735,AmmoTypeFactors,7,FALSE)*0.5)^2*PI()/100</f>
        <v>2042.82062299676</v>
      </c>
      <c r="H735" s="10">
        <f t="shared" si="30"/>
        <v>878529.6</v>
      </c>
      <c r="I735" s="10">
        <f>IF(B735&lt;&gt;"Arrow (Flaming)",39493.49*'Ammo Input'!M735^0.6/1000,0)</f>
        <v>1695.76059391927</v>
      </c>
      <c r="J735">
        <f t="shared" si="31"/>
        <v>5652.53531306423</v>
      </c>
      <c r="K735">
        <f t="shared" si="32"/>
        <v>206</v>
      </c>
      <c r="L735">
        <f>200000/('Ammo Stats'!C735*(MAX('Ammo Input'!D735,'Ammo Input'!F735)*0.5)^2*PI())</f>
        <v>0.00025560427047291</v>
      </c>
      <c r="M735">
        <f>IF(B735="Frag",1,('Ammo Input'!M735/1.33)/('Ammo Input'!H735/1000))</f>
        <v>0.274906015037594</v>
      </c>
      <c r="N735">
        <v>3729</v>
      </c>
      <c r="O735">
        <v>9894</v>
      </c>
      <c r="P735" s="3">
        <f>(39493.49*(IF((VLOOKUP(B735,AmmoTypeFactors,6,FALSE)="Bomb_Secondary"),1.33,1)*('Ammo Input'!H735*0.35)/1000)^0.6/1000)*10/3*VLOOKUP(B735,AmmoTypeFactors,4,FALSE)</f>
        <v>0</v>
      </c>
    </row>
    <row r="736" ht="14.4" spans="1:16">
      <c r="A736" t="str">
        <f>'Ammo Input'!A736</f>
        <v>127mm Javelin</v>
      </c>
      <c r="B736" s="1" t="str">
        <f>'Ammo Input'!B736</f>
        <v>HEAT</v>
      </c>
      <c r="C736">
        <f>(0.579*('Ammo Stats'!G736*IF(OR(B736="HEAT",B736="HEDP"),10,'Ammo Input'!F736)*VLOOKUP(B736,AmmoTypeFactors,7,FALSE))^(0.346))^IF(B736="HEDP",2.1,1)/IF(B736="HEDP",50,1)</f>
        <v>363.029532087491</v>
      </c>
      <c r="D736" s="16">
        <f>IF(VLOOKUP(B736,AmmoTypeFactors,8,FALSE),J736,C736)*VLOOKUP('Ammo Input'!B736,AmmoTypeFactors,2,FALSE)</f>
        <v>363.029532087491</v>
      </c>
      <c r="E736" s="16">
        <f>IF(OR(VLOOKUP(B736,AmmoTypeFactors,6,FALSE)="Bomb",VLOOKUP(B736,AmmoTypeFactors,6,FALSE)="Thermobaric"),J736*VLOOKUP(B736,AmmoTypeFactors,4,FALSE),IF(VLOOKUP(B736,AmmoTypeFactors,11,FALSE),P736,C736*VLOOKUP(B736,AmmoTypeFactors,4,FALSE)))</f>
        <v>0</v>
      </c>
      <c r="F736" s="16">
        <f>'Ammo Stats'!G736/0.005</f>
        <v>2430000000</v>
      </c>
      <c r="G736" s="16">
        <f>(IF(B736="HEAT",10,'Ammo Input'!F736)*VLOOKUP(B736,AmmoTypeFactors,7,FALSE)*0.5)^2*PI()/100</f>
        <v>0.785398163397448</v>
      </c>
      <c r="H736" s="10">
        <f t="shared" si="30"/>
        <v>243000</v>
      </c>
      <c r="I736" s="10">
        <f>IF(B736&lt;&gt;"Arrow (Flaming)",39493.49*'Ammo Input'!M736^0.6/1000,0)</f>
        <v>175.401886986596</v>
      </c>
      <c r="J736">
        <f t="shared" si="31"/>
        <v>584.672956621987</v>
      </c>
      <c r="K736">
        <f t="shared" si="32"/>
        <v>134</v>
      </c>
      <c r="L736">
        <f>200000/('Ammo Stats'!C736*(MAX('Ammo Input'!D736,'Ammo Input'!F736)*0.5)^2*PI())</f>
        <v>0.221480865798238</v>
      </c>
      <c r="M736">
        <f>IF(B736="Frag",1,('Ammo Input'!M736/1.33)/('Ammo Input'!H736/1000))</f>
        <v>0.911369332421964</v>
      </c>
      <c r="N736">
        <v>2</v>
      </c>
      <c r="O736">
        <v>113</v>
      </c>
      <c r="P736" s="3">
        <f>(39493.49*(IF((VLOOKUP(B736,AmmoTypeFactors,6,FALSE)="Bomb_Secondary"),1.33,1)*('Ammo Input'!H736*0.35)/1000)^0.6/1000)*10/3*VLOOKUP(B736,AmmoTypeFactors,4,FALSE)</f>
        <v>0</v>
      </c>
    </row>
    <row r="737" ht="14.4" spans="1:16">
      <c r="A737" t="str">
        <f>'Ammo Input'!A737</f>
        <v>130mm Type 63</v>
      </c>
      <c r="B737" s="1" t="str">
        <f>'Ammo Input'!B737</f>
        <v>HE</v>
      </c>
      <c r="C737">
        <f>(0.579*('Ammo Stats'!G737*IF(OR(B737="HEAT",B737="HEDP"),10,'Ammo Input'!F737)*VLOOKUP(B737,AmmoTypeFactors,7,FALSE))^(0.346))^IF(B737="HEDP",2.1,1)/IF(B737="HEDP",50,1)</f>
        <v>552.796884261168</v>
      </c>
      <c r="D737" s="16">
        <f>IF(VLOOKUP(B737,AmmoTypeFactors,8,FALSE),J737,C737)*VLOOKUP('Ammo Input'!B737,AmmoTypeFactors,2,FALSE)</f>
        <v>254.49368586564</v>
      </c>
      <c r="E737" s="16">
        <f>IF(OR(VLOOKUP(B737,AmmoTypeFactors,6,FALSE)="Bomb",VLOOKUP(B737,AmmoTypeFactors,6,FALSE)="Thermobaric"),J737*VLOOKUP(B737,AmmoTypeFactors,4,FALSE),IF(VLOOKUP(B737,AmmoTypeFactors,11,FALSE),P737,C737*VLOOKUP(B737,AmmoTypeFactors,4,FALSE)))</f>
        <v>0</v>
      </c>
      <c r="F737" s="16">
        <f>'Ammo Stats'!G737/0.005</f>
        <v>630197800</v>
      </c>
      <c r="G737" s="16">
        <f>(IF(B737="HEAT",10,'Ammo Input'!F737)*VLOOKUP(B737,AmmoTypeFactors,7,FALSE)*0.5)^2*PI()/100</f>
        <v>132.732289614169</v>
      </c>
      <c r="H737" s="10">
        <f t="shared" si="30"/>
        <v>63019.78</v>
      </c>
      <c r="I737" s="10">
        <f>IF(B737&lt;&gt;"Arrow (Flaming)",39493.49*'Ammo Input'!M737^0.6/1000,0)</f>
        <v>76.3481057596921</v>
      </c>
      <c r="J737">
        <f t="shared" si="31"/>
        <v>254.49368586564</v>
      </c>
      <c r="K737">
        <f t="shared" si="32"/>
        <v>86</v>
      </c>
      <c r="L737">
        <f>200000/('Ammo Stats'!C737*(MAX('Ammo Input'!D737,'Ammo Input'!F737)*0.5)^2*PI())</f>
        <v>0.343937996035912</v>
      </c>
      <c r="M737">
        <f>IF(B737="Frag",1,('Ammo Input'!M737/1.33)/('Ammo Input'!H737/1000))</f>
        <v>0.0683526999316473</v>
      </c>
      <c r="N737">
        <v>110</v>
      </c>
      <c r="O737">
        <v>57</v>
      </c>
      <c r="P737" s="3">
        <f>(39493.49*(IF((VLOOKUP(B737,AmmoTypeFactors,6,FALSE)="Bomb_Secondary"),1.33,1)*('Ammo Input'!H737*0.35)/1000)^0.6/1000)*10/3*VLOOKUP(B737,AmmoTypeFactors,4,FALSE)</f>
        <v>0</v>
      </c>
    </row>
    <row r="738" ht="14.4" spans="1:16">
      <c r="A738" t="str">
        <f>'Ammo Input'!A738</f>
        <v>132mm M13</v>
      </c>
      <c r="B738" s="1" t="str">
        <f>'Ammo Input'!B738</f>
        <v>HE</v>
      </c>
      <c r="C738">
        <f>(0.579*('Ammo Stats'!G738*IF(OR(B738="HEAT",B738="HEDP"),10,'Ammo Input'!F738)*VLOOKUP(B738,AmmoTypeFactors,7,FALSE))^(0.346))^IF(B738="HEDP",2.1,1)/IF(B738="HEDP",50,1)</f>
        <v>522.295083520414</v>
      </c>
      <c r="D738" s="16">
        <f>IF(VLOOKUP(B738,AmmoTypeFactors,8,FALSE),J738,C738)*VLOOKUP('Ammo Input'!B738,AmmoTypeFactors,2,FALSE)</f>
        <v>337.403047802013</v>
      </c>
      <c r="E738" s="16">
        <f>IF(OR(VLOOKUP(B738,AmmoTypeFactors,6,FALSE)="Bomb",VLOOKUP(B738,AmmoTypeFactors,6,FALSE)="Thermobaric"),J738*VLOOKUP(B738,AmmoTypeFactors,4,FALSE),IF(VLOOKUP(B738,AmmoTypeFactors,11,FALSE),P738,C738*VLOOKUP(B738,AmmoTypeFactors,4,FALSE)))</f>
        <v>0</v>
      </c>
      <c r="F738" s="16">
        <f>'Ammo Stats'!G738/0.005</f>
        <v>526750000</v>
      </c>
      <c r="G738" s="16">
        <f>(IF(B738="HEAT",10,'Ammo Input'!F738)*VLOOKUP(B738,AmmoTypeFactors,7,FALSE)*0.5)^2*PI()/100</f>
        <v>136.847775990371</v>
      </c>
      <c r="H738" s="10">
        <f t="shared" si="30"/>
        <v>52675</v>
      </c>
      <c r="I738" s="10">
        <f>IF(B738&lt;&gt;"Arrow (Flaming)",39493.49*'Ammo Input'!M738^0.6/1000,0)</f>
        <v>101.220914340604</v>
      </c>
      <c r="J738">
        <f t="shared" si="31"/>
        <v>337.403047802013</v>
      </c>
      <c r="K738">
        <f t="shared" si="32"/>
        <v>81</v>
      </c>
      <c r="L738">
        <f>200000/('Ammo Stats'!C738*(MAX('Ammo Input'!D738,'Ammo Input'!F738)*0.5)^2*PI())</f>
        <v>0.245502754577054</v>
      </c>
      <c r="M738">
        <f>IF(B738="Frag",1,('Ammo Input'!M738/1.33)/('Ammo Input'!H738/1000))</f>
        <v>0.0839307571253716</v>
      </c>
      <c r="N738">
        <v>141</v>
      </c>
      <c r="O738">
        <v>91</v>
      </c>
      <c r="P738" s="3">
        <f>(39493.49*(IF((VLOOKUP(B738,AmmoTypeFactors,6,FALSE)="Bomb_Secondary"),1.33,1)*('Ammo Input'!H738*0.35)/1000)^0.6/1000)*10/3*VLOOKUP(B738,AmmoTypeFactors,4,FALSE)</f>
        <v>0</v>
      </c>
    </row>
    <row r="739" ht="14.4" spans="1:16">
      <c r="A739" t="str">
        <f>'Ammo Input'!A739</f>
        <v>150 MBT LAW</v>
      </c>
      <c r="B739" s="1" t="str">
        <f>'Ammo Input'!B739</f>
        <v>HEAT</v>
      </c>
      <c r="C739">
        <f>(0.579*('Ammo Stats'!G739*IF(OR(B739="HEAT",B739="HEDP"),10,'Ammo Input'!F739)*VLOOKUP(B739,AmmoTypeFactors,7,FALSE))^(0.346))^IF(B739="HEDP",2.1,1)/IF(B739="HEDP",50,1)</f>
        <v>285.618002400715</v>
      </c>
      <c r="D739" s="16">
        <f>IF(VLOOKUP(B739,AmmoTypeFactors,8,FALSE),J739,C739)*VLOOKUP('Ammo Input'!B739,AmmoTypeFactors,2,FALSE)</f>
        <v>285.618002400715</v>
      </c>
      <c r="E739" s="16">
        <f>IF(OR(VLOOKUP(B739,AmmoTypeFactors,6,FALSE)="Bomb",VLOOKUP(B739,AmmoTypeFactors,6,FALSE)="Thermobaric"),J739*VLOOKUP(B739,AmmoTypeFactors,4,FALSE),IF(VLOOKUP(B739,AmmoTypeFactors,11,FALSE),P739,C739*VLOOKUP(B739,AmmoTypeFactors,4,FALSE)))</f>
        <v>0</v>
      </c>
      <c r="F739" s="16">
        <f>'Ammo Stats'!G739/0.005</f>
        <v>1215000000</v>
      </c>
      <c r="G739" s="16">
        <f>(IF(B739="HEAT",10,'Ammo Input'!F739)*VLOOKUP(B739,AmmoTypeFactors,7,FALSE)*0.5)^2*PI()/100</f>
        <v>0.785398163397448</v>
      </c>
      <c r="H739" s="10">
        <f t="shared" si="30"/>
        <v>121500</v>
      </c>
      <c r="I739" s="10">
        <f>IF(B739&lt;&gt;"Arrow (Flaming)",39493.49*'Ammo Input'!M739^0.6/1000,0)</f>
        <v>137.524319864119</v>
      </c>
      <c r="J739">
        <f t="shared" si="31"/>
        <v>458.414399547065</v>
      </c>
      <c r="K739">
        <f t="shared" si="32"/>
        <v>107</v>
      </c>
      <c r="L739">
        <f>200000/('Ammo Stats'!C739*(MAX('Ammo Input'!D739,'Ammo Input'!F739)*0.5)^2*PI())</f>
        <v>0.143501972187513</v>
      </c>
      <c r="M739">
        <f>IF(B739="Frag",1,('Ammo Input'!M739/1.33)/('Ammo Input'!H739/1000))</f>
        <v>0.70765148164529</v>
      </c>
      <c r="N739">
        <v>5</v>
      </c>
      <c r="O739">
        <v>76</v>
      </c>
      <c r="P739" s="3">
        <f>(39493.49*(IF((VLOOKUP(B739,AmmoTypeFactors,6,FALSE)="Bomb_Secondary"),1.33,1)*('Ammo Input'!H739*0.35)/1000)^0.6/1000)*10/3*VLOOKUP(B739,AmmoTypeFactors,4,FALSE)</f>
        <v>0</v>
      </c>
    </row>
    <row r="740" ht="14.4" spans="1:16">
      <c r="A740" t="str">
        <f>'Ammo Input'!A740</f>
        <v>90mm Matador</v>
      </c>
      <c r="B740" s="1" t="str">
        <f>'Ammo Input'!B740</f>
        <v>HEAT</v>
      </c>
      <c r="C740">
        <f>(0.579*('Ammo Stats'!G740*IF(OR(B740="HEAT",B740="HEDP"),10,'Ammo Input'!F740)*VLOOKUP(B740,AmmoTypeFactors,7,FALSE))^(0.346))^IF(B740="HEDP",2.1,1)/IF(B740="HEDP",50,1)</f>
        <v>248.232134528328</v>
      </c>
      <c r="D740" s="16">
        <f>IF(VLOOKUP(B740,AmmoTypeFactors,8,FALSE),J740,C740)*VLOOKUP('Ammo Input'!B740,AmmoTypeFactors,2,FALSE)</f>
        <v>248.232134528328</v>
      </c>
      <c r="E740" s="16">
        <f>IF(OR(VLOOKUP(B740,AmmoTypeFactors,6,FALSE)="Bomb",VLOOKUP(B740,AmmoTypeFactors,6,FALSE)="Thermobaric"),J740*VLOOKUP(B740,AmmoTypeFactors,4,FALSE),IF(VLOOKUP(B740,AmmoTypeFactors,11,FALSE),P740,C740*VLOOKUP(B740,AmmoTypeFactors,4,FALSE)))</f>
        <v>0</v>
      </c>
      <c r="F740" s="16">
        <f>'Ammo Stats'!G740/0.005</f>
        <v>810000000</v>
      </c>
      <c r="G740" s="16">
        <f>(IF(B740="HEAT",10,'Ammo Input'!F740)*VLOOKUP(B740,AmmoTypeFactors,7,FALSE)*0.5)^2*PI()/100</f>
        <v>0.785398163397448</v>
      </c>
      <c r="H740" s="10">
        <f t="shared" si="30"/>
        <v>81000</v>
      </c>
      <c r="I740" s="10">
        <f>IF(B740&lt;&gt;"Arrow (Flaming)",39493.49*'Ammo Input'!M740^0.6/1000,0)</f>
        <v>33.232443237846</v>
      </c>
      <c r="J740">
        <f t="shared" si="31"/>
        <v>110.77481079282</v>
      </c>
      <c r="K740">
        <f t="shared" si="32"/>
        <v>93</v>
      </c>
      <c r="L740">
        <f>200000/('Ammo Stats'!C740*(MAX('Ammo Input'!D740,'Ammo Input'!F740)*0.5)^2*PI())</f>
        <v>0.998203997909546</v>
      </c>
      <c r="M740">
        <f>IF(B740="Frag",1,('Ammo Input'!M740/1.33)/('Ammo Input'!H740/1000))</f>
        <v>0.225563909774436</v>
      </c>
      <c r="N740">
        <v>4</v>
      </c>
      <c r="O740">
        <v>8</v>
      </c>
      <c r="P740" s="3">
        <f>(39493.49*(IF((VLOOKUP(B740,AmmoTypeFactors,6,FALSE)="Bomb_Secondary"),1.33,1)*('Ammo Input'!H740*0.35)/1000)^0.6/1000)*10/3*VLOOKUP(B740,AmmoTypeFactors,4,FALSE)</f>
        <v>0</v>
      </c>
    </row>
    <row r="741" ht="14.4" spans="1:16">
      <c r="A741" t="str">
        <f>'Ammo Input'!A741</f>
        <v>88 RPzB</v>
      </c>
      <c r="B741" s="1" t="str">
        <f>'Ammo Input'!B741</f>
        <v>HEAT</v>
      </c>
      <c r="C741">
        <f>(0.579*('Ammo Stats'!G741*IF(OR(B741="HEAT",B741="HEDP"),10,'Ammo Input'!F741)*VLOOKUP(B741,AmmoTypeFactors,7,FALSE))^(0.346))^IF(B741="HEDP",2.1,1)/IF(B741="HEDP",50,1)</f>
        <v>208.016763221792</v>
      </c>
      <c r="D741" s="16">
        <f>IF(VLOOKUP(B741,AmmoTypeFactors,8,FALSE),J741,C741)*VLOOKUP('Ammo Input'!B741,AmmoTypeFactors,2,FALSE)</f>
        <v>208.016763221792</v>
      </c>
      <c r="E741" s="16">
        <f>IF(OR(VLOOKUP(B741,AmmoTypeFactors,6,FALSE)="Bomb",VLOOKUP(B741,AmmoTypeFactors,6,FALSE)="Thermobaric"),J741*VLOOKUP(B741,AmmoTypeFactors,4,FALSE),IF(VLOOKUP(B741,AmmoTypeFactors,11,FALSE),P741,C741*VLOOKUP(B741,AmmoTypeFactors,4,FALSE)))</f>
        <v>0</v>
      </c>
      <c r="F741" s="16">
        <f>'Ammo Stats'!G741/0.005</f>
        <v>486000000</v>
      </c>
      <c r="G741" s="16">
        <f>(IF(B741="HEAT",10,'Ammo Input'!F741)*VLOOKUP(B741,AmmoTypeFactors,7,FALSE)*0.5)^2*PI()/100</f>
        <v>0.785398163397448</v>
      </c>
      <c r="H741" s="10">
        <f t="shared" si="30"/>
        <v>48600</v>
      </c>
      <c r="I741" s="10">
        <f>IF(B741&lt;&gt;"Arrow (Flaming)",39493.49*'Ammo Input'!M741^0.6/1000,0)</f>
        <v>37.320748815993</v>
      </c>
      <c r="J741">
        <f t="shared" si="31"/>
        <v>124.40249605331</v>
      </c>
      <c r="K741">
        <f t="shared" si="32"/>
        <v>79</v>
      </c>
      <c r="L741">
        <f>200000/('Ammo Stats'!C741*(MAX('Ammo Input'!D741,'Ammo Input'!F741)*0.5)^2*PI())</f>
        <v>2.83720903407567</v>
      </c>
      <c r="M741">
        <f>IF(B741="Frag",1,('Ammo Input'!M741/1.33)/('Ammo Input'!H741/1000))</f>
        <v>0.311004784688995</v>
      </c>
      <c r="N741">
        <v>3</v>
      </c>
      <c r="O741">
        <v>9</v>
      </c>
      <c r="P741" s="3">
        <f>(39493.49*(IF((VLOOKUP(B741,AmmoTypeFactors,6,FALSE)="Bomb_Secondary"),1.33,1)*('Ammo Input'!H741*0.35)/1000)^0.6/1000)*10/3*VLOOKUP(B741,AmmoTypeFactors,4,FALSE)</f>
        <v>0</v>
      </c>
    </row>
    <row r="742" ht="14.4" spans="1:16">
      <c r="A742" t="str">
        <f>'Ammo Input'!A742</f>
        <v>84mm AT4</v>
      </c>
      <c r="B742" s="1" t="str">
        <f>'Ammo Input'!B742</f>
        <v>HEAT</v>
      </c>
      <c r="C742">
        <f>(0.579*('Ammo Stats'!G742*IF(OR(B742="HEAT",B742="HEDP"),10,'Ammo Input'!F742)*VLOOKUP(B742,AmmoTypeFactors,7,FALSE))^(0.346))^IF(B742="HEDP",2.1,1)/IF(B742="HEDP",50,1)</f>
        <v>248.232134528328</v>
      </c>
      <c r="D742" s="16">
        <f>IF(VLOOKUP(B742,AmmoTypeFactors,8,FALSE),J742,C742)*VLOOKUP('Ammo Input'!B742,AmmoTypeFactors,2,FALSE)</f>
        <v>248.232134528328</v>
      </c>
      <c r="E742" s="16">
        <f>IF(OR(VLOOKUP(B742,AmmoTypeFactors,6,FALSE)="Bomb",VLOOKUP(B742,AmmoTypeFactors,6,FALSE)="Thermobaric"),J742*VLOOKUP(B742,AmmoTypeFactors,4,FALSE),IF(VLOOKUP(B742,AmmoTypeFactors,11,FALSE),P742,C742*VLOOKUP(B742,AmmoTypeFactors,4,FALSE)))</f>
        <v>0</v>
      </c>
      <c r="F742" s="16">
        <f>'Ammo Stats'!G742/0.005</f>
        <v>810000000</v>
      </c>
      <c r="G742" s="16">
        <f>(IF(B742="HEAT",10,'Ammo Input'!F742)*VLOOKUP(B742,AmmoTypeFactors,7,FALSE)*0.5)^2*PI()/100</f>
        <v>0.785398163397448</v>
      </c>
      <c r="H742" s="10">
        <f t="shared" si="30"/>
        <v>81000</v>
      </c>
      <c r="I742" s="10">
        <f>IF(B742&lt;&gt;"Arrow (Flaming)",39493.49*'Ammo Input'!M742^0.6/1000,0)</f>
        <v>31.9940418892582</v>
      </c>
      <c r="J742">
        <f t="shared" si="31"/>
        <v>106.646806297527</v>
      </c>
      <c r="K742">
        <f t="shared" si="32"/>
        <v>93</v>
      </c>
      <c r="L742">
        <f>200000/('Ammo Stats'!C742*(MAX('Ammo Input'!D742,'Ammo Input'!F742)*0.5)^2*PI())</f>
        <v>1.47842754714886</v>
      </c>
      <c r="M742">
        <f>IF(B742="Frag",1,('Ammo Input'!M742/1.33)/('Ammo Input'!H742/1000))</f>
        <v>0.29406850459482</v>
      </c>
      <c r="N742">
        <v>3</v>
      </c>
      <c r="O742">
        <v>7</v>
      </c>
      <c r="P742" s="3">
        <f>(39493.49*(IF((VLOOKUP(B742,AmmoTypeFactors,6,FALSE)="Bomb_Secondary"),1.33,1)*('Ammo Input'!H742*0.35)/1000)^0.6/1000)*10/3*VLOOKUP(B742,AmmoTypeFactors,4,FALSE)</f>
        <v>0</v>
      </c>
    </row>
    <row r="743" ht="14.4" spans="1:16">
      <c r="A743" t="str">
        <f>'Ammo Input'!A743</f>
        <v>84x246mmR</v>
      </c>
      <c r="B743" s="1" t="str">
        <f>'Ammo Input'!B743</f>
        <v>HEAT</v>
      </c>
      <c r="C743">
        <f>(0.579*('Ammo Stats'!G743*IF(OR(B743="HEAT",B743="HEDP"),10,'Ammo Input'!F743)*VLOOKUP(B743,AmmoTypeFactors,7,FALSE))^(0.346))^IF(B743="HEDP",2.1,1)/IF(B743="HEDP",50,1)</f>
        <v>248.232134528328</v>
      </c>
      <c r="D743" s="16">
        <f>IF(VLOOKUP(B743,AmmoTypeFactors,8,FALSE),J743,C743)*VLOOKUP('Ammo Input'!B743,AmmoTypeFactors,2,FALSE)</f>
        <v>248.232134528328</v>
      </c>
      <c r="E743" s="16">
        <f>IF(OR(VLOOKUP(B743,AmmoTypeFactors,6,FALSE)="Bomb",VLOOKUP(B743,AmmoTypeFactors,6,FALSE)="Thermobaric"),J743*VLOOKUP(B743,AmmoTypeFactors,4,FALSE),IF(VLOOKUP(B743,AmmoTypeFactors,11,FALSE),P743,C743*VLOOKUP(B743,AmmoTypeFactors,4,FALSE)))</f>
        <v>0</v>
      </c>
      <c r="F743" s="16">
        <f>'Ammo Stats'!G743/0.005</f>
        <v>810000000</v>
      </c>
      <c r="G743" s="16">
        <f>(IF(B743="HEAT",10,'Ammo Input'!F743)*VLOOKUP(B743,AmmoTypeFactors,7,FALSE)*0.5)^2*PI()/100</f>
        <v>0.785398163397448</v>
      </c>
      <c r="H743" s="10">
        <f t="shared" si="30"/>
        <v>81000</v>
      </c>
      <c r="I743" s="10">
        <f>IF(B743&lt;&gt;"Arrow (Flaming)",39493.49*'Ammo Input'!M743^0.6/1000,0)</f>
        <v>33.0299785400535</v>
      </c>
      <c r="J743">
        <f t="shared" si="31"/>
        <v>110.099928466845</v>
      </c>
      <c r="K743">
        <f t="shared" si="32"/>
        <v>93</v>
      </c>
      <c r="L743">
        <f>200000/('Ammo Stats'!C743*(MAX('Ammo Input'!D743,'Ammo Input'!F743)*0.5)^2*PI())</f>
        <v>3.01998207975513</v>
      </c>
      <c r="M743">
        <f>IF(B743="Frag",1,('Ammo Input'!M743/1.33)/('Ammo Input'!H743/1000))</f>
        <v>0.206739069896965</v>
      </c>
      <c r="N743">
        <v>4</v>
      </c>
      <c r="O743">
        <v>7</v>
      </c>
      <c r="P743" s="3">
        <f>(39493.49*(IF((VLOOKUP(B743,AmmoTypeFactors,6,FALSE)="Bomb_Secondary"),1.33,1)*('Ammo Input'!H743*0.35)/1000)^0.6/1000)*10/3*VLOOKUP(B743,AmmoTypeFactors,4,FALSE)</f>
        <v>0</v>
      </c>
    </row>
    <row r="744" ht="14.4" spans="1:16">
      <c r="A744" t="str">
        <f>'Ammo Input'!A744</f>
        <v>84x246mmR</v>
      </c>
      <c r="B744" s="1" t="str">
        <f>'Ammo Input'!B744</f>
        <v>Thermobaric</v>
      </c>
      <c r="C744">
        <f>(0.579*('Ammo Stats'!G744*IF(OR(B744="HEAT",B744="HEDP"),10,'Ammo Input'!F744)*VLOOKUP(B744,AmmoTypeFactors,7,FALSE))^(0.346))^IF(B744="HEDP",2.1,1)/IF(B744="HEDP",50,1)</f>
        <v>112.638063947613</v>
      </c>
      <c r="D744" s="16">
        <f>IF(VLOOKUP(B744,AmmoTypeFactors,8,FALSE),J744,C744)*VLOOKUP('Ammo Input'!B744,AmmoTypeFactors,2,FALSE)</f>
        <v>159.629165499501</v>
      </c>
      <c r="E744" s="16">
        <f>IF(OR(VLOOKUP(B744,AmmoTypeFactors,6,FALSE)="Bomb",VLOOKUP(B744,AmmoTypeFactors,6,FALSE)="Thermobaric"),J744*VLOOKUP(B744,AmmoTypeFactors,4,FALSE),IF(VLOOKUP(B744,AmmoTypeFactors,11,FALSE),P744,C744*VLOOKUP(B744,AmmoTypeFactors,4,FALSE)))</f>
        <v>0</v>
      </c>
      <c r="F744" s="16">
        <f>'Ammo Stats'!G744/0.005</f>
        <v>9826000</v>
      </c>
      <c r="G744" s="16">
        <f>(IF(B744="HEAT",10,'Ammo Input'!F744)*VLOOKUP(B744,AmmoTypeFactors,7,FALSE)*0.5)^2*PI()/100</f>
        <v>55.4176944093239</v>
      </c>
      <c r="H744" s="10">
        <f t="shared" si="30"/>
        <v>982.6</v>
      </c>
      <c r="I744" s="10">
        <f>IF(B744&lt;&gt;"Arrow (Flaming)",39493.49*'Ammo Input'!M744^0.6/1000,0)</f>
        <v>59.8609370623127</v>
      </c>
      <c r="J744">
        <f t="shared" si="31"/>
        <v>199.536456874376</v>
      </c>
      <c r="K744">
        <f t="shared" si="32"/>
        <v>21</v>
      </c>
      <c r="L744">
        <f>200000/('Ammo Stats'!C744*(MAX('Ammo Input'!D744,'Ammo Input'!F744)*0.5)^2*PI())</f>
        <v>3.06712326343911</v>
      </c>
      <c r="M744">
        <f>IF(B744="Frag",1,('Ammo Input'!M744/1.33)/('Ammo Input'!H744/1000))</f>
        <v>0.442282176028306</v>
      </c>
      <c r="N744" t="s">
        <v>353</v>
      </c>
      <c r="O744" t="s">
        <v>353</v>
      </c>
      <c r="P744" s="3">
        <f>(39493.49*(IF((VLOOKUP(B744,AmmoTypeFactors,6,FALSE)="Bomb_Secondary"),1.33,1)*('Ammo Input'!H744*0.35)/1000)^0.6/1000)*10/3*VLOOKUP(B744,AmmoTypeFactors,4,FALSE)</f>
        <v>0</v>
      </c>
    </row>
    <row r="745" ht="14.4" spans="1:16">
      <c r="A745" t="str">
        <f>'Ammo Input'!A745</f>
        <v>84x246mmR</v>
      </c>
      <c r="B745" s="1" t="str">
        <f>'Ammo Input'!B745</f>
        <v>HE</v>
      </c>
      <c r="C745">
        <f>(0.579*('Ammo Stats'!G745*IF(OR(B745="HEAT",B745="HEDP"),10,'Ammo Input'!F745)*VLOOKUP(B745,AmmoTypeFactors,7,FALSE))^(0.346))^IF(B745="HEDP",2.1,1)/IF(B745="HEDP",50,1)</f>
        <v>120.629582526148</v>
      </c>
      <c r="D745" s="16">
        <f>IF(VLOOKUP(B745,AmmoTypeFactors,8,FALSE),J745,C745)*VLOOKUP('Ammo Input'!B745,AmmoTypeFactors,2,FALSE)</f>
        <v>151.226042111519</v>
      </c>
      <c r="E745" s="16">
        <f>IF(OR(VLOOKUP(B745,AmmoTypeFactors,6,FALSE)="Bomb",VLOOKUP(B745,AmmoTypeFactors,6,FALSE)="Thermobaric"),J745*VLOOKUP(B745,AmmoTypeFactors,4,FALSE),IF(VLOOKUP(B745,AmmoTypeFactors,11,FALSE),P745,C745*VLOOKUP(B745,AmmoTypeFactors,4,FALSE)))</f>
        <v>0</v>
      </c>
      <c r="F745" s="16">
        <f>'Ammo Stats'!G745/0.005</f>
        <v>11978800</v>
      </c>
      <c r="G745" s="16">
        <f>(IF(B745="HEAT",10,'Ammo Input'!F745)*VLOOKUP(B745,AmmoTypeFactors,7,FALSE)*0.5)^2*PI()/100</f>
        <v>55.4176944093239</v>
      </c>
      <c r="H745" s="10">
        <f t="shared" si="30"/>
        <v>1197.88</v>
      </c>
      <c r="I745" s="10">
        <f>IF(B745&lt;&gt;"Arrow (Flaming)",39493.49*'Ammo Input'!M745^0.6/1000,0)</f>
        <v>45.3678126334558</v>
      </c>
      <c r="J745">
        <f t="shared" si="31"/>
        <v>151.226042111519</v>
      </c>
      <c r="K745">
        <f t="shared" si="32"/>
        <v>23</v>
      </c>
      <c r="L745">
        <f>200000/('Ammo Stats'!C745*(MAX('Ammo Input'!D745,'Ammo Input'!F745)*0.5)^2*PI())</f>
        <v>4.33030488295467</v>
      </c>
      <c r="M745">
        <f>IF(B745="Frag",1,('Ammo Input'!M745/1.33)/('Ammo Input'!H745/1000))</f>
        <v>0.270676691729323</v>
      </c>
      <c r="N745">
        <v>10</v>
      </c>
      <c r="O745">
        <v>24</v>
      </c>
      <c r="P745" s="3">
        <f>(39493.49*(IF((VLOOKUP(B745,AmmoTypeFactors,6,FALSE)="Bomb_Secondary"),1.33,1)*('Ammo Input'!H745*0.35)/1000)^0.6/1000)*10/3*VLOOKUP(B745,AmmoTypeFactors,4,FALSE)</f>
        <v>0</v>
      </c>
    </row>
    <row r="746" ht="14.4" spans="1:16">
      <c r="A746" t="str">
        <f>'Ammo Input'!A746</f>
        <v>84x246mmR (Airburst)</v>
      </c>
      <c r="B746" s="1" t="str">
        <f>'Ammo Input'!B746</f>
        <v>HE</v>
      </c>
      <c r="C746">
        <f>(0.579*('Ammo Stats'!G746*IF(OR(B746="HEAT",B746="HEDP"),10,'Ammo Input'!F746)*VLOOKUP(B746,AmmoTypeFactors,7,FALSE))^(0.346))^IF(B746="HEDP",2.1,1)/IF(B746="HEDP",50,1)</f>
        <v>120.629582526148</v>
      </c>
      <c r="D746" s="16">
        <f>IF(VLOOKUP(B746,AmmoTypeFactors,8,FALSE),J746,C746)*VLOOKUP('Ammo Input'!B746,AmmoTypeFactors,2,FALSE)</f>
        <v>151.226042111519</v>
      </c>
      <c r="E746" s="16">
        <f>IF(OR(VLOOKUP(B746,AmmoTypeFactors,6,FALSE)="Bomb",VLOOKUP(B746,AmmoTypeFactors,6,FALSE)="Thermobaric"),J746*VLOOKUP(B746,AmmoTypeFactors,4,FALSE),IF(VLOOKUP(B746,AmmoTypeFactors,11,FALSE),P746,C746*VLOOKUP(B746,AmmoTypeFactors,4,FALSE)))</f>
        <v>0</v>
      </c>
      <c r="F746" s="16">
        <f>'Ammo Stats'!G746/0.005</f>
        <v>11978800</v>
      </c>
      <c r="G746" s="16">
        <f>(IF(B746="HEAT",10,'Ammo Input'!F746)*VLOOKUP(B746,AmmoTypeFactors,7,FALSE)*0.5)^2*PI()/100</f>
        <v>55.4176944093239</v>
      </c>
      <c r="H746" s="10">
        <f t="shared" si="30"/>
        <v>1197.88</v>
      </c>
      <c r="I746" s="10">
        <f>IF(B746&lt;&gt;"Arrow (Flaming)",39493.49*'Ammo Input'!M746^0.6/1000,0)</f>
        <v>45.3678126334558</v>
      </c>
      <c r="J746">
        <f t="shared" si="31"/>
        <v>151.226042111519</v>
      </c>
      <c r="K746">
        <f t="shared" si="32"/>
        <v>23</v>
      </c>
      <c r="L746">
        <f>200000/('Ammo Stats'!C746*(MAX('Ammo Input'!D746,'Ammo Input'!F746)*0.5)^2*PI())</f>
        <v>4.33030488295467</v>
      </c>
      <c r="M746">
        <f>IF(B746="Frag",1,('Ammo Input'!M746/1.33)/('Ammo Input'!H746/1000))</f>
        <v>0.270676691729323</v>
      </c>
      <c r="N746">
        <v>10</v>
      </c>
      <c r="O746">
        <v>24</v>
      </c>
      <c r="P746" s="3">
        <f>(39493.49*(IF((VLOOKUP(B746,AmmoTypeFactors,6,FALSE)="Bomb_Secondary"),1.33,1)*('Ammo Input'!H746*0.35)/1000)^0.6/1000)*10/3*VLOOKUP(B746,AmmoTypeFactors,4,FALSE)</f>
        <v>0</v>
      </c>
    </row>
    <row r="747" ht="14.4" spans="1:16">
      <c r="A747" t="str">
        <f>'Ammo Input'!A747</f>
        <v>84x246mmR</v>
      </c>
      <c r="B747" s="1" t="str">
        <f>'Ammo Input'!B747</f>
        <v>HEDP</v>
      </c>
      <c r="C747">
        <f>(0.579*('Ammo Stats'!G747*IF(OR(B747="HEAT",B747="HEDP"),10,'Ammo Input'!F747)*VLOOKUP(B747,AmmoTypeFactors,7,FALSE))^(0.346))^IF(B747="HEDP",2.1,1)/IF(B747="HEDP",50,1)</f>
        <v>189.374354819192</v>
      </c>
      <c r="D747" s="16">
        <f>IF(VLOOKUP(B747,AmmoTypeFactors,8,FALSE),J747,C747)*VLOOKUP('Ammo Input'!B747,AmmoTypeFactors,2,FALSE)</f>
        <v>189.374354819192</v>
      </c>
      <c r="E747" s="16">
        <f>IF(OR(VLOOKUP(B747,AmmoTypeFactors,6,FALSE)="Bomb",VLOOKUP(B747,AmmoTypeFactors,6,FALSE)="Thermobaric"),J747*VLOOKUP(B747,AmmoTypeFactors,4,FALSE),IF(VLOOKUP(B747,AmmoTypeFactors,11,FALSE),P747,C747*VLOOKUP(B747,AmmoTypeFactors,4,FALSE)))</f>
        <v>111.234997056515</v>
      </c>
      <c r="F747" s="16">
        <f>'Ammo Stats'!G747/0.005</f>
        <v>28800000</v>
      </c>
      <c r="G747" s="16">
        <f>(IF(B747="HEAT",10,'Ammo Input'!F747)*VLOOKUP(B747,AmmoTypeFactors,7,FALSE)*0.5)^2*PI()/100</f>
        <v>55.4176944093239</v>
      </c>
      <c r="H747" s="10">
        <f t="shared" si="30"/>
        <v>2880</v>
      </c>
      <c r="I747" s="10">
        <f>IF(B747&lt;&gt;"Arrow (Flaming)",39493.49*'Ammo Input'!M747^0.6/1000,0)</f>
        <v>33.3704991169546</v>
      </c>
      <c r="J747">
        <f t="shared" si="31"/>
        <v>111.234997056515</v>
      </c>
      <c r="K747">
        <f t="shared" si="32"/>
        <v>31</v>
      </c>
      <c r="L747">
        <f>200000/('Ammo Stats'!C747*(MAX('Ammo Input'!D747,'Ammo Input'!F747)*0.5)^2*PI())</f>
        <v>3.76503155092825</v>
      </c>
      <c r="M747">
        <f>IF(B747="Frag",1,('Ammo Input'!M747/1.33)/('Ammo Input'!H747/1000))</f>
        <v>0.247956134878681</v>
      </c>
      <c r="N747">
        <v>10</v>
      </c>
      <c r="O747">
        <v>22</v>
      </c>
      <c r="P747" s="3">
        <f>(39493.49*(IF((VLOOKUP(B747,AmmoTypeFactors,6,FALSE)="Bomb_Secondary"),1.33,1)*('Ammo Input'!H747*0.35)/1000)^0.6/1000)*10/3*VLOOKUP(B747,AmmoTypeFactors,4,FALSE)</f>
        <v>115.277984539678</v>
      </c>
    </row>
    <row r="748" ht="14.4" spans="1:16">
      <c r="A748" t="str">
        <f>'Ammo Input'!A748</f>
        <v>84x246mmR</v>
      </c>
      <c r="B748" s="1" t="str">
        <f>'Ammo Input'!B748</f>
        <v>Frag</v>
      </c>
      <c r="C748">
        <f>0.579*('Ammo Stats'!G748*IF(OR(B748="HEAT",B748="HEDP"),10,'Ammo Input'!F748)*VLOOKUP(B748,AmmoTypeFactors,7,FALSE))^(0.346)</f>
        <v>124.907014690083</v>
      </c>
      <c r="D748" s="16">
        <f>IF(VLOOKUP(B748,AmmoTypeFactors,8,FALSE),J748,C748)*VLOOKUP('Ammo Input'!B748,AmmoTypeFactors,2,FALSE)</f>
        <v>111.234997056515</v>
      </c>
      <c r="E748" s="16">
        <f>IF(OR(VLOOKUP(B748,AmmoTypeFactors,6,FALSE)="Bomb",VLOOKUP(B748,AmmoTypeFactors,6,FALSE)="Thermobaric"),J748*VLOOKUP(B748,AmmoTypeFactors,4,FALSE),IF(VLOOKUP(B748,AmmoTypeFactors,11,FALSE),P748,C748*VLOOKUP(B748,AmmoTypeFactors,4,FALSE)))</f>
        <v>0</v>
      </c>
      <c r="F748" s="16">
        <f>'Ammo Stats'!G748/0.005</f>
        <v>13248000</v>
      </c>
      <c r="G748" s="16">
        <f>(IF(B748="HEAT",10,'Ammo Input'!F748)*VLOOKUP(B748,AmmoTypeFactors,7,FALSE)*0.5)^2*PI()/100</f>
        <v>55.4176944093239</v>
      </c>
      <c r="H748" s="10">
        <f t="shared" si="30"/>
        <v>1324.8</v>
      </c>
      <c r="I748" s="10">
        <f>IF(B748&lt;&gt;"Arrow (Flaming)",39493.49*'Ammo Input'!M748^0.6/1000,0)</f>
        <v>33.3704991169546</v>
      </c>
      <c r="J748">
        <f t="shared" si="31"/>
        <v>111.234997056515</v>
      </c>
      <c r="K748">
        <f t="shared" si="32"/>
        <v>24</v>
      </c>
      <c r="L748">
        <f>200000/('Ammo Stats'!C748*(MAX('Ammo Input'!D748,'Ammo Input'!F748)*0.5)^2*PI())</f>
        <v>4.37855340532743</v>
      </c>
      <c r="M748">
        <f>IF(B748="Frag",1,('Ammo Input'!M748/1.33)/('Ammo Input'!H748/1000))</f>
        <v>1</v>
      </c>
      <c r="N748">
        <v>0</v>
      </c>
      <c r="O748">
        <v>230</v>
      </c>
      <c r="P748" s="3">
        <f>(39493.49*(IF((VLOOKUP(B748,AmmoTypeFactors,6,FALSE)="Bomb_Secondary"),1.33,1)*('Ammo Input'!H748*0.35)/1000)^0.6/1000)*10/3*VLOOKUP(B748,AmmoTypeFactors,4,FALSE)</f>
        <v>0</v>
      </c>
    </row>
    <row r="749" ht="14.4" spans="1:16">
      <c r="A749" t="str">
        <f>'Ammo Input'!A749</f>
        <v>84x246mmR</v>
      </c>
      <c r="B749" s="1" t="str">
        <f>'Ammo Input'!B749</f>
        <v>Buck</v>
      </c>
      <c r="C749">
        <f>0.579*('Ammo Stats'!G749*IF(OR(B749="HEAT",B749="HEDP"),10,'Ammo Input'!F749)*VLOOKUP(B749,AmmoTypeFactors,7,FALSE))^(0.346)</f>
        <v>28.2258549218106</v>
      </c>
      <c r="D749" s="16">
        <f>IF(VLOOKUP(B749,AmmoTypeFactors,8,FALSE),J749,C749)*VLOOKUP('Ammo Input'!B749,AmmoTypeFactors,2,FALSE)</f>
        <v>28.2258549218106</v>
      </c>
      <c r="E749" s="16">
        <f>IF(OR(VLOOKUP(B749,AmmoTypeFactors,6,FALSE)="Bomb",VLOOKUP(B749,AmmoTypeFactors,6,FALSE)="Thermobaric"),J749*VLOOKUP(B749,AmmoTypeFactors,4,FALSE),IF(VLOOKUP(B749,AmmoTypeFactors,11,FALSE),P749,C749*VLOOKUP(B749,AmmoTypeFactors,4,FALSE)))</f>
        <v>0</v>
      </c>
      <c r="F749" s="16">
        <f>'Ammo Stats'!G749/0.005</f>
        <v>180000</v>
      </c>
      <c r="G749" s="16">
        <f>(IF(B749="HEAT",10,'Ammo Input'!F749)*VLOOKUP(B749,AmmoTypeFactors,7,FALSE)*0.5)^2*PI()/100</f>
        <v>55.4176944093239</v>
      </c>
      <c r="H749" s="10">
        <f t="shared" si="30"/>
        <v>18</v>
      </c>
      <c r="I749" s="10">
        <f>IF(B749&lt;&gt;"Arrow (Flaming)",39493.49*'Ammo Input'!M749^0.6/1000,0)</f>
        <v>0</v>
      </c>
      <c r="J749">
        <f t="shared" si="31"/>
        <v>0</v>
      </c>
      <c r="K749">
        <f t="shared" si="32"/>
        <v>6</v>
      </c>
      <c r="L749">
        <f>200000/('Ammo Stats'!C749*(MAX('Ammo Input'!D749,'Ammo Input'!F749)*0.5)^2*PI())</f>
        <v>4.30068583450765</v>
      </c>
      <c r="M749">
        <f>IF(B749="Frag",1,('Ammo Input'!M749/1.33)/('Ammo Input'!H749/1000))</f>
        <v>0</v>
      </c>
      <c r="N749" t="s">
        <v>353</v>
      </c>
      <c r="O749" t="s">
        <v>353</v>
      </c>
      <c r="P749" s="3">
        <f>(39493.49*(IF((VLOOKUP(B749,AmmoTypeFactors,6,FALSE)="Bomb_Secondary"),1.33,1)*('Ammo Input'!H749*0.35)/1000)^0.6/1000)*10/3*VLOOKUP(B749,AmmoTypeFactors,4,FALSE)</f>
        <v>0</v>
      </c>
    </row>
    <row r="750" ht="14.4" spans="1:16">
      <c r="A750" t="str">
        <f>'Ammo Input'!A750</f>
        <v>84x246mmR</v>
      </c>
      <c r="B750" s="1" t="str">
        <f>'Ammo Input'!B750</f>
        <v>Incendiary (Heavy)</v>
      </c>
      <c r="C750">
        <f>0.579*('Ammo Stats'!G750*IF(OR(B750="HEAT",B750="HEDP"),10,'Ammo Input'!F750)*VLOOKUP(B750,AmmoTypeFactors,7,FALSE))^(0.346)</f>
        <v>130.005768411289</v>
      </c>
      <c r="D750" s="16">
        <f>IF(VLOOKUP(B750,AmmoTypeFactors,8,FALSE),J750,C750)*VLOOKUP('Ammo Input'!B750,AmmoTypeFactors,2,FALSE)</f>
        <v>15.1226042111519</v>
      </c>
      <c r="E750" s="16">
        <f>IF(OR(VLOOKUP(B750,AmmoTypeFactors,6,FALSE)="Bomb",VLOOKUP(B750,AmmoTypeFactors,6,FALSE)="Thermobaric"),J750*VLOOKUP(B750,AmmoTypeFactors,4,FALSE),IF(VLOOKUP(B750,AmmoTypeFactors,11,FALSE),P750,C750*VLOOKUP(B750,AmmoTypeFactors,4,FALSE)))</f>
        <v>113.419531583639</v>
      </c>
      <c r="F750" s="16">
        <f>'Ammo Stats'!G750/0.005</f>
        <v>14872000</v>
      </c>
      <c r="G750" s="16">
        <f>(IF(B750="HEAT",10,'Ammo Input'!F750)*VLOOKUP(B750,AmmoTypeFactors,7,FALSE)*0.5)^2*PI()/100</f>
        <v>55.4176944093239</v>
      </c>
      <c r="H750" s="10">
        <f t="shared" si="30"/>
        <v>1487.2</v>
      </c>
      <c r="I750" s="10">
        <f>IF(B750&lt;&gt;"Arrow (Flaming)",39493.49*'Ammo Input'!M750^0.6/1000,0)</f>
        <v>45.3678126334558</v>
      </c>
      <c r="J750">
        <f t="shared" si="31"/>
        <v>151.226042111519</v>
      </c>
      <c r="K750">
        <f t="shared" si="32"/>
        <v>25</v>
      </c>
      <c r="L750">
        <f>200000/('Ammo Stats'!C750*(MAX('Ammo Input'!D750,'Ammo Input'!F750)*0.5)^2*PI())</f>
        <v>4.11492322647263</v>
      </c>
      <c r="M750">
        <f>IF(B750="Frag",1,('Ammo Input'!M750/1.33)/('Ammo Input'!H750/1000))</f>
        <v>0.430622009569378</v>
      </c>
      <c r="N750" t="s">
        <v>353</v>
      </c>
      <c r="O750" t="s">
        <v>353</v>
      </c>
      <c r="P750" s="3">
        <f>(39493.49*(IF((VLOOKUP(B750,AmmoTypeFactors,6,FALSE)="Bomb_Secondary"),1.33,1)*('Ammo Input'!H750*0.35)/1000)^0.6/1000)*10/3*VLOOKUP(B750,AmmoTypeFactors,4,FALSE)</f>
        <v>84.4034030757119</v>
      </c>
    </row>
    <row r="751" ht="14.4" spans="1:16">
      <c r="A751" t="str">
        <f>'Ammo Input'!A751</f>
        <v>84x246mmR</v>
      </c>
      <c r="B751" s="1" t="str">
        <f>'Ammo Input'!B751</f>
        <v>EMP</v>
      </c>
      <c r="C751">
        <f>0.579*('Ammo Stats'!G751*IF(OR(B751="HEAT",B751="HEDP"),10,'Ammo Input'!F751)*VLOOKUP(B751,AmmoTypeFactors,7,FALSE))^(0.346)</f>
        <v>124.907014690083</v>
      </c>
      <c r="D751" s="16">
        <f>IF(VLOOKUP(B751,AmmoTypeFactors,8,FALSE),J751,C751)*VLOOKUP('Ammo Input'!B751,AmmoTypeFactors,2,FALSE)</f>
        <v>151.226042111519</v>
      </c>
      <c r="E751" s="16">
        <f>IF(OR(VLOOKUP(B751,AmmoTypeFactors,6,FALSE)="Bomb",VLOOKUP(B751,AmmoTypeFactors,6,FALSE)="Thermobaric"),J751*VLOOKUP(B751,AmmoTypeFactors,4,FALSE),IF(VLOOKUP(B751,AmmoTypeFactors,11,FALSE),P751,C751*VLOOKUP(B751,AmmoTypeFactors,4,FALSE)))</f>
        <v>0</v>
      </c>
      <c r="F751" s="16">
        <f>'Ammo Stats'!G751/0.005</f>
        <v>13248000</v>
      </c>
      <c r="G751" s="16">
        <f>(IF(B751="HEAT",10,'Ammo Input'!F751)*VLOOKUP(B751,AmmoTypeFactors,7,FALSE)*0.5)^2*PI()/100</f>
        <v>55.4176944093239</v>
      </c>
      <c r="H751" s="10">
        <f t="shared" si="30"/>
        <v>1324.8</v>
      </c>
      <c r="I751" s="10">
        <f>IF(B751&lt;&gt;"Arrow (Flaming)",39493.49*'Ammo Input'!M751^0.6/1000,0)</f>
        <v>45.3678126334558</v>
      </c>
      <c r="J751">
        <f t="shared" si="31"/>
        <v>151.226042111519</v>
      </c>
      <c r="K751">
        <f t="shared" si="32"/>
        <v>24</v>
      </c>
      <c r="L751">
        <f>200000/('Ammo Stats'!C751*(MAX('Ammo Input'!D751,'Ammo Input'!F751)*0.5)^2*PI())</f>
        <v>4.33030488295467</v>
      </c>
      <c r="M751">
        <f>IF(B751="Frag",1,('Ammo Input'!M751/1.33)/('Ammo Input'!H751/1000))</f>
        <v>0.411899313501144</v>
      </c>
      <c r="N751" t="s">
        <v>353</v>
      </c>
      <c r="O751" t="s">
        <v>353</v>
      </c>
      <c r="P751" s="3">
        <f>(39493.49*(IF((VLOOKUP(B751,AmmoTypeFactors,6,FALSE)="Bomb_Secondary"),1.33,1)*('Ammo Input'!H751*0.35)/1000)^0.6/1000)*10/3*VLOOKUP(B751,AmmoTypeFactors,4,FALSE)</f>
        <v>0</v>
      </c>
    </row>
    <row r="752" ht="14.4" spans="1:16">
      <c r="A752" t="str">
        <f>'Ammo Input'!A752</f>
        <v>84x246mmR</v>
      </c>
      <c r="B752" s="1" t="str">
        <f>'Ammo Input'!B752</f>
        <v>Smoke</v>
      </c>
      <c r="C752">
        <f>0.579*('Ammo Stats'!G752*IF(OR(B752="HEAT",B752="HEDP"),10,'Ammo Input'!F752)*VLOOKUP(B752,AmmoTypeFactors,7,FALSE))^(0.346)</f>
        <v>124.718843301937</v>
      </c>
      <c r="D752" s="16">
        <f>IF(VLOOKUP(B752,AmmoTypeFactors,8,FALSE),J752,C752)*VLOOKUP('Ammo Input'!B752,AmmoTypeFactors,2,FALSE)</f>
        <v>115.148491023088</v>
      </c>
      <c r="E752" s="16">
        <f>IF(OR(VLOOKUP(B752,AmmoTypeFactors,6,FALSE)="Bomb",VLOOKUP(B752,AmmoTypeFactors,6,FALSE)="Thermobaric"),J752*VLOOKUP(B752,AmmoTypeFactors,4,FALSE),IF(VLOOKUP(B752,AmmoTypeFactors,11,FALSE),P752,C752*VLOOKUP(B752,AmmoTypeFactors,4,FALSE)))</f>
        <v>0</v>
      </c>
      <c r="F752" s="16">
        <f>'Ammo Stats'!G752/0.005</f>
        <v>13190400</v>
      </c>
      <c r="G752" s="16">
        <f>(IF(B752="HEAT",10,'Ammo Input'!F752)*VLOOKUP(B752,AmmoTypeFactors,7,FALSE)*0.5)^2*PI()/100</f>
        <v>55.4176944093239</v>
      </c>
      <c r="H752" s="10">
        <f t="shared" si="30"/>
        <v>1319.04</v>
      </c>
      <c r="I752" s="10">
        <f>IF(B752&lt;&gt;"Arrow (Flaming)",39493.49*'Ammo Input'!M752^0.6/1000,0)</f>
        <v>34.5445473069265</v>
      </c>
      <c r="J752">
        <f t="shared" si="31"/>
        <v>115.148491023088</v>
      </c>
      <c r="K752">
        <f t="shared" si="32"/>
        <v>24</v>
      </c>
      <c r="L752">
        <f>200000/('Ammo Stats'!C752*(MAX('Ammo Input'!D752,'Ammo Input'!F752)*0.5)^2*PI())</f>
        <v>3.76503155092825</v>
      </c>
      <c r="M752">
        <f>IF(B752="Frag",1,('Ammo Input'!M752/1.33)/('Ammo Input'!H752/1000))</f>
        <v>0.262665397117247</v>
      </c>
      <c r="N752" t="s">
        <v>353</v>
      </c>
      <c r="O752" t="s">
        <v>353</v>
      </c>
      <c r="P752" s="3">
        <f>(39493.49*(IF((VLOOKUP(B752,AmmoTypeFactors,6,FALSE)="Bomb_Secondary"),1.33,1)*('Ammo Input'!H752*0.35)/1000)^0.6/1000)*10/3*VLOOKUP(B752,AmmoTypeFactors,4,FALSE)</f>
        <v>0</v>
      </c>
    </row>
    <row r="753" ht="14.4" spans="1:16">
      <c r="A753" t="str">
        <f>'Ammo Input'!A753</f>
        <v>83mm SMAW</v>
      </c>
      <c r="B753" s="1" t="str">
        <f>'Ammo Input'!B753</f>
        <v>HEAT</v>
      </c>
      <c r="C753">
        <f>0.579*('Ammo Stats'!G753*IF(OR(B753="HEAT",B753="HEDP"),10,'Ammo Input'!F753)*VLOOKUP(B753,AmmoTypeFactors,7,FALSE))^(0.346)</f>
        <v>248.232134528328</v>
      </c>
      <c r="D753" s="16">
        <f>IF(VLOOKUP(B753,AmmoTypeFactors,8,FALSE),J753,C753)*VLOOKUP('Ammo Input'!B753,AmmoTypeFactors,2,FALSE)</f>
        <v>248.232134528328</v>
      </c>
      <c r="E753" s="16">
        <f>IF(OR(VLOOKUP(B753,AmmoTypeFactors,6,FALSE)="Bomb",VLOOKUP(B753,AmmoTypeFactors,6,FALSE)="Thermobaric"),J753*VLOOKUP(B753,AmmoTypeFactors,4,FALSE),IF(VLOOKUP(B753,AmmoTypeFactors,11,FALSE),P753,C753*VLOOKUP(B753,AmmoTypeFactors,4,FALSE)))</f>
        <v>0</v>
      </c>
      <c r="F753" s="16">
        <f>'Ammo Stats'!G753/0.005</f>
        <v>810000000</v>
      </c>
      <c r="G753" s="16">
        <f>(IF(B753="HEAT",10,'Ammo Input'!F753)*VLOOKUP(B753,AmmoTypeFactors,7,FALSE)*0.5)^2*PI()/100</f>
        <v>0.785398163397448</v>
      </c>
      <c r="H753" s="10">
        <f t="shared" si="30"/>
        <v>81000</v>
      </c>
      <c r="I753" s="10">
        <f>IF(B753&lt;&gt;"Arrow (Flaming)",39493.49*'Ammo Input'!M753^0.6/1000,0)</f>
        <v>39.49349</v>
      </c>
      <c r="J753">
        <f t="shared" si="31"/>
        <v>131.644966666667</v>
      </c>
      <c r="K753">
        <f t="shared" si="32"/>
        <v>93</v>
      </c>
      <c r="L753">
        <f>200000/('Ammo Stats'!C753*(MAX('Ammo Input'!D753,'Ammo Input'!F753)*0.5)^2*PI())</f>
        <v>1.57542349449329</v>
      </c>
      <c r="M753">
        <f>IF(B753="Frag",1,('Ammo Input'!M753/1.33)/('Ammo Input'!H753/1000))</f>
        <v>0.167084377610693</v>
      </c>
      <c r="N753">
        <v>7</v>
      </c>
      <c r="O753">
        <v>10</v>
      </c>
      <c r="P753" s="3">
        <f>(39493.49*(IF((VLOOKUP(B753,AmmoTypeFactors,6,FALSE)="Bomb_Secondary"),1.33,1)*('Ammo Input'!H753*0.35)/1000)^0.6/1000)*10/3*VLOOKUP(B753,AmmoTypeFactors,4,FALSE)</f>
        <v>0</v>
      </c>
    </row>
    <row r="754" ht="14.4" spans="1:16">
      <c r="A754" t="str">
        <f>'Ammo Input'!A754</f>
        <v>83mm SMAW</v>
      </c>
      <c r="B754" s="1" t="str">
        <f>'Ammo Input'!B754</f>
        <v>HE</v>
      </c>
      <c r="C754">
        <f>0.579*('Ammo Stats'!G754*IF(OR(B754="HEAT",B754="HEDP"),10,'Ammo Input'!F754)*VLOOKUP(B754,AmmoTypeFactors,7,FALSE))^(0.346)</f>
        <v>144.252701373763</v>
      </c>
      <c r="D754" s="16">
        <f>IF(VLOOKUP(B754,AmmoTypeFactors,8,FALSE),J754,C754)*VLOOKUP('Ammo Input'!B754,AmmoTypeFactors,2,FALSE)</f>
        <v>154.08851518212</v>
      </c>
      <c r="E754" s="16">
        <f>IF(OR(VLOOKUP(B754,AmmoTypeFactors,6,FALSE)="Bomb",VLOOKUP(B754,AmmoTypeFactors,6,FALSE)="Thermobaric"),J754*VLOOKUP(B754,AmmoTypeFactors,4,FALSE),IF(VLOOKUP(B754,AmmoTypeFactors,11,FALSE),P754,C754*VLOOKUP(B754,AmmoTypeFactors,4,FALSE)))</f>
        <v>0</v>
      </c>
      <c r="F754" s="16">
        <f>'Ammo Stats'!G754/0.005</f>
        <v>20328000</v>
      </c>
      <c r="G754" s="16">
        <f>(IF(B754="HEAT",10,'Ammo Input'!F754)*VLOOKUP(B754,AmmoTypeFactors,7,FALSE)*0.5)^2*PI()/100</f>
        <v>54.1060794764502</v>
      </c>
      <c r="H754" s="10">
        <f t="shared" si="30"/>
        <v>2032.8</v>
      </c>
      <c r="I754" s="10">
        <f>IF(B754&lt;&gt;"Arrow (Flaming)",39493.49*'Ammo Input'!M754^0.6/1000,0)</f>
        <v>46.226554554636</v>
      </c>
      <c r="J754">
        <f t="shared" si="31"/>
        <v>154.08851518212</v>
      </c>
      <c r="K754">
        <f t="shared" si="32"/>
        <v>27</v>
      </c>
      <c r="L754">
        <f>200000/('Ammo Stats'!C754*(MAX('Ammo Input'!D754,'Ammo Input'!F754)*0.5)^2*PI())</f>
        <v>1.77793539926747</v>
      </c>
      <c r="M754">
        <f>IF(B754="Frag",1,('Ammo Input'!M754/1.33)/('Ammo Input'!H754/1000))</f>
        <v>0.232724668814894</v>
      </c>
      <c r="N754">
        <v>12</v>
      </c>
      <c r="O754">
        <v>25</v>
      </c>
      <c r="P754" s="3">
        <f>(39493.49*(IF((VLOOKUP(B754,AmmoTypeFactors,6,FALSE)="Bomb_Secondary"),1.33,1)*('Ammo Input'!H754*0.35)/1000)^0.6/1000)*10/3*VLOOKUP(B754,AmmoTypeFactors,4,FALSE)</f>
        <v>0</v>
      </c>
    </row>
    <row r="755" ht="14.4" spans="1:16">
      <c r="A755" t="str">
        <f>'Ammo Input'!A755</f>
        <v>83mm SMAW</v>
      </c>
      <c r="B755" s="1" t="str">
        <f>'Ammo Input'!B755</f>
        <v>Thermobaric</v>
      </c>
      <c r="C755">
        <f>0.579*('Ammo Stats'!G755*IF(OR(B755="HEAT",B755="HEDP"),10,'Ammo Input'!F755)*VLOOKUP(B755,AmmoTypeFactors,7,FALSE))^(0.346)</f>
        <v>144.252701373763</v>
      </c>
      <c r="D755" s="16">
        <f>IF(VLOOKUP(B755,AmmoTypeFactors,8,FALSE),J755,C755)*VLOOKUP('Ammo Input'!B755,AmmoTypeFactors,2,FALSE)</f>
        <v>259.669985766081</v>
      </c>
      <c r="E755" s="16">
        <f>IF(OR(VLOOKUP(B755,AmmoTypeFactors,6,FALSE)="Bomb",VLOOKUP(B755,AmmoTypeFactors,6,FALSE)="Thermobaric"),J755*VLOOKUP(B755,AmmoTypeFactors,4,FALSE),IF(VLOOKUP(B755,AmmoTypeFactors,11,FALSE),P755,C755*VLOOKUP(B755,AmmoTypeFactors,4,FALSE)))</f>
        <v>0</v>
      </c>
      <c r="F755" s="16">
        <f>'Ammo Stats'!G755/0.005</f>
        <v>20328000</v>
      </c>
      <c r="G755" s="16">
        <f>(IF(B755="HEAT",10,'Ammo Input'!F755)*VLOOKUP(B755,AmmoTypeFactors,7,FALSE)*0.5)^2*PI()/100</f>
        <v>54.1060794764502</v>
      </c>
      <c r="H755" s="10">
        <f t="shared" si="30"/>
        <v>2032.8</v>
      </c>
      <c r="I755" s="10">
        <f>IF(B755&lt;&gt;"Arrow (Flaming)",39493.49*'Ammo Input'!M755^0.6/1000,0)</f>
        <v>97.3762446622804</v>
      </c>
      <c r="J755">
        <f t="shared" si="31"/>
        <v>324.587482207601</v>
      </c>
      <c r="K755">
        <f t="shared" si="32"/>
        <v>27</v>
      </c>
      <c r="L755">
        <f>200000/('Ammo Stats'!C755*(MAX('Ammo Input'!D755,'Ammo Input'!F755)*0.5)^2*PI())</f>
        <v>1.63380629915314</v>
      </c>
      <c r="M755">
        <f>IF(B755="Frag",1,('Ammo Input'!M755/1.33)/('Ammo Input'!H755/1000))</f>
        <v>0.805585392051557</v>
      </c>
      <c r="N755" t="s">
        <v>353</v>
      </c>
      <c r="O755" t="s">
        <v>353</v>
      </c>
      <c r="P755" s="3">
        <f>(39493.49*(IF((VLOOKUP(B755,AmmoTypeFactors,6,FALSE)="Bomb_Secondary"),1.33,1)*('Ammo Input'!H755*0.35)/1000)^0.6/1000)*10/3*VLOOKUP(B755,AmmoTypeFactors,4,FALSE)</f>
        <v>0</v>
      </c>
    </row>
    <row r="756" ht="14.4" spans="1:16">
      <c r="A756" t="str">
        <f>'Ammo Input'!A756</f>
        <v>70mm APKWS</v>
      </c>
      <c r="B756" s="1" t="str">
        <f>'Ammo Input'!B756</f>
        <v>HEAT</v>
      </c>
      <c r="C756">
        <f>0.579*('Ammo Stats'!G756*IF(OR(B756="HEAT",B756="HEDP"),10,'Ammo Input'!F756)*VLOOKUP(B756,AmmoTypeFactors,7,FALSE))^(0.346)</f>
        <v>248.232134528328</v>
      </c>
      <c r="D756" s="16">
        <f>IF(VLOOKUP(B756,AmmoTypeFactors,8,FALSE),J756,C756)*VLOOKUP('Ammo Input'!B756,AmmoTypeFactors,2,FALSE)</f>
        <v>248.232134528328</v>
      </c>
      <c r="E756" s="16">
        <f>IF(OR(VLOOKUP(B756,AmmoTypeFactors,6,FALSE)="Bomb",VLOOKUP(B756,AmmoTypeFactors,6,FALSE)="Thermobaric"),J756*VLOOKUP(B756,AmmoTypeFactors,4,FALSE),IF(VLOOKUP(B756,AmmoTypeFactors,11,FALSE),P756,C756*VLOOKUP(B756,AmmoTypeFactors,4,FALSE)))</f>
        <v>0</v>
      </c>
      <c r="F756" s="16">
        <f>'Ammo Stats'!G756/0.005</f>
        <v>810000000</v>
      </c>
      <c r="G756" s="16">
        <f>(IF(B756="HEAT",10,'Ammo Input'!F756)*VLOOKUP(B756,AmmoTypeFactors,7,FALSE)*0.5)^2*PI()/100</f>
        <v>0.785398163397448</v>
      </c>
      <c r="H756" s="10">
        <f t="shared" si="30"/>
        <v>81000</v>
      </c>
      <c r="I756" s="10">
        <f>IF(B756&lt;&gt;"Arrow (Flaming)",39493.49*'Ammo Input'!M756^0.6/1000,0)</f>
        <v>44.2854776868792</v>
      </c>
      <c r="J756">
        <f t="shared" si="31"/>
        <v>147.618258956264</v>
      </c>
      <c r="K756">
        <f t="shared" si="32"/>
        <v>93</v>
      </c>
      <c r="L756">
        <f>200000/('Ammo Stats'!C756*(MAX('Ammo Input'!D756,'Ammo Input'!F756)*0.5)^2*PI())</f>
        <v>2.40708480822596</v>
      </c>
      <c r="M756">
        <f>IF(B756="Frag",1,('Ammo Input'!M756/1.33)/('Ammo Input'!H756/1000))</f>
        <v>0.0606666666666667</v>
      </c>
      <c r="N756">
        <v>26</v>
      </c>
      <c r="O756">
        <v>12</v>
      </c>
      <c r="P756" s="3">
        <f>(39493.49*(IF((VLOOKUP(B756,AmmoTypeFactors,6,FALSE)="Bomb_Secondary"),1.33,1)*('Ammo Input'!H756*0.35)/1000)^0.6/1000)*10/3*VLOOKUP(B756,AmmoTypeFactors,4,FALSE)</f>
        <v>0</v>
      </c>
    </row>
    <row r="757" ht="14.4" spans="1:16">
      <c r="A757" t="str">
        <f>'Ammo Input'!A757</f>
        <v>20mm Fliegerfaust</v>
      </c>
      <c r="B757" s="1" t="str">
        <f>'Ammo Input'!B757</f>
        <v>HE</v>
      </c>
      <c r="C757">
        <f>0.579*('Ammo Stats'!G757*IF(OR(B757="HEAT",B757="HEDP"),10,'Ammo Input'!F757)*VLOOKUP(B757,AmmoTypeFactors,7,FALSE))^(0.346)</f>
        <v>32.1628990511267</v>
      </c>
      <c r="D757" s="16">
        <f>IF(VLOOKUP(B757,AmmoTypeFactors,8,FALSE),J757,C757)*VLOOKUP('Ammo Input'!B757,AmmoTypeFactors,2,FALSE)</f>
        <v>15.5708089082541</v>
      </c>
      <c r="E757" s="16">
        <f>IF(OR(VLOOKUP(B757,AmmoTypeFactors,6,FALSE)="Bomb",VLOOKUP(B757,AmmoTypeFactors,6,FALSE)="Thermobaric"),J757*VLOOKUP(B757,AmmoTypeFactors,4,FALSE),IF(VLOOKUP(B757,AmmoTypeFactors,11,FALSE),P757,C757*VLOOKUP(B757,AmmoTypeFactors,4,FALSE)))</f>
        <v>0</v>
      </c>
      <c r="F757" s="16">
        <f>'Ammo Stats'!G757/0.005</f>
        <v>1102600</v>
      </c>
      <c r="G757" s="16">
        <f>(IF(B757="HEAT",10,'Ammo Input'!F757)*VLOOKUP(B757,AmmoTypeFactors,7,FALSE)*0.5)^2*PI()/100</f>
        <v>3.14159265358979</v>
      </c>
      <c r="H757" s="10">
        <f t="shared" si="30"/>
        <v>110.26</v>
      </c>
      <c r="I757" s="10">
        <f>IF(B757&lt;&gt;"Arrow (Flaming)",39493.49*'Ammo Input'!M757^0.6/1000,0)</f>
        <v>4.67124267247623</v>
      </c>
      <c r="J757">
        <f t="shared" si="31"/>
        <v>15.5708089082541</v>
      </c>
      <c r="K757">
        <f t="shared" si="32"/>
        <v>10</v>
      </c>
      <c r="L757">
        <f>200000/('Ammo Stats'!C757*(MAX('Ammo Input'!D757,'Ammo Input'!F757)*0.5)^2*PI())</f>
        <v>3978.87357729738</v>
      </c>
      <c r="M757">
        <f>IF(B757="Frag",1,('Ammo Input'!M757/1.33)/('Ammo Input'!H757/1000))</f>
        <v>0.238095238095238</v>
      </c>
      <c r="N757">
        <v>1</v>
      </c>
      <c r="O757">
        <v>1</v>
      </c>
      <c r="P757" s="3">
        <f>(39493.49*(IF((VLOOKUP(B757,AmmoTypeFactors,6,FALSE)="Bomb_Secondary"),1.33,1)*('Ammo Input'!H757*0.35)/1000)^0.6/1000)*10/3*VLOOKUP(B757,AmmoTypeFactors,4,FALSE)</f>
        <v>0</v>
      </c>
    </row>
    <row r="758" ht="14.4" spans="1:16">
      <c r="A758" t="str">
        <f>'Ammo Input'!A758</f>
        <v>90mm recoilless</v>
      </c>
      <c r="B758" s="1" t="str">
        <f>'Ammo Input'!B758</f>
        <v>HEAT</v>
      </c>
      <c r="C758">
        <f>0.579*('Ammo Stats'!G758*IF(OR(B758="HEAT",B758="HEDP"),10,'Ammo Input'!F758)*VLOOKUP(B758,AmmoTypeFactors,7,FALSE))^(0.346)</f>
        <v>239.345854597607</v>
      </c>
      <c r="D758" s="16">
        <f>IF(VLOOKUP(B758,AmmoTypeFactors,8,FALSE),J758,C758)*VLOOKUP('Ammo Input'!B758,AmmoTypeFactors,2,FALSE)</f>
        <v>239.345854597607</v>
      </c>
      <c r="E758" s="16">
        <f>IF(OR(VLOOKUP(B758,AmmoTypeFactors,6,FALSE)="Bomb",VLOOKUP(B758,AmmoTypeFactors,6,FALSE)="Thermobaric"),J758*VLOOKUP(B758,AmmoTypeFactors,4,FALSE),IF(VLOOKUP(B758,AmmoTypeFactors,11,FALSE),P758,C758*VLOOKUP(B758,AmmoTypeFactors,4,FALSE)))</f>
        <v>0</v>
      </c>
      <c r="F758" s="16">
        <f>'Ammo Stats'!G758/0.005</f>
        <v>729000000</v>
      </c>
      <c r="G758" s="16">
        <f>(IF(B758="HEAT",10,'Ammo Input'!F758)*VLOOKUP(B758,AmmoTypeFactors,7,FALSE)*0.5)^2*PI()/100</f>
        <v>0.785398163397448</v>
      </c>
      <c r="H758" s="10">
        <f t="shared" si="30"/>
        <v>72900</v>
      </c>
      <c r="I758" s="10">
        <f>IF(B758&lt;&gt;"Arrow (Flaming)",39493.49*'Ammo Input'!M758^0.6/1000,0)</f>
        <v>31.8848470182841</v>
      </c>
      <c r="J758">
        <f t="shared" si="31"/>
        <v>106.28282339428</v>
      </c>
      <c r="K758">
        <f t="shared" si="32"/>
        <v>90</v>
      </c>
      <c r="L758">
        <f>200000/('Ammo Stats'!C758*(MAX('Ammo Input'!D758,'Ammo Input'!F758)*0.5)^2*PI())</f>
        <v>2.30653070067872</v>
      </c>
      <c r="M758">
        <f>IF(B758="Frag",1,('Ammo Input'!M758/1.33)/('Ammo Input'!H758/1000))</f>
        <v>0.171886280037127</v>
      </c>
      <c r="N758">
        <v>5</v>
      </c>
      <c r="O758">
        <v>7</v>
      </c>
      <c r="P758" s="3">
        <f>(39493.49*(IF((VLOOKUP(B758,AmmoTypeFactors,6,FALSE)="Bomb_Secondary"),1.33,1)*('Ammo Input'!H758*0.35)/1000)^0.6/1000)*10/3*VLOOKUP(B758,AmmoTypeFactors,4,FALSE)</f>
        <v>0</v>
      </c>
    </row>
    <row r="759" ht="14.4" spans="1:16">
      <c r="A759" t="str">
        <f>'Ammo Input'!A759</f>
        <v>90mm recoilless</v>
      </c>
      <c r="B759" s="1" t="str">
        <f>'Ammo Input'!B759</f>
        <v>Buck</v>
      </c>
      <c r="C759">
        <f>0.579*('Ammo Stats'!G759*IF(OR(B759="HEAT",B759="HEDP"),10,'Ammo Input'!F759)*VLOOKUP(B759,AmmoTypeFactors,7,FALSE))^(0.346)</f>
        <v>26.8367884520243</v>
      </c>
      <c r="D759" s="16">
        <f>IF(VLOOKUP(B759,AmmoTypeFactors,8,FALSE),J759,C759)*VLOOKUP('Ammo Input'!B759,AmmoTypeFactors,2,FALSE)</f>
        <v>26.8367884520243</v>
      </c>
      <c r="E759" s="16">
        <f>IF(OR(VLOOKUP(B759,AmmoTypeFactors,6,FALSE)="Bomb",VLOOKUP(B759,AmmoTypeFactors,6,FALSE)="Thermobaric"),J759*VLOOKUP(B759,AmmoTypeFactors,4,FALSE),IF(VLOOKUP(B759,AmmoTypeFactors,11,FALSE),P759,C759*VLOOKUP(B759,AmmoTypeFactors,4,FALSE)))</f>
        <v>0</v>
      </c>
      <c r="F759" s="16">
        <f>'Ammo Stats'!G759/0.005</f>
        <v>145200</v>
      </c>
      <c r="G759" s="16">
        <f>(IF(B759="HEAT",10,'Ammo Input'!F759)*VLOOKUP(B759,AmmoTypeFactors,7,FALSE)*0.5)^2*PI()/100</f>
        <v>63.6172512351933</v>
      </c>
      <c r="H759" s="10">
        <f t="shared" si="30"/>
        <v>14.52</v>
      </c>
      <c r="I759" s="10">
        <f>IF(B759&lt;&gt;"Arrow (Flaming)",39493.49*'Ammo Input'!M759^0.6/1000,0)</f>
        <v>0</v>
      </c>
      <c r="J759">
        <f t="shared" si="31"/>
        <v>0</v>
      </c>
      <c r="K759">
        <f t="shared" si="32"/>
        <v>5</v>
      </c>
      <c r="L759">
        <f>200000/('Ammo Stats'!C759*(MAX('Ammo Input'!D759,'Ammo Input'!F759)*0.5)^2*PI())</f>
        <v>3.38043155379042</v>
      </c>
      <c r="M759">
        <f>IF(B759="Frag",1,('Ammo Input'!M759/1.33)/('Ammo Input'!H759/1000))</f>
        <v>0</v>
      </c>
      <c r="N759" t="s">
        <v>353</v>
      </c>
      <c r="O759" t="s">
        <v>353</v>
      </c>
      <c r="P759" s="3">
        <f>(39493.49*(IF((VLOOKUP(B759,AmmoTypeFactors,6,FALSE)="Bomb_Secondary"),1.33,1)*('Ammo Input'!H759*0.35)/1000)^0.6/1000)*10/3*VLOOKUP(B759,AmmoTypeFactors,4,FALSE)</f>
        <v>0</v>
      </c>
    </row>
    <row r="760" ht="14.4" spans="1:16">
      <c r="A760" s="14" t="s">
        <v>293</v>
      </c>
      <c r="B760" s="21"/>
      <c r="C760" s="22"/>
      <c r="D760" s="22"/>
      <c r="E760" s="22"/>
      <c r="F760" s="22"/>
      <c r="G760" s="22"/>
      <c r="H760" s="23"/>
      <c r="I760" s="23"/>
      <c r="J760" s="23"/>
      <c r="K760" s="23"/>
      <c r="L760" s="23"/>
      <c r="M760" s="23"/>
      <c r="N760" s="23"/>
      <c r="O760" s="23"/>
      <c r="P760" s="23"/>
    </row>
    <row r="761" ht="14.4" spans="1:16">
      <c r="A761" t="str">
        <f>'Ammo Input'!A761</f>
        <v>Frag (Small)</v>
      </c>
      <c r="B761" s="1" t="str">
        <f>'Ammo Input'!B761</f>
        <v>FMJ</v>
      </c>
      <c r="C761">
        <f>0.579*('Ammo Stats'!G761*IF(OR(B761="HEAT",B761="HEDP"),10,'Ammo Input'!F761)*VLOOKUP(B761,AmmoTypeFactors,7,FALSE))^(0.346)</f>
        <v>9.11230745089125</v>
      </c>
      <c r="D761" s="16">
        <f>IF(VLOOKUP(B761,AmmoTypeFactors,8,FALSE),J761,C761)*VLOOKUP('Ammo Input'!B761,AmmoTypeFactors,2,FALSE)</f>
        <v>9.11230745089125</v>
      </c>
      <c r="E761" s="16">
        <f>IF(OR(VLOOKUP(B761,AmmoTypeFactors,6,FALSE)="Bomb",VLOOKUP(B761,AmmoTypeFactors,6,FALSE)="Thermobaric"),J761*VLOOKUP(B761,AmmoTypeFactors,4,FALSE),IF(VLOOKUP(B761,AmmoTypeFactors,11,FALSE),P761,C761*VLOOKUP(B761,AmmoTypeFactors,4,FALSE)))</f>
        <v>0</v>
      </c>
      <c r="F761" s="16">
        <f>'Ammo Stats'!G761/0.005</f>
        <v>144000</v>
      </c>
      <c r="G761" s="16">
        <f>(IF(B761="HEAT",10,'Ammo Input'!F761)*VLOOKUP(B761,AmmoTypeFactors,7,FALSE)*0.5)^2*PI()/100</f>
        <v>0.125663706143592</v>
      </c>
      <c r="H761" s="10">
        <f t="shared" ref="H761:H797" si="33">F761/10000</f>
        <v>14.4</v>
      </c>
      <c r="I761" s="10">
        <f>IF(B761&lt;&gt;"Arrow (Flaming)",39493.49*'Ammo Input'!M761^0.6/1000,0)</f>
        <v>0</v>
      </c>
      <c r="J761">
        <f t="shared" ref="J761:J797" si="34">I761*10/3</f>
        <v>0</v>
      </c>
      <c r="K761">
        <f t="shared" ref="K761:K797" si="35">ROUND(F761^(1/3)/10,0)</f>
        <v>5</v>
      </c>
      <c r="L761" t="e">
        <f>200000/('Ammo Stats'!C761*(MAX('Ammo Input'!D761,'Ammo Input'!F761)*0.5)^2*PI())</f>
        <v>#DIV/0!</v>
      </c>
      <c r="M761">
        <f>IF(B761="Frag",1,('Ammo Input'!M761/1.33)/('Ammo Input'!H761/1000))</f>
        <v>0</v>
      </c>
      <c r="N761" t="s">
        <v>353</v>
      </c>
      <c r="O761" t="s">
        <v>353</v>
      </c>
      <c r="P761" s="3">
        <f>(39493.49*(IF((VLOOKUP(B761,AmmoTypeFactors,6,FALSE)="Bomb_Secondary"),1.33,1)*('Ammo Input'!H761*0.35)/1000)^0.6/1000)*10/3*VLOOKUP(B761,AmmoTypeFactors,4,FALSE)</f>
        <v>0</v>
      </c>
    </row>
    <row r="762" ht="14.4" spans="1:16">
      <c r="A762" t="str">
        <f>'Ammo Input'!A762</f>
        <v>Frag (Medium)</v>
      </c>
      <c r="B762" s="1" t="str">
        <f>'Ammo Input'!B762</f>
        <v>FMJ</v>
      </c>
      <c r="C762">
        <f>0.579*('Ammo Stats'!G762*IF(OR(B762="HEAT",B762="HEDP"),10,'Ammo Input'!F762)*VLOOKUP(B762,AmmoTypeFactors,7,FALSE))^(0.346)</f>
        <v>18.467222439186</v>
      </c>
      <c r="D762" s="16">
        <f>IF(VLOOKUP(B762,AmmoTypeFactors,8,FALSE),J762,C762)*VLOOKUP('Ammo Input'!B762,AmmoTypeFactors,2,FALSE)</f>
        <v>18.467222439186</v>
      </c>
      <c r="E762" s="16">
        <f>IF(OR(VLOOKUP(B762,AmmoTypeFactors,6,FALSE)="Bomb",VLOOKUP(B762,AmmoTypeFactors,6,FALSE)="Thermobaric"),J762*VLOOKUP(B762,AmmoTypeFactors,4,FALSE),IF(VLOOKUP(B762,AmmoTypeFactors,11,FALSE),P762,C762*VLOOKUP(B762,AmmoTypeFactors,4,FALSE)))</f>
        <v>0</v>
      </c>
      <c r="F762" s="16">
        <f>'Ammo Stats'!G762/0.005</f>
        <v>633800</v>
      </c>
      <c r="G762" s="16">
        <f>(IF(B762="HEAT",10,'Ammo Input'!F762)*VLOOKUP(B762,AmmoTypeFactors,7,FALSE)*0.5)^2*PI()/100</f>
        <v>0.38484510006475</v>
      </c>
      <c r="H762" s="10">
        <f t="shared" si="33"/>
        <v>63.38</v>
      </c>
      <c r="I762" s="10">
        <f>IF(B762&lt;&gt;"Arrow (Flaming)",39493.49*'Ammo Input'!M762^0.6/1000,0)</f>
        <v>0</v>
      </c>
      <c r="J762">
        <f t="shared" si="34"/>
        <v>0</v>
      </c>
      <c r="K762">
        <f t="shared" si="35"/>
        <v>9</v>
      </c>
      <c r="L762" t="e">
        <f>200000/('Ammo Stats'!C762*(MAX('Ammo Input'!D762,'Ammo Input'!F762)*0.5)^2*PI())</f>
        <v>#DIV/0!</v>
      </c>
      <c r="M762">
        <f>IF(B762="Frag",1,('Ammo Input'!M762/1.33)/('Ammo Input'!H762/1000))</f>
        <v>0</v>
      </c>
      <c r="N762" t="s">
        <v>353</v>
      </c>
      <c r="O762" t="s">
        <v>353</v>
      </c>
      <c r="P762" s="3">
        <f>(39493.49*(IF((VLOOKUP(B762,AmmoTypeFactors,6,FALSE)="Bomb_Secondary"),1.33,1)*('Ammo Input'!H762*0.35)/1000)^0.6/1000)*10/3*VLOOKUP(B762,AmmoTypeFactors,4,FALSE)</f>
        <v>0</v>
      </c>
    </row>
    <row r="763" ht="14.4" spans="1:16">
      <c r="A763" t="str">
        <f>'Ammo Input'!A763</f>
        <v>Frag (Large)</v>
      </c>
      <c r="B763" s="1" t="str">
        <f>'Ammo Input'!B763</f>
        <v>FMJ</v>
      </c>
      <c r="C763">
        <f>0.579*('Ammo Stats'!G763*IF(OR(B763="HEAT",B763="HEDP"),10,'Ammo Input'!F763)*VLOOKUP(B763,AmmoTypeFactors,7,FALSE))^(0.346)</f>
        <v>38.730742230768</v>
      </c>
      <c r="D763" s="16">
        <f>IF(VLOOKUP(B763,AmmoTypeFactors,8,FALSE),J763,C763)*VLOOKUP('Ammo Input'!B763,AmmoTypeFactors,2,FALSE)</f>
        <v>38.730742230768</v>
      </c>
      <c r="E763" s="16">
        <f>IF(OR(VLOOKUP(B763,AmmoTypeFactors,6,FALSE)="Bomb",VLOOKUP(B763,AmmoTypeFactors,6,FALSE)="Thermobaric"),J763*VLOOKUP(B763,AmmoTypeFactors,4,FALSE),IF(VLOOKUP(B763,AmmoTypeFactors,11,FALSE),P763,C763*VLOOKUP(B763,AmmoTypeFactors,4,FALSE)))</f>
        <v>0</v>
      </c>
      <c r="F763" s="16">
        <f>'Ammo Stats'!G763/0.005</f>
        <v>3430000</v>
      </c>
      <c r="G763" s="16">
        <f>(IF(B763="HEAT",10,'Ammo Input'!F763)*VLOOKUP(B763,AmmoTypeFactors,7,FALSE)*0.5)^2*PI()/100</f>
        <v>0.950331777710912</v>
      </c>
      <c r="H763" s="10">
        <f t="shared" si="33"/>
        <v>343</v>
      </c>
      <c r="I763" s="10">
        <f>IF(B763&lt;&gt;"Arrow (Flaming)",39493.49*'Ammo Input'!M763^0.6/1000,0)</f>
        <v>0</v>
      </c>
      <c r="J763">
        <f t="shared" si="34"/>
        <v>0</v>
      </c>
      <c r="K763">
        <f t="shared" si="35"/>
        <v>15</v>
      </c>
      <c r="L763" t="e">
        <f>200000/('Ammo Stats'!C763*(MAX('Ammo Input'!D763,'Ammo Input'!F763)*0.5)^2*PI())</f>
        <v>#DIV/0!</v>
      </c>
      <c r="M763">
        <f>IF(B763="Frag",1,('Ammo Input'!M763/1.33)/('Ammo Input'!H763/1000))</f>
        <v>0</v>
      </c>
      <c r="N763" t="s">
        <v>353</v>
      </c>
      <c r="O763" t="s">
        <v>353</v>
      </c>
      <c r="P763" s="3">
        <f>(39493.49*(IF((VLOOKUP(B763,AmmoTypeFactors,6,FALSE)="Bomb_Secondary"),1.33,1)*('Ammo Input'!H763*0.35)/1000)^0.6/1000)*10/3*VLOOKUP(B763,AmmoTypeFactors,4,FALSE)</f>
        <v>0</v>
      </c>
    </row>
    <row r="764" ht="14.4" spans="1:16">
      <c r="A764" t="str">
        <f>'Ammo Input'!A764</f>
        <v>Frag (Bomblet)</v>
      </c>
      <c r="B764" s="1" t="str">
        <f>'Ammo Input'!B764</f>
        <v>HEAT</v>
      </c>
      <c r="C764">
        <f>0.579*('Ammo Stats'!G764*IF(OR(B764="HEAT",B764="HEDP"),10,'Ammo Input'!F764)*VLOOKUP(B764,AmmoTypeFactors,7,FALSE))^(0.346)</f>
        <v>50.4496318948311</v>
      </c>
      <c r="D764" s="16">
        <f>IF(VLOOKUP(B764,AmmoTypeFactors,8,FALSE),J764,C764)*VLOOKUP('Ammo Input'!B764,AmmoTypeFactors,2,FALSE)</f>
        <v>50.4496318948311</v>
      </c>
      <c r="E764" s="16">
        <f>IF(OR(VLOOKUP(B764,AmmoTypeFactors,6,FALSE)="Bomb",VLOOKUP(B764,AmmoTypeFactors,6,FALSE)="Thermobaric"),J764*VLOOKUP(B764,AmmoTypeFactors,4,FALSE),IF(VLOOKUP(B764,AmmoTypeFactors,11,FALSE),P764,C764*VLOOKUP(B764,AmmoTypeFactors,4,FALSE)))</f>
        <v>0</v>
      </c>
      <c r="F764" s="16">
        <f>'Ammo Stats'!G764/0.005</f>
        <v>8100000</v>
      </c>
      <c r="G764" s="16">
        <f>(IF(B764="HEAT",10,'Ammo Input'!F764)*VLOOKUP(B764,AmmoTypeFactors,7,FALSE)*0.5)^2*PI()/100</f>
        <v>0.785398163397448</v>
      </c>
      <c r="H764" s="10">
        <f t="shared" si="33"/>
        <v>810</v>
      </c>
      <c r="I764" s="10">
        <f>IF(B764&lt;&gt;"Arrow (Flaming)",39493.49*'Ammo Input'!M764^0.6/1000,0)</f>
        <v>6.38660793182046</v>
      </c>
      <c r="J764">
        <f t="shared" si="34"/>
        <v>21.2886931060682</v>
      </c>
      <c r="K764">
        <f t="shared" si="35"/>
        <v>20</v>
      </c>
      <c r="L764" t="e">
        <f>200000/('Ammo Stats'!C764*(MAX('Ammo Input'!D764,'Ammo Input'!F764)*0.5)^2*PI())</f>
        <v>#DIV/0!</v>
      </c>
      <c r="M764">
        <f>IF(B764="Frag",1,('Ammo Input'!M764/1.33)/('Ammo Input'!H764/1000))</f>
        <v>0.173510699826489</v>
      </c>
      <c r="N764">
        <v>1</v>
      </c>
      <c r="O764">
        <v>1</v>
      </c>
      <c r="P764" s="3">
        <f>(39493.49*(IF((VLOOKUP(B764,AmmoTypeFactors,6,FALSE)="Bomb_Secondary"),1.33,1)*('Ammo Input'!H764*0.35)/1000)^0.6/1000)*10/3*VLOOKUP(B764,AmmoTypeFactors,4,FALSE)</f>
        <v>0</v>
      </c>
    </row>
    <row r="765" ht="14.4" spans="1:16">
      <c r="A765" t="str">
        <f>'Ammo Input'!A765</f>
        <v>Ballistic Knife</v>
      </c>
      <c r="B765" s="1" t="str">
        <f>'Ammo Input'!B765</f>
        <v>Javelin</v>
      </c>
      <c r="C765">
        <f>0.579*('Ammo Stats'!G765*IF(OR(B765="HEAT",B765="HEDP"),10,'Ammo Input'!F765)*VLOOKUP(B765,AmmoTypeFactors,7,FALSE))^(0.346)</f>
        <v>4.35964971533737</v>
      </c>
      <c r="D765" s="16">
        <f>IF(VLOOKUP(B765,AmmoTypeFactors,8,FALSE),J765,C765)*VLOOKUP('Ammo Input'!B765,AmmoTypeFactors,2,FALSE)</f>
        <v>4.35964971533737</v>
      </c>
      <c r="E765" s="16">
        <f>IF(OR(VLOOKUP(B765,AmmoTypeFactors,6,FALSE)="Bomb",VLOOKUP(B765,AmmoTypeFactors,6,FALSE)="Thermobaric"),J765*VLOOKUP(B765,AmmoTypeFactors,4,FALSE),IF(VLOOKUP(B765,AmmoTypeFactors,11,FALSE),P765,C765*VLOOKUP(B765,AmmoTypeFactors,4,FALSE)))</f>
        <v>0</v>
      </c>
      <c r="F765" s="16">
        <f>'Ammo Stats'!G765/0.005</f>
        <v>3800</v>
      </c>
      <c r="G765" s="16">
        <f>(IF(B765="HEAT",10,'Ammo Input'!F765)*VLOOKUP(B765,AmmoTypeFactors,7,FALSE)*0.5)^2*PI()/100</f>
        <v>2.54469004940773</v>
      </c>
      <c r="H765" s="10">
        <f t="shared" si="33"/>
        <v>0.38</v>
      </c>
      <c r="I765" s="10">
        <f>IF(B765&lt;&gt;"Arrow (Flaming)",39493.49*'Ammo Input'!M765^0.6/1000,0)</f>
        <v>0</v>
      </c>
      <c r="J765">
        <f t="shared" si="34"/>
        <v>0</v>
      </c>
      <c r="K765">
        <f t="shared" si="35"/>
        <v>2</v>
      </c>
      <c r="L765">
        <f>200000/('Ammo Stats'!C765*(MAX('Ammo Input'!D765,'Ammo Input'!F765)*0.5)^2*PI())</f>
        <v>7859.50336256273</v>
      </c>
      <c r="M765">
        <f>IF(B765="Frag",1,('Ammo Input'!M765/1.33)/('Ammo Input'!H765/1000))</f>
        <v>0</v>
      </c>
      <c r="N765" t="s">
        <v>353</v>
      </c>
      <c r="O765" t="s">
        <v>353</v>
      </c>
      <c r="P765" s="3">
        <f>(39493.49*(IF((VLOOKUP(B765,AmmoTypeFactors,6,FALSE)="Bomb_Secondary"),1.33,1)*('Ammo Input'!H765*0.35)/1000)^0.6/1000)*10/3*VLOOKUP(B765,AmmoTypeFactors,4,FALSE)</f>
        <v>0</v>
      </c>
    </row>
    <row r="766" ht="14.4" spans="1:16">
      <c r="A766" t="str">
        <f>'Ammo Input'!A766</f>
        <v>Finger Spike</v>
      </c>
      <c r="B766" s="1" t="str">
        <f>'Ammo Input'!B766</f>
        <v>FMJ</v>
      </c>
      <c r="C766">
        <f>0.579*('Ammo Stats'!G766*IF(OR(B766="HEAT",B766="HEDP"),10,'Ammo Input'!F766)*VLOOKUP(B766,AmmoTypeFactors,7,FALSE))^(0.346)</f>
        <v>7.88947676575905</v>
      </c>
      <c r="D766" s="16">
        <f>IF(VLOOKUP(B766,AmmoTypeFactors,8,FALSE),J766,C766)*VLOOKUP('Ammo Input'!B766,AmmoTypeFactors,2,FALSE)</f>
        <v>7.88947676575905</v>
      </c>
      <c r="E766" s="16">
        <f>IF(OR(VLOOKUP(B766,AmmoTypeFactors,6,FALSE)="Bomb",VLOOKUP(B766,AmmoTypeFactors,6,FALSE)="Thermobaric"),J766*VLOOKUP(B766,AmmoTypeFactors,4,FALSE),IF(VLOOKUP(B766,AmmoTypeFactors,11,FALSE),P766,C766*VLOOKUP(B766,AmmoTypeFactors,4,FALSE)))</f>
        <v>0</v>
      </c>
      <c r="F766" s="16">
        <f>'Ammo Stats'!G766/0.005</f>
        <v>42200</v>
      </c>
      <c r="G766" s="16">
        <f>(IF(B766="HEAT",10,'Ammo Input'!F766)*VLOOKUP(B766,AmmoTypeFactors,7,FALSE)*0.5)^2*PI()/100</f>
        <v>0.636172512351933</v>
      </c>
      <c r="H766" s="10">
        <f t="shared" si="33"/>
        <v>4.22</v>
      </c>
      <c r="I766" s="10">
        <f>IF(B766&lt;&gt;"Arrow (Flaming)",39493.49*'Ammo Input'!M766^0.6/1000,0)</f>
        <v>0</v>
      </c>
      <c r="J766">
        <f t="shared" si="34"/>
        <v>0</v>
      </c>
      <c r="K766">
        <f t="shared" si="35"/>
        <v>3</v>
      </c>
      <c r="L766" t="e">
        <f>200000/('Ammo Stats'!C766*(MAX('Ammo Input'!D766,'Ammo Input'!F766)*0.5)^2*PI())</f>
        <v>#DIV/0!</v>
      </c>
      <c r="M766">
        <f>IF(B766="Frag",1,('Ammo Input'!M766/1.33)/('Ammo Input'!H766/1000))</f>
        <v>0</v>
      </c>
      <c r="N766" t="s">
        <v>353</v>
      </c>
      <c r="O766" t="s">
        <v>353</v>
      </c>
      <c r="P766" s="3">
        <f>(39493.49*(IF((VLOOKUP(B766,AmmoTypeFactors,6,FALSE)="Bomb_Secondary"),1.33,1)*('Ammo Input'!H766*0.35)/1000)^0.6/1000)*10/3*VLOOKUP(B766,AmmoTypeFactors,4,FALSE)</f>
        <v>0</v>
      </c>
    </row>
    <row r="767" ht="14.4" spans="1:16">
      <c r="A767" t="str">
        <f>'Ammo Input'!A767</f>
        <v>Tough Spike</v>
      </c>
      <c r="B767" s="1" t="str">
        <f>'Ammo Input'!B767</f>
        <v>FMJ</v>
      </c>
      <c r="C767">
        <f>0.579*('Ammo Stats'!G767*IF(OR(B767="HEAT",B767="HEDP"),10,'Ammo Input'!F767)*VLOOKUP(B767,AmmoTypeFactors,7,FALSE))^(0.346)</f>
        <v>10.6420096210167</v>
      </c>
      <c r="D767" s="16">
        <f>IF(VLOOKUP(B767,AmmoTypeFactors,8,FALSE),J767,C767)*VLOOKUP('Ammo Input'!B767,AmmoTypeFactors,2,FALSE)</f>
        <v>10.6420096210167</v>
      </c>
      <c r="E767" s="16">
        <f>IF(OR(VLOOKUP(B767,AmmoTypeFactors,6,FALSE)="Bomb",VLOOKUP(B767,AmmoTypeFactors,6,FALSE)="Thermobaric"),J767*VLOOKUP(B767,AmmoTypeFactors,4,FALSE),IF(VLOOKUP(B767,AmmoTypeFactors,11,FALSE),P767,C767*VLOOKUP(B767,AmmoTypeFactors,4,FALSE)))</f>
        <v>0</v>
      </c>
      <c r="F767" s="16">
        <f>'Ammo Stats'!G767/0.005</f>
        <v>82000</v>
      </c>
      <c r="G767" s="16">
        <f>(IF(B767="HEAT",10,'Ammo Input'!F767)*VLOOKUP(B767,AmmoTypeFactors,7,FALSE)*0.5)^2*PI()/100</f>
        <v>0.950331777710912</v>
      </c>
      <c r="H767" s="10">
        <f t="shared" si="33"/>
        <v>8.2</v>
      </c>
      <c r="I767" s="10">
        <f>IF(B767&lt;&gt;"Arrow (Flaming)",39493.49*'Ammo Input'!M767^0.6/1000,0)</f>
        <v>0</v>
      </c>
      <c r="J767">
        <f t="shared" si="34"/>
        <v>0</v>
      </c>
      <c r="K767">
        <f t="shared" si="35"/>
        <v>4</v>
      </c>
      <c r="L767" t="e">
        <f>200000/('Ammo Stats'!C767*(MAX('Ammo Input'!D767,'Ammo Input'!F767)*0.5)^2*PI())</f>
        <v>#DIV/0!</v>
      </c>
      <c r="M767">
        <f>IF(B767="Frag",1,('Ammo Input'!M767/1.33)/('Ammo Input'!H767/1000))</f>
        <v>0</v>
      </c>
      <c r="N767" t="s">
        <v>353</v>
      </c>
      <c r="O767" t="s">
        <v>353</v>
      </c>
      <c r="P767" s="3">
        <f>(39493.49*(IF((VLOOKUP(B767,AmmoTypeFactors,6,FALSE)="Bomb_Secondary"),1.33,1)*('Ammo Input'!H767*0.35)/1000)^0.6/1000)*10/3*VLOOKUP(B767,AmmoTypeFactors,4,FALSE)</f>
        <v>0</v>
      </c>
    </row>
    <row r="768" ht="14.4" spans="1:16">
      <c r="A768" t="str">
        <f>'Ammo Input'!A768</f>
        <v>Gorehulk Spike</v>
      </c>
      <c r="B768" s="1" t="str">
        <f>'Ammo Input'!B768</f>
        <v>FMJ</v>
      </c>
      <c r="C768">
        <f>0.579*('Ammo Stats'!G768*IF(OR(B768="HEAT",B768="HEDP"),10,'Ammo Input'!F768)*VLOOKUP(B768,AmmoTypeFactors,7,FALSE))^(0.346)</f>
        <v>14.6286144854349</v>
      </c>
      <c r="D768" s="16">
        <f>IF(VLOOKUP(B768,AmmoTypeFactors,8,FALSE),J768,C768)*VLOOKUP('Ammo Input'!B768,AmmoTypeFactors,2,FALSE)</f>
        <v>14.6286144854349</v>
      </c>
      <c r="E768" s="16">
        <f>IF(OR(VLOOKUP(B768,AmmoTypeFactors,6,FALSE)="Bomb",VLOOKUP(B768,AmmoTypeFactors,6,FALSE)="Thermobaric"),J768*VLOOKUP(B768,AmmoTypeFactors,4,FALSE),IF(VLOOKUP(B768,AmmoTypeFactors,11,FALSE),P768,C768*VLOOKUP(B768,AmmoTypeFactors,4,FALSE)))</f>
        <v>0</v>
      </c>
      <c r="F768" s="16">
        <f>'Ammo Stats'!G768/0.005</f>
        <v>161600</v>
      </c>
      <c r="G768" s="16">
        <f>(IF(B768="HEAT",10,'Ammo Input'!F768)*VLOOKUP(B768,AmmoTypeFactors,7,FALSE)*0.5)^2*PI()/100</f>
        <v>1.539380400259</v>
      </c>
      <c r="H768" s="10">
        <f t="shared" si="33"/>
        <v>16.16</v>
      </c>
      <c r="I768" s="10">
        <f>IF(B768&lt;&gt;"Arrow (Flaming)",39493.49*'Ammo Input'!M768^0.6/1000,0)</f>
        <v>0</v>
      </c>
      <c r="J768">
        <f t="shared" si="34"/>
        <v>0</v>
      </c>
      <c r="K768">
        <f t="shared" si="35"/>
        <v>5</v>
      </c>
      <c r="L768" t="e">
        <f>200000/('Ammo Stats'!C768*(MAX('Ammo Input'!D768,'Ammo Input'!F768)*0.5)^2*PI())</f>
        <v>#DIV/0!</v>
      </c>
      <c r="M768">
        <f>IF(B768="Frag",1,('Ammo Input'!M768/1.33)/('Ammo Input'!H768/1000))</f>
        <v>0</v>
      </c>
      <c r="N768" t="s">
        <v>353</v>
      </c>
      <c r="O768" t="s">
        <v>353</v>
      </c>
      <c r="P768" s="3">
        <f>(39493.49*(IF((VLOOKUP(B768,AmmoTypeFactors,6,FALSE)="Bomb_Secondary"),1.33,1)*('Ammo Input'!H768*0.35)/1000)^0.6/1000)*10/3*VLOOKUP(B768,AmmoTypeFactors,4,FALSE)</f>
        <v>0</v>
      </c>
    </row>
    <row r="769" ht="14.4" spans="1:16">
      <c r="A769" t="str">
        <f>'Ammo Input'!A769</f>
        <v>Nail (Slow)</v>
      </c>
      <c r="B769" s="1" t="str">
        <f>'Ammo Input'!B769</f>
        <v>FMJ</v>
      </c>
      <c r="C769">
        <f>0.579*('Ammo Stats'!G769*IF(OR(B769="HEAT",B769="HEDP"),10,'Ammo Input'!F769)*VLOOKUP(B769,AmmoTypeFactors,7,FALSE))^(0.346)</f>
        <v>1.20914726176095</v>
      </c>
      <c r="D769" s="16">
        <f>IF(VLOOKUP(B769,AmmoTypeFactors,8,FALSE),J769,C769)*VLOOKUP('Ammo Input'!B769,AmmoTypeFactors,2,FALSE)</f>
        <v>1.20914726176095</v>
      </c>
      <c r="E769" s="16">
        <f>IF(OR(VLOOKUP(B769,AmmoTypeFactors,6,FALSE)="Bomb",VLOOKUP(B769,AmmoTypeFactors,6,FALSE)="Thermobaric"),J769*VLOOKUP(B769,AmmoTypeFactors,4,FALSE),IF(VLOOKUP(B769,AmmoTypeFactors,11,FALSE),P769,C769*VLOOKUP(B769,AmmoTypeFactors,4,FALSE)))</f>
        <v>0</v>
      </c>
      <c r="F769" s="16">
        <f>'Ammo Stats'!G769/0.005</f>
        <v>600</v>
      </c>
      <c r="G769" s="16">
        <f>(IF(B769="HEAT",10,'Ammo Input'!F769)*VLOOKUP(B769,AmmoTypeFactors,7,FALSE)*0.5)^2*PI()/100</f>
        <v>0.0615752160103599</v>
      </c>
      <c r="H769" s="10">
        <f t="shared" si="33"/>
        <v>0.06</v>
      </c>
      <c r="I769" s="10">
        <f>IF(B769&lt;&gt;"Arrow (Flaming)",39493.49*'Ammo Input'!M769^0.6/1000,0)</f>
        <v>0</v>
      </c>
      <c r="J769">
        <f t="shared" si="34"/>
        <v>0</v>
      </c>
      <c r="K769">
        <f t="shared" si="35"/>
        <v>1</v>
      </c>
      <c r="L769">
        <f>200000/('Ammo Stats'!C769*(MAX('Ammo Input'!D769,'Ammo Input'!F769)*0.5)^2*PI())</f>
        <v>3248060.0630999</v>
      </c>
      <c r="M769">
        <f>IF(B769="Frag",1,('Ammo Input'!M769/1.33)/('Ammo Input'!H769/1000))</f>
        <v>0</v>
      </c>
      <c r="N769" t="s">
        <v>353</v>
      </c>
      <c r="O769" t="s">
        <v>353</v>
      </c>
      <c r="P769" s="3">
        <f>(39493.49*(IF((VLOOKUP(B769,AmmoTypeFactors,6,FALSE)="Bomb_Secondary"),1.33,1)*('Ammo Input'!H769*0.35)/1000)^0.6/1000)*10/3*VLOOKUP(B769,AmmoTypeFactors,4,FALSE)</f>
        <v>0</v>
      </c>
    </row>
    <row r="770" ht="14.4" spans="1:16">
      <c r="A770" t="str">
        <f>'Ammo Input'!A770</f>
        <v>Nail (Fast)</v>
      </c>
      <c r="B770" s="1" t="str">
        <f>'Ammo Input'!B770</f>
        <v>FMJ</v>
      </c>
      <c r="C770">
        <f>0.579*('Ammo Stats'!G770*IF(OR(B770="HEAT",B770="HEDP"),10,'Ammo Input'!F770)*VLOOKUP(B770,AmmoTypeFactors,7,FALSE))^(0.346)</f>
        <v>2.98826051937353</v>
      </c>
      <c r="D770" s="16">
        <f>IF(VLOOKUP(B770,AmmoTypeFactors,8,FALSE),J770,C770)*VLOOKUP('Ammo Input'!B770,AmmoTypeFactors,2,FALSE)</f>
        <v>2.98826051937353</v>
      </c>
      <c r="E770" s="16">
        <f>IF(OR(VLOOKUP(B770,AmmoTypeFactors,6,FALSE)="Bomb",VLOOKUP(B770,AmmoTypeFactors,6,FALSE)="Thermobaric"),J770*VLOOKUP(B770,AmmoTypeFactors,4,FALSE),IF(VLOOKUP(B770,AmmoTypeFactors,11,FALSE),P770,C770*VLOOKUP(B770,AmmoTypeFactors,4,FALSE)))</f>
        <v>0</v>
      </c>
      <c r="F770" s="16">
        <f>'Ammo Stats'!G770/0.005</f>
        <v>8200</v>
      </c>
      <c r="G770" s="16">
        <f>(IF(B770="HEAT",10,'Ammo Input'!F770)*VLOOKUP(B770,AmmoTypeFactors,7,FALSE)*0.5)^2*PI()/100</f>
        <v>0.0615752160103599</v>
      </c>
      <c r="H770" s="10">
        <f t="shared" si="33"/>
        <v>0.82</v>
      </c>
      <c r="I770" s="10">
        <f>IF(B770&lt;&gt;"Arrow (Flaming)",39493.49*'Ammo Input'!M770^0.6/1000,0)</f>
        <v>0</v>
      </c>
      <c r="J770">
        <f t="shared" si="34"/>
        <v>0</v>
      </c>
      <c r="K770">
        <f t="shared" si="35"/>
        <v>2</v>
      </c>
      <c r="L770">
        <f>200000/('Ammo Stats'!C770*(MAX('Ammo Input'!D770,'Ammo Input'!F770)*0.5)^2*PI())</f>
        <v>3248060.0630999</v>
      </c>
      <c r="M770">
        <f>IF(B770="Frag",1,('Ammo Input'!M770/1.33)/('Ammo Input'!H770/1000))</f>
        <v>0</v>
      </c>
      <c r="N770" t="s">
        <v>353</v>
      </c>
      <c r="O770" t="s">
        <v>353</v>
      </c>
      <c r="P770" s="3">
        <f>(39493.49*(IF((VLOOKUP(B770,AmmoTypeFactors,6,FALSE)="Bomb_Secondary"),1.33,1)*('Ammo Input'!H770*0.35)/1000)^0.6/1000)*10/3*VLOOKUP(B770,AmmoTypeFactors,4,FALSE)</f>
        <v>0</v>
      </c>
    </row>
    <row r="771" ht="14.4" spans="1:16">
      <c r="A771">
        <f>'Ammo Input'!A771</f>
        <v>0</v>
      </c>
      <c r="B771" s="1">
        <f>'Ammo Input'!B771</f>
        <v>0</v>
      </c>
      <c r="C771" t="e">
        <f>0.579*('Ammo Stats'!G771*IF(OR(B771="HEAT",B771="HEDP"),10,'Ammo Input'!F771)*VLOOKUP(B771,AmmoTypeFactors,7,FALSE))^(0.346)</f>
        <v>#N/A</v>
      </c>
      <c r="D771" s="16" t="e">
        <f>IF(VLOOKUP(B771,AmmoTypeFactors,8,FALSE),J771,C771)*VLOOKUP('Ammo Input'!B771,AmmoTypeFactors,2,FALSE)</f>
        <v>#N/A</v>
      </c>
      <c r="E771" s="16" t="e">
        <f>IF(OR(VLOOKUP(B771,AmmoTypeFactors,6,FALSE)="Bomb",VLOOKUP(B771,AmmoTypeFactors,6,FALSE)="Thermobaric"),J771*VLOOKUP(B771,AmmoTypeFactors,4,FALSE),IF(VLOOKUP(B771,AmmoTypeFactors,11,FALSE),P771,C771*VLOOKUP(B771,AmmoTypeFactors,4,FALSE)))</f>
        <v>#N/A</v>
      </c>
      <c r="F771" s="16">
        <f>'Ammo Stats'!G771/0.005</f>
        <v>0</v>
      </c>
      <c r="G771" s="16" t="e">
        <f>(IF(B771="HEAT",10,'Ammo Input'!F771)*VLOOKUP(B771,AmmoTypeFactors,7,FALSE)*0.5)^2*PI()/100</f>
        <v>#N/A</v>
      </c>
      <c r="H771" s="10">
        <f t="shared" si="33"/>
        <v>0</v>
      </c>
      <c r="I771" s="10">
        <f>IF(B771&lt;&gt;"Arrow (Flaming)",39493.49*'Ammo Input'!M772^0.6/1000,0)</f>
        <v>0</v>
      </c>
      <c r="J771">
        <f t="shared" si="34"/>
        <v>0</v>
      </c>
      <c r="K771">
        <f t="shared" si="35"/>
        <v>0</v>
      </c>
      <c r="L771" t="e">
        <f>200000/('Ammo Stats'!C771*(MAX('Ammo Input'!D771,'Ammo Input'!F771)*0.5)^2*PI())</f>
        <v>#DIV/0!</v>
      </c>
      <c r="M771" t="e">
        <f>IF(B771="Frag",1,('Ammo Input'!M771/1.33)/('Ammo Input'!H771/1000))</f>
        <v>#DIV/0!</v>
      </c>
      <c r="N771" t="s">
        <v>338</v>
      </c>
      <c r="O771" t="s">
        <v>338</v>
      </c>
      <c r="P771" s="3" t="e">
        <f>(39493.49*(IF((VLOOKUP(B771,AmmoTypeFactors,6,FALSE)="Bomb_Secondary"),1.33,1)*('Ammo Input'!H771*0.35)/1000)^0.6/1000)*10/3*VLOOKUP(B771,AmmoTypeFactors,4,FALSE)</f>
        <v>#N/A</v>
      </c>
    </row>
    <row r="772" ht="14.4" spans="1:16">
      <c r="A772">
        <f>'Ammo Input'!A772</f>
        <v>0</v>
      </c>
      <c r="B772" s="1">
        <f>'Ammo Input'!B772</f>
        <v>0</v>
      </c>
      <c r="C772" t="e">
        <f>0.579*('Ammo Stats'!G772*IF(OR(B772="HEAT",B772="HEDP"),10,'Ammo Input'!F772)*VLOOKUP(B772,AmmoTypeFactors,7,FALSE))^(0.346)</f>
        <v>#N/A</v>
      </c>
      <c r="D772" s="16" t="e">
        <f>IF(VLOOKUP(B772,AmmoTypeFactors,8,FALSE),J772,C772)*VLOOKUP('Ammo Input'!B772,AmmoTypeFactors,2,FALSE)</f>
        <v>#N/A</v>
      </c>
      <c r="E772" s="16" t="e">
        <f>IF(OR(VLOOKUP(B772,AmmoTypeFactors,6,FALSE)="Bomb",VLOOKUP(B772,AmmoTypeFactors,6,FALSE)="Thermobaric"),J772*VLOOKUP(B772,AmmoTypeFactors,4,FALSE),IF(VLOOKUP(B772,AmmoTypeFactors,11,FALSE),P772,C772*VLOOKUP(B772,AmmoTypeFactors,4,FALSE)))</f>
        <v>#N/A</v>
      </c>
      <c r="F772" s="16">
        <f>'Ammo Stats'!G772/0.005</f>
        <v>0</v>
      </c>
      <c r="G772" s="16" t="e">
        <f>(IF(B772="HEAT",10,'Ammo Input'!F772)*VLOOKUP(B772,AmmoTypeFactors,7,FALSE)*0.5)^2*PI()/100</f>
        <v>#N/A</v>
      </c>
      <c r="H772" s="10">
        <f t="shared" si="33"/>
        <v>0</v>
      </c>
      <c r="I772" s="10">
        <f>IF(B772&lt;&gt;"Arrow (Flaming)",39493.49*'Ammo Input'!M773^0.6/1000,0)</f>
        <v>0</v>
      </c>
      <c r="J772">
        <f t="shared" si="34"/>
        <v>0</v>
      </c>
      <c r="K772">
        <f t="shared" si="35"/>
        <v>0</v>
      </c>
      <c r="L772" t="e">
        <f>200000/('Ammo Stats'!C772*(MAX('Ammo Input'!D772,'Ammo Input'!F772)*0.5)^2*PI())</f>
        <v>#DIV/0!</v>
      </c>
      <c r="M772" t="e">
        <f>IF(B772="Frag",1,('Ammo Input'!M772/1.33)/('Ammo Input'!H772/1000))</f>
        <v>#DIV/0!</v>
      </c>
      <c r="N772" t="s">
        <v>338</v>
      </c>
      <c r="O772" t="s">
        <v>338</v>
      </c>
      <c r="P772" s="3" t="e">
        <f>(39493.49*(IF((VLOOKUP(B772,AmmoTypeFactors,6,FALSE)="Bomb_Secondary"),1.33,1)*('Ammo Input'!H772*0.35)/1000)^0.6/1000)*10/3*VLOOKUP(B772,AmmoTypeFactors,4,FALSE)</f>
        <v>#N/A</v>
      </c>
    </row>
    <row r="773" ht="14.4" spans="1:16">
      <c r="A773">
        <f>'Ammo Input'!A773</f>
        <v>0</v>
      </c>
      <c r="B773" s="1">
        <f>'Ammo Input'!B773</f>
        <v>0</v>
      </c>
      <c r="C773" t="e">
        <f>0.579*('Ammo Stats'!G773*IF(OR(B773="HEAT",B773="HEDP"),10,'Ammo Input'!F773)*VLOOKUP(B773,AmmoTypeFactors,7,FALSE))^(0.346)</f>
        <v>#N/A</v>
      </c>
      <c r="D773" s="16" t="e">
        <f>IF(VLOOKUP(B773,AmmoTypeFactors,8,FALSE),J773,C773)*VLOOKUP('Ammo Input'!B773,AmmoTypeFactors,2,FALSE)</f>
        <v>#N/A</v>
      </c>
      <c r="E773" s="16" t="e">
        <f>IF(OR(VLOOKUP(B773,AmmoTypeFactors,6,FALSE)="Bomb",VLOOKUP(B773,AmmoTypeFactors,6,FALSE)="Thermobaric"),J773*VLOOKUP(B773,AmmoTypeFactors,4,FALSE),IF(VLOOKUP(B773,AmmoTypeFactors,11,FALSE),P773,C773*VLOOKUP(B773,AmmoTypeFactors,4,FALSE)))</f>
        <v>#N/A</v>
      </c>
      <c r="F773" s="16">
        <f>'Ammo Stats'!G773/0.005</f>
        <v>0</v>
      </c>
      <c r="G773" s="16" t="e">
        <f>(IF(B773="HEAT",10,'Ammo Input'!F773)*VLOOKUP(B773,AmmoTypeFactors,7,FALSE)*0.5)^2*PI()/100</f>
        <v>#N/A</v>
      </c>
      <c r="H773" s="10">
        <f t="shared" si="33"/>
        <v>0</v>
      </c>
      <c r="I773" s="10">
        <f>IF(B773&lt;&gt;"Arrow (Flaming)",39493.49*'Ammo Input'!M774^0.6/1000,0)</f>
        <v>0</v>
      </c>
      <c r="J773">
        <f t="shared" si="34"/>
        <v>0</v>
      </c>
      <c r="K773">
        <f t="shared" si="35"/>
        <v>0</v>
      </c>
      <c r="L773" t="e">
        <f>200000/('Ammo Stats'!C773*(MAX('Ammo Input'!D773,'Ammo Input'!F773)*0.5)^2*PI())</f>
        <v>#DIV/0!</v>
      </c>
      <c r="M773" t="e">
        <f>IF(B773="Frag",1,('Ammo Input'!M773/1.33)/('Ammo Input'!H773/1000))</f>
        <v>#DIV/0!</v>
      </c>
      <c r="N773" t="s">
        <v>338</v>
      </c>
      <c r="O773" t="s">
        <v>338</v>
      </c>
      <c r="P773" s="3" t="e">
        <f>(39493.49*(IF((VLOOKUP(B773,AmmoTypeFactors,6,FALSE)="Bomb_Secondary"),1.33,1)*('Ammo Input'!H773*0.35)/1000)^0.6/1000)*10/3*VLOOKUP(B773,AmmoTypeFactors,4,FALSE)</f>
        <v>#N/A</v>
      </c>
    </row>
    <row r="774" ht="14.4" spans="1:16">
      <c r="A774">
        <f>'Ammo Input'!A774</f>
        <v>0</v>
      </c>
      <c r="B774" s="1">
        <f>'Ammo Input'!B774</f>
        <v>0</v>
      </c>
      <c r="C774" t="e">
        <f>0.579*('Ammo Stats'!G774*IF(OR(B774="HEAT",B774="HEDP"),10,'Ammo Input'!F774)*VLOOKUP(B774,AmmoTypeFactors,7,FALSE))^(0.346)</f>
        <v>#N/A</v>
      </c>
      <c r="D774" s="16" t="e">
        <f>IF(VLOOKUP(B774,AmmoTypeFactors,8,FALSE),J774,C774)*VLOOKUP('Ammo Input'!B774,AmmoTypeFactors,2,FALSE)</f>
        <v>#N/A</v>
      </c>
      <c r="E774" s="16" t="e">
        <f>IF(OR(VLOOKUP(B774,AmmoTypeFactors,6,FALSE)="Bomb",VLOOKUP(B774,AmmoTypeFactors,6,FALSE)="Thermobaric"),J774*VLOOKUP(B774,AmmoTypeFactors,4,FALSE),IF(VLOOKUP(B774,AmmoTypeFactors,11,FALSE),P774,C774*VLOOKUP(B774,AmmoTypeFactors,4,FALSE)))</f>
        <v>#N/A</v>
      </c>
      <c r="F774" s="16">
        <f>'Ammo Stats'!G774/0.005</f>
        <v>0</v>
      </c>
      <c r="G774" s="16" t="e">
        <f>(IF(B774="HEAT",10,'Ammo Input'!F774)*VLOOKUP(B774,AmmoTypeFactors,7,FALSE)*0.5)^2*PI()/100</f>
        <v>#N/A</v>
      </c>
      <c r="H774" s="10">
        <f t="shared" si="33"/>
        <v>0</v>
      </c>
      <c r="I774" s="10">
        <f>IF(B774&lt;&gt;"Arrow (Flaming)",39493.49*'Ammo Input'!M775^0.6/1000,0)</f>
        <v>0</v>
      </c>
      <c r="J774">
        <f t="shared" si="34"/>
        <v>0</v>
      </c>
      <c r="K774">
        <f t="shared" si="35"/>
        <v>0</v>
      </c>
      <c r="L774" t="e">
        <f>200000/('Ammo Stats'!C774*(MAX('Ammo Input'!D774,'Ammo Input'!F774)*0.5)^2*PI())</f>
        <v>#DIV/0!</v>
      </c>
      <c r="M774" t="e">
        <f>IF(B774="Frag",1,('Ammo Input'!M774/1.33)/('Ammo Input'!H774/1000))</f>
        <v>#DIV/0!</v>
      </c>
      <c r="N774" t="s">
        <v>338</v>
      </c>
      <c r="O774" t="s">
        <v>338</v>
      </c>
      <c r="P774" s="3" t="e">
        <f>(39493.49*(IF((VLOOKUP(B774,AmmoTypeFactors,6,FALSE)="Bomb_Secondary"),1.33,1)*('Ammo Input'!H774*0.35)/1000)^0.6/1000)*10/3*VLOOKUP(B774,AmmoTypeFactors,4,FALSE)</f>
        <v>#N/A</v>
      </c>
    </row>
    <row r="775" ht="14.4" spans="1:16">
      <c r="A775">
        <f>'Ammo Input'!A775</f>
        <v>0</v>
      </c>
      <c r="B775" s="1">
        <f>'Ammo Input'!B775</f>
        <v>0</v>
      </c>
      <c r="C775" t="e">
        <f>0.579*('Ammo Stats'!G775*IF(OR(B775="HEAT",B775="HEDP"),10,'Ammo Input'!F775)*VLOOKUP(B775,AmmoTypeFactors,7,FALSE))^(0.346)</f>
        <v>#N/A</v>
      </c>
      <c r="D775" s="16" t="e">
        <f>IF(VLOOKUP(B775,AmmoTypeFactors,8,FALSE),J775,C775)*VLOOKUP('Ammo Input'!B775,AmmoTypeFactors,2,FALSE)</f>
        <v>#N/A</v>
      </c>
      <c r="E775" s="16" t="e">
        <f>IF(OR(VLOOKUP(B775,AmmoTypeFactors,6,FALSE)="Bomb",VLOOKUP(B775,AmmoTypeFactors,6,FALSE)="Thermobaric"),J775*VLOOKUP(B775,AmmoTypeFactors,4,FALSE),IF(VLOOKUP(B775,AmmoTypeFactors,11,FALSE),P775,C775*VLOOKUP(B775,AmmoTypeFactors,4,FALSE)))</f>
        <v>#N/A</v>
      </c>
      <c r="F775" s="16">
        <f>'Ammo Stats'!G775/0.005</f>
        <v>0</v>
      </c>
      <c r="G775" s="16" t="e">
        <f>(IF(B775="HEAT",10,'Ammo Input'!F775)*VLOOKUP(B775,AmmoTypeFactors,7,FALSE)*0.5)^2*PI()/100</f>
        <v>#N/A</v>
      </c>
      <c r="H775" s="10">
        <f t="shared" si="33"/>
        <v>0</v>
      </c>
      <c r="I775" s="10">
        <f>IF(B775&lt;&gt;"Arrow (Flaming)",39493.49*'Ammo Input'!M776^0.6/1000,0)</f>
        <v>0</v>
      </c>
      <c r="J775">
        <f t="shared" si="34"/>
        <v>0</v>
      </c>
      <c r="K775">
        <f t="shared" si="35"/>
        <v>0</v>
      </c>
      <c r="L775" t="e">
        <f>200000/('Ammo Stats'!C775*(MAX('Ammo Input'!D775,'Ammo Input'!F775)*0.5)^2*PI())</f>
        <v>#DIV/0!</v>
      </c>
      <c r="M775" t="e">
        <f>IF(B775="Frag",1,('Ammo Input'!M775/1.33)/('Ammo Input'!H775/1000))</f>
        <v>#DIV/0!</v>
      </c>
      <c r="N775" t="s">
        <v>338</v>
      </c>
      <c r="O775" t="s">
        <v>338</v>
      </c>
      <c r="P775" s="3" t="e">
        <f>(39493.49*(IF((VLOOKUP(B775,AmmoTypeFactors,6,FALSE)="Bomb_Secondary"),1.33,1)*('Ammo Input'!H775*0.35)/1000)^0.6/1000)*10/3*VLOOKUP(B775,AmmoTypeFactors,4,FALSE)</f>
        <v>#N/A</v>
      </c>
    </row>
    <row r="776" ht="14.4" spans="1:16">
      <c r="A776">
        <f>'Ammo Input'!A776</f>
        <v>0</v>
      </c>
      <c r="B776" s="1">
        <f>'Ammo Input'!B776</f>
        <v>0</v>
      </c>
      <c r="C776" t="e">
        <f>0.579*('Ammo Stats'!G776*IF(OR(B776="HEAT",B776="HEDP"),10,'Ammo Input'!F776)*VLOOKUP(B776,AmmoTypeFactors,7,FALSE))^(0.346)</f>
        <v>#N/A</v>
      </c>
      <c r="D776" s="16" t="e">
        <f>IF(VLOOKUP(B776,AmmoTypeFactors,8,FALSE),J776,C776)*VLOOKUP('Ammo Input'!B776,AmmoTypeFactors,2,FALSE)</f>
        <v>#N/A</v>
      </c>
      <c r="E776" s="16" t="e">
        <f>IF(OR(VLOOKUP(B776,AmmoTypeFactors,6,FALSE)="Bomb",VLOOKUP(B776,AmmoTypeFactors,6,FALSE)="Thermobaric"),J776*VLOOKUP(B776,AmmoTypeFactors,4,FALSE),IF(VLOOKUP(B776,AmmoTypeFactors,11,FALSE),P776,C776*VLOOKUP(B776,AmmoTypeFactors,4,FALSE)))</f>
        <v>#N/A</v>
      </c>
      <c r="F776" s="16">
        <f>'Ammo Stats'!G776/0.005</f>
        <v>0</v>
      </c>
      <c r="G776" s="16" t="e">
        <f>(IF(B776="HEAT",10,'Ammo Input'!F776)*VLOOKUP(B776,AmmoTypeFactors,7,FALSE)*0.5)^2*PI()/100</f>
        <v>#N/A</v>
      </c>
      <c r="H776" s="10">
        <f t="shared" si="33"/>
        <v>0</v>
      </c>
      <c r="I776" s="10">
        <f>IF(B776&lt;&gt;"Arrow (Flaming)",39493.49*'Ammo Input'!M777^0.6/1000,0)</f>
        <v>0</v>
      </c>
      <c r="J776">
        <f t="shared" si="34"/>
        <v>0</v>
      </c>
      <c r="K776">
        <f t="shared" si="35"/>
        <v>0</v>
      </c>
      <c r="L776" t="e">
        <f>200000/('Ammo Stats'!C776*(MAX('Ammo Input'!D776,'Ammo Input'!F776)*0.5)^2*PI())</f>
        <v>#DIV/0!</v>
      </c>
      <c r="M776" t="e">
        <f>IF(B776="Frag",1,('Ammo Input'!M776/1.33)/('Ammo Input'!H776/1000))</f>
        <v>#DIV/0!</v>
      </c>
      <c r="N776" t="s">
        <v>338</v>
      </c>
      <c r="O776" t="s">
        <v>338</v>
      </c>
      <c r="P776" s="3" t="e">
        <f>(39493.49*(IF((VLOOKUP(B776,AmmoTypeFactors,6,FALSE)="Bomb_Secondary"),1.33,1)*('Ammo Input'!H776*0.35)/1000)^0.6/1000)*10/3*VLOOKUP(B776,AmmoTypeFactors,4,FALSE)</f>
        <v>#N/A</v>
      </c>
    </row>
    <row r="777" ht="14.4" spans="1:16">
      <c r="A777">
        <f>'Ammo Input'!A777</f>
        <v>0</v>
      </c>
      <c r="B777" s="1">
        <f>'Ammo Input'!B777</f>
        <v>0</v>
      </c>
      <c r="C777" t="e">
        <f>0.579*('Ammo Stats'!G777*IF(OR(B777="HEAT",B777="HEDP"),10,'Ammo Input'!F777)*VLOOKUP(B777,AmmoTypeFactors,7,FALSE))^(0.346)</f>
        <v>#N/A</v>
      </c>
      <c r="D777" s="16" t="e">
        <f>IF(VLOOKUP(B777,AmmoTypeFactors,8,FALSE),J777,C777)*VLOOKUP('Ammo Input'!B777,AmmoTypeFactors,2,FALSE)</f>
        <v>#N/A</v>
      </c>
      <c r="E777" s="16" t="e">
        <f>IF(OR(VLOOKUP(B777,AmmoTypeFactors,6,FALSE)="Bomb",VLOOKUP(B777,AmmoTypeFactors,6,FALSE)="Thermobaric"),J777*VLOOKUP(B777,AmmoTypeFactors,4,FALSE),IF(VLOOKUP(B777,AmmoTypeFactors,11,FALSE),P777,C777*VLOOKUP(B777,AmmoTypeFactors,4,FALSE)))</f>
        <v>#N/A</v>
      </c>
      <c r="F777" s="16">
        <f>'Ammo Stats'!G777/0.005</f>
        <v>0</v>
      </c>
      <c r="G777" s="16" t="e">
        <f>(IF(B777="HEAT",10,'Ammo Input'!F777)*VLOOKUP(B777,AmmoTypeFactors,7,FALSE)*0.5)^2*PI()/100</f>
        <v>#N/A</v>
      </c>
      <c r="H777" s="10">
        <f t="shared" si="33"/>
        <v>0</v>
      </c>
      <c r="I777" s="10">
        <f>IF(B777&lt;&gt;"Arrow (Flaming)",39493.49*'Ammo Input'!M778^0.6/1000,0)</f>
        <v>0</v>
      </c>
      <c r="J777">
        <f t="shared" si="34"/>
        <v>0</v>
      </c>
      <c r="K777">
        <f t="shared" si="35"/>
        <v>0</v>
      </c>
      <c r="L777" t="e">
        <f>200000/('Ammo Stats'!C777*(MAX('Ammo Input'!D777,'Ammo Input'!F777)*0.5)^2*PI())</f>
        <v>#DIV/0!</v>
      </c>
      <c r="M777" t="e">
        <f>IF(B777="Frag",1,('Ammo Input'!M777/1.33)/('Ammo Input'!H777/1000))</f>
        <v>#DIV/0!</v>
      </c>
      <c r="N777" t="s">
        <v>338</v>
      </c>
      <c r="O777" t="s">
        <v>338</v>
      </c>
      <c r="P777" s="3" t="e">
        <f>(39493.49*(IF((VLOOKUP(B777,AmmoTypeFactors,6,FALSE)="Bomb_Secondary"),1.33,1)*('Ammo Input'!H777*0.35)/1000)^0.6/1000)*10/3*VLOOKUP(B777,AmmoTypeFactors,4,FALSE)</f>
        <v>#N/A</v>
      </c>
    </row>
    <row r="778" ht="14.4" spans="1:16">
      <c r="A778">
        <f>'Ammo Input'!A778</f>
        <v>0</v>
      </c>
      <c r="B778" s="1">
        <f>'Ammo Input'!B778</f>
        <v>0</v>
      </c>
      <c r="C778" t="e">
        <f>0.579*('Ammo Stats'!G778*IF(OR(B778="HEAT",B778="HEDP"),10,'Ammo Input'!F778)*VLOOKUP(B778,AmmoTypeFactors,7,FALSE))^(0.346)</f>
        <v>#N/A</v>
      </c>
      <c r="D778" s="16" t="e">
        <f>IF(VLOOKUP(B778,AmmoTypeFactors,8,FALSE),J778,C778)*VLOOKUP('Ammo Input'!B778,AmmoTypeFactors,2,FALSE)</f>
        <v>#N/A</v>
      </c>
      <c r="E778" s="16" t="e">
        <f>IF(OR(VLOOKUP(B778,AmmoTypeFactors,6,FALSE)="Bomb",VLOOKUP(B778,AmmoTypeFactors,6,FALSE)="Thermobaric"),J778*VLOOKUP(B778,AmmoTypeFactors,4,FALSE),IF(VLOOKUP(B778,AmmoTypeFactors,11,FALSE),P778,C778*VLOOKUP(B778,AmmoTypeFactors,4,FALSE)))</f>
        <v>#N/A</v>
      </c>
      <c r="F778" s="16">
        <f>'Ammo Stats'!G778/0.005</f>
        <v>0</v>
      </c>
      <c r="G778" s="16" t="e">
        <f>(IF(B778="HEAT",10,'Ammo Input'!F778)*VLOOKUP(B778,AmmoTypeFactors,7,FALSE)*0.5)^2*PI()/100</f>
        <v>#N/A</v>
      </c>
      <c r="H778" s="10">
        <f t="shared" si="33"/>
        <v>0</v>
      </c>
      <c r="I778" s="10">
        <f>IF(B778&lt;&gt;"Arrow (Flaming)",39493.49*'Ammo Input'!M779^0.6/1000,0)</f>
        <v>0</v>
      </c>
      <c r="J778">
        <f t="shared" si="34"/>
        <v>0</v>
      </c>
      <c r="K778">
        <f t="shared" si="35"/>
        <v>0</v>
      </c>
      <c r="L778" t="e">
        <f>200000/('Ammo Stats'!C778*(MAX('Ammo Input'!D778,'Ammo Input'!F778)*0.5)^2*PI())</f>
        <v>#DIV/0!</v>
      </c>
      <c r="M778" t="e">
        <f>IF(B778="Frag",1,('Ammo Input'!M778/1.33)/('Ammo Input'!H778/1000))</f>
        <v>#DIV/0!</v>
      </c>
      <c r="N778" t="s">
        <v>338</v>
      </c>
      <c r="O778" t="s">
        <v>338</v>
      </c>
      <c r="P778" s="3" t="e">
        <f>(39493.49*(IF((VLOOKUP(B778,AmmoTypeFactors,6,FALSE)="Bomb_Secondary"),1.33,1)*('Ammo Input'!H778*0.35)/1000)^0.6/1000)*10/3*VLOOKUP(B778,AmmoTypeFactors,4,FALSE)</f>
        <v>#N/A</v>
      </c>
    </row>
    <row r="779" ht="14.4" spans="1:16">
      <c r="A779">
        <f>'Ammo Input'!A779</f>
        <v>0</v>
      </c>
      <c r="B779" s="1">
        <f>'Ammo Input'!B779</f>
        <v>0</v>
      </c>
      <c r="C779" t="e">
        <f>0.579*('Ammo Stats'!G779*IF(OR(B779="HEAT",B779="HEDP"),10,'Ammo Input'!F779)*VLOOKUP(B779,AmmoTypeFactors,7,FALSE))^(0.346)</f>
        <v>#N/A</v>
      </c>
      <c r="D779" s="16" t="e">
        <f>IF(VLOOKUP(B779,AmmoTypeFactors,8,FALSE),J779,C779)*VLOOKUP('Ammo Input'!B779,AmmoTypeFactors,2,FALSE)</f>
        <v>#N/A</v>
      </c>
      <c r="E779" s="16" t="e">
        <f>IF(OR(VLOOKUP(B779,AmmoTypeFactors,6,FALSE)="Bomb",VLOOKUP(B779,AmmoTypeFactors,6,FALSE)="Thermobaric"),J779*VLOOKUP(B779,AmmoTypeFactors,4,FALSE),IF(VLOOKUP(B779,AmmoTypeFactors,11,FALSE),P779,C779*VLOOKUP(B779,AmmoTypeFactors,4,FALSE)))</f>
        <v>#N/A</v>
      </c>
      <c r="F779" s="16">
        <f>'Ammo Stats'!G779/0.005</f>
        <v>0</v>
      </c>
      <c r="G779" s="16" t="e">
        <f>(IF(B779="HEAT",10,'Ammo Input'!F779)*VLOOKUP(B779,AmmoTypeFactors,7,FALSE)*0.5)^2*PI()/100</f>
        <v>#N/A</v>
      </c>
      <c r="H779" s="10">
        <f t="shared" si="33"/>
        <v>0</v>
      </c>
      <c r="I779" s="10">
        <f>IF(B779&lt;&gt;"Arrow (Flaming)",39493.49*'Ammo Input'!M780^0.6/1000,0)</f>
        <v>0</v>
      </c>
      <c r="J779">
        <f t="shared" si="34"/>
        <v>0</v>
      </c>
      <c r="K779">
        <f t="shared" si="35"/>
        <v>0</v>
      </c>
      <c r="L779" t="e">
        <f>200000/('Ammo Stats'!C779*(MAX('Ammo Input'!D779,'Ammo Input'!F779)*0.5)^2*PI())</f>
        <v>#DIV/0!</v>
      </c>
      <c r="M779" t="e">
        <f>IF(B779="Frag",1,('Ammo Input'!M779/1.33)/('Ammo Input'!H779/1000))</f>
        <v>#DIV/0!</v>
      </c>
      <c r="N779" t="s">
        <v>338</v>
      </c>
      <c r="O779" t="s">
        <v>338</v>
      </c>
      <c r="P779" s="3" t="e">
        <f>(39493.49*(IF((VLOOKUP(B779,AmmoTypeFactors,6,FALSE)="Bomb_Secondary"),1.33,1)*('Ammo Input'!H779*0.35)/1000)^0.6/1000)*10/3*VLOOKUP(B779,AmmoTypeFactors,4,FALSE)</f>
        <v>#N/A</v>
      </c>
    </row>
    <row r="780" ht="14.4" spans="1:16">
      <c r="A780">
        <f>'Ammo Input'!A780</f>
        <v>0</v>
      </c>
      <c r="B780" s="1">
        <f>'Ammo Input'!B780</f>
        <v>0</v>
      </c>
      <c r="C780" t="e">
        <f>0.579*('Ammo Stats'!G780*IF(OR(B780="HEAT",B780="HEDP"),10,'Ammo Input'!F780)*VLOOKUP(B780,AmmoTypeFactors,7,FALSE))^(0.346)</f>
        <v>#N/A</v>
      </c>
      <c r="D780" s="16" t="e">
        <f>IF(VLOOKUP(B780,AmmoTypeFactors,8,FALSE),J780,C780)*VLOOKUP('Ammo Input'!B780,AmmoTypeFactors,2,FALSE)</f>
        <v>#N/A</v>
      </c>
      <c r="E780" s="16" t="e">
        <f>IF(OR(VLOOKUP(B780,AmmoTypeFactors,6,FALSE)="Bomb",VLOOKUP(B780,AmmoTypeFactors,6,FALSE)="Thermobaric"),J780*VLOOKUP(B780,AmmoTypeFactors,4,FALSE),IF(VLOOKUP(B780,AmmoTypeFactors,11,FALSE),P780,C780*VLOOKUP(B780,AmmoTypeFactors,4,FALSE)))</f>
        <v>#N/A</v>
      </c>
      <c r="F780" s="16">
        <f>'Ammo Stats'!G780/0.005</f>
        <v>0</v>
      </c>
      <c r="G780" s="16" t="e">
        <f>(IF(B780="HEAT",10,'Ammo Input'!F780)*VLOOKUP(B780,AmmoTypeFactors,7,FALSE)*0.5)^2*PI()/100</f>
        <v>#N/A</v>
      </c>
      <c r="H780" s="10">
        <f t="shared" si="33"/>
        <v>0</v>
      </c>
      <c r="I780" s="10">
        <f>IF(B780&lt;&gt;"Arrow (Flaming)",39493.49*'Ammo Input'!M781^0.6/1000,0)</f>
        <v>0</v>
      </c>
      <c r="J780">
        <f t="shared" si="34"/>
        <v>0</v>
      </c>
      <c r="K780">
        <f t="shared" si="35"/>
        <v>0</v>
      </c>
      <c r="L780" t="e">
        <f>200000/('Ammo Stats'!C780*(MAX('Ammo Input'!D780,'Ammo Input'!F780)*0.5)^2*PI())</f>
        <v>#DIV/0!</v>
      </c>
      <c r="M780" t="e">
        <f>IF(B780="Frag",1,('Ammo Input'!M780/1.33)/('Ammo Input'!H780/1000))</f>
        <v>#DIV/0!</v>
      </c>
      <c r="N780" t="s">
        <v>338</v>
      </c>
      <c r="O780" t="s">
        <v>338</v>
      </c>
      <c r="P780" s="3" t="e">
        <f>(39493.49*(IF((VLOOKUP(B780,AmmoTypeFactors,6,FALSE)="Bomb_Secondary"),1.33,1)*('Ammo Input'!H780*0.35)/1000)^0.6/1000)*10/3*VLOOKUP(B780,AmmoTypeFactors,4,FALSE)</f>
        <v>#N/A</v>
      </c>
    </row>
    <row r="781" ht="14.4" spans="1:16">
      <c r="A781">
        <f>'Ammo Input'!A781</f>
        <v>0</v>
      </c>
      <c r="B781" s="1">
        <f>'Ammo Input'!B781</f>
        <v>0</v>
      </c>
      <c r="C781" t="e">
        <f>0.579*('Ammo Stats'!G781*IF(OR(B781="HEAT",B781="HEDP"),10,'Ammo Input'!F781)*VLOOKUP(B781,AmmoTypeFactors,7,FALSE))^(0.346)</f>
        <v>#N/A</v>
      </c>
      <c r="D781" s="16" t="e">
        <f>IF(VLOOKUP(B781,AmmoTypeFactors,8,FALSE),J781,C781)*VLOOKUP('Ammo Input'!B781,AmmoTypeFactors,2,FALSE)</f>
        <v>#N/A</v>
      </c>
      <c r="E781" s="16" t="e">
        <f>IF(OR(VLOOKUP(B781,AmmoTypeFactors,6,FALSE)="Bomb",VLOOKUP(B781,AmmoTypeFactors,6,FALSE)="Thermobaric"),J781*VLOOKUP(B781,AmmoTypeFactors,4,FALSE),IF(VLOOKUP(B781,AmmoTypeFactors,11,FALSE),P781,C781*VLOOKUP(B781,AmmoTypeFactors,4,FALSE)))</f>
        <v>#N/A</v>
      </c>
      <c r="F781" s="16">
        <f>'Ammo Stats'!G781/0.005</f>
        <v>0</v>
      </c>
      <c r="G781" s="16" t="e">
        <f>(IF(B781="HEAT",10,'Ammo Input'!F781)*VLOOKUP(B781,AmmoTypeFactors,7,FALSE)*0.5)^2*PI()/100</f>
        <v>#N/A</v>
      </c>
      <c r="H781" s="10">
        <f t="shared" si="33"/>
        <v>0</v>
      </c>
      <c r="I781" s="10">
        <f>IF(B781&lt;&gt;"Arrow (Flaming)",39493.49*'Ammo Input'!M782^0.6/1000,0)</f>
        <v>0</v>
      </c>
      <c r="J781">
        <f t="shared" si="34"/>
        <v>0</v>
      </c>
      <c r="K781">
        <f t="shared" si="35"/>
        <v>0</v>
      </c>
      <c r="L781" t="e">
        <f>200000/('Ammo Stats'!C781*(MAX('Ammo Input'!D781,'Ammo Input'!F781)*0.5)^2*PI())</f>
        <v>#DIV/0!</v>
      </c>
      <c r="M781" t="e">
        <f>IF(B781="Frag",1,('Ammo Input'!M781/1.33)/('Ammo Input'!H781/1000))</f>
        <v>#DIV/0!</v>
      </c>
      <c r="N781" t="s">
        <v>338</v>
      </c>
      <c r="O781" t="s">
        <v>338</v>
      </c>
      <c r="P781" s="3" t="e">
        <f>(39493.49*(IF((VLOOKUP(B781,AmmoTypeFactors,6,FALSE)="Bomb_Secondary"),1.33,1)*('Ammo Input'!H781*0.35)/1000)^0.6/1000)*10/3*VLOOKUP(B781,AmmoTypeFactors,4,FALSE)</f>
        <v>#N/A</v>
      </c>
    </row>
    <row r="782" ht="14.4" spans="1:16">
      <c r="A782">
        <f>'Ammo Input'!A782</f>
        <v>0</v>
      </c>
      <c r="B782" s="1">
        <f>'Ammo Input'!B782</f>
        <v>0</v>
      </c>
      <c r="C782" t="e">
        <f>0.579*('Ammo Stats'!G782*IF(OR(B782="HEAT",B782="HEDP"),10,'Ammo Input'!F782)*VLOOKUP(B782,AmmoTypeFactors,7,FALSE))^(0.346)</f>
        <v>#N/A</v>
      </c>
      <c r="D782" s="16" t="e">
        <f>IF(VLOOKUP(B782,AmmoTypeFactors,8,FALSE),J782,C782)*VLOOKUP('Ammo Input'!B782,AmmoTypeFactors,2,FALSE)</f>
        <v>#N/A</v>
      </c>
      <c r="E782" s="16" t="e">
        <f>IF(OR(VLOOKUP(B782,AmmoTypeFactors,6,FALSE)="Bomb",VLOOKUP(B782,AmmoTypeFactors,6,FALSE)="Thermobaric"),J782*VLOOKUP(B782,AmmoTypeFactors,4,FALSE),IF(VLOOKUP(B782,AmmoTypeFactors,11,FALSE),P782,C782*VLOOKUP(B782,AmmoTypeFactors,4,FALSE)))</f>
        <v>#N/A</v>
      </c>
      <c r="F782" s="16">
        <f>'Ammo Stats'!G782/0.005</f>
        <v>0</v>
      </c>
      <c r="G782" s="16" t="e">
        <f>(IF(B782="HEAT",10,'Ammo Input'!F782)*VLOOKUP(B782,AmmoTypeFactors,7,FALSE)*0.5)^2*PI()/100</f>
        <v>#N/A</v>
      </c>
      <c r="H782" s="10">
        <f t="shared" si="33"/>
        <v>0</v>
      </c>
      <c r="I782" s="10">
        <f>IF(B782&lt;&gt;"Arrow (Flaming)",39493.49*'Ammo Input'!M783^0.6/1000,0)</f>
        <v>0</v>
      </c>
      <c r="J782">
        <f t="shared" si="34"/>
        <v>0</v>
      </c>
      <c r="K782">
        <f t="shared" si="35"/>
        <v>0</v>
      </c>
      <c r="L782" t="e">
        <f>200000/('Ammo Stats'!C782*(MAX('Ammo Input'!D782,'Ammo Input'!F782)*0.5)^2*PI())</f>
        <v>#DIV/0!</v>
      </c>
      <c r="M782" t="e">
        <f>IF(B782="Frag",1,('Ammo Input'!M782/1.33)/('Ammo Input'!H782/1000))</f>
        <v>#DIV/0!</v>
      </c>
      <c r="N782" t="s">
        <v>338</v>
      </c>
      <c r="O782" t="s">
        <v>338</v>
      </c>
      <c r="P782" s="3" t="e">
        <f>(39493.49*(IF((VLOOKUP(B782,AmmoTypeFactors,6,FALSE)="Bomb_Secondary"),1.33,1)*('Ammo Input'!H782*0.35)/1000)^0.6/1000)*10/3*VLOOKUP(B782,AmmoTypeFactors,4,FALSE)</f>
        <v>#N/A</v>
      </c>
    </row>
    <row r="783" ht="14.4" spans="1:16">
      <c r="A783">
        <f>'Ammo Input'!A783</f>
        <v>0</v>
      </c>
      <c r="B783" s="1">
        <f>'Ammo Input'!B783</f>
        <v>0</v>
      </c>
      <c r="C783" t="e">
        <f>0.579*('Ammo Stats'!G783*IF(OR(B783="HEAT",B783="HEDP"),10,'Ammo Input'!F783)*VLOOKUP(B783,AmmoTypeFactors,7,FALSE))^(0.346)</f>
        <v>#N/A</v>
      </c>
      <c r="D783" s="16" t="e">
        <f>IF(VLOOKUP(B783,AmmoTypeFactors,8,FALSE),J783,C783)*VLOOKUP('Ammo Input'!B783,AmmoTypeFactors,2,FALSE)</f>
        <v>#N/A</v>
      </c>
      <c r="E783" s="16" t="e">
        <f>IF(OR(VLOOKUP(B783,AmmoTypeFactors,6,FALSE)="Bomb",VLOOKUP(B783,AmmoTypeFactors,6,FALSE)="Thermobaric"),J783*VLOOKUP(B783,AmmoTypeFactors,4,FALSE),IF(VLOOKUP(B783,AmmoTypeFactors,11,FALSE),P783,C783*VLOOKUP(B783,AmmoTypeFactors,4,FALSE)))</f>
        <v>#N/A</v>
      </c>
      <c r="F783" s="16">
        <f>'Ammo Stats'!G783/0.005</f>
        <v>0</v>
      </c>
      <c r="G783" s="16" t="e">
        <f>(IF(B783="HEAT",10,'Ammo Input'!F783)*VLOOKUP(B783,AmmoTypeFactors,7,FALSE)*0.5)^2*PI()/100</f>
        <v>#N/A</v>
      </c>
      <c r="H783" s="10">
        <f t="shared" si="33"/>
        <v>0</v>
      </c>
      <c r="I783" s="10">
        <f>IF(B783&lt;&gt;"Arrow (Flaming)",39493.49*'Ammo Input'!M784^0.6/1000,0)</f>
        <v>0</v>
      </c>
      <c r="J783">
        <f t="shared" si="34"/>
        <v>0</v>
      </c>
      <c r="K783">
        <f t="shared" si="35"/>
        <v>0</v>
      </c>
      <c r="L783" t="e">
        <f>200000/('Ammo Stats'!C783*(MAX('Ammo Input'!D783,'Ammo Input'!F783)*0.5)^2*PI())</f>
        <v>#DIV/0!</v>
      </c>
      <c r="M783" t="e">
        <f>IF(B783="Frag",1,('Ammo Input'!M783/1.33)/('Ammo Input'!H783/1000))</f>
        <v>#DIV/0!</v>
      </c>
      <c r="N783" t="s">
        <v>338</v>
      </c>
      <c r="O783" t="s">
        <v>338</v>
      </c>
      <c r="P783" s="3" t="e">
        <f>(39493.49*(IF((VLOOKUP(B783,AmmoTypeFactors,6,FALSE)="Bomb_Secondary"),1.33,1)*('Ammo Input'!H783*0.35)/1000)^0.6/1000)*10/3*VLOOKUP(B783,AmmoTypeFactors,4,FALSE)</f>
        <v>#N/A</v>
      </c>
    </row>
    <row r="784" ht="14.4" spans="1:16">
      <c r="A784">
        <f>'Ammo Input'!A784</f>
        <v>0</v>
      </c>
      <c r="B784" s="1">
        <f>'Ammo Input'!B784</f>
        <v>0</v>
      </c>
      <c r="C784" t="e">
        <f>0.579*('Ammo Stats'!G784*IF(OR(B784="HEAT",B784="HEDP"),10,'Ammo Input'!F784)*VLOOKUP(B784,AmmoTypeFactors,7,FALSE))^(0.346)</f>
        <v>#N/A</v>
      </c>
      <c r="D784" s="16" t="e">
        <f>IF(VLOOKUP(B784,AmmoTypeFactors,8,FALSE),J784,C784)*VLOOKUP('Ammo Input'!B784,AmmoTypeFactors,2,FALSE)</f>
        <v>#N/A</v>
      </c>
      <c r="E784" s="16" t="e">
        <f>IF(OR(VLOOKUP(B784,AmmoTypeFactors,6,FALSE)="Bomb",VLOOKUP(B784,AmmoTypeFactors,6,FALSE)="Thermobaric"),J784*VLOOKUP(B784,AmmoTypeFactors,4,FALSE),IF(VLOOKUP(B784,AmmoTypeFactors,11,FALSE),P784,C784*VLOOKUP(B784,AmmoTypeFactors,4,FALSE)))</f>
        <v>#N/A</v>
      </c>
      <c r="F784" s="16">
        <f>'Ammo Stats'!G784/0.005</f>
        <v>0</v>
      </c>
      <c r="G784" s="16" t="e">
        <f>(IF(B784="HEAT",10,'Ammo Input'!F784)*VLOOKUP(B784,AmmoTypeFactors,7,FALSE)*0.5)^2*PI()/100</f>
        <v>#N/A</v>
      </c>
      <c r="H784" s="10">
        <f t="shared" si="33"/>
        <v>0</v>
      </c>
      <c r="I784" s="10">
        <f>IF(B784&lt;&gt;"Arrow (Flaming)",39493.49*'Ammo Input'!M785^0.6/1000,0)</f>
        <v>0</v>
      </c>
      <c r="J784">
        <f t="shared" si="34"/>
        <v>0</v>
      </c>
      <c r="K784">
        <f t="shared" si="35"/>
        <v>0</v>
      </c>
      <c r="L784" t="e">
        <f>200000/('Ammo Stats'!C784*(MAX('Ammo Input'!D784,'Ammo Input'!F784)*0.5)^2*PI())</f>
        <v>#DIV/0!</v>
      </c>
      <c r="M784" t="e">
        <f>IF(B784="Frag",1,('Ammo Input'!M784/1.33)/('Ammo Input'!H784/1000))</f>
        <v>#DIV/0!</v>
      </c>
      <c r="N784" t="s">
        <v>338</v>
      </c>
      <c r="O784" t="s">
        <v>338</v>
      </c>
      <c r="P784" s="3" t="e">
        <f>(39493.49*(IF((VLOOKUP(B784,AmmoTypeFactors,6,FALSE)="Bomb_Secondary"),1.33,1)*('Ammo Input'!H784*0.35)/1000)^0.6/1000)*10/3*VLOOKUP(B784,AmmoTypeFactors,4,FALSE)</f>
        <v>#N/A</v>
      </c>
    </row>
    <row r="785" ht="14.4" spans="1:16">
      <c r="A785">
        <f>'Ammo Input'!A785</f>
        <v>0</v>
      </c>
      <c r="B785" s="1">
        <f>'Ammo Input'!B785</f>
        <v>0</v>
      </c>
      <c r="C785" t="e">
        <f>0.579*('Ammo Stats'!G785*IF(OR(B785="HEAT",B785="HEDP"),10,'Ammo Input'!F785)*VLOOKUP(B785,AmmoTypeFactors,7,FALSE))^(0.346)</f>
        <v>#N/A</v>
      </c>
      <c r="D785" s="16" t="e">
        <f>IF(VLOOKUP(B785,AmmoTypeFactors,8,FALSE),J785,C785)*VLOOKUP('Ammo Input'!B785,AmmoTypeFactors,2,FALSE)</f>
        <v>#N/A</v>
      </c>
      <c r="E785" s="16" t="e">
        <f>IF(OR(VLOOKUP(B785,AmmoTypeFactors,6,FALSE)="Bomb",VLOOKUP(B785,AmmoTypeFactors,6,FALSE)="Thermobaric"),J785*VLOOKUP(B785,AmmoTypeFactors,4,FALSE),IF(VLOOKUP(B785,AmmoTypeFactors,11,FALSE),P785,C785*VLOOKUP(B785,AmmoTypeFactors,4,FALSE)))</f>
        <v>#N/A</v>
      </c>
      <c r="F785" s="16">
        <f>'Ammo Stats'!G785/0.005</f>
        <v>0</v>
      </c>
      <c r="G785" s="16" t="e">
        <f>(IF(B785="HEAT",10,'Ammo Input'!F785)*VLOOKUP(B785,AmmoTypeFactors,7,FALSE)*0.5)^2*PI()/100</f>
        <v>#N/A</v>
      </c>
      <c r="H785" s="10">
        <f t="shared" si="33"/>
        <v>0</v>
      </c>
      <c r="I785" s="10">
        <f>IF(B785&lt;&gt;"Arrow (Flaming)",39493.49*'Ammo Input'!M786^0.6/1000,0)</f>
        <v>0</v>
      </c>
      <c r="J785">
        <f t="shared" si="34"/>
        <v>0</v>
      </c>
      <c r="K785">
        <f t="shared" si="35"/>
        <v>0</v>
      </c>
      <c r="L785" t="e">
        <f>200000/('Ammo Stats'!C785*(MAX('Ammo Input'!D785,'Ammo Input'!F785)*0.5)^2*PI())</f>
        <v>#DIV/0!</v>
      </c>
      <c r="M785" t="e">
        <f>IF(B785="Frag",1,('Ammo Input'!M785/1.33)/('Ammo Input'!H785/1000))</f>
        <v>#DIV/0!</v>
      </c>
      <c r="N785" t="s">
        <v>338</v>
      </c>
      <c r="O785" t="s">
        <v>338</v>
      </c>
      <c r="P785" s="3" t="e">
        <f>(39493.49*(IF((VLOOKUP(B785,AmmoTypeFactors,6,FALSE)="Bomb_Secondary"),1.33,1)*('Ammo Input'!H785*0.35)/1000)^0.6/1000)*10/3*VLOOKUP(B785,AmmoTypeFactors,4,FALSE)</f>
        <v>#N/A</v>
      </c>
    </row>
    <row r="786" ht="14.4" spans="1:16">
      <c r="A786">
        <f>'Ammo Input'!A786</f>
        <v>0</v>
      </c>
      <c r="B786" s="1">
        <f>'Ammo Input'!B786</f>
        <v>0</v>
      </c>
      <c r="C786" t="e">
        <f>0.579*('Ammo Stats'!G786*IF(OR(B786="HEAT",B786="HEDP"),10,'Ammo Input'!F786)*VLOOKUP(B786,AmmoTypeFactors,7,FALSE))^(0.346)</f>
        <v>#N/A</v>
      </c>
      <c r="D786" s="16" t="e">
        <f>IF(VLOOKUP(B786,AmmoTypeFactors,8,FALSE),J786,C786)*VLOOKUP('Ammo Input'!B786,AmmoTypeFactors,2,FALSE)</f>
        <v>#N/A</v>
      </c>
      <c r="E786" s="16" t="e">
        <f>IF(OR(VLOOKUP(B786,AmmoTypeFactors,6,FALSE)="Bomb",VLOOKUP(B786,AmmoTypeFactors,6,FALSE)="Thermobaric"),J786*VLOOKUP(B786,AmmoTypeFactors,4,FALSE),IF(VLOOKUP(B786,AmmoTypeFactors,11,FALSE),P786,C786*VLOOKUP(B786,AmmoTypeFactors,4,FALSE)))</f>
        <v>#N/A</v>
      </c>
      <c r="F786" s="16">
        <f>'Ammo Stats'!G786/0.005</f>
        <v>0</v>
      </c>
      <c r="G786" s="16" t="e">
        <f>(IF(B786="HEAT",10,'Ammo Input'!F786)*VLOOKUP(B786,AmmoTypeFactors,7,FALSE)*0.5)^2*PI()/100</f>
        <v>#N/A</v>
      </c>
      <c r="H786" s="10">
        <f t="shared" si="33"/>
        <v>0</v>
      </c>
      <c r="I786" s="10">
        <f>IF(B786&lt;&gt;"Arrow (Flaming)",39493.49*'Ammo Input'!M787^0.6/1000,0)</f>
        <v>0</v>
      </c>
      <c r="J786">
        <f t="shared" si="34"/>
        <v>0</v>
      </c>
      <c r="K786">
        <f t="shared" si="35"/>
        <v>0</v>
      </c>
      <c r="L786" t="e">
        <f>200000/('Ammo Stats'!C786*(MAX('Ammo Input'!D786,'Ammo Input'!F786)*0.5)^2*PI())</f>
        <v>#DIV/0!</v>
      </c>
      <c r="M786" t="e">
        <f>IF(B786="Frag",1,('Ammo Input'!M786/1.33)/('Ammo Input'!H786/1000))</f>
        <v>#DIV/0!</v>
      </c>
      <c r="N786" t="s">
        <v>338</v>
      </c>
      <c r="O786" t="s">
        <v>338</v>
      </c>
      <c r="P786" s="3" t="e">
        <f>(39493.49*(IF((VLOOKUP(B786,AmmoTypeFactors,6,FALSE)="Bomb_Secondary"),1.33,1)*('Ammo Input'!H786*0.35)/1000)^0.6/1000)*10/3*VLOOKUP(B786,AmmoTypeFactors,4,FALSE)</f>
        <v>#N/A</v>
      </c>
    </row>
    <row r="787" ht="14.4" spans="1:16">
      <c r="A787">
        <f>'Ammo Input'!A787</f>
        <v>0</v>
      </c>
      <c r="B787" s="1">
        <f>'Ammo Input'!B787</f>
        <v>0</v>
      </c>
      <c r="C787" t="e">
        <f>0.579*('Ammo Stats'!G787*IF(OR(B787="HEAT",B787="HEDP"),10,'Ammo Input'!F787)*VLOOKUP(B787,AmmoTypeFactors,7,FALSE))^(0.346)</f>
        <v>#N/A</v>
      </c>
      <c r="D787" s="16" t="e">
        <f>IF(VLOOKUP(B787,AmmoTypeFactors,8,FALSE),J787,C787)*VLOOKUP('Ammo Input'!B787,AmmoTypeFactors,2,FALSE)</f>
        <v>#N/A</v>
      </c>
      <c r="E787" s="16" t="e">
        <f>IF(OR(VLOOKUP(B787,AmmoTypeFactors,6,FALSE)="Bomb",VLOOKUP(B787,AmmoTypeFactors,6,FALSE)="Thermobaric"),J787*VLOOKUP(B787,AmmoTypeFactors,4,FALSE),IF(VLOOKUP(B787,AmmoTypeFactors,11,FALSE),P787,C787*VLOOKUP(B787,AmmoTypeFactors,4,FALSE)))</f>
        <v>#N/A</v>
      </c>
      <c r="F787" s="16">
        <f>'Ammo Stats'!G787/0.005</f>
        <v>0</v>
      </c>
      <c r="G787" s="16" t="e">
        <f>(IF(B787="HEAT",10,'Ammo Input'!F787)*VLOOKUP(B787,AmmoTypeFactors,7,FALSE)*0.5)^2*PI()/100</f>
        <v>#N/A</v>
      </c>
      <c r="H787" s="10">
        <f t="shared" si="33"/>
        <v>0</v>
      </c>
      <c r="I787" s="10">
        <f>IF(B787&lt;&gt;"Arrow (Flaming)",39493.49*'Ammo Input'!M788^0.6/1000,0)</f>
        <v>0</v>
      </c>
      <c r="J787">
        <f t="shared" si="34"/>
        <v>0</v>
      </c>
      <c r="K787">
        <f t="shared" si="35"/>
        <v>0</v>
      </c>
      <c r="L787" t="e">
        <f>200000/('Ammo Stats'!C787*(MAX('Ammo Input'!D787,'Ammo Input'!F787)*0.5)^2*PI())</f>
        <v>#DIV/0!</v>
      </c>
      <c r="M787" t="e">
        <f>IF(B787="Frag",1,('Ammo Input'!M787/1.33)/('Ammo Input'!H787/1000))</f>
        <v>#DIV/0!</v>
      </c>
      <c r="N787" t="s">
        <v>338</v>
      </c>
      <c r="O787" t="s">
        <v>338</v>
      </c>
      <c r="P787" s="3" t="e">
        <f>(39493.49*(IF((VLOOKUP(B787,AmmoTypeFactors,6,FALSE)="Bomb_Secondary"),1.33,1)*('Ammo Input'!H787*0.35)/1000)^0.6/1000)*10/3*VLOOKUP(B787,AmmoTypeFactors,4,FALSE)</f>
        <v>#N/A</v>
      </c>
    </row>
    <row r="788" ht="14.4" spans="1:16">
      <c r="A788">
        <f>'Ammo Input'!A788</f>
        <v>0</v>
      </c>
      <c r="B788" s="1">
        <f>'Ammo Input'!B788</f>
        <v>0</v>
      </c>
      <c r="C788" t="e">
        <f>0.579*('Ammo Stats'!G788*IF(OR(B788="HEAT",B788="HEDP"),10,'Ammo Input'!F788)*VLOOKUP(B788,AmmoTypeFactors,7,FALSE))^(0.346)</f>
        <v>#N/A</v>
      </c>
      <c r="D788" s="16" t="e">
        <f>IF(VLOOKUP(B788,AmmoTypeFactors,8,FALSE),J788,C788)*VLOOKUP('Ammo Input'!B788,AmmoTypeFactors,2,FALSE)</f>
        <v>#N/A</v>
      </c>
      <c r="E788" s="16" t="e">
        <f>IF(OR(VLOOKUP(B788,AmmoTypeFactors,6,FALSE)="Bomb",VLOOKUP(B788,AmmoTypeFactors,6,FALSE)="Thermobaric"),J788*VLOOKUP(B788,AmmoTypeFactors,4,FALSE),IF(VLOOKUP(B788,AmmoTypeFactors,11,FALSE),P788,C788*VLOOKUP(B788,AmmoTypeFactors,4,FALSE)))</f>
        <v>#N/A</v>
      </c>
      <c r="F788" s="16">
        <f>'Ammo Stats'!G788/0.005</f>
        <v>0</v>
      </c>
      <c r="G788" s="16" t="e">
        <f>(IF(B788="HEAT",10,'Ammo Input'!F788)*VLOOKUP(B788,AmmoTypeFactors,7,FALSE)*0.5)^2*PI()/100</f>
        <v>#N/A</v>
      </c>
      <c r="H788" s="10">
        <f t="shared" si="33"/>
        <v>0</v>
      </c>
      <c r="I788" s="10">
        <f>IF(B788&lt;&gt;"Arrow (Flaming)",39493.49*'Ammo Input'!M789^0.6/1000,0)</f>
        <v>0</v>
      </c>
      <c r="J788">
        <f t="shared" si="34"/>
        <v>0</v>
      </c>
      <c r="K788">
        <f t="shared" si="35"/>
        <v>0</v>
      </c>
      <c r="L788" t="e">
        <f>200000/('Ammo Stats'!C788*(MAX('Ammo Input'!D788,'Ammo Input'!F788)*0.5)^2*PI())</f>
        <v>#DIV/0!</v>
      </c>
      <c r="M788" t="e">
        <f>IF(B788="Frag",1,('Ammo Input'!M788/1.33)/('Ammo Input'!H788/1000))</f>
        <v>#DIV/0!</v>
      </c>
      <c r="N788" t="s">
        <v>338</v>
      </c>
      <c r="O788" t="s">
        <v>338</v>
      </c>
      <c r="P788" s="3" t="e">
        <f>(39493.49*(IF((VLOOKUP(B788,AmmoTypeFactors,6,FALSE)="Bomb_Secondary"),1.33,1)*('Ammo Input'!H788*0.35)/1000)^0.6/1000)*10/3*VLOOKUP(B788,AmmoTypeFactors,4,FALSE)</f>
        <v>#N/A</v>
      </c>
    </row>
    <row r="789" ht="14.4" spans="1:16">
      <c r="A789">
        <f>'Ammo Input'!A789</f>
        <v>0</v>
      </c>
      <c r="B789" s="1">
        <f>'Ammo Input'!B789</f>
        <v>0</v>
      </c>
      <c r="C789" t="e">
        <f>0.579*('Ammo Stats'!G789*IF(OR(B789="HEAT",B789="HEDP"),10,'Ammo Input'!F789)*VLOOKUP(B789,AmmoTypeFactors,7,FALSE))^(0.346)</f>
        <v>#N/A</v>
      </c>
      <c r="D789" s="16" t="e">
        <f>IF(VLOOKUP(B789,AmmoTypeFactors,8,FALSE),J789,C789)*VLOOKUP('Ammo Input'!B789,AmmoTypeFactors,2,FALSE)</f>
        <v>#N/A</v>
      </c>
      <c r="E789" s="16" t="e">
        <f>IF(OR(VLOOKUP(B789,AmmoTypeFactors,6,FALSE)="Bomb",VLOOKUP(B789,AmmoTypeFactors,6,FALSE)="Thermobaric"),J789*VLOOKUP(B789,AmmoTypeFactors,4,FALSE),IF(VLOOKUP(B789,AmmoTypeFactors,11,FALSE),P789,C789*VLOOKUP(B789,AmmoTypeFactors,4,FALSE)))</f>
        <v>#N/A</v>
      </c>
      <c r="F789" s="16">
        <f>'Ammo Stats'!G789/0.005</f>
        <v>0</v>
      </c>
      <c r="G789" s="16" t="e">
        <f>(IF(B789="HEAT",10,'Ammo Input'!F789)*VLOOKUP(B789,AmmoTypeFactors,7,FALSE)*0.5)^2*PI()/100</f>
        <v>#N/A</v>
      </c>
      <c r="H789" s="10">
        <f t="shared" si="33"/>
        <v>0</v>
      </c>
      <c r="I789" s="10">
        <f>IF(B789&lt;&gt;"Arrow (Flaming)",39493.49*'Ammo Input'!M790^0.6/1000,0)</f>
        <v>0</v>
      </c>
      <c r="J789">
        <f t="shared" si="34"/>
        <v>0</v>
      </c>
      <c r="K789">
        <f t="shared" si="35"/>
        <v>0</v>
      </c>
      <c r="L789" t="e">
        <f>200000/('Ammo Stats'!C789*(MAX('Ammo Input'!D789,'Ammo Input'!F789)*0.5)^2*PI())</f>
        <v>#DIV/0!</v>
      </c>
      <c r="M789" t="e">
        <f>IF(B789="Frag",1,('Ammo Input'!M789/1.33)/('Ammo Input'!H789/1000))</f>
        <v>#DIV/0!</v>
      </c>
      <c r="N789" t="s">
        <v>338</v>
      </c>
      <c r="O789" t="s">
        <v>338</v>
      </c>
      <c r="P789" s="3" t="e">
        <f>(39493.49*(IF((VLOOKUP(B789,AmmoTypeFactors,6,FALSE)="Bomb_Secondary"),1.33,1)*('Ammo Input'!H789*0.35)/1000)^0.6/1000)*10/3*VLOOKUP(B789,AmmoTypeFactors,4,FALSE)</f>
        <v>#N/A</v>
      </c>
    </row>
    <row r="790" ht="14.4" spans="1:16">
      <c r="A790">
        <f>'Ammo Input'!A790</f>
        <v>0</v>
      </c>
      <c r="B790" s="1">
        <f>'Ammo Input'!B790</f>
        <v>0</v>
      </c>
      <c r="C790" t="e">
        <f>0.579*('Ammo Stats'!G790*IF(OR(B790="HEAT",B790="HEDP"),10,'Ammo Input'!F790)*VLOOKUP(B790,AmmoTypeFactors,7,FALSE))^(0.346)</f>
        <v>#N/A</v>
      </c>
      <c r="D790" s="16" t="e">
        <f>IF(VLOOKUP(B790,AmmoTypeFactors,8,FALSE),J790,C790)*VLOOKUP('Ammo Input'!B790,AmmoTypeFactors,2,FALSE)</f>
        <v>#N/A</v>
      </c>
      <c r="E790" s="16" t="e">
        <f>IF(OR(VLOOKUP(B790,AmmoTypeFactors,6,FALSE)="Bomb",VLOOKUP(B790,AmmoTypeFactors,6,FALSE)="Thermobaric"),J790*VLOOKUP(B790,AmmoTypeFactors,4,FALSE),IF(VLOOKUP(B790,AmmoTypeFactors,11,FALSE),P790,C790*VLOOKUP(B790,AmmoTypeFactors,4,FALSE)))</f>
        <v>#N/A</v>
      </c>
      <c r="F790" s="16">
        <f>'Ammo Stats'!G790/0.005</f>
        <v>0</v>
      </c>
      <c r="G790" s="16" t="e">
        <f>(IF(B790="HEAT",10,'Ammo Input'!F790)*VLOOKUP(B790,AmmoTypeFactors,7,FALSE)*0.5)^2*PI()/100</f>
        <v>#N/A</v>
      </c>
      <c r="H790" s="10">
        <f t="shared" si="33"/>
        <v>0</v>
      </c>
      <c r="I790" s="10">
        <f>IF(B790&lt;&gt;"Arrow (Flaming)",39493.49*'Ammo Input'!M791^0.6/1000,0)</f>
        <v>0</v>
      </c>
      <c r="J790">
        <f t="shared" si="34"/>
        <v>0</v>
      </c>
      <c r="K790">
        <f t="shared" si="35"/>
        <v>0</v>
      </c>
      <c r="L790" t="e">
        <f>200000/('Ammo Stats'!C790*(MAX('Ammo Input'!D790,'Ammo Input'!F790)*0.5)^2*PI())</f>
        <v>#DIV/0!</v>
      </c>
      <c r="M790" t="e">
        <f>IF(B790="Frag",1,('Ammo Input'!M790/1.33)/('Ammo Input'!H790/1000))</f>
        <v>#DIV/0!</v>
      </c>
      <c r="N790" t="s">
        <v>338</v>
      </c>
      <c r="O790" t="s">
        <v>338</v>
      </c>
      <c r="P790" s="3" t="e">
        <f>(39493.49*(IF((VLOOKUP(B790,AmmoTypeFactors,6,FALSE)="Bomb_Secondary"),1.33,1)*('Ammo Input'!H790*0.35)/1000)^0.6/1000)*10/3*VLOOKUP(B790,AmmoTypeFactors,4,FALSE)</f>
        <v>#N/A</v>
      </c>
    </row>
    <row r="791" ht="14.4" spans="1:16">
      <c r="A791">
        <f>'Ammo Input'!A791</f>
        <v>0</v>
      </c>
      <c r="B791" s="1">
        <f>'Ammo Input'!B791</f>
        <v>0</v>
      </c>
      <c r="C791" t="e">
        <f>0.579*('Ammo Stats'!G791*IF(OR(B791="HEAT",B791="HEDP"),10,'Ammo Input'!F791)*VLOOKUP(B791,AmmoTypeFactors,7,FALSE))^(0.346)</f>
        <v>#N/A</v>
      </c>
      <c r="D791" s="16" t="e">
        <f>IF(VLOOKUP(B791,AmmoTypeFactors,8,FALSE),J791,C791)*VLOOKUP('Ammo Input'!B791,AmmoTypeFactors,2,FALSE)</f>
        <v>#N/A</v>
      </c>
      <c r="E791" s="16" t="e">
        <f>IF(OR(VLOOKUP(B791,AmmoTypeFactors,6,FALSE)="Bomb",VLOOKUP(B791,AmmoTypeFactors,6,FALSE)="Thermobaric"),J791*VLOOKUP(B791,AmmoTypeFactors,4,FALSE),IF(VLOOKUP(B791,AmmoTypeFactors,11,FALSE),P791,C791*VLOOKUP(B791,AmmoTypeFactors,4,FALSE)))</f>
        <v>#N/A</v>
      </c>
      <c r="F791" s="16">
        <f>'Ammo Stats'!G791/0.005</f>
        <v>0</v>
      </c>
      <c r="G791" s="16" t="e">
        <f>(IF(B791="HEAT",10,'Ammo Input'!F791)*VLOOKUP(B791,AmmoTypeFactors,7,FALSE)*0.5)^2*PI()/100</f>
        <v>#N/A</v>
      </c>
      <c r="H791" s="10">
        <f t="shared" si="33"/>
        <v>0</v>
      </c>
      <c r="I791" s="10">
        <f>IF(B791&lt;&gt;"Arrow (Flaming)",39493.49*'Ammo Input'!M792^0.6/1000,0)</f>
        <v>0</v>
      </c>
      <c r="J791">
        <f t="shared" si="34"/>
        <v>0</v>
      </c>
      <c r="K791">
        <f t="shared" si="35"/>
        <v>0</v>
      </c>
      <c r="L791" t="e">
        <f>200000/('Ammo Stats'!C791*(MAX('Ammo Input'!D791,'Ammo Input'!F791)*0.5)^2*PI())</f>
        <v>#DIV/0!</v>
      </c>
      <c r="M791" t="e">
        <f>IF(B791="Frag",1,('Ammo Input'!M791/1.33)/('Ammo Input'!H791/1000))</f>
        <v>#DIV/0!</v>
      </c>
      <c r="N791" t="s">
        <v>338</v>
      </c>
      <c r="O791" t="s">
        <v>338</v>
      </c>
      <c r="P791" s="3" t="e">
        <f>(39493.49*(IF((VLOOKUP(B791,AmmoTypeFactors,6,FALSE)="Bomb_Secondary"),1.33,1)*('Ammo Input'!H791*0.35)/1000)^0.6/1000)*10/3*VLOOKUP(B791,AmmoTypeFactors,4,FALSE)</f>
        <v>#N/A</v>
      </c>
    </row>
    <row r="792" ht="14.4" spans="1:16">
      <c r="A792">
        <f>'Ammo Input'!A792</f>
        <v>0</v>
      </c>
      <c r="B792" s="1">
        <f>'Ammo Input'!B792</f>
        <v>0</v>
      </c>
      <c r="C792" t="e">
        <f>0.579*('Ammo Stats'!G792*IF(OR(B792="HEAT",B792="HEDP"),10,'Ammo Input'!F792)*VLOOKUP(B792,AmmoTypeFactors,7,FALSE))^(0.346)</f>
        <v>#N/A</v>
      </c>
      <c r="D792" s="16" t="e">
        <f>IF(VLOOKUP(B792,AmmoTypeFactors,8,FALSE),J792,C792)*VLOOKUP('Ammo Input'!B792,AmmoTypeFactors,2,FALSE)</f>
        <v>#N/A</v>
      </c>
      <c r="E792" s="16" t="e">
        <f>IF(OR(VLOOKUP(B792,AmmoTypeFactors,6,FALSE)="Bomb",VLOOKUP(B792,AmmoTypeFactors,6,FALSE)="Thermobaric"),J792*VLOOKUP(B792,AmmoTypeFactors,4,FALSE),IF(VLOOKUP(B792,AmmoTypeFactors,11,FALSE),P792,C792*VLOOKUP(B792,AmmoTypeFactors,4,FALSE)))</f>
        <v>#N/A</v>
      </c>
      <c r="F792" s="16">
        <f>'Ammo Stats'!G792/0.005</f>
        <v>0</v>
      </c>
      <c r="G792" s="16" t="e">
        <f>(IF(B792="HEAT",10,'Ammo Input'!F792)*VLOOKUP(B792,AmmoTypeFactors,7,FALSE)*0.5)^2*PI()/100</f>
        <v>#N/A</v>
      </c>
      <c r="H792" s="10">
        <f t="shared" si="33"/>
        <v>0</v>
      </c>
      <c r="I792" s="10">
        <f>IF(B792&lt;&gt;"Arrow (Flaming)",39493.49*'Ammo Input'!M793^0.6/1000,0)</f>
        <v>0</v>
      </c>
      <c r="J792">
        <f t="shared" si="34"/>
        <v>0</v>
      </c>
      <c r="K792">
        <f t="shared" si="35"/>
        <v>0</v>
      </c>
      <c r="L792" t="e">
        <f>200000/('Ammo Stats'!C792*(MAX('Ammo Input'!D792,'Ammo Input'!F792)*0.5)^2*PI())</f>
        <v>#DIV/0!</v>
      </c>
      <c r="M792" t="e">
        <f>IF(B792="Frag",1,('Ammo Input'!M792/1.33)/('Ammo Input'!H792/1000))</f>
        <v>#DIV/0!</v>
      </c>
      <c r="N792" t="s">
        <v>338</v>
      </c>
      <c r="O792" t="s">
        <v>338</v>
      </c>
      <c r="P792" s="3" t="e">
        <f>(39493.49*(IF((VLOOKUP(B792,AmmoTypeFactors,6,FALSE)="Bomb_Secondary"),1.33,1)*('Ammo Input'!H792*0.35)/1000)^0.6/1000)*10/3*VLOOKUP(B792,AmmoTypeFactors,4,FALSE)</f>
        <v>#N/A</v>
      </c>
    </row>
    <row r="793" ht="14.4" spans="1:16">
      <c r="A793">
        <f>'Ammo Input'!A793</f>
        <v>0</v>
      </c>
      <c r="B793" s="1">
        <f>'Ammo Input'!B793</f>
        <v>0</v>
      </c>
      <c r="C793" t="e">
        <f>0.579*('Ammo Stats'!G793*IF(OR(B793="HEAT",B793="HEDP"),10,'Ammo Input'!F793)*VLOOKUP(B793,AmmoTypeFactors,7,FALSE))^(0.346)</f>
        <v>#N/A</v>
      </c>
      <c r="D793" s="16" t="e">
        <f>IF(VLOOKUP(B793,AmmoTypeFactors,8,FALSE),J793,C793)*VLOOKUP('Ammo Input'!B793,AmmoTypeFactors,2,FALSE)</f>
        <v>#N/A</v>
      </c>
      <c r="E793" s="16" t="e">
        <f>IF(OR(VLOOKUP(B793,AmmoTypeFactors,6,FALSE)="Bomb",VLOOKUP(B793,AmmoTypeFactors,6,FALSE)="Thermobaric"),J793*VLOOKUP(B793,AmmoTypeFactors,4,FALSE),IF(VLOOKUP(B793,AmmoTypeFactors,11,FALSE),P793,C793*VLOOKUP(B793,AmmoTypeFactors,4,FALSE)))</f>
        <v>#N/A</v>
      </c>
      <c r="F793" s="16">
        <f>'Ammo Stats'!G793/0.005</f>
        <v>0</v>
      </c>
      <c r="G793" s="16" t="e">
        <f>(IF(B793="HEAT",10,'Ammo Input'!F793)*VLOOKUP(B793,AmmoTypeFactors,7,FALSE)*0.5)^2*PI()/100</f>
        <v>#N/A</v>
      </c>
      <c r="H793" s="10">
        <f t="shared" si="33"/>
        <v>0</v>
      </c>
      <c r="I793" s="10">
        <f>IF(B793&lt;&gt;"Arrow (Flaming)",39493.49*'Ammo Input'!M794^0.6/1000,0)</f>
        <v>0</v>
      </c>
      <c r="J793">
        <f t="shared" si="34"/>
        <v>0</v>
      </c>
      <c r="K793">
        <f t="shared" si="35"/>
        <v>0</v>
      </c>
      <c r="L793" t="e">
        <f>200000/('Ammo Stats'!C793*(MAX('Ammo Input'!D793,'Ammo Input'!F793)*0.5)^2*PI())</f>
        <v>#DIV/0!</v>
      </c>
      <c r="M793" t="e">
        <f>IF(B793="Frag",1,('Ammo Input'!M793/1.33)/('Ammo Input'!H793/1000))</f>
        <v>#DIV/0!</v>
      </c>
      <c r="N793" t="s">
        <v>338</v>
      </c>
      <c r="O793" t="s">
        <v>338</v>
      </c>
      <c r="P793" s="3" t="e">
        <f>(39493.49*(IF((VLOOKUP(B793,AmmoTypeFactors,6,FALSE)="Bomb_Secondary"),1.33,1)*('Ammo Input'!H793*0.35)/1000)^0.6/1000)*10/3*VLOOKUP(B793,AmmoTypeFactors,4,FALSE)</f>
        <v>#N/A</v>
      </c>
    </row>
    <row r="794" ht="14.4" spans="1:16">
      <c r="A794">
        <f>'Ammo Input'!A794</f>
        <v>0</v>
      </c>
      <c r="B794" s="1">
        <f>'Ammo Input'!B794</f>
        <v>0</v>
      </c>
      <c r="C794" t="e">
        <f>0.579*('Ammo Stats'!G794*IF(OR(B794="HEAT",B794="HEDP"),10,'Ammo Input'!F794)*VLOOKUP(B794,AmmoTypeFactors,7,FALSE))^(0.346)</f>
        <v>#N/A</v>
      </c>
      <c r="D794" s="16" t="e">
        <f>IF(VLOOKUP(B794,AmmoTypeFactors,8,FALSE),J794,C794)*VLOOKUP('Ammo Input'!B794,AmmoTypeFactors,2,FALSE)</f>
        <v>#N/A</v>
      </c>
      <c r="E794" s="16" t="e">
        <f>IF(OR(VLOOKUP(B794,AmmoTypeFactors,6,FALSE)="Bomb",VLOOKUP(B794,AmmoTypeFactors,6,FALSE)="Thermobaric"),J794*VLOOKUP(B794,AmmoTypeFactors,4,FALSE),IF(VLOOKUP(B794,AmmoTypeFactors,11,FALSE),P794,C794*VLOOKUP(B794,AmmoTypeFactors,4,FALSE)))</f>
        <v>#N/A</v>
      </c>
      <c r="F794" s="16">
        <f>'Ammo Stats'!G794/0.005</f>
        <v>0</v>
      </c>
      <c r="G794" s="16" t="e">
        <f>(IF(B794="HEAT",10,'Ammo Input'!F794)*VLOOKUP(B794,AmmoTypeFactors,7,FALSE)*0.5)^2*PI()/100</f>
        <v>#N/A</v>
      </c>
      <c r="H794" s="10">
        <f t="shared" si="33"/>
        <v>0</v>
      </c>
      <c r="I794" s="10">
        <f>IF(B794&lt;&gt;"Arrow (Flaming)",39493.49*'Ammo Input'!M795^0.6/1000,0)</f>
        <v>0</v>
      </c>
      <c r="J794">
        <f t="shared" si="34"/>
        <v>0</v>
      </c>
      <c r="K794">
        <f t="shared" si="35"/>
        <v>0</v>
      </c>
      <c r="L794" t="e">
        <f>200000/('Ammo Stats'!C794*(MAX('Ammo Input'!D794,'Ammo Input'!F794)*0.5)^2*PI())</f>
        <v>#DIV/0!</v>
      </c>
      <c r="M794" t="e">
        <f>IF(B794="Frag",1,('Ammo Input'!M794/1.33)/('Ammo Input'!H794/1000))</f>
        <v>#DIV/0!</v>
      </c>
      <c r="N794" t="s">
        <v>338</v>
      </c>
      <c r="O794" t="s">
        <v>338</v>
      </c>
      <c r="P794" s="3" t="e">
        <f>(39493.49*(IF((VLOOKUP(B794,AmmoTypeFactors,6,FALSE)="Bomb_Secondary"),1.33,1)*('Ammo Input'!H794*0.35)/1000)^0.6/1000)*10/3*VLOOKUP(B794,AmmoTypeFactors,4,FALSE)</f>
        <v>#N/A</v>
      </c>
    </row>
    <row r="795" ht="14.4" spans="1:16">
      <c r="A795">
        <f>'Ammo Input'!A795</f>
        <v>0</v>
      </c>
      <c r="B795" s="1">
        <f>'Ammo Input'!B795</f>
        <v>0</v>
      </c>
      <c r="C795" t="e">
        <f>0.579*('Ammo Stats'!G795*IF(OR(B795="HEAT",B795="HEDP"),10,'Ammo Input'!F795)*VLOOKUP(B795,AmmoTypeFactors,7,FALSE))^(0.346)</f>
        <v>#N/A</v>
      </c>
      <c r="D795" s="16" t="e">
        <f>IF(VLOOKUP(B795,AmmoTypeFactors,8,FALSE),J795,C795)*VLOOKUP('Ammo Input'!B795,AmmoTypeFactors,2,FALSE)</f>
        <v>#N/A</v>
      </c>
      <c r="E795" s="16" t="e">
        <f>IF(OR(VLOOKUP(B795,AmmoTypeFactors,6,FALSE)="Bomb",VLOOKUP(B795,AmmoTypeFactors,6,FALSE)="Thermobaric"),J795*VLOOKUP(B795,AmmoTypeFactors,4,FALSE),IF(VLOOKUP(B795,AmmoTypeFactors,11,FALSE),P795,C795*VLOOKUP(B795,AmmoTypeFactors,4,FALSE)))</f>
        <v>#N/A</v>
      </c>
      <c r="F795" s="16">
        <f>'Ammo Stats'!G795/0.005</f>
        <v>0</v>
      </c>
      <c r="G795" s="16" t="e">
        <f>(IF(B795="HEAT",10,'Ammo Input'!F795)*VLOOKUP(B795,AmmoTypeFactors,7,FALSE)*0.5)^2*PI()/100</f>
        <v>#N/A</v>
      </c>
      <c r="H795" s="10">
        <f t="shared" si="33"/>
        <v>0</v>
      </c>
      <c r="I795" s="10">
        <f>IF(B795&lt;&gt;"Arrow (Flaming)",39493.49*'Ammo Input'!M796^0.6/1000,0)</f>
        <v>0</v>
      </c>
      <c r="J795">
        <f t="shared" si="34"/>
        <v>0</v>
      </c>
      <c r="K795">
        <f t="shared" si="35"/>
        <v>0</v>
      </c>
      <c r="L795" t="e">
        <f>200000/('Ammo Stats'!C795*(MAX('Ammo Input'!D795,'Ammo Input'!F795)*0.5)^2*PI())</f>
        <v>#DIV/0!</v>
      </c>
      <c r="M795" t="e">
        <f>IF(B795="Frag",1,('Ammo Input'!M795/1.33)/('Ammo Input'!H795/1000))</f>
        <v>#DIV/0!</v>
      </c>
      <c r="N795" t="s">
        <v>338</v>
      </c>
      <c r="O795" t="s">
        <v>338</v>
      </c>
      <c r="P795" s="3" t="e">
        <f>(39493.49*(IF((VLOOKUP(B795,AmmoTypeFactors,6,FALSE)="Bomb_Secondary"),1.33,1)*('Ammo Input'!H795*0.35)/1000)^0.6/1000)*10/3*VLOOKUP(B795,AmmoTypeFactors,4,FALSE)</f>
        <v>#N/A</v>
      </c>
    </row>
    <row r="796" ht="14.4" spans="1:16">
      <c r="A796">
        <f>'Ammo Input'!A796</f>
        <v>0</v>
      </c>
      <c r="B796" s="1">
        <f>'Ammo Input'!B796</f>
        <v>0</v>
      </c>
      <c r="C796" t="e">
        <f>0.579*('Ammo Stats'!G796*IF(OR(B796="HEAT",B796="HEDP"),10,'Ammo Input'!F796)*VLOOKUP(B796,AmmoTypeFactors,7,FALSE))^(0.346)</f>
        <v>#N/A</v>
      </c>
      <c r="D796" s="16" t="e">
        <f>IF(VLOOKUP(B796,AmmoTypeFactors,8,FALSE),J796,C796)*VLOOKUP('Ammo Input'!B796,AmmoTypeFactors,2,FALSE)</f>
        <v>#N/A</v>
      </c>
      <c r="E796" s="16" t="e">
        <f>IF(OR(VLOOKUP(B796,AmmoTypeFactors,6,FALSE)="Bomb",VLOOKUP(B796,AmmoTypeFactors,6,FALSE)="Thermobaric"),J796*VLOOKUP(B796,AmmoTypeFactors,4,FALSE),IF(VLOOKUP(B796,AmmoTypeFactors,11,FALSE),P796,C796*VLOOKUP(B796,AmmoTypeFactors,4,FALSE)))</f>
        <v>#N/A</v>
      </c>
      <c r="F796" s="16">
        <f>'Ammo Stats'!G796/0.005</f>
        <v>0</v>
      </c>
      <c r="G796" s="16" t="e">
        <f>(IF(B796="HEAT",10,'Ammo Input'!F796)*VLOOKUP(B796,AmmoTypeFactors,7,FALSE)*0.5)^2*PI()/100</f>
        <v>#N/A</v>
      </c>
      <c r="H796" s="10">
        <f t="shared" si="33"/>
        <v>0</v>
      </c>
      <c r="I796" s="10">
        <f>IF(B796&lt;&gt;"Arrow (Flaming)",39493.49*'Ammo Input'!M797^0.6/1000,0)</f>
        <v>0</v>
      </c>
      <c r="J796">
        <f t="shared" si="34"/>
        <v>0</v>
      </c>
      <c r="K796">
        <f t="shared" si="35"/>
        <v>0</v>
      </c>
      <c r="L796" t="e">
        <f>200000/('Ammo Stats'!C796*(MAX('Ammo Input'!D796,'Ammo Input'!F796)*0.5)^2*PI())</f>
        <v>#DIV/0!</v>
      </c>
      <c r="M796" t="e">
        <f>IF(B796="Frag",1,('Ammo Input'!M796/1.33)/('Ammo Input'!H796/1000))</f>
        <v>#DIV/0!</v>
      </c>
      <c r="N796" t="s">
        <v>338</v>
      </c>
      <c r="O796" t="s">
        <v>338</v>
      </c>
      <c r="P796" s="3" t="e">
        <f>(39493.49*(IF((VLOOKUP(B796,AmmoTypeFactors,6,FALSE)="Bomb_Secondary"),1.33,1)*('Ammo Input'!H796*0.35)/1000)^0.6/1000)*10/3*VLOOKUP(B796,AmmoTypeFactors,4,FALSE)</f>
        <v>#N/A</v>
      </c>
    </row>
    <row r="797" ht="14.4" spans="1:16">
      <c r="A797">
        <f>'Ammo Input'!A797</f>
        <v>0</v>
      </c>
      <c r="B797" s="1">
        <f>'Ammo Input'!B797</f>
        <v>0</v>
      </c>
      <c r="C797" t="e">
        <f>0.579*('Ammo Stats'!G797*IF(OR(B797="HEAT",B797="HEDP"),10,'Ammo Input'!F797)*VLOOKUP(B797,AmmoTypeFactors,7,FALSE))^(0.346)</f>
        <v>#N/A</v>
      </c>
      <c r="D797" s="16" t="e">
        <f>IF(VLOOKUP(B797,AmmoTypeFactors,8,FALSE),J797,C797)*VLOOKUP('Ammo Input'!B797,AmmoTypeFactors,2,FALSE)</f>
        <v>#N/A</v>
      </c>
      <c r="E797" s="16" t="e">
        <f>IF(OR(VLOOKUP(B797,AmmoTypeFactors,6,FALSE)="Bomb",VLOOKUP(B797,AmmoTypeFactors,6,FALSE)="Thermobaric"),J797*VLOOKUP(B797,AmmoTypeFactors,4,FALSE),IF(VLOOKUP(B797,AmmoTypeFactors,11,FALSE),P797,C797*VLOOKUP(B797,AmmoTypeFactors,4,FALSE)))</f>
        <v>#N/A</v>
      </c>
      <c r="F797" s="16">
        <f>'Ammo Stats'!G797/0.005</f>
        <v>0</v>
      </c>
      <c r="G797" s="16" t="e">
        <f>(IF(B797="HEAT",10,'Ammo Input'!F797)*VLOOKUP(B797,AmmoTypeFactors,7,FALSE)*0.5)^2*PI()/100</f>
        <v>#N/A</v>
      </c>
      <c r="H797" s="10">
        <f t="shared" si="33"/>
        <v>0</v>
      </c>
      <c r="I797" s="10">
        <f>IF(B797&lt;&gt;"Arrow (Flaming)",39493.49*'Ammo Input'!M798^0.6/1000,0)</f>
        <v>0</v>
      </c>
      <c r="J797">
        <f t="shared" si="34"/>
        <v>0</v>
      </c>
      <c r="K797">
        <f t="shared" si="35"/>
        <v>0</v>
      </c>
      <c r="L797" t="e">
        <f>200000/('Ammo Stats'!C797*(MAX('Ammo Input'!D797,'Ammo Input'!F797)*0.5)^2*PI())</f>
        <v>#DIV/0!</v>
      </c>
      <c r="M797" t="e">
        <f>IF(B797="Frag",1,('Ammo Input'!M797/1.33)/('Ammo Input'!H797/1000))</f>
        <v>#DIV/0!</v>
      </c>
      <c r="N797" t="s">
        <v>338</v>
      </c>
      <c r="O797" t="s">
        <v>338</v>
      </c>
      <c r="P797" s="3" t="e">
        <f>(39493.49*(IF((VLOOKUP(B797,AmmoTypeFactors,6,FALSE)="Bomb_Secondary"),1.33,1)*('Ammo Input'!H797*0.35)/1000)^0.6/1000)*10/3*VLOOKUP(B797,AmmoTypeFactors,4,FALSE)</f>
        <v>#N/A</v>
      </c>
    </row>
    <row r="798" ht="14.4" spans="8:9">
      <c r="H798" s="10"/>
      <c r="I798" s="10"/>
    </row>
    <row r="799" ht="14.4" spans="8:9">
      <c r="H799" s="10"/>
      <c r="I799" s="10"/>
    </row>
    <row r="800" ht="14.4" spans="8:9">
      <c r="H800" s="10"/>
      <c r="I800" s="10"/>
    </row>
    <row r="801" ht="14.4" spans="8:9">
      <c r="H801" s="10"/>
      <c r="I801" s="10"/>
    </row>
    <row r="802" ht="14.4" spans="8:9">
      <c r="H802" s="10"/>
      <c r="I802" s="10"/>
    </row>
    <row r="803" ht="14.4" spans="8:9">
      <c r="H803" s="10"/>
      <c r="I803" s="10"/>
    </row>
    <row r="804" ht="14.4" spans="8:9">
      <c r="H804" s="10"/>
      <c r="I804" s="10"/>
    </row>
    <row r="805" ht="14.4" spans="8:9">
      <c r="H805" s="10"/>
      <c r="I805" s="10"/>
    </row>
    <row r="806" ht="14.4" spans="8:9">
      <c r="H806" s="10"/>
      <c r="I806" s="10"/>
    </row>
    <row r="807" ht="14.4" spans="8:9">
      <c r="H807" s="10"/>
      <c r="I807" s="10"/>
    </row>
    <row r="808" ht="14.4" spans="8:9">
      <c r="H808" s="10"/>
      <c r="I808" s="10"/>
    </row>
    <row r="809" ht="14.4" spans="8:9">
      <c r="H809" s="10"/>
      <c r="I809" s="10"/>
    </row>
    <row r="810" ht="14.4" spans="8:9">
      <c r="H810" s="10"/>
      <c r="I810" s="10"/>
    </row>
    <row r="811" ht="14.4" spans="8:9">
      <c r="H811" s="10"/>
      <c r="I811" s="10"/>
    </row>
    <row r="812" ht="14.4" spans="8:9">
      <c r="H812" s="10"/>
      <c r="I812" s="10"/>
    </row>
    <row r="813" ht="14.4" spans="8:9">
      <c r="H813" s="10"/>
      <c r="I813" s="10"/>
    </row>
    <row r="814" ht="14.4" spans="8:9">
      <c r="H814" s="10"/>
      <c r="I814" s="10"/>
    </row>
    <row r="815" ht="14.4" spans="8:9">
      <c r="H815" s="10"/>
      <c r="I815" s="10"/>
    </row>
    <row r="816" ht="14.4" spans="8:9">
      <c r="H816" s="10"/>
      <c r="I816" s="10"/>
    </row>
    <row r="817" ht="14.4" spans="8:9">
      <c r="H817" s="10"/>
      <c r="I817" s="10"/>
    </row>
    <row r="818" ht="14.4" spans="8:9">
      <c r="H818" s="10"/>
      <c r="I818" s="10"/>
    </row>
    <row r="819" ht="14.4" spans="8:9">
      <c r="H819" s="10"/>
      <c r="I819" s="10"/>
    </row>
    <row r="820" ht="14.4" spans="8:9">
      <c r="H820" s="10"/>
      <c r="I820" s="10"/>
    </row>
    <row r="821" ht="14.4" spans="8:9">
      <c r="H821" s="10"/>
      <c r="I821" s="10"/>
    </row>
    <row r="822" ht="14.4" spans="8:9">
      <c r="H822" s="10"/>
      <c r="I822" s="10"/>
    </row>
    <row r="823" ht="14.4" spans="8:9">
      <c r="H823" s="10"/>
      <c r="I823" s="10"/>
    </row>
    <row r="824" ht="14.4" spans="8:9">
      <c r="H824" s="10"/>
      <c r="I824" s="10"/>
    </row>
    <row r="825" ht="14.4" spans="8:9">
      <c r="H825" s="10"/>
      <c r="I825" s="10"/>
    </row>
    <row r="826" ht="14.4" spans="8:9">
      <c r="H826" s="10"/>
      <c r="I826" s="10"/>
    </row>
    <row r="827" ht="14.4" spans="8:9">
      <c r="H827" s="10"/>
      <c r="I827" s="10"/>
    </row>
    <row r="828" ht="14.4" spans="8:9">
      <c r="H828" s="10"/>
      <c r="I828" s="10"/>
    </row>
    <row r="829" ht="14.4" spans="8:9">
      <c r="H829" s="10"/>
      <c r="I829" s="10"/>
    </row>
    <row r="830" ht="14.4" spans="8:9">
      <c r="H830" s="10"/>
      <c r="I830" s="10"/>
    </row>
    <row r="831" ht="14.4" spans="8:9">
      <c r="H831" s="10"/>
      <c r="I831" s="10"/>
    </row>
    <row r="832" ht="14.4" spans="8:9">
      <c r="H832" s="10"/>
      <c r="I832" s="10"/>
    </row>
    <row r="833" ht="14.4" spans="8:9">
      <c r="H833" s="10"/>
      <c r="I833" s="10"/>
    </row>
    <row r="834" ht="14.4" spans="8:9">
      <c r="H834" s="10"/>
      <c r="I834" s="10"/>
    </row>
    <row r="835" ht="14.4" spans="8:9">
      <c r="H835" s="10"/>
      <c r="I835" s="10"/>
    </row>
    <row r="836" ht="14.4" spans="8:9">
      <c r="H836" s="10"/>
      <c r="I836" s="10"/>
    </row>
    <row r="837" ht="14.4" spans="8:9">
      <c r="H837" s="10"/>
      <c r="I837" s="10"/>
    </row>
    <row r="838" ht="14.4" spans="8:9">
      <c r="H838" s="10"/>
      <c r="I838" s="10"/>
    </row>
    <row r="839" ht="14.4" spans="8:9">
      <c r="H839" s="10"/>
      <c r="I839" s="10"/>
    </row>
    <row r="840" ht="14.4" spans="8:9">
      <c r="H840" s="10"/>
      <c r="I840" s="10"/>
    </row>
    <row r="841" ht="14.4" spans="8:9">
      <c r="H841" s="10"/>
      <c r="I841" s="10"/>
    </row>
    <row r="842" ht="14.4" spans="8:9">
      <c r="H842" s="10"/>
      <c r="I842" s="10"/>
    </row>
    <row r="843" ht="14.4" spans="8:9">
      <c r="H843" s="10"/>
      <c r="I843" s="10"/>
    </row>
    <row r="844" ht="14.4" spans="8:9">
      <c r="H844" s="10"/>
      <c r="I844" s="10"/>
    </row>
    <row r="845" ht="14.4" spans="8:9">
      <c r="H845" s="10"/>
      <c r="I845" s="10"/>
    </row>
    <row r="846" ht="14.4" spans="8:9">
      <c r="H846" s="10"/>
      <c r="I846" s="10"/>
    </row>
    <row r="847" ht="14.4" spans="8:9">
      <c r="H847" s="10"/>
      <c r="I847" s="10"/>
    </row>
    <row r="848" ht="14.4" spans="8:9">
      <c r="H848" s="10"/>
      <c r="I848" s="10"/>
    </row>
    <row r="849" ht="14.4" spans="8:9">
      <c r="H849" s="10"/>
      <c r="I849" s="10"/>
    </row>
    <row r="850" ht="14.4" spans="8:9">
      <c r="H850" s="10"/>
      <c r="I850" s="10"/>
    </row>
    <row r="851" ht="14.4" spans="8:9">
      <c r="H851" s="10"/>
      <c r="I851" s="10"/>
    </row>
    <row r="852" ht="14.4" spans="8:9">
      <c r="H852" s="10"/>
      <c r="I852" s="10"/>
    </row>
    <row r="853" ht="14.4" spans="8:9">
      <c r="H853" s="10"/>
      <c r="I853" s="10"/>
    </row>
    <row r="854" ht="14.4" spans="8:9">
      <c r="H854" s="10"/>
      <c r="I854" s="10"/>
    </row>
    <row r="855" ht="14.4" spans="8:9">
      <c r="H855" s="10"/>
      <c r="I855" s="10"/>
    </row>
    <row r="856" ht="14.4" spans="8:9">
      <c r="H856" s="10"/>
      <c r="I856" s="10"/>
    </row>
    <row r="857" ht="14.4" spans="8:9">
      <c r="H857" s="10"/>
      <c r="I857" s="10"/>
    </row>
    <row r="858" ht="14.4" spans="8:9">
      <c r="H858" s="10"/>
      <c r="I858" s="10"/>
    </row>
    <row r="859" ht="14.4" spans="8:9">
      <c r="H859" s="10"/>
      <c r="I859" s="10"/>
    </row>
    <row r="860" ht="14.4" spans="8:9">
      <c r="H860" s="10"/>
      <c r="I860" s="10"/>
    </row>
    <row r="861" ht="14.4" spans="8:9">
      <c r="H861" s="10"/>
      <c r="I861" s="10"/>
    </row>
    <row r="862" ht="14.4" spans="8:9">
      <c r="H862" s="10"/>
      <c r="I862" s="10"/>
    </row>
    <row r="863" ht="14.4" spans="8:9">
      <c r="H863" s="10"/>
      <c r="I863" s="10"/>
    </row>
    <row r="864" ht="14.4" spans="8:9">
      <c r="H864" s="10"/>
      <c r="I864" s="10"/>
    </row>
    <row r="865" ht="14.4" spans="8:9">
      <c r="H865" s="10"/>
      <c r="I865" s="10"/>
    </row>
    <row r="866" ht="14.4" spans="8:9">
      <c r="H866" s="10"/>
      <c r="I866" s="10"/>
    </row>
    <row r="867" ht="14.4" spans="8:9">
      <c r="H867" s="10"/>
      <c r="I867" s="10"/>
    </row>
    <row r="868" ht="14.4" spans="8:9">
      <c r="H868" s="10"/>
      <c r="I868" s="10"/>
    </row>
    <row r="869" ht="14.4" spans="8:9">
      <c r="H869" s="10"/>
      <c r="I869" s="10"/>
    </row>
    <row r="870" ht="14.4" spans="8:9">
      <c r="H870" s="10"/>
      <c r="I870" s="10"/>
    </row>
    <row r="871" ht="14.4" spans="8:9">
      <c r="H871" s="10"/>
      <c r="I871" s="10"/>
    </row>
    <row r="872" ht="14.4" spans="8:9">
      <c r="H872" s="10"/>
      <c r="I872" s="10"/>
    </row>
    <row r="873" ht="14.4" spans="8:9">
      <c r="H873" s="10"/>
      <c r="I873" s="10"/>
    </row>
    <row r="874" ht="14.4" spans="8:9">
      <c r="H874" s="10"/>
      <c r="I874" s="10"/>
    </row>
    <row r="875" ht="14.4" spans="8:9">
      <c r="H875" s="10"/>
      <c r="I875" s="10"/>
    </row>
    <row r="876" ht="14.4" spans="8:9">
      <c r="H876" s="10"/>
      <c r="I876" s="10"/>
    </row>
    <row r="877" ht="14.4" spans="8:9">
      <c r="H877" s="10"/>
      <c r="I877" s="10"/>
    </row>
    <row r="878" ht="14.4" spans="8:9">
      <c r="H878" s="10"/>
      <c r="I878" s="10"/>
    </row>
    <row r="879" ht="14.4" spans="8:9">
      <c r="H879" s="10"/>
      <c r="I879" s="10"/>
    </row>
    <row r="880" ht="14.4" spans="8:9">
      <c r="H880" s="10"/>
      <c r="I880" s="10"/>
    </row>
    <row r="881" ht="14.4" spans="8:9">
      <c r="H881" s="10"/>
      <c r="I881" s="10"/>
    </row>
    <row r="882" ht="14.4" spans="8:9">
      <c r="H882" s="10"/>
      <c r="I882" s="10"/>
    </row>
    <row r="883" ht="14.4" spans="8:9">
      <c r="H883" s="10"/>
      <c r="I883" s="10"/>
    </row>
    <row r="884" ht="14.4" spans="8:9">
      <c r="H884" s="10"/>
      <c r="I884" s="10"/>
    </row>
    <row r="885" ht="14.4" spans="8:9">
      <c r="H885" s="10"/>
      <c r="I885" s="10"/>
    </row>
    <row r="886" ht="14.4" spans="8:9">
      <c r="H886" s="10"/>
      <c r="I886" s="10"/>
    </row>
    <row r="887" ht="14.4" spans="8:9">
      <c r="H887" s="10"/>
      <c r="I887" s="10"/>
    </row>
    <row r="888" ht="14.4" spans="8:9">
      <c r="H888" s="10"/>
      <c r="I888" s="10"/>
    </row>
    <row r="889" ht="14.4" spans="8:9">
      <c r="H889" s="10"/>
      <c r="I889" s="10"/>
    </row>
    <row r="890" ht="14.4" spans="8:9">
      <c r="H890" s="10"/>
      <c r="I890" s="10"/>
    </row>
    <row r="891" ht="14.4" spans="8:9">
      <c r="H891" s="10"/>
      <c r="I891" s="10"/>
    </row>
    <row r="892" ht="14.4" spans="8:9">
      <c r="H892" s="10"/>
      <c r="I892" s="10"/>
    </row>
    <row r="893" ht="14.4" spans="8:9">
      <c r="H893" s="10"/>
      <c r="I893" s="10"/>
    </row>
    <row r="894" ht="14.4" spans="8:9">
      <c r="H894" s="10"/>
      <c r="I894" s="10"/>
    </row>
    <row r="895" ht="14.4" spans="8:9">
      <c r="H895" s="10"/>
      <c r="I895" s="10"/>
    </row>
    <row r="896" ht="14.4" spans="8:9">
      <c r="H896" s="10"/>
      <c r="I896" s="10"/>
    </row>
    <row r="897" ht="14.4" spans="8:9">
      <c r="H897" s="10"/>
      <c r="I897" s="10"/>
    </row>
    <row r="898" ht="14.4" spans="8:9">
      <c r="H898" s="10"/>
      <c r="I898" s="10"/>
    </row>
    <row r="899" ht="14.4" spans="8:9">
      <c r="H899" s="10"/>
      <c r="I899" s="10"/>
    </row>
    <row r="900" ht="14.4" spans="8:9">
      <c r="H900" s="10"/>
      <c r="I900" s="10"/>
    </row>
    <row r="901" ht="14.4" spans="8:9">
      <c r="H901" s="10"/>
      <c r="I901" s="10"/>
    </row>
    <row r="902" ht="14.4" spans="8:9">
      <c r="H902" s="10"/>
      <c r="I902" s="10"/>
    </row>
    <row r="903" ht="14.4" spans="8:9">
      <c r="H903" s="10"/>
      <c r="I903" s="10"/>
    </row>
    <row r="904" ht="14.4" spans="8:9">
      <c r="H904" s="10"/>
      <c r="I904" s="10"/>
    </row>
    <row r="905" ht="14.4" spans="8:9">
      <c r="H905" s="10"/>
      <c r="I905" s="10"/>
    </row>
    <row r="906" ht="14.4" spans="8:9">
      <c r="H906" s="10"/>
      <c r="I906" s="10"/>
    </row>
    <row r="907" ht="14.4" spans="8:9">
      <c r="H907" s="10"/>
      <c r="I907" s="10"/>
    </row>
    <row r="908" ht="14.4" spans="8:9">
      <c r="H908" s="10"/>
      <c r="I908" s="10"/>
    </row>
    <row r="909" ht="14.4" spans="8:9">
      <c r="H909" s="10"/>
      <c r="I909" s="10"/>
    </row>
    <row r="910" ht="14.4" spans="8:9">
      <c r="H910" s="10"/>
      <c r="I910" s="10"/>
    </row>
    <row r="911" ht="14.4" spans="8:9">
      <c r="H911" s="10"/>
      <c r="I911" s="10"/>
    </row>
    <row r="912" ht="14.4" spans="8:9">
      <c r="H912" s="10"/>
      <c r="I912" s="10"/>
    </row>
    <row r="913" ht="14.4" spans="8:9">
      <c r="H913" s="10"/>
      <c r="I913" s="10"/>
    </row>
    <row r="914" ht="14.4" spans="8:9">
      <c r="H914" s="10"/>
      <c r="I914" s="10"/>
    </row>
    <row r="915" ht="14.4" spans="8:9">
      <c r="H915" s="10"/>
      <c r="I915" s="10"/>
    </row>
    <row r="916" ht="14.4" spans="8:9">
      <c r="H916" s="10"/>
      <c r="I916" s="10"/>
    </row>
    <row r="917" ht="14.4" spans="8:9">
      <c r="H917" s="10"/>
      <c r="I917" s="10"/>
    </row>
    <row r="918" ht="14.4" spans="8:9">
      <c r="H918" s="10"/>
      <c r="I918" s="10"/>
    </row>
    <row r="919" ht="14.4" spans="8:9">
      <c r="H919" s="10"/>
      <c r="I919" s="10"/>
    </row>
    <row r="920" ht="14.4" spans="8:9">
      <c r="H920" s="10"/>
      <c r="I920" s="10"/>
    </row>
    <row r="921" ht="14.4" spans="8:9">
      <c r="H921" s="10"/>
      <c r="I921" s="10"/>
    </row>
    <row r="922" ht="14.4" spans="8:9">
      <c r="H922" s="10"/>
      <c r="I922" s="10"/>
    </row>
    <row r="923" ht="14.4" spans="8:9">
      <c r="H923" s="10"/>
      <c r="I923" s="10"/>
    </row>
    <row r="924" ht="14.4" spans="8:9">
      <c r="H924" s="10"/>
      <c r="I924" s="10"/>
    </row>
    <row r="925" ht="14.4" spans="8:9">
      <c r="H925" s="10"/>
      <c r="I925" s="10"/>
    </row>
    <row r="926" ht="14.4" spans="8:9">
      <c r="H926" s="10"/>
      <c r="I926" s="10"/>
    </row>
    <row r="927" ht="14.4" spans="8:9">
      <c r="H927" s="10"/>
      <c r="I927" s="10"/>
    </row>
    <row r="928" ht="14.4" spans="8:9">
      <c r="H928" s="10"/>
      <c r="I928" s="10"/>
    </row>
    <row r="929" ht="14.4" spans="8:9">
      <c r="H929" s="10"/>
      <c r="I929" s="10"/>
    </row>
    <row r="930" ht="14.4" spans="8:9">
      <c r="H930" s="10"/>
      <c r="I930" s="10"/>
    </row>
    <row r="931" ht="14.4" spans="8:9">
      <c r="H931" s="10"/>
      <c r="I931" s="10"/>
    </row>
    <row r="932" ht="14.4" spans="8:9">
      <c r="H932" s="10"/>
      <c r="I932" s="10"/>
    </row>
    <row r="933" ht="14.4" spans="8:9">
      <c r="H933" s="10"/>
      <c r="I933" s="10"/>
    </row>
    <row r="934" ht="14.4" spans="8:9">
      <c r="H934" s="10"/>
      <c r="I934" s="10"/>
    </row>
    <row r="935" ht="14.4" spans="8:9">
      <c r="H935" s="10"/>
      <c r="I935" s="10"/>
    </row>
    <row r="936" ht="14.4" spans="8:9">
      <c r="H936" s="10"/>
      <c r="I936" s="10"/>
    </row>
    <row r="937" ht="14.4" spans="8:9">
      <c r="H937" s="10"/>
      <c r="I937" s="10"/>
    </row>
    <row r="938" ht="14.4" spans="8:9">
      <c r="H938" s="10"/>
      <c r="I938" s="10"/>
    </row>
    <row r="939" ht="14.4" spans="8:9">
      <c r="H939" s="10"/>
      <c r="I939" s="10"/>
    </row>
    <row r="940" ht="14.4" spans="8:9">
      <c r="H940" s="10"/>
      <c r="I940" s="10"/>
    </row>
    <row r="941" ht="14.4" spans="8:9">
      <c r="H941" s="10"/>
      <c r="I941" s="10"/>
    </row>
    <row r="942" ht="14.4" spans="8:9">
      <c r="H942" s="10"/>
      <c r="I942" s="10"/>
    </row>
    <row r="943" ht="14.4" spans="8:9">
      <c r="H943" s="10"/>
      <c r="I943" s="10"/>
    </row>
    <row r="944" ht="14.4" spans="8:9">
      <c r="H944" s="10"/>
      <c r="I944" s="10"/>
    </row>
    <row r="945" ht="14.4" spans="8:9">
      <c r="H945" s="10"/>
      <c r="I945" s="10"/>
    </row>
    <row r="946" ht="14.4" spans="8:9">
      <c r="H946" s="10"/>
      <c r="I946" s="10"/>
    </row>
    <row r="947" ht="14.4" spans="8:9">
      <c r="H947" s="10"/>
      <c r="I947" s="10"/>
    </row>
    <row r="948" ht="14.4" spans="8:9">
      <c r="H948" s="10"/>
      <c r="I948" s="10"/>
    </row>
    <row r="949" ht="14.4" spans="8:9">
      <c r="H949" s="10"/>
      <c r="I949" s="10"/>
    </row>
    <row r="950" ht="14.4" spans="8:9">
      <c r="H950" s="10"/>
      <c r="I950" s="10"/>
    </row>
    <row r="951" ht="14.4" spans="8:9">
      <c r="H951" s="10"/>
      <c r="I951" s="10"/>
    </row>
    <row r="952" ht="14.4" spans="8:9">
      <c r="H952" s="10"/>
      <c r="I952" s="10"/>
    </row>
    <row r="953" ht="14.4" spans="8:9">
      <c r="H953" s="10"/>
      <c r="I953" s="10"/>
    </row>
    <row r="954" ht="14.4" spans="8:9">
      <c r="H954" s="10"/>
      <c r="I954" s="10"/>
    </row>
    <row r="955" ht="14.4" spans="8:9">
      <c r="H955" s="10"/>
      <c r="I955" s="10"/>
    </row>
    <row r="956" ht="14.4" spans="8:9">
      <c r="H956" s="10"/>
      <c r="I956" s="10"/>
    </row>
    <row r="957" ht="14.4" spans="8:9">
      <c r="H957" s="10"/>
      <c r="I957" s="10"/>
    </row>
    <row r="958" ht="14.4" spans="8:9">
      <c r="H958" s="10"/>
      <c r="I958" s="10"/>
    </row>
    <row r="959" ht="14.4" spans="8:9">
      <c r="H959" s="10"/>
      <c r="I959" s="10"/>
    </row>
    <row r="960" ht="14.4" spans="8:9">
      <c r="H960" s="10"/>
      <c r="I960" s="10"/>
    </row>
    <row r="961" ht="14.4" spans="8:9">
      <c r="H961" s="10"/>
      <c r="I961" s="10"/>
    </row>
    <row r="962" ht="14.4" spans="8:9">
      <c r="H962" s="10"/>
      <c r="I962" s="10"/>
    </row>
    <row r="963" ht="14.4" spans="8:9">
      <c r="H963" s="10"/>
      <c r="I963" s="10"/>
    </row>
    <row r="964" ht="14.4" spans="8:9">
      <c r="H964" s="10"/>
      <c r="I964" s="10"/>
    </row>
    <row r="965" ht="14.4" spans="8:9">
      <c r="H965" s="10"/>
      <c r="I965" s="10"/>
    </row>
    <row r="966" ht="14.4" spans="8:9">
      <c r="H966" s="10"/>
      <c r="I966" s="10"/>
    </row>
    <row r="967" ht="14.4" spans="8:9">
      <c r="H967" s="10"/>
      <c r="I967" s="10"/>
    </row>
    <row r="968" ht="14.4" spans="8:9">
      <c r="H968" s="10"/>
      <c r="I968" s="10"/>
    </row>
    <row r="969" ht="14.4" spans="8:9">
      <c r="H969" s="10"/>
      <c r="I969" s="10"/>
    </row>
    <row r="970" ht="14.4" spans="8:9">
      <c r="H970" s="10"/>
      <c r="I970" s="10"/>
    </row>
    <row r="971" ht="14.4" spans="8:9">
      <c r="H971" s="10"/>
      <c r="I971" s="10"/>
    </row>
    <row r="972" ht="14.4" spans="8:9">
      <c r="H972" s="10"/>
      <c r="I972" s="10"/>
    </row>
    <row r="973" ht="14.4" spans="8:9">
      <c r="H973" s="10"/>
      <c r="I973" s="10"/>
    </row>
    <row r="974" ht="14.4" spans="8:9">
      <c r="H974" s="10"/>
      <c r="I974" s="10"/>
    </row>
    <row r="975" ht="14.4" spans="8:9">
      <c r="H975" s="10"/>
      <c r="I975" s="10"/>
    </row>
    <row r="976" ht="14.4" spans="8:9">
      <c r="H976" s="10"/>
      <c r="I976" s="10"/>
    </row>
    <row r="977" ht="14.4" spans="8:9">
      <c r="H977" s="10"/>
      <c r="I977" s="10"/>
    </row>
    <row r="978" ht="14.4" spans="8:9">
      <c r="H978" s="10"/>
      <c r="I978" s="10"/>
    </row>
    <row r="979" ht="14.4" spans="8:9">
      <c r="H979" s="10"/>
      <c r="I979" s="10"/>
    </row>
    <row r="980" ht="14.4" spans="8:9">
      <c r="H980" s="10"/>
      <c r="I980" s="10"/>
    </row>
    <row r="981" ht="14.4" spans="8:9">
      <c r="H981" s="10"/>
      <c r="I981" s="10"/>
    </row>
    <row r="982" ht="14.4" spans="8:9">
      <c r="H982" s="10"/>
      <c r="I982" s="10"/>
    </row>
    <row r="983" ht="14.4" spans="8:9">
      <c r="H983" s="10"/>
      <c r="I983" s="10"/>
    </row>
    <row r="984" ht="14.4" spans="8:9">
      <c r="H984" s="10"/>
      <c r="I984" s="10"/>
    </row>
    <row r="985" ht="14.4" spans="8:9">
      <c r="H985" s="10"/>
      <c r="I985" s="10"/>
    </row>
    <row r="986" ht="14.4" spans="8:9">
      <c r="H986" s="10"/>
      <c r="I986" s="10"/>
    </row>
    <row r="987" ht="14.4" spans="8:9">
      <c r="H987" s="10"/>
      <c r="I987" s="10"/>
    </row>
    <row r="988" ht="14.4" spans="8:9">
      <c r="H988" s="10"/>
      <c r="I988" s="10"/>
    </row>
    <row r="989" ht="14.4" spans="8:9">
      <c r="H989" s="10"/>
      <c r="I989" s="10"/>
    </row>
    <row r="990" ht="14.4" spans="8:9">
      <c r="H990" s="10"/>
      <c r="I990" s="10"/>
    </row>
    <row r="991" ht="14.4" spans="8:9">
      <c r="H991" s="10"/>
      <c r="I991" s="10"/>
    </row>
    <row r="992" ht="14.4" spans="8:9">
      <c r="H992" s="10"/>
      <c r="I992" s="10"/>
    </row>
    <row r="993" ht="14.4" spans="8:9">
      <c r="H993" s="10"/>
      <c r="I993" s="10"/>
    </row>
    <row r="994" ht="14.4" spans="8:9">
      <c r="H994" s="10"/>
      <c r="I994" s="10"/>
    </row>
    <row r="995" ht="14.4" spans="8:9">
      <c r="H995" s="10"/>
      <c r="I995" s="10"/>
    </row>
    <row r="996" ht="14.4" spans="8:9">
      <c r="H996" s="10"/>
      <c r="I996" s="10"/>
    </row>
    <row r="997" ht="14.4" spans="8:9">
      <c r="H997" s="10"/>
      <c r="I997" s="10"/>
    </row>
    <row r="998" ht="14.4" spans="8:9">
      <c r="H998" s="10"/>
      <c r="I998" s="10"/>
    </row>
    <row r="999" ht="14.4" spans="8:9">
      <c r="H999" s="10"/>
      <c r="I999" s="10"/>
    </row>
    <row r="1000" ht="14.4" spans="8:9">
      <c r="H1000" s="10"/>
      <c r="I1000" s="10"/>
    </row>
    <row r="1001" ht="14.4" spans="8:9">
      <c r="H1001" s="10"/>
      <c r="I1001" s="10"/>
    </row>
    <row r="1002" ht="14.4" spans="8:9">
      <c r="H1002" s="10"/>
      <c r="I1002" s="10"/>
    </row>
    <row r="1003" ht="14.4" spans="8:9">
      <c r="H1003" s="10"/>
      <c r="I1003" s="10"/>
    </row>
    <row r="1004" ht="14.4" spans="8:9">
      <c r="H1004" s="10"/>
      <c r="I1004" s="10"/>
    </row>
    <row r="1005" ht="14.4" spans="8:9">
      <c r="H1005" s="10"/>
      <c r="I1005" s="10"/>
    </row>
    <row r="1006" ht="14.4" spans="8:9">
      <c r="H1006" s="10"/>
      <c r="I1006" s="10"/>
    </row>
    <row r="1007" ht="14.4" spans="8:9">
      <c r="H1007" s="10"/>
      <c r="I1007" s="10"/>
    </row>
    <row r="1008" ht="14.4" spans="8:9">
      <c r="H1008" s="10"/>
      <c r="I1008" s="10"/>
    </row>
    <row r="1009" ht="14.4" spans="8:9">
      <c r="H1009" s="10"/>
      <c r="I1009" s="10"/>
    </row>
    <row r="1010" ht="14.4" spans="8:9">
      <c r="H1010" s="10"/>
      <c r="I1010" s="10"/>
    </row>
    <row r="1011" ht="14.4" spans="8:9">
      <c r="H1011" s="10"/>
      <c r="I1011" s="10"/>
    </row>
    <row r="1012" ht="14.4" spans="8:9">
      <c r="H1012" s="10"/>
      <c r="I1012" s="10"/>
    </row>
    <row r="1013" ht="14.4" spans="8:9">
      <c r="H1013" s="10"/>
      <c r="I1013" s="10"/>
    </row>
    <row r="1014" ht="14.4" spans="8:9">
      <c r="H1014" s="10"/>
      <c r="I1014" s="10"/>
    </row>
    <row r="1015" ht="14.4" spans="8:9">
      <c r="H1015" s="10"/>
      <c r="I1015" s="10"/>
    </row>
    <row r="1016" ht="14.4" spans="8:9">
      <c r="H1016" s="10"/>
      <c r="I1016" s="10"/>
    </row>
    <row r="1017" ht="14.4" spans="8:9">
      <c r="H1017" s="10"/>
      <c r="I1017" s="10"/>
    </row>
    <row r="1018" ht="14.4" spans="8:9">
      <c r="H1018" s="10"/>
      <c r="I1018" s="10"/>
    </row>
    <row r="1019" ht="14.4" spans="8:9">
      <c r="H1019" s="10"/>
      <c r="I1019" s="10"/>
    </row>
    <row r="1020" ht="14.4" spans="8:9">
      <c r="H1020" s="10"/>
      <c r="I1020" s="10"/>
    </row>
    <row r="1021" ht="14.4" spans="8:9">
      <c r="H1021" s="10"/>
      <c r="I1021" s="10"/>
    </row>
    <row r="1022" ht="14.4" spans="8:9">
      <c r="H1022" s="10"/>
      <c r="I1022" s="10"/>
    </row>
    <row r="1023" ht="14.4" spans="8:9">
      <c r="H1023" s="10"/>
      <c r="I1023" s="10"/>
    </row>
    <row r="1024" ht="14.4" spans="8:9">
      <c r="H1024" s="10"/>
      <c r="I1024" s="10"/>
    </row>
    <row r="1025" ht="14.4" spans="8:9">
      <c r="H1025" s="10"/>
      <c r="I1025" s="10"/>
    </row>
    <row r="1026" ht="14.4" spans="8:9">
      <c r="H1026" s="10"/>
      <c r="I1026" s="10"/>
    </row>
    <row r="1027" ht="14.4" spans="8:9">
      <c r="H1027" s="10"/>
      <c r="I1027" s="10"/>
    </row>
    <row r="1028" ht="14.4" spans="8:9">
      <c r="H1028" s="10"/>
      <c r="I1028" s="10"/>
    </row>
    <row r="1029" ht="14.4" spans="8:9">
      <c r="H1029" s="10"/>
      <c r="I1029" s="10"/>
    </row>
    <row r="1030" ht="14.4" spans="8:9">
      <c r="H1030" s="10"/>
      <c r="I1030" s="10"/>
    </row>
    <row r="1031" ht="14.4" spans="8:9">
      <c r="H1031" s="10"/>
      <c r="I1031" s="10"/>
    </row>
    <row r="1032" ht="14.4" spans="8:9">
      <c r="H1032" s="10"/>
      <c r="I1032" s="10"/>
    </row>
    <row r="1033" ht="14.4" spans="8:9">
      <c r="H1033" s="10"/>
      <c r="I1033" s="10"/>
    </row>
    <row r="1034" ht="14.4" spans="8:9">
      <c r="H1034" s="10"/>
      <c r="I1034" s="10"/>
    </row>
    <row r="1035" ht="14.4" spans="8:9">
      <c r="H1035" s="10"/>
      <c r="I1035" s="10"/>
    </row>
    <row r="1036" ht="14.4" spans="8:9">
      <c r="H1036" s="10"/>
      <c r="I1036" s="10"/>
    </row>
    <row r="1037" ht="14.4" spans="8:9">
      <c r="H1037" s="10"/>
      <c r="I1037" s="10"/>
    </row>
    <row r="1038" ht="14.4" spans="8:9">
      <c r="H1038" s="10"/>
      <c r="I1038" s="10"/>
    </row>
    <row r="1039" ht="14.4" spans="8:9">
      <c r="H1039" s="10"/>
      <c r="I1039" s="10"/>
    </row>
    <row r="1040" ht="14.4" spans="8:9">
      <c r="H1040" s="10"/>
      <c r="I1040" s="10"/>
    </row>
    <row r="1041" ht="14.4" spans="8:9">
      <c r="H1041" s="10"/>
      <c r="I1041" s="10"/>
    </row>
    <row r="1042" ht="14.4" spans="8:9">
      <c r="H1042" s="10"/>
      <c r="I1042" s="10"/>
    </row>
    <row r="1043" ht="14.4" spans="8:9">
      <c r="H1043" s="10"/>
      <c r="I1043" s="10"/>
    </row>
    <row r="1044" ht="14.4" spans="8:9">
      <c r="H1044" s="10"/>
      <c r="I1044" s="10"/>
    </row>
    <row r="1045" ht="14.4" spans="8:9">
      <c r="H1045" s="10"/>
      <c r="I1045" s="10"/>
    </row>
    <row r="1046" ht="14.4" spans="8:9">
      <c r="H1046" s="10"/>
      <c r="I1046" s="10"/>
    </row>
    <row r="1047" ht="14.4" spans="8:9">
      <c r="H1047" s="10"/>
      <c r="I1047" s="10"/>
    </row>
    <row r="1048" ht="14.4" spans="8:9">
      <c r="H1048" s="10"/>
      <c r="I1048" s="10"/>
    </row>
    <row r="1049" ht="14.4" spans="8:9">
      <c r="H1049" s="10"/>
      <c r="I1049" s="10"/>
    </row>
    <row r="1050" ht="14.4" spans="8:9">
      <c r="H1050" s="10"/>
      <c r="I1050" s="10"/>
    </row>
    <row r="1051" ht="14.4" spans="8:9">
      <c r="H1051" s="10"/>
      <c r="I1051" s="10"/>
    </row>
    <row r="1052" ht="14.4" spans="8:9">
      <c r="H1052" s="10"/>
      <c r="I1052" s="10"/>
    </row>
    <row r="1053" ht="14.4" spans="8:9">
      <c r="H1053" s="10"/>
      <c r="I1053" s="10"/>
    </row>
    <row r="1054" ht="14.4" spans="8:9">
      <c r="H1054" s="10"/>
      <c r="I1054" s="10"/>
    </row>
    <row r="1055" ht="14.4" spans="8:9">
      <c r="H1055" s="10"/>
      <c r="I1055" s="10"/>
    </row>
    <row r="1056" ht="14.4" spans="8:9">
      <c r="H1056" s="10"/>
      <c r="I1056" s="10"/>
    </row>
    <row r="1057" ht="14.4" spans="8:9">
      <c r="H1057" s="10"/>
      <c r="I1057" s="10"/>
    </row>
    <row r="1058" ht="14.4" spans="8:9">
      <c r="H1058" s="10"/>
      <c r="I1058" s="10"/>
    </row>
    <row r="1059" ht="14.4" spans="8:9">
      <c r="H1059" s="10"/>
      <c r="I1059" s="10"/>
    </row>
    <row r="1060" ht="14.4" spans="8:9">
      <c r="H1060" s="10"/>
      <c r="I1060" s="10"/>
    </row>
    <row r="1061" ht="14.4" spans="8:9">
      <c r="H1061" s="10"/>
      <c r="I1061" s="10"/>
    </row>
    <row r="1062" ht="14.4" spans="8:9">
      <c r="H1062" s="10"/>
      <c r="I1062" s="10"/>
    </row>
    <row r="1063" ht="14.4" spans="8:9">
      <c r="H1063" s="10"/>
      <c r="I1063" s="10"/>
    </row>
    <row r="1064" ht="14.4" spans="8:9">
      <c r="H1064" s="10"/>
      <c r="I1064" s="10"/>
    </row>
    <row r="1065" ht="14.4" spans="8:9">
      <c r="H1065" s="10"/>
      <c r="I1065" s="10"/>
    </row>
    <row r="1066" ht="14.4" spans="8:9">
      <c r="H1066" s="10"/>
      <c r="I1066" s="10"/>
    </row>
    <row r="1067" ht="14.4" spans="8:9">
      <c r="H1067" s="10"/>
      <c r="I1067" s="10"/>
    </row>
    <row r="1068" ht="14.4" spans="8:9">
      <c r="H1068" s="10"/>
      <c r="I1068" s="10"/>
    </row>
    <row r="1069" ht="14.4" spans="8:9">
      <c r="H1069" s="10"/>
      <c r="I1069" s="10"/>
    </row>
    <row r="1070" ht="14.4" spans="8:9">
      <c r="H1070" s="10"/>
      <c r="I1070" s="10"/>
    </row>
    <row r="1071" ht="14.4" spans="8:9">
      <c r="H1071" s="10"/>
      <c r="I1071" s="10"/>
    </row>
    <row r="1072" ht="14.4" spans="8:9">
      <c r="H1072" s="10"/>
      <c r="I1072" s="10"/>
    </row>
    <row r="1073" ht="14.4" spans="8:9">
      <c r="H1073" s="10"/>
      <c r="I1073" s="10"/>
    </row>
    <row r="1074" ht="14.4" spans="8:9">
      <c r="H1074" s="10"/>
      <c r="I1074" s="10"/>
    </row>
    <row r="1075" ht="14.4" spans="8:9">
      <c r="H1075" s="10"/>
      <c r="I1075" s="10"/>
    </row>
    <row r="1076" ht="14.4" spans="8:9">
      <c r="H1076" s="10"/>
      <c r="I1076" s="10"/>
    </row>
    <row r="1077" ht="14.4" spans="8:9">
      <c r="H1077" s="10"/>
      <c r="I1077" s="10"/>
    </row>
    <row r="1078" ht="14.4" spans="8:9">
      <c r="H1078" s="10"/>
      <c r="I1078" s="10"/>
    </row>
    <row r="1079" ht="14.4" spans="8:9">
      <c r="H1079" s="10"/>
      <c r="I1079" s="10"/>
    </row>
    <row r="1080" ht="14.4" spans="8:9">
      <c r="H1080" s="10"/>
      <c r="I1080" s="10"/>
    </row>
    <row r="1081" ht="14.4" spans="8:9">
      <c r="H1081" s="10"/>
      <c r="I1081" s="10"/>
    </row>
    <row r="1082" ht="14.4" spans="8:9">
      <c r="H1082" s="10"/>
      <c r="I1082" s="10"/>
    </row>
    <row r="1083" ht="14.4" spans="8:9">
      <c r="H1083" s="10"/>
      <c r="I1083" s="10"/>
    </row>
    <row r="1084" ht="14.4" spans="8:9">
      <c r="H1084" s="10"/>
      <c r="I1084" s="10"/>
    </row>
    <row r="1085" ht="14.4" spans="8:9">
      <c r="H1085" s="10"/>
      <c r="I1085" s="10"/>
    </row>
    <row r="1086" ht="14.4" spans="8:9">
      <c r="H1086" s="10"/>
      <c r="I1086" s="10"/>
    </row>
    <row r="1087" ht="14.4" spans="8:9">
      <c r="H1087" s="10"/>
      <c r="I1087" s="10"/>
    </row>
    <row r="1088" ht="14.4" spans="8:9">
      <c r="H1088" s="10"/>
      <c r="I1088" s="10"/>
    </row>
    <row r="1089" ht="14.4" spans="8:9">
      <c r="H1089" s="10"/>
      <c r="I1089" s="10"/>
    </row>
    <row r="1090" ht="14.4" spans="8:9">
      <c r="H1090" s="10"/>
      <c r="I1090" s="10"/>
    </row>
    <row r="1091" ht="14.4" spans="8:9">
      <c r="H1091" s="10"/>
      <c r="I1091" s="10"/>
    </row>
    <row r="1092" ht="14.4" spans="8:9">
      <c r="H1092" s="10"/>
      <c r="I1092" s="10"/>
    </row>
    <row r="1093" ht="14.4" spans="8:9">
      <c r="H1093" s="10"/>
      <c r="I1093" s="10"/>
    </row>
    <row r="1094" ht="14.4" spans="8:9">
      <c r="H1094" s="10"/>
      <c r="I1094" s="10"/>
    </row>
    <row r="1095" ht="14.4" spans="8:9">
      <c r="H1095" s="10"/>
      <c r="I1095" s="10"/>
    </row>
    <row r="1096" ht="14.4" spans="8:9">
      <c r="H1096" s="10"/>
      <c r="I1096" s="10"/>
    </row>
    <row r="1097" ht="14.4" spans="8:9">
      <c r="H1097" s="10"/>
      <c r="I1097" s="10"/>
    </row>
    <row r="1098" ht="14.4" spans="8:9">
      <c r="H1098" s="10"/>
      <c r="I1098" s="10"/>
    </row>
    <row r="1099" ht="14.4" spans="8:9">
      <c r="H1099" s="10"/>
      <c r="I1099" s="10"/>
    </row>
    <row r="1100" ht="14.4" spans="8:9">
      <c r="H1100" s="10"/>
      <c r="I1100" s="10"/>
    </row>
    <row r="1101" ht="14.4" spans="8:9">
      <c r="H1101" s="10"/>
      <c r="I1101" s="10"/>
    </row>
    <row r="1102" ht="14.4" spans="8:9">
      <c r="H1102" s="10"/>
      <c r="I1102" s="10"/>
    </row>
    <row r="1103" ht="14.4" spans="8:9">
      <c r="H1103" s="10"/>
      <c r="I1103" s="10"/>
    </row>
    <row r="1104" ht="14.4" spans="8:9">
      <c r="H1104" s="10"/>
      <c r="I1104" s="10"/>
    </row>
    <row r="1105" ht="14.4" spans="8:9">
      <c r="H1105" s="10"/>
      <c r="I1105" s="10"/>
    </row>
    <row r="1106" ht="14.4" spans="8:9">
      <c r="H1106" s="10"/>
      <c r="I1106" s="10"/>
    </row>
    <row r="1107" ht="14.4" spans="8:9">
      <c r="H1107" s="10"/>
      <c r="I1107" s="10"/>
    </row>
    <row r="1108" ht="14.4" spans="8:9">
      <c r="H1108" s="10"/>
      <c r="I1108" s="10"/>
    </row>
    <row r="1109" ht="14.4" spans="8:9">
      <c r="H1109" s="10"/>
      <c r="I1109" s="10"/>
    </row>
    <row r="1110" ht="14.4" spans="8:9">
      <c r="H1110" s="10"/>
      <c r="I1110" s="10"/>
    </row>
    <row r="1111" ht="14.4" spans="8:9">
      <c r="H1111" s="10"/>
      <c r="I1111" s="10"/>
    </row>
    <row r="1112" ht="14.4" spans="8:9">
      <c r="H1112" s="10"/>
      <c r="I1112" s="10"/>
    </row>
    <row r="1113" ht="14.4" spans="8:9">
      <c r="H1113" s="10"/>
      <c r="I1113" s="10"/>
    </row>
    <row r="1114" ht="14.4" spans="8:9">
      <c r="H1114" s="10"/>
      <c r="I1114" s="10"/>
    </row>
    <row r="1115" ht="14.4" spans="8:9">
      <c r="H1115" s="10"/>
      <c r="I1115" s="10"/>
    </row>
    <row r="1116" ht="14.4" spans="8:9">
      <c r="H1116" s="10"/>
      <c r="I1116" s="10"/>
    </row>
    <row r="1117" ht="14.4" spans="8:9">
      <c r="H1117" s="10"/>
      <c r="I1117" s="10"/>
    </row>
    <row r="1118" ht="14.4" spans="8:9">
      <c r="H1118" s="10"/>
      <c r="I1118" s="10"/>
    </row>
    <row r="1119" ht="14.4" spans="8:9">
      <c r="H1119" s="10"/>
      <c r="I1119" s="10"/>
    </row>
    <row r="1120" ht="14.4" spans="8:9">
      <c r="H1120" s="10"/>
      <c r="I1120" s="10"/>
    </row>
    <row r="1121" ht="14.4" spans="8:9">
      <c r="H1121" s="10"/>
      <c r="I1121" s="10"/>
    </row>
    <row r="1122" ht="14.4" spans="8:9">
      <c r="H1122" s="10"/>
      <c r="I1122" s="10"/>
    </row>
    <row r="1123" ht="14.4" spans="8:9">
      <c r="H1123" s="10"/>
      <c r="I1123" s="10"/>
    </row>
    <row r="1124" ht="14.4" spans="8:9">
      <c r="H1124" s="10"/>
      <c r="I1124" s="10"/>
    </row>
    <row r="1125" ht="14.4" spans="8:9">
      <c r="H1125" s="10"/>
      <c r="I1125" s="10"/>
    </row>
    <row r="1126" ht="14.4" spans="8:9">
      <c r="H1126" s="10"/>
      <c r="I1126" s="10"/>
    </row>
    <row r="1127" ht="14.4" spans="8:9">
      <c r="H1127" s="10"/>
      <c r="I1127" s="10"/>
    </row>
    <row r="1128" ht="14.4" spans="8:9">
      <c r="H1128" s="10"/>
      <c r="I1128" s="10"/>
    </row>
    <row r="1129" ht="14.4" spans="8:9">
      <c r="H1129" s="10"/>
      <c r="I1129" s="10"/>
    </row>
    <row r="1130" ht="14.4" spans="8:9">
      <c r="H1130" s="10"/>
      <c r="I1130" s="10"/>
    </row>
    <row r="1131" ht="14.4" spans="8:9">
      <c r="H1131" s="10"/>
      <c r="I1131" s="10"/>
    </row>
    <row r="1132" ht="14.4" spans="8:9">
      <c r="H1132" s="10"/>
      <c r="I1132" s="10"/>
    </row>
    <row r="1133" ht="14.4" spans="8:9">
      <c r="H1133" s="10"/>
      <c r="I1133" s="10"/>
    </row>
    <row r="1134" ht="14.4" spans="8:9">
      <c r="H1134" s="10"/>
      <c r="I1134" s="10"/>
    </row>
    <row r="1135" ht="14.4" spans="8:9">
      <c r="H1135" s="10"/>
      <c r="I1135" s="10"/>
    </row>
    <row r="1136" ht="14.4" spans="8:9">
      <c r="H1136" s="10"/>
      <c r="I1136" s="10"/>
    </row>
    <row r="1137" ht="14.4" spans="8:9">
      <c r="H1137" s="10"/>
      <c r="I1137" s="10"/>
    </row>
    <row r="1138" ht="14.4" spans="8:9">
      <c r="H1138" s="10"/>
      <c r="I1138" s="10"/>
    </row>
    <row r="1139" ht="14.4" spans="8:9">
      <c r="H1139" s="10"/>
      <c r="I1139" s="10"/>
    </row>
    <row r="1140" ht="14.4" spans="8:9">
      <c r="H1140" s="10"/>
      <c r="I1140" s="10"/>
    </row>
    <row r="1141" ht="14.4" spans="8:9">
      <c r="H1141" s="10"/>
      <c r="I1141" s="10"/>
    </row>
    <row r="1142" ht="14.4" spans="8:9">
      <c r="H1142" s="10"/>
      <c r="I1142" s="10"/>
    </row>
    <row r="1143" ht="14.4" spans="8:9">
      <c r="H1143" s="10"/>
      <c r="I1143" s="10"/>
    </row>
    <row r="1144" ht="14.4" spans="8:9">
      <c r="H1144" s="10"/>
      <c r="I1144" s="10"/>
    </row>
    <row r="1145" ht="14.4" spans="8:9">
      <c r="H1145" s="10"/>
      <c r="I1145" s="10"/>
    </row>
    <row r="1146" ht="14.4" spans="8:9">
      <c r="H1146" s="10"/>
      <c r="I1146" s="10"/>
    </row>
    <row r="1147" ht="14.4" spans="8:9">
      <c r="H1147" s="10"/>
      <c r="I1147" s="10"/>
    </row>
    <row r="1148" ht="14.4" spans="8:9">
      <c r="H1148" s="10"/>
      <c r="I1148" s="10"/>
    </row>
    <row r="1149" ht="14.4" spans="8:9">
      <c r="H1149" s="10"/>
      <c r="I1149" s="10"/>
    </row>
    <row r="1150" ht="14.4" spans="8:9">
      <c r="H1150" s="10"/>
      <c r="I1150" s="10"/>
    </row>
    <row r="1151" ht="14.4" spans="8:9">
      <c r="H1151" s="10"/>
      <c r="I1151" s="10"/>
    </row>
    <row r="1152" ht="14.4" spans="8:9">
      <c r="H1152" s="10"/>
      <c r="I1152" s="10"/>
    </row>
    <row r="1153" ht="14.4" spans="8:9">
      <c r="H1153" s="10"/>
      <c r="I1153" s="10"/>
    </row>
    <row r="1154" ht="14.4" spans="8:9">
      <c r="H1154" s="10"/>
      <c r="I1154" s="10"/>
    </row>
    <row r="1155" ht="14.4" spans="8:9">
      <c r="H1155" s="10"/>
      <c r="I1155" s="10"/>
    </row>
    <row r="1156" ht="14.4" spans="8:9">
      <c r="H1156" s="10"/>
      <c r="I1156" s="10"/>
    </row>
    <row r="1157" ht="14.4" spans="8:9">
      <c r="H1157" s="10"/>
      <c r="I1157" s="10"/>
    </row>
    <row r="1158" ht="14.4" spans="8:9">
      <c r="H1158" s="10"/>
      <c r="I1158" s="10"/>
    </row>
    <row r="1159" ht="14.4" spans="8:9">
      <c r="H1159" s="10"/>
      <c r="I1159" s="10"/>
    </row>
    <row r="1160" ht="14.4" spans="8:9">
      <c r="H1160" s="10"/>
      <c r="I1160" s="10"/>
    </row>
    <row r="1161" ht="14.4" spans="8:9">
      <c r="H1161" s="10"/>
      <c r="I1161" s="10"/>
    </row>
    <row r="1162" ht="14.4" spans="8:9">
      <c r="H1162" s="10"/>
      <c r="I1162" s="10"/>
    </row>
    <row r="1163" ht="14.4" spans="8:9">
      <c r="H1163" s="10"/>
      <c r="I1163" s="10"/>
    </row>
    <row r="1164" ht="14.4" spans="8:9">
      <c r="H1164" s="10"/>
      <c r="I1164" s="10"/>
    </row>
    <row r="1165" ht="14.4" spans="8:9">
      <c r="H1165" s="10"/>
      <c r="I1165" s="10"/>
    </row>
    <row r="1166" ht="14.4" spans="8:9">
      <c r="H1166" s="10"/>
      <c r="I1166" s="10"/>
    </row>
    <row r="1167" ht="14.4" spans="8:9">
      <c r="H1167" s="10"/>
      <c r="I1167" s="10"/>
    </row>
    <row r="1168" ht="14.4" spans="8:9">
      <c r="H1168" s="10"/>
      <c r="I1168" s="10"/>
    </row>
    <row r="1169" ht="14.4" spans="8:9">
      <c r="H1169" s="10"/>
      <c r="I1169" s="10"/>
    </row>
    <row r="1170" ht="14.4" spans="8:9">
      <c r="H1170" s="10"/>
      <c r="I1170" s="10"/>
    </row>
    <row r="1171" ht="14.4" spans="8:9">
      <c r="H1171" s="10"/>
      <c r="I1171" s="10"/>
    </row>
    <row r="1172" ht="14.4" spans="8:9">
      <c r="H1172" s="10"/>
      <c r="I1172" s="10"/>
    </row>
    <row r="1173" ht="14.4" spans="8:9">
      <c r="H1173" s="10"/>
      <c r="I1173" s="10"/>
    </row>
    <row r="1174" ht="14.4" spans="8:9">
      <c r="H1174" s="10"/>
      <c r="I1174" s="10"/>
    </row>
    <row r="1175" ht="14.4" spans="8:9">
      <c r="H1175" s="10"/>
      <c r="I1175" s="10"/>
    </row>
    <row r="1176" ht="14.4" spans="8:9">
      <c r="H1176" s="10"/>
      <c r="I1176" s="10"/>
    </row>
    <row r="1177" ht="14.4" spans="8:9">
      <c r="H1177" s="10"/>
      <c r="I1177" s="10"/>
    </row>
    <row r="1178" ht="14.4" spans="8:9">
      <c r="H1178" s="10"/>
      <c r="I1178" s="10"/>
    </row>
    <row r="1179" ht="14.4" spans="8:9">
      <c r="H1179" s="10"/>
      <c r="I1179" s="10"/>
    </row>
    <row r="1180" ht="14.4" spans="8:9">
      <c r="H1180" s="10"/>
      <c r="I1180" s="10"/>
    </row>
    <row r="1181" ht="14.4" spans="8:9">
      <c r="H1181" s="10"/>
      <c r="I1181" s="10"/>
    </row>
    <row r="1182" ht="14.4" spans="8:9">
      <c r="H1182" s="10"/>
      <c r="I1182" s="10"/>
    </row>
    <row r="1183" ht="14.4" spans="8:9">
      <c r="H1183" s="10"/>
      <c r="I1183" s="10"/>
    </row>
    <row r="1184" ht="14.4" spans="8:9">
      <c r="H1184" s="10"/>
      <c r="I1184" s="10"/>
    </row>
    <row r="1185" ht="14.4" spans="8:9">
      <c r="H1185" s="10"/>
      <c r="I1185" s="10"/>
    </row>
    <row r="1186" ht="14.4" spans="8:9">
      <c r="H1186" s="10"/>
      <c r="I1186" s="10"/>
    </row>
    <row r="1187" ht="14.4" spans="8:9">
      <c r="H1187" s="10"/>
      <c r="I1187" s="10"/>
    </row>
    <row r="1188" ht="14.4" spans="8:9">
      <c r="H1188" s="10"/>
      <c r="I1188" s="10"/>
    </row>
    <row r="1189" ht="14.4" spans="8:9">
      <c r="H1189" s="10"/>
      <c r="I1189" s="10"/>
    </row>
    <row r="1190" ht="14.4" spans="8:9">
      <c r="H1190" s="10"/>
      <c r="I1190" s="10"/>
    </row>
    <row r="1191" ht="14.4" spans="8:9">
      <c r="H1191" s="10"/>
      <c r="I1191" s="10"/>
    </row>
    <row r="1192" ht="14.4" spans="8:9">
      <c r="H1192" s="10"/>
      <c r="I1192" s="10"/>
    </row>
    <row r="1193" ht="14.4" spans="8:9">
      <c r="H1193" s="10"/>
      <c r="I1193" s="10"/>
    </row>
    <row r="1194" ht="14.4" spans="8:9">
      <c r="H1194" s="10"/>
      <c r="I1194" s="10"/>
    </row>
    <row r="1195" ht="14.4" spans="8:9">
      <c r="H1195" s="10"/>
      <c r="I1195" s="10"/>
    </row>
    <row r="1196" ht="14.4" spans="8:9">
      <c r="H1196" s="10"/>
      <c r="I1196" s="10"/>
    </row>
    <row r="1197" ht="14.4" spans="8:9">
      <c r="H1197" s="10"/>
      <c r="I1197" s="10"/>
    </row>
    <row r="1198" ht="14.4" spans="8:9">
      <c r="H1198" s="10"/>
      <c r="I1198" s="10"/>
    </row>
    <row r="1199" ht="14.4" spans="8:9">
      <c r="H1199" s="10"/>
      <c r="I1199" s="10"/>
    </row>
    <row r="1200" ht="14.4" spans="8:9">
      <c r="H1200" s="10"/>
      <c r="I1200" s="10"/>
    </row>
    <row r="1201" ht="14.4" spans="8:9">
      <c r="H1201" s="10"/>
      <c r="I1201" s="10"/>
    </row>
    <row r="1202" ht="14.4" spans="8:9">
      <c r="H1202" s="10"/>
      <c r="I1202" s="10"/>
    </row>
    <row r="1203" ht="14.4" spans="8:9">
      <c r="H1203" s="10"/>
      <c r="I1203" s="10"/>
    </row>
    <row r="1204" ht="14.4" spans="8:9">
      <c r="H1204" s="10"/>
      <c r="I1204" s="10"/>
    </row>
    <row r="1205" ht="14.4" spans="8:9">
      <c r="H1205" s="10"/>
      <c r="I1205" s="10"/>
    </row>
    <row r="1206" ht="14.4" spans="8:9">
      <c r="H1206" s="10"/>
      <c r="I1206" s="10"/>
    </row>
    <row r="1207" ht="14.4" spans="8:9">
      <c r="H1207" s="10"/>
      <c r="I1207" s="10"/>
    </row>
    <row r="1208" ht="14.4" spans="8:9">
      <c r="H1208" s="10"/>
      <c r="I1208" s="10"/>
    </row>
    <row r="1209" ht="14.4" spans="8:9">
      <c r="H1209" s="10"/>
      <c r="I1209" s="10"/>
    </row>
    <row r="1210" ht="14.4" spans="8:9">
      <c r="H1210" s="10"/>
      <c r="I1210" s="10"/>
    </row>
    <row r="1211" ht="14.4" spans="8:9">
      <c r="H1211" s="10"/>
      <c r="I1211" s="10"/>
    </row>
    <row r="1212" ht="14.4" spans="8:9">
      <c r="H1212" s="10"/>
      <c r="I1212" s="10"/>
    </row>
    <row r="1213" ht="14.4" spans="8:9">
      <c r="H1213" s="10"/>
      <c r="I1213" s="10"/>
    </row>
    <row r="1214" ht="14.4" spans="8:9">
      <c r="H1214" s="10"/>
      <c r="I1214" s="10"/>
    </row>
    <row r="1215" ht="14.4" spans="8:9">
      <c r="H1215" s="10"/>
      <c r="I1215" s="10"/>
    </row>
    <row r="1216" ht="14.4" spans="8:9">
      <c r="H1216" s="10"/>
      <c r="I1216" s="10"/>
    </row>
    <row r="1217" ht="14.4" spans="8:9">
      <c r="H1217" s="10"/>
      <c r="I1217" s="10"/>
    </row>
    <row r="1218" ht="14.4" spans="8:9">
      <c r="H1218" s="10"/>
      <c r="I1218" s="10"/>
    </row>
    <row r="1219" ht="14.4" spans="8:9">
      <c r="H1219" s="10"/>
      <c r="I1219" s="10"/>
    </row>
    <row r="1220" ht="14.4" spans="8:9">
      <c r="H1220" s="10"/>
      <c r="I1220" s="10"/>
    </row>
    <row r="1221" ht="14.4" spans="8:9">
      <c r="H1221" s="10"/>
      <c r="I1221" s="10"/>
    </row>
    <row r="1222" ht="14.4" spans="8:9">
      <c r="H1222" s="10"/>
      <c r="I1222" s="10"/>
    </row>
    <row r="1223" ht="14.4" spans="8:9">
      <c r="H1223" s="10"/>
      <c r="I1223" s="10"/>
    </row>
    <row r="1224" ht="14.4" spans="8:9">
      <c r="H1224" s="10"/>
      <c r="I1224" s="10"/>
    </row>
    <row r="1225" ht="14.4" spans="8:9">
      <c r="H1225" s="10"/>
      <c r="I1225" s="10"/>
    </row>
    <row r="1226" ht="14.4" spans="8:9">
      <c r="H1226" s="10"/>
      <c r="I1226" s="10"/>
    </row>
    <row r="1227" ht="14.4" spans="8:9">
      <c r="H1227" s="10"/>
      <c r="I1227" s="10"/>
    </row>
    <row r="1228" ht="14.4" spans="8:9">
      <c r="H1228" s="10"/>
      <c r="I1228" s="10"/>
    </row>
    <row r="1229" ht="14.4" spans="8:9">
      <c r="H1229" s="10"/>
      <c r="I1229" s="10"/>
    </row>
    <row r="1230" ht="14.4" spans="8:9">
      <c r="H1230" s="10"/>
      <c r="I1230" s="10"/>
    </row>
    <row r="1231" ht="14.4" spans="8:9">
      <c r="H1231" s="10"/>
      <c r="I1231" s="10"/>
    </row>
    <row r="1232" ht="14.4" spans="8:9">
      <c r="H1232" s="10"/>
      <c r="I1232" s="10"/>
    </row>
    <row r="1233" ht="14.4" spans="8:9">
      <c r="H1233" s="10"/>
      <c r="I1233" s="10"/>
    </row>
    <row r="1234" ht="14.4" spans="8:9">
      <c r="H1234" s="10"/>
      <c r="I1234" s="10"/>
    </row>
    <row r="1235" ht="14.4" spans="8:9">
      <c r="H1235" s="10"/>
      <c r="I1235" s="10"/>
    </row>
    <row r="1236" ht="14.4" spans="8:9">
      <c r="H1236" s="10"/>
      <c r="I1236" s="10"/>
    </row>
    <row r="1237" ht="14.4" spans="8:9">
      <c r="H1237" s="10"/>
      <c r="I1237" s="10"/>
    </row>
    <row r="1238" ht="14.4" spans="8:9">
      <c r="H1238" s="10"/>
      <c r="I1238" s="10"/>
    </row>
    <row r="1239" ht="14.4" spans="8:9">
      <c r="H1239" s="10"/>
      <c r="I1239" s="10"/>
    </row>
    <row r="1240" ht="14.4" spans="8:9">
      <c r="H1240" s="10"/>
      <c r="I1240" s="10"/>
    </row>
    <row r="1241" ht="14.4" spans="8:9">
      <c r="H1241" s="10"/>
      <c r="I1241" s="10"/>
    </row>
    <row r="1242" ht="14.4" spans="8:9">
      <c r="H1242" s="10"/>
      <c r="I1242" s="10"/>
    </row>
    <row r="1243" ht="14.4" spans="8:9">
      <c r="H1243" s="10"/>
      <c r="I1243" s="10"/>
    </row>
    <row r="1244" ht="14.4" spans="8:9">
      <c r="H1244" s="10"/>
      <c r="I1244" s="10"/>
    </row>
    <row r="1245" ht="14.4" spans="8:9">
      <c r="H1245" s="10"/>
      <c r="I1245" s="10"/>
    </row>
    <row r="1246" ht="14.4" spans="8:9">
      <c r="H1246" s="10"/>
      <c r="I1246" s="10"/>
    </row>
    <row r="1247" ht="14.4" spans="8:9">
      <c r="H1247" s="10"/>
      <c r="I1247" s="10"/>
    </row>
    <row r="1248" ht="14.4" spans="8:9">
      <c r="H1248" s="10"/>
      <c r="I1248" s="10"/>
    </row>
    <row r="1249" ht="14.4" spans="8:9">
      <c r="H1249" s="10"/>
      <c r="I1249" s="10"/>
    </row>
    <row r="1250" ht="14.4" spans="8:9">
      <c r="H1250" s="10"/>
      <c r="I1250" s="10"/>
    </row>
    <row r="1251" ht="14.4" spans="8:9">
      <c r="H1251" s="10"/>
      <c r="I1251" s="10"/>
    </row>
    <row r="1252" ht="14.4" spans="8:9">
      <c r="H1252" s="10"/>
      <c r="I1252" s="10"/>
    </row>
    <row r="1253" ht="14.4" spans="8:9">
      <c r="H1253" s="10"/>
      <c r="I1253" s="10"/>
    </row>
    <row r="1254" ht="14.4" spans="8:9">
      <c r="H1254" s="10"/>
      <c r="I1254" s="10"/>
    </row>
    <row r="1255" ht="14.4" spans="8:9">
      <c r="H1255" s="10"/>
      <c r="I1255" s="10"/>
    </row>
    <row r="1256" ht="14.4" spans="8:9">
      <c r="H1256" s="10"/>
      <c r="I1256" s="10"/>
    </row>
    <row r="1257" ht="14.4" spans="8:9">
      <c r="H1257" s="10"/>
      <c r="I1257" s="10"/>
    </row>
    <row r="1258" ht="14.4" spans="8:9">
      <c r="H1258" s="10"/>
      <c r="I1258" s="10"/>
    </row>
    <row r="1259" ht="14.4" spans="8:9">
      <c r="H1259" s="10"/>
      <c r="I1259" s="10"/>
    </row>
    <row r="1260" ht="14.4" spans="8:9">
      <c r="H1260" s="10"/>
      <c r="I1260" s="10"/>
    </row>
    <row r="1261" ht="14.4" spans="8:9">
      <c r="H1261" s="10"/>
      <c r="I1261" s="10"/>
    </row>
    <row r="1262" ht="14.4" spans="8:9">
      <c r="H1262" s="10"/>
      <c r="I1262" s="10"/>
    </row>
    <row r="1263" ht="14.4" spans="8:9">
      <c r="H1263" s="10"/>
      <c r="I1263" s="10"/>
    </row>
    <row r="1264" ht="14.4" spans="8:9">
      <c r="H1264" s="10"/>
      <c r="I1264" s="10"/>
    </row>
    <row r="1265" ht="14.4" spans="8:9">
      <c r="H1265" s="10"/>
      <c r="I1265" s="10"/>
    </row>
    <row r="1266" ht="14.4" spans="8:9">
      <c r="H1266" s="10"/>
      <c r="I1266" s="10"/>
    </row>
    <row r="1267" ht="14.4" spans="8:9">
      <c r="H1267" s="10"/>
      <c r="I1267" s="10"/>
    </row>
    <row r="1268" ht="14.4" spans="8:9">
      <c r="H1268" s="10"/>
      <c r="I1268" s="10"/>
    </row>
    <row r="1269" ht="14.4" spans="8:9">
      <c r="H1269" s="10"/>
      <c r="I1269" s="10"/>
    </row>
    <row r="1270" ht="14.4" spans="8:9">
      <c r="H1270" s="10"/>
      <c r="I1270" s="10"/>
    </row>
    <row r="1271" ht="14.4" spans="8:9">
      <c r="H1271" s="10"/>
      <c r="I1271" s="10"/>
    </row>
    <row r="1272" ht="14.4" spans="8:9">
      <c r="H1272" s="10"/>
      <c r="I1272" s="10"/>
    </row>
    <row r="1273" ht="14.4" spans="8:9">
      <c r="H1273" s="10"/>
      <c r="I1273" s="10"/>
    </row>
    <row r="1274" ht="14.4" spans="8:9">
      <c r="H1274" s="10"/>
      <c r="I1274" s="10"/>
    </row>
    <row r="1275" ht="14.4" spans="8:9">
      <c r="H1275" s="10"/>
      <c r="I1275" s="10"/>
    </row>
    <row r="1276" ht="14.4" spans="8:9">
      <c r="H1276" s="10"/>
      <c r="I1276" s="10"/>
    </row>
    <row r="1277" ht="14.4" spans="8:9">
      <c r="H1277" s="10"/>
      <c r="I1277" s="10"/>
    </row>
    <row r="1278" ht="14.4" spans="8:9">
      <c r="H1278" s="10"/>
      <c r="I1278" s="10"/>
    </row>
    <row r="1279" ht="14.4" spans="8:9">
      <c r="H1279" s="10"/>
      <c r="I1279" s="10"/>
    </row>
    <row r="1280" ht="14.4" spans="8:9">
      <c r="H1280" s="10"/>
      <c r="I1280" s="10"/>
    </row>
    <row r="1281" ht="14.4" spans="8:9">
      <c r="H1281" s="10"/>
      <c r="I1281" s="10"/>
    </row>
    <row r="1282" ht="14.4" spans="8:9">
      <c r="H1282" s="10"/>
      <c r="I1282" s="10"/>
    </row>
    <row r="1283" ht="14.4" spans="8:9">
      <c r="H1283" s="10"/>
      <c r="I1283" s="10"/>
    </row>
    <row r="1284" ht="14.4" spans="8:9">
      <c r="H1284" s="10"/>
      <c r="I1284" s="10"/>
    </row>
    <row r="1285" ht="14.4" spans="8:9">
      <c r="H1285" s="10"/>
      <c r="I1285" s="10"/>
    </row>
    <row r="1286" ht="14.4" spans="8:9">
      <c r="H1286" s="10"/>
      <c r="I1286" s="10"/>
    </row>
    <row r="1287" ht="14.4" spans="8:9">
      <c r="H1287" s="10"/>
      <c r="I1287" s="10"/>
    </row>
    <row r="1288" ht="14.4" spans="8:9">
      <c r="H1288" s="10"/>
      <c r="I1288" s="10"/>
    </row>
    <row r="1289" ht="14.4" spans="8:9">
      <c r="H1289" s="10"/>
      <c r="I1289" s="10"/>
    </row>
    <row r="1290" ht="14.4" spans="8:9">
      <c r="H1290" s="10"/>
      <c r="I1290" s="10"/>
    </row>
    <row r="1291" ht="14.4" spans="8:9">
      <c r="H1291" s="10"/>
      <c r="I1291" s="10"/>
    </row>
    <row r="1292" ht="14.4" spans="8:9">
      <c r="H1292" s="10"/>
      <c r="I1292" s="10"/>
    </row>
    <row r="1293" ht="14.4" spans="8:9">
      <c r="H1293" s="10"/>
      <c r="I1293" s="10"/>
    </row>
    <row r="1294" ht="14.4" spans="8:9">
      <c r="H1294" s="10"/>
      <c r="I1294" s="10"/>
    </row>
    <row r="1295" ht="14.4" spans="8:9">
      <c r="H1295" s="10"/>
      <c r="I1295" s="10"/>
    </row>
    <row r="1296" ht="14.4" spans="8:9">
      <c r="H1296" s="10"/>
      <c r="I1296" s="10"/>
    </row>
    <row r="1297" ht="14.4" spans="8:9">
      <c r="H1297" s="10"/>
      <c r="I1297" s="10"/>
    </row>
    <row r="1298" ht="14.4" spans="8:9">
      <c r="H1298" s="10"/>
      <c r="I1298" s="10"/>
    </row>
    <row r="1299" ht="14.4" spans="8:9">
      <c r="H1299" s="10"/>
      <c r="I1299" s="10"/>
    </row>
    <row r="1300" ht="14.4" spans="8:9">
      <c r="H1300" s="10"/>
      <c r="I1300" s="10"/>
    </row>
    <row r="1301" ht="14.4" spans="8:9">
      <c r="H1301" s="10"/>
      <c r="I1301" s="10"/>
    </row>
    <row r="1302" ht="14.4" spans="8:9">
      <c r="H1302" s="10"/>
      <c r="I1302" s="10"/>
    </row>
    <row r="1303" ht="14.4" spans="8:9">
      <c r="H1303" s="10"/>
      <c r="I1303" s="10"/>
    </row>
    <row r="1304" ht="14.4" spans="8:9">
      <c r="H1304" s="10"/>
      <c r="I1304" s="10"/>
    </row>
    <row r="1305" ht="14.4" spans="8:9">
      <c r="H1305" s="10"/>
      <c r="I1305" s="10"/>
    </row>
    <row r="1306" ht="14.4" spans="8:9">
      <c r="H1306" s="10"/>
      <c r="I1306" s="10"/>
    </row>
    <row r="1307" ht="14.4" spans="8:9">
      <c r="H1307" s="10"/>
      <c r="I1307" s="10"/>
    </row>
    <row r="1308" ht="14.4" spans="8:9">
      <c r="H1308" s="10"/>
      <c r="I1308" s="10"/>
    </row>
    <row r="1309" ht="14.4" spans="8:9">
      <c r="H1309" s="10"/>
      <c r="I1309" s="10"/>
    </row>
    <row r="1310" ht="14.4" spans="8:9">
      <c r="H1310" s="10"/>
      <c r="I1310" s="10"/>
    </row>
    <row r="1311" ht="14.4" spans="8:9">
      <c r="H1311" s="10"/>
      <c r="I1311" s="10"/>
    </row>
    <row r="1312" ht="14.4" spans="8:9">
      <c r="H1312" s="10"/>
      <c r="I1312" s="10"/>
    </row>
    <row r="1313" ht="14.4" spans="8:9">
      <c r="H1313" s="10"/>
      <c r="I1313" s="10"/>
    </row>
    <row r="1314" ht="14.4" spans="8:9">
      <c r="H1314" s="10"/>
      <c r="I1314" s="10"/>
    </row>
    <row r="1315" ht="14.4" spans="8:9">
      <c r="H1315" s="10"/>
      <c r="I1315" s="10"/>
    </row>
    <row r="1316" ht="14.4" spans="8:9">
      <c r="H1316" s="10"/>
      <c r="I1316" s="10"/>
    </row>
    <row r="1317" ht="14.4" spans="8:9">
      <c r="H1317" s="10"/>
      <c r="I1317" s="10"/>
    </row>
    <row r="1318" ht="14.4" spans="8:9">
      <c r="H1318" s="10"/>
      <c r="I1318" s="10"/>
    </row>
    <row r="1319" ht="14.4" spans="8:9">
      <c r="H1319" s="10"/>
      <c r="I1319" s="10"/>
    </row>
    <row r="1320" ht="14.4" spans="8:9">
      <c r="H1320" s="10"/>
      <c r="I1320" s="10"/>
    </row>
    <row r="1321" ht="14.4" spans="8:9">
      <c r="H1321" s="10"/>
      <c r="I1321" s="10"/>
    </row>
    <row r="1322" ht="14.4" spans="8:9">
      <c r="H1322" s="10"/>
      <c r="I1322" s="10"/>
    </row>
    <row r="1323" ht="14.4" spans="8:9">
      <c r="H1323" s="10"/>
      <c r="I1323" s="10"/>
    </row>
    <row r="1324" ht="14.4" spans="8:9">
      <c r="H1324" s="10"/>
      <c r="I1324" s="10"/>
    </row>
    <row r="1325" ht="14.4" spans="8:9">
      <c r="H1325" s="10"/>
      <c r="I1325" s="10"/>
    </row>
    <row r="1326" ht="14.4" spans="8:9">
      <c r="H1326" s="10"/>
      <c r="I1326" s="10"/>
    </row>
    <row r="1327" ht="14.4" spans="8:9">
      <c r="H1327" s="10"/>
      <c r="I1327" s="10"/>
    </row>
    <row r="1328" ht="14.4" spans="8:9">
      <c r="H1328" s="10"/>
      <c r="I1328" s="10"/>
    </row>
    <row r="1329" ht="14.4" spans="8:9">
      <c r="H1329" s="10"/>
      <c r="I1329" s="10"/>
    </row>
    <row r="1330" ht="14.4" spans="8:9">
      <c r="H1330" s="10"/>
      <c r="I1330" s="10"/>
    </row>
    <row r="1331" ht="14.4" spans="8:9">
      <c r="H1331" s="10"/>
      <c r="I1331" s="10"/>
    </row>
    <row r="1332" ht="14.4" spans="8:9">
      <c r="H1332" s="10"/>
      <c r="I1332" s="10"/>
    </row>
    <row r="1333" ht="14.4" spans="8:9">
      <c r="H1333" s="10"/>
      <c r="I1333" s="10"/>
    </row>
    <row r="1334" ht="14.4" spans="8:9">
      <c r="H1334" s="10"/>
      <c r="I1334" s="10"/>
    </row>
    <row r="1335" ht="14.4" spans="8:9">
      <c r="H1335" s="10"/>
      <c r="I1335" s="10"/>
    </row>
    <row r="1336" ht="14.4" spans="8:9">
      <c r="H1336" s="10"/>
      <c r="I1336" s="10"/>
    </row>
    <row r="1337" ht="14.4" spans="8:9">
      <c r="H1337" s="10"/>
      <c r="I1337" s="10"/>
    </row>
    <row r="1338" ht="14.4" spans="8:9">
      <c r="H1338" s="10"/>
      <c r="I1338" s="10"/>
    </row>
    <row r="1339" ht="14.4" spans="8:9">
      <c r="H1339" s="10"/>
      <c r="I1339" s="10"/>
    </row>
    <row r="1340" ht="14.4" spans="8:9">
      <c r="H1340" s="10"/>
      <c r="I1340" s="10"/>
    </row>
    <row r="1341" ht="14.4" spans="8:9">
      <c r="H1341" s="10"/>
      <c r="I1341" s="10"/>
    </row>
    <row r="1342" ht="14.4" spans="8:9">
      <c r="H1342" s="10"/>
      <c r="I1342" s="10"/>
    </row>
    <row r="1343" ht="14.4" spans="8:9">
      <c r="H1343" s="10"/>
      <c r="I1343" s="10"/>
    </row>
    <row r="1344" ht="14.4" spans="8:9">
      <c r="H1344" s="10"/>
      <c r="I1344" s="10"/>
    </row>
    <row r="1345" ht="14.4" spans="8:9">
      <c r="H1345" s="10"/>
      <c r="I1345" s="10"/>
    </row>
    <row r="1346" ht="14.4" spans="8:9">
      <c r="H1346" s="10"/>
      <c r="I1346" s="10"/>
    </row>
    <row r="1347" ht="14.4" spans="8:9">
      <c r="H1347" s="10"/>
      <c r="I1347" s="10"/>
    </row>
    <row r="1348" ht="14.4" spans="8:9">
      <c r="H1348" s="10"/>
      <c r="I1348" s="10"/>
    </row>
    <row r="1349" ht="14.4" spans="8:9">
      <c r="H1349" s="10"/>
      <c r="I1349" s="10"/>
    </row>
    <row r="1350" ht="14.4" spans="8:9">
      <c r="H1350" s="10"/>
      <c r="I1350" s="10"/>
    </row>
    <row r="1351" ht="14.4" spans="8:9">
      <c r="H1351" s="10"/>
      <c r="I1351" s="10"/>
    </row>
    <row r="1352" ht="14.4" spans="8:9">
      <c r="H1352" s="10"/>
      <c r="I1352" s="10"/>
    </row>
    <row r="1353" ht="14.4" spans="8:9">
      <c r="H1353" s="10"/>
      <c r="I1353" s="10"/>
    </row>
    <row r="1354" ht="14.4" spans="8:9">
      <c r="H1354" s="10"/>
      <c r="I1354" s="10"/>
    </row>
    <row r="1355" ht="14.4" spans="8:9">
      <c r="H1355" s="10"/>
      <c r="I1355" s="10"/>
    </row>
    <row r="1356" ht="14.4" spans="8:9">
      <c r="H1356" s="10"/>
      <c r="I1356" s="10"/>
    </row>
    <row r="1357" ht="14.4" spans="8:9">
      <c r="H1357" s="10"/>
      <c r="I1357" s="10"/>
    </row>
    <row r="1358" ht="14.4" spans="8:9">
      <c r="H1358" s="10"/>
      <c r="I1358" s="10"/>
    </row>
    <row r="1359" ht="14.4" spans="8:9">
      <c r="H1359" s="10"/>
      <c r="I1359" s="10"/>
    </row>
    <row r="1360" ht="14.4" spans="8:9">
      <c r="H1360" s="10"/>
      <c r="I1360" s="10"/>
    </row>
    <row r="1361" ht="14.4" spans="8:9">
      <c r="H1361" s="10"/>
      <c r="I1361" s="10"/>
    </row>
    <row r="1362" ht="14.4" spans="8:9">
      <c r="H1362" s="10"/>
      <c r="I1362" s="10"/>
    </row>
    <row r="1363" ht="14.4" spans="8:9">
      <c r="H1363" s="10"/>
      <c r="I1363" s="10"/>
    </row>
    <row r="1364" ht="14.4" spans="8:9">
      <c r="H1364" s="10"/>
      <c r="I1364" s="10"/>
    </row>
    <row r="1365" ht="14.4" spans="8:9">
      <c r="H1365" s="10"/>
      <c r="I1365" s="10"/>
    </row>
    <row r="1366" ht="14.4" spans="8:9">
      <c r="H1366" s="10"/>
      <c r="I1366" s="10"/>
    </row>
    <row r="1367" ht="14.4" spans="8:9">
      <c r="H1367" s="10"/>
      <c r="I1367" s="10"/>
    </row>
    <row r="1368" ht="14.4" spans="8:9">
      <c r="H1368" s="10"/>
      <c r="I1368" s="10"/>
    </row>
    <row r="1369" ht="14.4" spans="8:9">
      <c r="H1369" s="10"/>
      <c r="I1369" s="10"/>
    </row>
    <row r="1370" ht="14.4" spans="8:9">
      <c r="H1370" s="10"/>
      <c r="I1370" s="10"/>
    </row>
    <row r="1371" ht="14.4" spans="8:9">
      <c r="H1371" s="10"/>
      <c r="I1371" s="10"/>
    </row>
    <row r="1372" ht="14.4" spans="8:9">
      <c r="H1372" s="10"/>
      <c r="I1372" s="10"/>
    </row>
    <row r="1373" ht="14.4" spans="8:9">
      <c r="H1373" s="10"/>
      <c r="I1373" s="10"/>
    </row>
    <row r="1374" ht="14.4" spans="8:9">
      <c r="H1374" s="10"/>
      <c r="I1374" s="10"/>
    </row>
    <row r="1375" ht="14.4" spans="8:9">
      <c r="H1375" s="10"/>
      <c r="I1375" s="10"/>
    </row>
    <row r="1376" ht="14.4" spans="8:9">
      <c r="H1376" s="10"/>
      <c r="I1376" s="10"/>
    </row>
    <row r="1377" ht="14.4" spans="8:9">
      <c r="H1377" s="10"/>
      <c r="I1377" s="10"/>
    </row>
    <row r="1378" ht="14.4" spans="8:9">
      <c r="H1378" s="10"/>
      <c r="I1378" s="10"/>
    </row>
    <row r="1379" ht="14.4" spans="8:9">
      <c r="H1379" s="10"/>
      <c r="I1379" s="10"/>
    </row>
    <row r="1380" ht="14.4" spans="8:9">
      <c r="H1380" s="10"/>
      <c r="I1380" s="10"/>
    </row>
    <row r="1381" ht="14.4" spans="8:9">
      <c r="H1381" s="10"/>
      <c r="I1381" s="10"/>
    </row>
    <row r="1382" ht="14.4" spans="8:9">
      <c r="H1382" s="10"/>
      <c r="I1382" s="10"/>
    </row>
    <row r="1383" ht="14.4" spans="8:9">
      <c r="H1383" s="10"/>
      <c r="I1383" s="10"/>
    </row>
    <row r="1384" ht="14.4" spans="8:9">
      <c r="H1384" s="10"/>
      <c r="I1384" s="10"/>
    </row>
    <row r="1385" ht="14.4" spans="8:9">
      <c r="H1385" s="10"/>
      <c r="I1385" s="10"/>
    </row>
    <row r="1386" ht="14.4" spans="8:9">
      <c r="H1386" s="10"/>
      <c r="I1386" s="10"/>
    </row>
    <row r="1387" ht="14.4" spans="8:9">
      <c r="H1387" s="10"/>
      <c r="I1387" s="10"/>
    </row>
    <row r="1388" ht="14.4" spans="8:9">
      <c r="H1388" s="10"/>
      <c r="I1388" s="10"/>
    </row>
    <row r="1389" ht="14.4" spans="8:9">
      <c r="H1389" s="10"/>
      <c r="I1389" s="10"/>
    </row>
    <row r="1390" ht="14.4" spans="8:9">
      <c r="H1390" s="10"/>
      <c r="I1390" s="10"/>
    </row>
    <row r="1391" ht="14.4" spans="8:9">
      <c r="H1391" s="10"/>
      <c r="I1391" s="10"/>
    </row>
    <row r="1392" ht="14.4" spans="8:9">
      <c r="H1392" s="10"/>
      <c r="I1392" s="10"/>
    </row>
    <row r="1393" ht="14.4" spans="8:9">
      <c r="H1393" s="10"/>
      <c r="I1393" s="10"/>
    </row>
    <row r="1394" ht="14.4" spans="8:9">
      <c r="H1394" s="10"/>
      <c r="I1394" s="10"/>
    </row>
    <row r="1395" ht="14.4" spans="8:9">
      <c r="H1395" s="10"/>
      <c r="I1395" s="10"/>
    </row>
    <row r="1396" ht="14.4" spans="8:9">
      <c r="H1396" s="10"/>
      <c r="I1396" s="10"/>
    </row>
    <row r="1397" ht="14.4" spans="8:9">
      <c r="H1397" s="10"/>
      <c r="I1397" s="10"/>
    </row>
    <row r="1398" ht="14.4" spans="8:9">
      <c r="H1398" s="10"/>
      <c r="I1398" s="10"/>
    </row>
    <row r="1399" ht="14.4" spans="8:9">
      <c r="H1399" s="10"/>
      <c r="I1399" s="10"/>
    </row>
    <row r="1400" ht="14.4" spans="8:9">
      <c r="H1400" s="10"/>
      <c r="I1400" s="10"/>
    </row>
    <row r="1401" ht="14.4" spans="8:9">
      <c r="H1401" s="10"/>
      <c r="I1401" s="10"/>
    </row>
    <row r="1402" ht="14.4" spans="8:9">
      <c r="H1402" s="10"/>
      <c r="I1402" s="10"/>
    </row>
    <row r="1403" ht="14.4" spans="8:9">
      <c r="H1403" s="10"/>
      <c r="I1403" s="10"/>
    </row>
    <row r="1404" ht="14.4" spans="8:9">
      <c r="H1404" s="10"/>
      <c r="I1404" s="10"/>
    </row>
    <row r="1405" ht="14.4" spans="8:9">
      <c r="H1405" s="10"/>
      <c r="I1405" s="10"/>
    </row>
    <row r="1406" ht="14.4" spans="8:9">
      <c r="H1406" s="10"/>
      <c r="I1406" s="10"/>
    </row>
    <row r="1407" ht="14.4" spans="8:9">
      <c r="H1407" s="10"/>
      <c r="I1407" s="10"/>
    </row>
    <row r="1408" ht="14.4" spans="8:9">
      <c r="H1408" s="10"/>
      <c r="I1408" s="10"/>
    </row>
    <row r="1409" ht="14.4" spans="8:9">
      <c r="H1409" s="10"/>
      <c r="I1409" s="10"/>
    </row>
    <row r="1410" ht="14.4" spans="8:9">
      <c r="H1410" s="10"/>
      <c r="I1410" s="10"/>
    </row>
    <row r="1411" ht="14.4" spans="8:9">
      <c r="H1411" s="10"/>
      <c r="I1411" s="10"/>
    </row>
    <row r="1412" ht="14.4" spans="8:9">
      <c r="H1412" s="10"/>
      <c r="I1412" s="10"/>
    </row>
    <row r="1413" ht="14.4" spans="8:9">
      <c r="H1413" s="10"/>
      <c r="I1413" s="10"/>
    </row>
    <row r="1414" ht="14.4" spans="8:9">
      <c r="H1414" s="10"/>
      <c r="I1414" s="10"/>
    </row>
    <row r="1415" ht="14.4" spans="8:9">
      <c r="H1415" s="10"/>
      <c r="I1415" s="10"/>
    </row>
    <row r="1416" ht="14.4" spans="8:9">
      <c r="H1416" s="10"/>
      <c r="I1416" s="10"/>
    </row>
    <row r="1417" ht="14.4" spans="8:9">
      <c r="H1417" s="10"/>
      <c r="I1417" s="10"/>
    </row>
    <row r="1418" ht="14.4" spans="8:9">
      <c r="H1418" s="10"/>
      <c r="I1418" s="10"/>
    </row>
    <row r="1419" ht="14.4" spans="8:9">
      <c r="H1419" s="10"/>
      <c r="I1419" s="10"/>
    </row>
    <row r="1420" ht="14.4" spans="8:9">
      <c r="H1420" s="10"/>
      <c r="I1420" s="10"/>
    </row>
    <row r="1421" ht="14.4" spans="8:9">
      <c r="H1421" s="10"/>
      <c r="I1421" s="10"/>
    </row>
    <row r="1422" ht="14.4" spans="8:9">
      <c r="H1422" s="10"/>
      <c r="I1422" s="10"/>
    </row>
    <row r="1423" ht="14.4" spans="8:9">
      <c r="H1423" s="10"/>
      <c r="I1423" s="10"/>
    </row>
    <row r="1424" ht="14.4" spans="8:9">
      <c r="H1424" s="10"/>
      <c r="I1424" s="10"/>
    </row>
    <row r="1425" ht="14.4" spans="8:9">
      <c r="H1425" s="10"/>
      <c r="I1425" s="10"/>
    </row>
    <row r="1426" ht="14.4" spans="8:9">
      <c r="H1426" s="10"/>
      <c r="I1426" s="10"/>
    </row>
    <row r="1427" ht="14.4" spans="8:9">
      <c r="H1427" s="10"/>
      <c r="I1427" s="10"/>
    </row>
    <row r="1428" ht="14.4" spans="8:9">
      <c r="H1428" s="10"/>
      <c r="I1428" s="10"/>
    </row>
    <row r="1429" ht="14.4" spans="8:9">
      <c r="H1429" s="10"/>
      <c r="I1429" s="10"/>
    </row>
    <row r="1430" ht="14.4" spans="8:9">
      <c r="H1430" s="10"/>
      <c r="I1430" s="10"/>
    </row>
    <row r="1431" ht="14.4" spans="8:9">
      <c r="H1431" s="10"/>
      <c r="I1431" s="10"/>
    </row>
    <row r="1432" ht="14.4" spans="8:9">
      <c r="H1432" s="10"/>
      <c r="I1432" s="10"/>
    </row>
    <row r="1433" ht="14.4" spans="8:9">
      <c r="H1433" s="10"/>
      <c r="I1433" s="10"/>
    </row>
    <row r="1434" ht="14.4" spans="8:9">
      <c r="H1434" s="10"/>
      <c r="I1434" s="10"/>
    </row>
    <row r="1435" ht="14.4" spans="8:9">
      <c r="H1435" s="10"/>
      <c r="I1435" s="10"/>
    </row>
    <row r="1436" ht="14.4" spans="8:9">
      <c r="H1436" s="10"/>
      <c r="I1436" s="10"/>
    </row>
    <row r="1437" ht="14.4" spans="8:9">
      <c r="H1437" s="10"/>
      <c r="I1437" s="10"/>
    </row>
    <row r="1438" ht="14.4" spans="8:9">
      <c r="H1438" s="10"/>
      <c r="I1438" s="10"/>
    </row>
    <row r="1439" ht="14.4" spans="8:9">
      <c r="H1439" s="10"/>
      <c r="I1439" s="10"/>
    </row>
    <row r="1440" ht="14.4" spans="8:9">
      <c r="H1440" s="10"/>
      <c r="I1440" s="10"/>
    </row>
    <row r="1441" ht="14.4" spans="8:9">
      <c r="H1441" s="10"/>
      <c r="I1441" s="10"/>
    </row>
    <row r="1442" ht="14.4" spans="8:9">
      <c r="H1442" s="10"/>
      <c r="I1442" s="10"/>
    </row>
    <row r="1443" ht="14.4" spans="8:9">
      <c r="H1443" s="10"/>
      <c r="I1443" s="10"/>
    </row>
    <row r="1444" ht="14.4" spans="8:9">
      <c r="H1444" s="10"/>
      <c r="I1444" s="10"/>
    </row>
    <row r="1445" ht="14.4" spans="8:9">
      <c r="H1445" s="10"/>
      <c r="I1445" s="10"/>
    </row>
    <row r="1446" ht="14.4" spans="8:9">
      <c r="H1446" s="10"/>
      <c r="I1446" s="10"/>
    </row>
    <row r="1447" ht="14.4" spans="8:9">
      <c r="H1447" s="10"/>
      <c r="I1447" s="10"/>
    </row>
    <row r="1448" ht="14.4" spans="8:9">
      <c r="H1448" s="10"/>
      <c r="I1448" s="10"/>
    </row>
    <row r="1449" ht="14.4" spans="8:9">
      <c r="H1449" s="10"/>
      <c r="I1449" s="10"/>
    </row>
    <row r="1450" ht="14.4" spans="8:9">
      <c r="H1450" s="10"/>
      <c r="I1450" s="10"/>
    </row>
    <row r="1451" ht="14.4" spans="8:9">
      <c r="H1451" s="10"/>
      <c r="I1451" s="10"/>
    </row>
    <row r="1452" ht="14.4" spans="8:9">
      <c r="H1452" s="10"/>
      <c r="I1452" s="10"/>
    </row>
    <row r="1453" ht="14.4" spans="8:9">
      <c r="H1453" s="10"/>
      <c r="I1453" s="10"/>
    </row>
    <row r="1454" ht="14.4" spans="8:9">
      <c r="H1454" s="10"/>
      <c r="I1454" s="10"/>
    </row>
    <row r="1455" ht="14.4" spans="8:9">
      <c r="H1455" s="10"/>
      <c r="I1455" s="10"/>
    </row>
    <row r="1456" ht="14.4" spans="8:9">
      <c r="H1456" s="10"/>
      <c r="I1456" s="10"/>
    </row>
    <row r="1457" ht="14.4" spans="8:9">
      <c r="H1457" s="10"/>
      <c r="I1457" s="10"/>
    </row>
    <row r="1458" ht="14.4" spans="8:9">
      <c r="H1458" s="10"/>
      <c r="I1458" s="10"/>
    </row>
    <row r="1459" ht="14.4" spans="8:9">
      <c r="H1459" s="10"/>
      <c r="I1459" s="10"/>
    </row>
    <row r="1460" ht="14.4" spans="8:9">
      <c r="H1460" s="10"/>
      <c r="I1460" s="10"/>
    </row>
    <row r="1461" ht="14.4" spans="8:9">
      <c r="H1461" s="10"/>
      <c r="I1461" s="10"/>
    </row>
    <row r="1462" ht="14.4" spans="8:9">
      <c r="H1462" s="10"/>
      <c r="I1462" s="10"/>
    </row>
    <row r="1463" ht="14.4" spans="8:9">
      <c r="H1463" s="10"/>
      <c r="I1463" s="10"/>
    </row>
    <row r="1464" ht="14.4" spans="8:9">
      <c r="H1464" s="10"/>
      <c r="I1464" s="10"/>
    </row>
    <row r="1465" ht="14.4" spans="8:9">
      <c r="H1465" s="10"/>
      <c r="I1465" s="10"/>
    </row>
    <row r="1466" ht="14.4" spans="8:9">
      <c r="H1466" s="10"/>
      <c r="I1466" s="10"/>
    </row>
    <row r="1467" ht="14.4" spans="8:9">
      <c r="H1467" s="10"/>
      <c r="I1467" s="10"/>
    </row>
    <row r="1468" ht="14.4" spans="8:9">
      <c r="H1468" s="10"/>
      <c r="I1468" s="10"/>
    </row>
    <row r="1469" ht="14.4" spans="8:9">
      <c r="H1469" s="10"/>
      <c r="I1469" s="10"/>
    </row>
    <row r="1470" ht="14.4" spans="8:9">
      <c r="H1470" s="10"/>
      <c r="I1470" s="10"/>
    </row>
    <row r="1471" ht="14.4" spans="8:9">
      <c r="H1471" s="10"/>
      <c r="I1471" s="10"/>
    </row>
    <row r="1472" ht="14.4" spans="8:9">
      <c r="H1472" s="10"/>
      <c r="I1472" s="10"/>
    </row>
    <row r="1473" ht="14.4" spans="8:9">
      <c r="H1473" s="10"/>
      <c r="I1473" s="10"/>
    </row>
    <row r="1474" ht="14.4" spans="8:9">
      <c r="H1474" s="10"/>
      <c r="I1474" s="10"/>
    </row>
    <row r="1475" ht="14.4" spans="8:9">
      <c r="H1475" s="10"/>
      <c r="I1475" s="10"/>
    </row>
    <row r="1476" ht="14.4" spans="8:9">
      <c r="H1476" s="10"/>
      <c r="I1476" s="10"/>
    </row>
    <row r="1477" ht="14.4" spans="8:9">
      <c r="H1477" s="10"/>
      <c r="I1477" s="10"/>
    </row>
    <row r="1478" ht="14.4" spans="8:9">
      <c r="H1478" s="10"/>
      <c r="I1478" s="10"/>
    </row>
    <row r="1479" ht="14.4" spans="8:9">
      <c r="H1479" s="10"/>
      <c r="I1479" s="10"/>
    </row>
    <row r="1480" ht="14.4" spans="8:9">
      <c r="H1480" s="10"/>
      <c r="I1480" s="10"/>
    </row>
    <row r="1481" ht="14.4" spans="8:9">
      <c r="H1481" s="10"/>
      <c r="I1481" s="10"/>
    </row>
    <row r="1482" ht="14.4" spans="8:9">
      <c r="H1482" s="10"/>
      <c r="I1482" s="10"/>
    </row>
    <row r="1483" ht="14.4" spans="8:9">
      <c r="H1483" s="10"/>
      <c r="I1483" s="10"/>
    </row>
    <row r="1484" ht="14.4" spans="8:9">
      <c r="H1484" s="10"/>
      <c r="I1484" s="10"/>
    </row>
    <row r="1485" ht="14.4" spans="8:9">
      <c r="H1485" s="10"/>
      <c r="I1485" s="10"/>
    </row>
    <row r="1486" ht="14.4" spans="8:9">
      <c r="H1486" s="10"/>
      <c r="I1486" s="10"/>
    </row>
    <row r="1487" ht="14.4" spans="8:9">
      <c r="H1487" s="10"/>
      <c r="I1487" s="10"/>
    </row>
    <row r="1488" ht="14.4" spans="8:9">
      <c r="H1488" s="10"/>
      <c r="I1488" s="10"/>
    </row>
    <row r="1489" ht="14.4" spans="8:9">
      <c r="H1489" s="10"/>
      <c r="I1489" s="10"/>
    </row>
    <row r="1490" ht="14.4" spans="8:9">
      <c r="H1490" s="10"/>
      <c r="I1490" s="10"/>
    </row>
    <row r="1491" ht="14.4" spans="8:9">
      <c r="H1491" s="10"/>
      <c r="I1491" s="10"/>
    </row>
    <row r="1492" ht="14.4" spans="8:9">
      <c r="H1492" s="10"/>
      <c r="I1492" s="10"/>
    </row>
    <row r="1493" ht="14.4" spans="8:9">
      <c r="H1493" s="10"/>
      <c r="I1493" s="10"/>
    </row>
    <row r="1494" ht="14.4" spans="8:9">
      <c r="H1494" s="10"/>
      <c r="I1494" s="10"/>
    </row>
    <row r="1495" ht="14.4" spans="8:9">
      <c r="H1495" s="10"/>
      <c r="I1495" s="10"/>
    </row>
    <row r="1496" ht="14.4" spans="8:9">
      <c r="H1496" s="10"/>
      <c r="I1496" s="10"/>
    </row>
    <row r="1497" ht="14.4" spans="8:9">
      <c r="H1497" s="10"/>
      <c r="I1497" s="10"/>
    </row>
    <row r="1498" ht="14.4" spans="8:9">
      <c r="H1498" s="10"/>
      <c r="I1498" s="10"/>
    </row>
    <row r="1499" ht="14.4" spans="8:9">
      <c r="H1499" s="10"/>
      <c r="I1499" s="10"/>
    </row>
    <row r="1500" ht="14.4" spans="8:9">
      <c r="H1500" s="10"/>
      <c r="I1500" s="10"/>
    </row>
    <row r="1501" ht="14.4" spans="8:9">
      <c r="H1501" s="10"/>
      <c r="I1501" s="10"/>
    </row>
    <row r="1502" ht="14.4" spans="8:9">
      <c r="H1502" s="10"/>
      <c r="I1502" s="10"/>
    </row>
    <row r="1503" ht="14.4" spans="8:9">
      <c r="H1503" s="10"/>
      <c r="I1503" s="10"/>
    </row>
    <row r="1504" ht="14.4" spans="8:9">
      <c r="H1504" s="10"/>
      <c r="I1504" s="10"/>
    </row>
    <row r="1505" ht="14.4" spans="8:9">
      <c r="H1505" s="10"/>
      <c r="I1505" s="10"/>
    </row>
    <row r="1506" ht="14.4" spans="8:9">
      <c r="H1506" s="10"/>
      <c r="I1506" s="10"/>
    </row>
    <row r="1507" ht="14.4" spans="8:9">
      <c r="H1507" s="10"/>
      <c r="I1507" s="10"/>
    </row>
    <row r="1508" ht="14.4" spans="8:9">
      <c r="H1508" s="10"/>
      <c r="I1508" s="10"/>
    </row>
    <row r="1509" ht="14.4" spans="8:9">
      <c r="H1509" s="10"/>
      <c r="I1509" s="10"/>
    </row>
    <row r="1510" ht="14.4" spans="8:9">
      <c r="H1510" s="10"/>
      <c r="I1510" s="10"/>
    </row>
    <row r="1511" ht="14.4" spans="8:9">
      <c r="H1511" s="10"/>
      <c r="I1511" s="10"/>
    </row>
    <row r="1512" ht="14.4" spans="8:9">
      <c r="H1512" s="10"/>
      <c r="I1512" s="10"/>
    </row>
    <row r="1513" ht="14.4" spans="8:9">
      <c r="H1513" s="10"/>
      <c r="I1513" s="10"/>
    </row>
    <row r="1514" ht="14.4" spans="8:9">
      <c r="H1514" s="10"/>
      <c r="I1514" s="10"/>
    </row>
    <row r="1515" ht="14.4" spans="8:9">
      <c r="H1515" s="10"/>
      <c r="I1515" s="10"/>
    </row>
    <row r="1516" ht="14.4" spans="8:9">
      <c r="H1516" s="10"/>
      <c r="I1516" s="10"/>
    </row>
    <row r="1517" ht="14.4" spans="8:9">
      <c r="H1517" s="10"/>
      <c r="I1517" s="10"/>
    </row>
    <row r="1518" ht="14.4" spans="8:9">
      <c r="H1518" s="10"/>
      <c r="I1518" s="10"/>
    </row>
    <row r="1519" ht="14.4" spans="8:9">
      <c r="H1519" s="10"/>
      <c r="I1519" s="10"/>
    </row>
    <row r="1520" ht="14.4" spans="8:9">
      <c r="H1520" s="10"/>
      <c r="I1520" s="10"/>
    </row>
    <row r="1521" ht="14.4" spans="8:9">
      <c r="H1521" s="10"/>
      <c r="I1521" s="10"/>
    </row>
    <row r="1522" ht="14.4" spans="8:9">
      <c r="H1522" s="10"/>
      <c r="I1522" s="10"/>
    </row>
    <row r="1523" ht="14.4" spans="8:9">
      <c r="H1523" s="10"/>
      <c r="I1523" s="10"/>
    </row>
    <row r="1524" ht="14.4" spans="8:9">
      <c r="H1524" s="10"/>
      <c r="I1524" s="10"/>
    </row>
    <row r="1525" ht="14.4" spans="8:9">
      <c r="H1525" s="10"/>
      <c r="I1525" s="10"/>
    </row>
    <row r="1526" ht="14.4" spans="8:9">
      <c r="H1526" s="10"/>
      <c r="I1526" s="10"/>
    </row>
    <row r="1527" ht="14.4" spans="8:9">
      <c r="H1527" s="10"/>
      <c r="I1527" s="10"/>
    </row>
    <row r="1528" ht="14.4" spans="8:9">
      <c r="H1528" s="10"/>
      <c r="I1528" s="10"/>
    </row>
    <row r="1529" ht="14.4" spans="8:9">
      <c r="H1529" s="10"/>
      <c r="I1529" s="10"/>
    </row>
    <row r="1530" ht="14.4" spans="8:9">
      <c r="H1530" s="10"/>
      <c r="I1530" s="10"/>
    </row>
    <row r="1531" ht="14.4" spans="8:9">
      <c r="H1531" s="10"/>
      <c r="I1531" s="10"/>
    </row>
    <row r="1532" ht="14.4" spans="8:9">
      <c r="H1532" s="10"/>
      <c r="I1532" s="10"/>
    </row>
    <row r="1533" ht="14.4" spans="8:9">
      <c r="H1533" s="10"/>
      <c r="I1533" s="10"/>
    </row>
    <row r="1534" ht="14.4" spans="8:9">
      <c r="H1534" s="10"/>
      <c r="I1534" s="10"/>
    </row>
    <row r="1535" ht="14.4" spans="8:9">
      <c r="H1535" s="10"/>
      <c r="I1535" s="10"/>
    </row>
    <row r="1536" ht="14.4" spans="8:9">
      <c r="H1536" s="10"/>
      <c r="I1536" s="10"/>
    </row>
    <row r="1537" ht="14.4" spans="8:9">
      <c r="H1537" s="10"/>
      <c r="I1537" s="10"/>
    </row>
    <row r="1538" ht="14.4" spans="8:9">
      <c r="H1538" s="10"/>
      <c r="I1538" s="10"/>
    </row>
    <row r="1539" ht="14.4" spans="8:9">
      <c r="H1539" s="10"/>
      <c r="I1539" s="10"/>
    </row>
    <row r="1540" ht="14.4" spans="8:9">
      <c r="H1540" s="10"/>
      <c r="I1540" s="10"/>
    </row>
    <row r="1541" ht="14.4" spans="8:9">
      <c r="H1541" s="10"/>
      <c r="I1541" s="10"/>
    </row>
    <row r="1542" ht="14.4" spans="8:9">
      <c r="H1542" s="10"/>
      <c r="I1542" s="10"/>
    </row>
    <row r="1543" ht="14.4" spans="8:9">
      <c r="H1543" s="10"/>
      <c r="I1543" s="10"/>
    </row>
    <row r="1544" ht="14.4" spans="8:9">
      <c r="H1544" s="10"/>
      <c r="I1544" s="10"/>
    </row>
    <row r="1545" ht="14.4" spans="8:9">
      <c r="H1545" s="10"/>
      <c r="I1545" s="10"/>
    </row>
    <row r="1546" ht="14.4" spans="8:9">
      <c r="H1546" s="10"/>
      <c r="I1546" s="10"/>
    </row>
    <row r="1547" ht="14.4" spans="8:9">
      <c r="H1547" s="10"/>
      <c r="I1547" s="10"/>
    </row>
    <row r="1548" ht="14.4" spans="8:9">
      <c r="H1548" s="10"/>
      <c r="I1548" s="10"/>
    </row>
    <row r="1549" ht="14.4" spans="8:9">
      <c r="H1549" s="10"/>
      <c r="I1549" s="10"/>
    </row>
    <row r="1550" ht="14.4" spans="8:9">
      <c r="H1550" s="10"/>
      <c r="I1550" s="10"/>
    </row>
    <row r="1551" ht="14.4" spans="8:9">
      <c r="H1551" s="10"/>
      <c r="I1551" s="10"/>
    </row>
    <row r="1552" ht="14.4" spans="8:9">
      <c r="H1552" s="10"/>
      <c r="I1552" s="10"/>
    </row>
    <row r="1553" ht="14.4" spans="8:9">
      <c r="H1553" s="10"/>
      <c r="I1553" s="10"/>
    </row>
    <row r="1554" ht="14.4" spans="8:9">
      <c r="H1554" s="10"/>
      <c r="I1554" s="10"/>
    </row>
    <row r="1555" ht="14.4" spans="8:9">
      <c r="H1555" s="10"/>
      <c r="I1555" s="10"/>
    </row>
    <row r="1556" ht="14.4" spans="8:9">
      <c r="H1556" s="10"/>
      <c r="I1556" s="10"/>
    </row>
    <row r="1557" ht="14.4" spans="8:9">
      <c r="H1557" s="10"/>
      <c r="I1557" s="10"/>
    </row>
    <row r="1558" ht="14.4" spans="8:9">
      <c r="H1558" s="10"/>
      <c r="I1558" s="10"/>
    </row>
    <row r="1559" ht="14.4" spans="8:9">
      <c r="H1559" s="10"/>
      <c r="I1559" s="10"/>
    </row>
    <row r="1560" ht="14.4" spans="8:9">
      <c r="H1560" s="10"/>
      <c r="I1560" s="10"/>
    </row>
    <row r="1561" ht="14.4" spans="8:9">
      <c r="H1561" s="10"/>
      <c r="I1561" s="10"/>
    </row>
    <row r="1562" ht="14.4" spans="8:9">
      <c r="H1562" s="10"/>
      <c r="I1562" s="10"/>
    </row>
    <row r="1563" ht="14.4" spans="8:9">
      <c r="H1563" s="10"/>
      <c r="I1563" s="10"/>
    </row>
    <row r="1564" ht="14.4" spans="8:9">
      <c r="H1564" s="10"/>
      <c r="I1564" s="10"/>
    </row>
    <row r="1565" ht="14.4" spans="8:9">
      <c r="H1565" s="10"/>
      <c r="I1565" s="10"/>
    </row>
    <row r="1566" ht="14.4" spans="8:9">
      <c r="H1566" s="10"/>
      <c r="I1566" s="10"/>
    </row>
    <row r="1567" ht="14.4" spans="8:9">
      <c r="H1567" s="10"/>
      <c r="I1567" s="10"/>
    </row>
    <row r="1568" ht="14.4" spans="8:9">
      <c r="H1568" s="10"/>
      <c r="I1568" s="10"/>
    </row>
    <row r="1569" ht="14.4" spans="8:9">
      <c r="H1569" s="10"/>
      <c r="I1569" s="10"/>
    </row>
    <row r="1570" ht="14.4" spans="8:9">
      <c r="H1570" s="10"/>
      <c r="I1570" s="10"/>
    </row>
    <row r="1571" ht="14.4" spans="8:9">
      <c r="H1571" s="10"/>
      <c r="I1571" s="10"/>
    </row>
    <row r="1572" ht="14.4" spans="8:9">
      <c r="H1572" s="10"/>
      <c r="I1572" s="10"/>
    </row>
    <row r="1573" ht="14.4" spans="8:9">
      <c r="H1573" s="10"/>
      <c r="I1573" s="10"/>
    </row>
    <row r="1574" ht="14.4" spans="8:9">
      <c r="H1574" s="10"/>
      <c r="I1574" s="10"/>
    </row>
    <row r="1575" ht="14.4" spans="8:9">
      <c r="H1575" s="10"/>
      <c r="I1575" s="10"/>
    </row>
    <row r="1576" ht="14.4" spans="8:9">
      <c r="H1576" s="10"/>
      <c r="I1576" s="10"/>
    </row>
    <row r="1577" ht="14.4" spans="8:9">
      <c r="H1577" s="10"/>
      <c r="I1577" s="10"/>
    </row>
    <row r="1578" ht="14.4" spans="8:9">
      <c r="H1578" s="10"/>
      <c r="I1578" s="10"/>
    </row>
    <row r="1579" ht="14.4" spans="8:9">
      <c r="H1579" s="10"/>
      <c r="I1579" s="10"/>
    </row>
    <row r="1580" ht="14.4" spans="8:9">
      <c r="H1580" s="10"/>
      <c r="I1580" s="10"/>
    </row>
    <row r="1581" ht="14.4" spans="8:9">
      <c r="H1581" s="10"/>
      <c r="I1581" s="10"/>
    </row>
    <row r="1582" ht="14.4" spans="8:9">
      <c r="H1582" s="10"/>
      <c r="I1582" s="10"/>
    </row>
    <row r="1583" ht="14.4" spans="8:9">
      <c r="H1583" s="10"/>
      <c r="I1583" s="10"/>
    </row>
    <row r="1584" ht="14.4" spans="8:9">
      <c r="H1584" s="10"/>
      <c r="I1584" s="10"/>
    </row>
    <row r="1585" ht="14.4" spans="8:9">
      <c r="H1585" s="10"/>
      <c r="I1585" s="10"/>
    </row>
    <row r="1586" ht="14.4" spans="8:9">
      <c r="H1586" s="10"/>
      <c r="I1586" s="10"/>
    </row>
    <row r="1587" ht="14.4" spans="8:9">
      <c r="H1587" s="10"/>
      <c r="I1587" s="10"/>
    </row>
    <row r="1588" ht="14.4" spans="8:9">
      <c r="H1588" s="10"/>
      <c r="I1588" s="10"/>
    </row>
    <row r="1589" ht="14.4" spans="8:9">
      <c r="H1589" s="10"/>
      <c r="I1589" s="10"/>
    </row>
    <row r="1590" ht="14.4" spans="8:9">
      <c r="H1590" s="10"/>
      <c r="I1590" s="10"/>
    </row>
    <row r="1591" ht="14.4" spans="8:9">
      <c r="H1591" s="10"/>
      <c r="I1591" s="10"/>
    </row>
    <row r="1592" ht="14.4" spans="8:9">
      <c r="H1592" s="10"/>
      <c r="I1592" s="10"/>
    </row>
    <row r="1593" ht="14.4" spans="8:9">
      <c r="H1593" s="10"/>
      <c r="I1593" s="10"/>
    </row>
    <row r="1594" ht="14.4" spans="8:9">
      <c r="H1594" s="10"/>
      <c r="I1594" s="10"/>
    </row>
  </sheetData>
  <dataValidations count="1">
    <dataValidation type="list" allowBlank="1" sqref="B2 B50 B92 B220:C220 B338 B570 B603 B667 B703 B712" showDropDown="1">
      <formula1>#REF!</formula1>
    </dataValidation>
  </dataValidation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1017"/>
  <sheetViews>
    <sheetView topLeftCell="A27" workbookViewId="0">
      <selection activeCell="A1" sqref="A1"/>
    </sheetView>
  </sheetViews>
  <sheetFormatPr defaultColWidth="14.4259259259259" defaultRowHeight="15" customHeight="1"/>
  <cols>
    <col min="1" max="1" width="28.287037037037" customWidth="1"/>
    <col min="3" max="3" width="15.5740740740741" customWidth="1"/>
    <col min="5" max="6" width="18.5740740740741" customWidth="1"/>
    <col min="7" max="7" width="9.57407407407407" customWidth="1"/>
    <col min="8" max="8" width="11.4259259259259" customWidth="1"/>
    <col min="9" max="9" width="12.8611111111111" customWidth="1"/>
    <col min="11" max="11" width="15.287037037037" customWidth="1"/>
    <col min="14" max="14" width="16.4259259259259" customWidth="1"/>
    <col min="15" max="15" width="10.287037037037" customWidth="1"/>
    <col min="16" max="18" width="12.712962962963" customWidth="1"/>
  </cols>
  <sheetData>
    <row r="1" ht="30" customHeight="1" spans="1:27">
      <c r="A1" s="4" t="s">
        <v>354</v>
      </c>
      <c r="B1" s="4" t="s">
        <v>355</v>
      </c>
      <c r="C1" s="5" t="s">
        <v>311</v>
      </c>
      <c r="D1" s="4" t="s">
        <v>356</v>
      </c>
      <c r="E1" s="4" t="s">
        <v>357</v>
      </c>
      <c r="F1" s="4" t="s">
        <v>358</v>
      </c>
      <c r="G1" s="4" t="s">
        <v>359</v>
      </c>
      <c r="H1" s="4" t="s">
        <v>360</v>
      </c>
      <c r="I1" s="4" t="s">
        <v>361</v>
      </c>
      <c r="J1" s="4" t="s">
        <v>362</v>
      </c>
      <c r="K1" s="4" t="s">
        <v>363</v>
      </c>
      <c r="L1" s="4" t="s">
        <v>364</v>
      </c>
      <c r="M1" s="4" t="s">
        <v>365</v>
      </c>
      <c r="N1" s="4" t="s">
        <v>366</v>
      </c>
      <c r="O1" s="4" t="s">
        <v>367</v>
      </c>
      <c r="P1" s="4" t="s">
        <v>368</v>
      </c>
      <c r="Q1" s="13" t="s">
        <v>369</v>
      </c>
      <c r="R1" s="4" t="s">
        <v>370</v>
      </c>
      <c r="S1" s="4"/>
      <c r="T1" s="4"/>
      <c r="U1" s="4"/>
      <c r="V1" s="4"/>
      <c r="W1" s="4"/>
      <c r="X1" s="4"/>
      <c r="Y1" s="4"/>
      <c r="Z1" s="4"/>
      <c r="AA1" s="4"/>
    </row>
    <row r="2" ht="14.4" spans="1:14">
      <c r="A2" s="3" t="s">
        <v>84</v>
      </c>
      <c r="B2" s="6">
        <v>1</v>
      </c>
      <c r="C2" s="6">
        <v>1</v>
      </c>
      <c r="D2" s="6">
        <v>0</v>
      </c>
      <c r="E2" s="3" t="s">
        <v>371</v>
      </c>
      <c r="F2" s="3" t="s">
        <v>353</v>
      </c>
      <c r="G2" s="3">
        <v>1</v>
      </c>
      <c r="H2" s="3" t="b">
        <v>0</v>
      </c>
      <c r="I2" s="3" t="s">
        <v>318</v>
      </c>
      <c r="J2" t="b">
        <v>0</v>
      </c>
      <c r="K2" s="3" t="b">
        <v>0</v>
      </c>
      <c r="L2" s="3" t="b">
        <v>0</v>
      </c>
      <c r="M2" s="3">
        <v>0</v>
      </c>
      <c r="N2" s="3">
        <v>1</v>
      </c>
    </row>
    <row r="3" ht="14.4" spans="1:14">
      <c r="A3" s="3" t="s">
        <v>65</v>
      </c>
      <c r="B3" s="6">
        <v>0.8</v>
      </c>
      <c r="C3" s="6">
        <v>1</v>
      </c>
      <c r="D3" s="6">
        <v>0</v>
      </c>
      <c r="E3" s="3" t="s">
        <v>371</v>
      </c>
      <c r="F3" s="3" t="s">
        <v>353</v>
      </c>
      <c r="G3" s="3">
        <v>0.5</v>
      </c>
      <c r="H3" t="b">
        <v>0</v>
      </c>
      <c r="I3" s="3" t="s">
        <v>318</v>
      </c>
      <c r="J3" t="b">
        <v>0</v>
      </c>
      <c r="K3" t="b">
        <v>0</v>
      </c>
      <c r="L3" s="3" t="b">
        <v>0</v>
      </c>
      <c r="M3" s="3">
        <v>0</v>
      </c>
      <c r="N3" s="3">
        <v>1.2</v>
      </c>
    </row>
    <row r="4" ht="14.4" spans="1:14">
      <c r="A4" s="3" t="s">
        <v>115</v>
      </c>
      <c r="B4" s="6">
        <v>1</v>
      </c>
      <c r="C4" s="6">
        <v>1</v>
      </c>
      <c r="D4" s="6">
        <v>0</v>
      </c>
      <c r="E4" s="3" t="s">
        <v>371</v>
      </c>
      <c r="F4" s="3" t="s">
        <v>353</v>
      </c>
      <c r="G4" s="3">
        <v>2</v>
      </c>
      <c r="H4" t="b">
        <v>0</v>
      </c>
      <c r="I4" s="3" t="s">
        <v>318</v>
      </c>
      <c r="J4" s="12" t="b">
        <v>0</v>
      </c>
      <c r="K4" t="b">
        <v>0</v>
      </c>
      <c r="L4" s="3" t="b">
        <v>0</v>
      </c>
      <c r="M4" s="3">
        <v>0</v>
      </c>
      <c r="N4" s="3">
        <v>1</v>
      </c>
    </row>
    <row r="5" ht="14.4" spans="1:17">
      <c r="A5" s="3" t="s">
        <v>66</v>
      </c>
      <c r="B5" s="6">
        <v>0.8</v>
      </c>
      <c r="C5" s="6">
        <v>1</v>
      </c>
      <c r="D5" s="6">
        <v>1.3</v>
      </c>
      <c r="E5" s="3" t="s">
        <v>371</v>
      </c>
      <c r="F5" s="3" t="s">
        <v>372</v>
      </c>
      <c r="G5" s="3">
        <v>0.5</v>
      </c>
      <c r="H5" t="b">
        <v>0</v>
      </c>
      <c r="I5" s="3" t="s">
        <v>318</v>
      </c>
      <c r="J5" t="b">
        <v>0</v>
      </c>
      <c r="K5" s="3" t="b">
        <v>1</v>
      </c>
      <c r="L5" s="3" t="b">
        <v>0</v>
      </c>
      <c r="M5" s="3">
        <v>0</v>
      </c>
      <c r="N5" s="3">
        <v>1</v>
      </c>
      <c r="Q5" s="3">
        <v>0.48075</v>
      </c>
    </row>
    <row r="6" ht="14.4" spans="1:18">
      <c r="A6" s="3" t="s">
        <v>67</v>
      </c>
      <c r="B6" s="6">
        <v>1</v>
      </c>
      <c r="C6" s="6">
        <v>0</v>
      </c>
      <c r="D6" s="6">
        <v>1.5</v>
      </c>
      <c r="E6" s="3" t="s">
        <v>371</v>
      </c>
      <c r="F6" s="3" t="s">
        <v>373</v>
      </c>
      <c r="G6" s="3">
        <v>1</v>
      </c>
      <c r="H6" t="b">
        <v>0</v>
      </c>
      <c r="I6" s="3" t="s">
        <v>318</v>
      </c>
      <c r="J6" t="b">
        <v>0</v>
      </c>
      <c r="K6" s="3" t="b">
        <v>1</v>
      </c>
      <c r="L6" s="3" t="b">
        <v>0</v>
      </c>
      <c r="M6" s="3">
        <v>0</v>
      </c>
      <c r="N6" s="3">
        <v>1</v>
      </c>
      <c r="R6" s="3">
        <v>0.6</v>
      </c>
    </row>
    <row r="7" ht="14.4" spans="1:14">
      <c r="A7" s="3" t="s">
        <v>25</v>
      </c>
      <c r="B7" s="6">
        <v>0.7</v>
      </c>
      <c r="C7" s="6">
        <v>1</v>
      </c>
      <c r="D7" s="6">
        <v>0</v>
      </c>
      <c r="E7" s="3" t="s">
        <v>371</v>
      </c>
      <c r="F7" s="3" t="s">
        <v>353</v>
      </c>
      <c r="G7" s="3">
        <v>0.5</v>
      </c>
      <c r="H7" t="b">
        <v>0</v>
      </c>
      <c r="I7" s="3" t="s">
        <v>320</v>
      </c>
      <c r="J7" t="b">
        <v>0</v>
      </c>
      <c r="K7" t="b">
        <v>0</v>
      </c>
      <c r="L7" s="3" t="b">
        <v>0</v>
      </c>
      <c r="M7" s="3">
        <v>0</v>
      </c>
      <c r="N7" s="3">
        <v>1</v>
      </c>
    </row>
    <row r="8" ht="14.4" spans="1:27">
      <c r="A8" s="3" t="s">
        <v>223</v>
      </c>
      <c r="B8" s="7">
        <v>0.7</v>
      </c>
      <c r="C8" s="7">
        <v>1</v>
      </c>
      <c r="D8" s="7">
        <v>0</v>
      </c>
      <c r="E8" s="3" t="s">
        <v>371</v>
      </c>
      <c r="F8" s="3" t="s">
        <v>353</v>
      </c>
      <c r="G8" s="8">
        <v>0.5</v>
      </c>
      <c r="H8" s="9" t="b">
        <v>0</v>
      </c>
      <c r="I8" s="3" t="s">
        <v>320</v>
      </c>
      <c r="J8" s="9" t="b">
        <v>0</v>
      </c>
      <c r="K8" s="9" t="b">
        <v>0</v>
      </c>
      <c r="L8" s="3" t="b">
        <v>0</v>
      </c>
      <c r="M8" s="8">
        <v>0</v>
      </c>
      <c r="N8" s="3">
        <v>1.25</v>
      </c>
      <c r="O8" s="3">
        <v>2</v>
      </c>
      <c r="P8" s="3"/>
      <c r="Q8" s="3"/>
      <c r="R8" s="3"/>
      <c r="S8" s="3"/>
      <c r="T8" s="3"/>
      <c r="U8" s="3"/>
      <c r="V8" s="3"/>
      <c r="W8" s="3"/>
      <c r="X8" s="3"/>
      <c r="Y8" s="3"/>
      <c r="Z8" s="3"/>
      <c r="AA8" s="3"/>
    </row>
    <row r="9" ht="14.4" spans="1:14">
      <c r="A9" s="3" t="s">
        <v>198</v>
      </c>
      <c r="B9" s="6">
        <v>1</v>
      </c>
      <c r="C9" s="6">
        <v>1</v>
      </c>
      <c r="D9" s="6">
        <v>0</v>
      </c>
      <c r="E9" s="3" t="s">
        <v>371</v>
      </c>
      <c r="F9" s="3" t="s">
        <v>353</v>
      </c>
      <c r="G9" s="3">
        <v>1</v>
      </c>
      <c r="H9" t="b">
        <v>0</v>
      </c>
      <c r="I9" s="3" t="s">
        <v>318</v>
      </c>
      <c r="J9" t="b">
        <v>0</v>
      </c>
      <c r="K9" t="b">
        <v>0</v>
      </c>
      <c r="L9" s="3" t="b">
        <v>0</v>
      </c>
      <c r="M9" s="3">
        <v>0</v>
      </c>
      <c r="N9" s="3">
        <v>1</v>
      </c>
    </row>
    <row r="10" ht="14.4" spans="1:14">
      <c r="A10" s="3" t="s">
        <v>199</v>
      </c>
      <c r="B10" s="6">
        <v>1</v>
      </c>
      <c r="C10" s="6">
        <v>1</v>
      </c>
      <c r="D10" s="6">
        <v>0</v>
      </c>
      <c r="E10" s="3" t="s">
        <v>371</v>
      </c>
      <c r="F10" s="3" t="s">
        <v>353</v>
      </c>
      <c r="G10" s="3">
        <v>1</v>
      </c>
      <c r="H10" t="b">
        <v>0</v>
      </c>
      <c r="I10" s="3" t="s">
        <v>318</v>
      </c>
      <c r="J10" t="b">
        <v>0</v>
      </c>
      <c r="K10" t="b">
        <v>0</v>
      </c>
      <c r="L10" s="3" t="b">
        <v>0</v>
      </c>
      <c r="M10" s="3">
        <v>0</v>
      </c>
      <c r="N10" s="3">
        <v>1</v>
      </c>
    </row>
    <row r="11" ht="14.4" spans="1:14">
      <c r="A11" s="3" t="s">
        <v>201</v>
      </c>
      <c r="B11" s="6">
        <v>1.5</v>
      </c>
      <c r="C11" s="6">
        <v>0</v>
      </c>
      <c r="D11" s="6">
        <v>0</v>
      </c>
      <c r="E11" s="3" t="s">
        <v>55</v>
      </c>
      <c r="F11" s="3" t="s">
        <v>353</v>
      </c>
      <c r="G11" s="3">
        <v>1</v>
      </c>
      <c r="H11" s="3" t="b">
        <v>1</v>
      </c>
      <c r="I11" s="3" t="s">
        <v>318</v>
      </c>
      <c r="J11" t="b">
        <v>0</v>
      </c>
      <c r="K11" s="3" t="b">
        <v>0</v>
      </c>
      <c r="L11" s="3" t="b">
        <v>0</v>
      </c>
      <c r="M11" s="3">
        <v>0</v>
      </c>
      <c r="N11" s="3">
        <v>1</v>
      </c>
    </row>
    <row r="12" ht="14.4" spans="1:14">
      <c r="A12" s="3" t="s">
        <v>200</v>
      </c>
      <c r="B12" s="6">
        <v>0.8</v>
      </c>
      <c r="C12" s="6">
        <v>1</v>
      </c>
      <c r="D12" s="6">
        <v>0</v>
      </c>
      <c r="E12" s="3" t="s">
        <v>200</v>
      </c>
      <c r="F12" s="3" t="s">
        <v>353</v>
      </c>
      <c r="G12" s="3">
        <v>2</v>
      </c>
      <c r="H12" t="b">
        <v>0</v>
      </c>
      <c r="I12" s="3" t="s">
        <v>318</v>
      </c>
      <c r="J12" t="b">
        <v>0</v>
      </c>
      <c r="K12" s="3" t="b">
        <v>0</v>
      </c>
      <c r="L12" s="3" t="b">
        <v>0</v>
      </c>
      <c r="M12" s="3">
        <v>0</v>
      </c>
      <c r="N12" s="3">
        <v>1</v>
      </c>
    </row>
    <row r="13" ht="14.4" spans="1:14">
      <c r="A13" s="3" t="s">
        <v>55</v>
      </c>
      <c r="B13" s="6">
        <v>1</v>
      </c>
      <c r="C13" s="6">
        <v>2</v>
      </c>
      <c r="D13" s="6">
        <v>0</v>
      </c>
      <c r="E13" s="3" t="s">
        <v>55</v>
      </c>
      <c r="F13" s="3" t="s">
        <v>353</v>
      </c>
      <c r="G13" s="3">
        <v>1</v>
      </c>
      <c r="H13" s="3" t="b">
        <v>1</v>
      </c>
      <c r="I13" s="3" t="s">
        <v>318</v>
      </c>
      <c r="J13" s="3" t="b">
        <v>1</v>
      </c>
      <c r="K13" s="3" t="b">
        <v>0</v>
      </c>
      <c r="L13" s="3" t="b">
        <v>0</v>
      </c>
      <c r="M13" s="3">
        <v>0</v>
      </c>
      <c r="N13" s="3">
        <v>1</v>
      </c>
    </row>
    <row r="14" ht="14.4" spans="1:14">
      <c r="A14" s="3" t="s">
        <v>54</v>
      </c>
      <c r="B14" s="6">
        <v>1</v>
      </c>
      <c r="C14" s="6">
        <v>1</v>
      </c>
      <c r="D14" s="6">
        <v>0</v>
      </c>
      <c r="E14" s="3" t="s">
        <v>374</v>
      </c>
      <c r="F14" s="3" t="s">
        <v>353</v>
      </c>
      <c r="G14" s="3">
        <v>1</v>
      </c>
      <c r="H14" s="3" t="b">
        <v>1</v>
      </c>
      <c r="I14" s="3" t="s">
        <v>318</v>
      </c>
      <c r="J14" s="3" t="b">
        <v>1</v>
      </c>
      <c r="K14" s="3" t="b">
        <v>0</v>
      </c>
      <c r="L14" s="3" t="b">
        <v>0</v>
      </c>
      <c r="M14" s="3">
        <v>1</v>
      </c>
      <c r="N14" s="3">
        <v>1</v>
      </c>
    </row>
    <row r="15" ht="14.4" spans="1:27">
      <c r="A15" s="3" t="s">
        <v>72</v>
      </c>
      <c r="B15" s="7">
        <v>1</v>
      </c>
      <c r="C15" s="7">
        <v>0.5</v>
      </c>
      <c r="D15" s="7">
        <v>1</v>
      </c>
      <c r="E15" s="3" t="s">
        <v>371</v>
      </c>
      <c r="F15" s="3" t="s">
        <v>374</v>
      </c>
      <c r="G15" s="8">
        <v>1</v>
      </c>
      <c r="H15" s="3" t="b">
        <v>0</v>
      </c>
      <c r="I15" s="3" t="s">
        <v>318</v>
      </c>
      <c r="J15" s="3" t="b">
        <v>1</v>
      </c>
      <c r="K15" s="3" t="b">
        <v>0</v>
      </c>
      <c r="L15" s="3" t="b">
        <v>0</v>
      </c>
      <c r="M15" s="8">
        <v>1.5</v>
      </c>
      <c r="N15" s="3">
        <v>1</v>
      </c>
      <c r="O15" s="3"/>
      <c r="P15" s="3"/>
      <c r="Q15" s="3"/>
      <c r="R15" s="3"/>
      <c r="S15" s="3"/>
      <c r="T15" s="3"/>
      <c r="U15" s="3"/>
      <c r="V15" s="3"/>
      <c r="W15" s="3"/>
      <c r="X15" s="3"/>
      <c r="Y15" s="3"/>
      <c r="Z15" s="3"/>
      <c r="AA15" s="3"/>
    </row>
    <row r="16" ht="14.4" spans="1:18">
      <c r="A16" s="3" t="s">
        <v>215</v>
      </c>
      <c r="B16" s="6">
        <v>1</v>
      </c>
      <c r="C16" s="6">
        <v>1</v>
      </c>
      <c r="D16" s="6">
        <v>0</v>
      </c>
      <c r="E16" s="3" t="s">
        <v>374</v>
      </c>
      <c r="F16" s="3" t="s">
        <v>353</v>
      </c>
      <c r="G16" s="3">
        <v>1</v>
      </c>
      <c r="H16" s="3" t="b">
        <v>1</v>
      </c>
      <c r="I16" s="3" t="s">
        <v>318</v>
      </c>
      <c r="J16" s="3" t="b">
        <v>1</v>
      </c>
      <c r="K16" s="3" t="b">
        <v>0</v>
      </c>
      <c r="L16" s="3" t="b">
        <v>0</v>
      </c>
      <c r="M16" s="3">
        <v>1.5</v>
      </c>
      <c r="N16" s="3">
        <v>1</v>
      </c>
      <c r="P16" s="3">
        <v>2</v>
      </c>
      <c r="Q16" s="3"/>
      <c r="R16" s="3"/>
    </row>
    <row r="17" ht="14.4" spans="1:14">
      <c r="A17" s="3" t="s">
        <v>264</v>
      </c>
      <c r="B17" s="6">
        <v>0.15</v>
      </c>
      <c r="C17" s="6">
        <v>0.5</v>
      </c>
      <c r="D17" s="6">
        <v>0</v>
      </c>
      <c r="E17" s="3" t="s">
        <v>375</v>
      </c>
      <c r="F17" s="3" t="s">
        <v>353</v>
      </c>
      <c r="G17" s="3">
        <v>1</v>
      </c>
      <c r="H17" s="3" t="b">
        <v>1</v>
      </c>
      <c r="I17" s="3" t="s">
        <v>318</v>
      </c>
      <c r="J17" s="3" t="b">
        <v>1</v>
      </c>
      <c r="K17" s="3" t="b">
        <v>0</v>
      </c>
      <c r="L17" s="3" t="b">
        <v>0</v>
      </c>
      <c r="M17" s="3">
        <v>0</v>
      </c>
      <c r="N17" s="3">
        <v>1</v>
      </c>
    </row>
    <row r="18" ht="14.4" spans="1:14">
      <c r="A18" s="3" t="s">
        <v>48</v>
      </c>
      <c r="B18" s="6">
        <v>0.1</v>
      </c>
      <c r="C18" s="6">
        <v>3</v>
      </c>
      <c r="D18" s="6">
        <v>0</v>
      </c>
      <c r="E18" s="3" t="s">
        <v>375</v>
      </c>
      <c r="F18" s="3" t="s">
        <v>353</v>
      </c>
      <c r="G18" s="3">
        <v>1</v>
      </c>
      <c r="H18" s="3" t="b">
        <v>1</v>
      </c>
      <c r="I18" s="3" t="s">
        <v>318</v>
      </c>
      <c r="J18" s="3" t="b">
        <v>1</v>
      </c>
      <c r="K18" s="3" t="b">
        <v>0</v>
      </c>
      <c r="L18" s="3" t="b">
        <v>0</v>
      </c>
      <c r="M18" s="3">
        <v>0</v>
      </c>
      <c r="N18" s="3">
        <v>1</v>
      </c>
    </row>
    <row r="19" ht="14.4" spans="1:14">
      <c r="A19" s="3" t="s">
        <v>57</v>
      </c>
      <c r="B19" s="6">
        <v>0.1</v>
      </c>
      <c r="C19" s="6">
        <v>3</v>
      </c>
      <c r="D19" s="6">
        <v>0.75</v>
      </c>
      <c r="E19" s="3" t="s">
        <v>375</v>
      </c>
      <c r="F19" s="3" t="s">
        <v>49</v>
      </c>
      <c r="G19" s="3">
        <v>1</v>
      </c>
      <c r="H19" s="3" t="b">
        <v>1</v>
      </c>
      <c r="I19" s="3" t="s">
        <v>318</v>
      </c>
      <c r="J19" s="3" t="b">
        <v>1</v>
      </c>
      <c r="K19" s="3" t="b">
        <v>0</v>
      </c>
      <c r="L19" s="3" t="b">
        <v>1</v>
      </c>
      <c r="M19" s="3">
        <v>0</v>
      </c>
      <c r="N19" s="3">
        <v>1</v>
      </c>
    </row>
    <row r="20" ht="14.4" spans="1:14">
      <c r="A20" s="3" t="s">
        <v>49</v>
      </c>
      <c r="B20" s="6">
        <v>0.8</v>
      </c>
      <c r="C20" s="6">
        <v>1.2</v>
      </c>
      <c r="D20" s="6">
        <v>0</v>
      </c>
      <c r="E20" s="3" t="s">
        <v>49</v>
      </c>
      <c r="F20" s="3" t="s">
        <v>353</v>
      </c>
      <c r="G20" s="3">
        <v>1</v>
      </c>
      <c r="H20" s="3" t="b">
        <v>1</v>
      </c>
      <c r="I20" s="3" t="s">
        <v>318</v>
      </c>
      <c r="J20" s="3" t="b">
        <v>1</v>
      </c>
      <c r="K20" s="3" t="b">
        <v>0</v>
      </c>
      <c r="L20" s="3" t="b">
        <v>0</v>
      </c>
      <c r="M20" s="3">
        <v>0</v>
      </c>
      <c r="N20" s="3">
        <v>1</v>
      </c>
    </row>
    <row r="21" ht="14.4" spans="1:14">
      <c r="A21" s="3" t="s">
        <v>50</v>
      </c>
      <c r="B21" s="6">
        <v>1</v>
      </c>
      <c r="C21" s="6">
        <v>2</v>
      </c>
      <c r="D21" s="6">
        <v>0</v>
      </c>
      <c r="E21" s="3" t="s">
        <v>376</v>
      </c>
      <c r="F21" s="3" t="s">
        <v>353</v>
      </c>
      <c r="G21" s="3">
        <v>1</v>
      </c>
      <c r="H21" s="3" t="b">
        <v>1</v>
      </c>
      <c r="I21" s="3" t="s">
        <v>318</v>
      </c>
      <c r="J21" s="3" t="b">
        <v>1</v>
      </c>
      <c r="K21" s="3" t="b">
        <v>0</v>
      </c>
      <c r="L21" s="3" t="b">
        <v>0</v>
      </c>
      <c r="M21" s="3">
        <v>0</v>
      </c>
      <c r="N21" s="3">
        <v>1</v>
      </c>
    </row>
    <row r="22" ht="14.4" spans="1:14">
      <c r="A22" s="3" t="s">
        <v>377</v>
      </c>
      <c r="B22" s="6">
        <v>1</v>
      </c>
      <c r="C22" s="6">
        <v>1</v>
      </c>
      <c r="D22" s="6">
        <v>0</v>
      </c>
      <c r="E22" s="3" t="s">
        <v>374</v>
      </c>
      <c r="F22" s="3" t="s">
        <v>353</v>
      </c>
      <c r="G22" s="3">
        <v>1</v>
      </c>
      <c r="H22" s="3" t="b">
        <v>1</v>
      </c>
      <c r="I22" s="3" t="s">
        <v>318</v>
      </c>
      <c r="J22" s="3" t="b">
        <v>1</v>
      </c>
      <c r="K22" s="3" t="b">
        <v>0</v>
      </c>
      <c r="L22" s="3" t="b">
        <v>0</v>
      </c>
      <c r="M22" s="3">
        <v>1</v>
      </c>
      <c r="N22" s="3">
        <v>1</v>
      </c>
    </row>
    <row r="23" ht="14.4" spans="1:14">
      <c r="A23" s="3" t="s">
        <v>20</v>
      </c>
      <c r="B23" s="6">
        <v>1</v>
      </c>
      <c r="C23" s="6">
        <v>1</v>
      </c>
      <c r="D23" s="6">
        <v>0.3</v>
      </c>
      <c r="E23" s="3" t="s">
        <v>371</v>
      </c>
      <c r="F23" s="3" t="s">
        <v>373</v>
      </c>
      <c r="G23" s="3">
        <v>1</v>
      </c>
      <c r="H23" t="b">
        <v>0</v>
      </c>
      <c r="I23" s="3" t="s">
        <v>322</v>
      </c>
      <c r="J23" s="3" t="b">
        <v>0</v>
      </c>
      <c r="K23" s="3" t="b">
        <v>0</v>
      </c>
      <c r="L23" s="3" t="b">
        <v>0</v>
      </c>
      <c r="M23" s="3">
        <v>0</v>
      </c>
      <c r="N23" s="3">
        <v>1</v>
      </c>
    </row>
    <row r="24" ht="14.4" spans="1:14">
      <c r="A24" s="3" t="s">
        <v>21</v>
      </c>
      <c r="B24" s="6">
        <v>1</v>
      </c>
      <c r="C24" s="6">
        <v>1</v>
      </c>
      <c r="D24" s="6">
        <v>0.15</v>
      </c>
      <c r="E24" s="3" t="s">
        <v>371</v>
      </c>
      <c r="F24" s="3" t="s">
        <v>373</v>
      </c>
      <c r="G24" s="3">
        <v>0.5</v>
      </c>
      <c r="H24" t="b">
        <v>0</v>
      </c>
      <c r="I24" s="3" t="s">
        <v>322</v>
      </c>
      <c r="J24" s="3" t="b">
        <v>0</v>
      </c>
      <c r="K24" s="3" t="b">
        <v>0</v>
      </c>
      <c r="L24" s="3" t="b">
        <v>0</v>
      </c>
      <c r="M24" s="3">
        <v>0</v>
      </c>
      <c r="N24" s="3">
        <v>1</v>
      </c>
    </row>
    <row r="25" ht="14.4" spans="1:14">
      <c r="A25" s="3" t="s">
        <v>40</v>
      </c>
      <c r="B25" s="6">
        <v>1</v>
      </c>
      <c r="C25" s="6">
        <v>1</v>
      </c>
      <c r="D25" s="6">
        <v>0.6</v>
      </c>
      <c r="E25" s="3" t="s">
        <v>371</v>
      </c>
      <c r="F25" s="3" t="s">
        <v>373</v>
      </c>
      <c r="G25" s="3">
        <v>1</v>
      </c>
      <c r="H25" t="b">
        <v>0</v>
      </c>
      <c r="I25" s="3" t="s">
        <v>322</v>
      </c>
      <c r="J25" t="b">
        <v>0</v>
      </c>
      <c r="K25" s="3" t="b">
        <v>0</v>
      </c>
      <c r="L25" s="3" t="b">
        <v>0</v>
      </c>
      <c r="M25" s="3">
        <v>0</v>
      </c>
      <c r="N25" s="3">
        <v>1</v>
      </c>
    </row>
    <row r="26" ht="14.4" spans="1:14">
      <c r="A26" s="3" t="s">
        <v>22</v>
      </c>
      <c r="B26" s="6">
        <v>1</v>
      </c>
      <c r="C26" s="6">
        <v>1</v>
      </c>
      <c r="D26" s="6">
        <v>0.6</v>
      </c>
      <c r="E26" s="3" t="s">
        <v>371</v>
      </c>
      <c r="F26" s="3" t="s">
        <v>55</v>
      </c>
      <c r="G26" s="3">
        <v>0.5</v>
      </c>
      <c r="H26" t="b">
        <v>0</v>
      </c>
      <c r="I26" s="3" t="s">
        <v>322</v>
      </c>
      <c r="J26" t="b">
        <v>0</v>
      </c>
      <c r="K26" s="3" t="b">
        <v>0</v>
      </c>
      <c r="L26" s="3" t="b">
        <v>0</v>
      </c>
      <c r="M26" s="3">
        <v>0</v>
      </c>
      <c r="N26" s="3">
        <v>1</v>
      </c>
    </row>
    <row r="27" ht="14.4" spans="1:14">
      <c r="A27" s="3" t="s">
        <v>39</v>
      </c>
      <c r="B27" s="6">
        <v>1</v>
      </c>
      <c r="C27" s="6">
        <v>1</v>
      </c>
      <c r="D27" s="6">
        <v>0.3</v>
      </c>
      <c r="E27" s="3" t="s">
        <v>371</v>
      </c>
      <c r="F27" s="3" t="s">
        <v>373</v>
      </c>
      <c r="G27" s="3">
        <v>1</v>
      </c>
      <c r="H27" t="b">
        <v>0</v>
      </c>
      <c r="I27" s="3" t="s">
        <v>322</v>
      </c>
      <c r="J27" t="b">
        <v>0</v>
      </c>
      <c r="K27" s="3" t="b">
        <v>0</v>
      </c>
      <c r="L27" s="3" t="b">
        <v>0</v>
      </c>
      <c r="M27" s="3">
        <v>0</v>
      </c>
      <c r="N27" s="3">
        <v>1</v>
      </c>
    </row>
    <row r="28" ht="14.4" spans="1:27">
      <c r="A28" s="3" t="s">
        <v>41</v>
      </c>
      <c r="B28" s="7">
        <v>1</v>
      </c>
      <c r="C28" s="7">
        <v>1</v>
      </c>
      <c r="D28" s="7">
        <v>0.6</v>
      </c>
      <c r="E28" s="3" t="s">
        <v>371</v>
      </c>
      <c r="F28" s="3" t="s">
        <v>55</v>
      </c>
      <c r="G28" s="8">
        <v>0.5</v>
      </c>
      <c r="H28" s="9" t="b">
        <v>0</v>
      </c>
      <c r="I28" s="3" t="s">
        <v>322</v>
      </c>
      <c r="J28" s="9" t="b">
        <v>0</v>
      </c>
      <c r="K28" s="9" t="b">
        <v>0</v>
      </c>
      <c r="L28" s="3"/>
      <c r="M28" s="8">
        <v>0</v>
      </c>
      <c r="N28" s="8">
        <v>1</v>
      </c>
      <c r="O28" s="3"/>
      <c r="P28" s="3"/>
      <c r="Q28" s="3"/>
      <c r="R28" s="3"/>
      <c r="S28" s="3"/>
      <c r="T28" s="3"/>
      <c r="U28" s="3"/>
      <c r="V28" s="3"/>
      <c r="W28" s="3"/>
      <c r="X28" s="3"/>
      <c r="Y28" s="3"/>
      <c r="Z28" s="3"/>
      <c r="AA28" s="3"/>
    </row>
    <row r="29" ht="14.4" spans="1:14">
      <c r="A29" s="3" t="s">
        <v>30</v>
      </c>
      <c r="B29" s="7">
        <v>0.7</v>
      </c>
      <c r="C29" s="7">
        <v>1</v>
      </c>
      <c r="D29" s="7">
        <v>0</v>
      </c>
      <c r="E29" s="3" t="s">
        <v>371</v>
      </c>
      <c r="F29" s="3" t="s">
        <v>353</v>
      </c>
      <c r="G29" s="8">
        <v>1</v>
      </c>
      <c r="H29" s="10" t="b">
        <v>0</v>
      </c>
      <c r="I29" s="3" t="s">
        <v>320</v>
      </c>
      <c r="J29" s="10" t="b">
        <v>0</v>
      </c>
      <c r="K29" s="3" t="b">
        <v>0</v>
      </c>
      <c r="L29" s="3" t="b">
        <v>0</v>
      </c>
      <c r="M29" s="8">
        <v>0</v>
      </c>
      <c r="N29" s="3">
        <v>1</v>
      </c>
    </row>
    <row r="30" ht="14.4" spans="1:14">
      <c r="A30" s="3" t="s">
        <v>81</v>
      </c>
      <c r="B30" s="6">
        <v>1</v>
      </c>
      <c r="C30" s="6">
        <v>0.5</v>
      </c>
      <c r="D30" s="6">
        <v>0</v>
      </c>
      <c r="E30" s="3" t="s">
        <v>371</v>
      </c>
      <c r="F30" s="3" t="s">
        <v>374</v>
      </c>
      <c r="G30" s="3">
        <v>1</v>
      </c>
      <c r="H30" t="b">
        <v>0</v>
      </c>
      <c r="I30" s="3" t="s">
        <v>318</v>
      </c>
      <c r="J30" s="3" t="b">
        <v>1</v>
      </c>
      <c r="K30" s="3" t="b">
        <v>0</v>
      </c>
      <c r="L30" s="3" t="b">
        <v>0</v>
      </c>
      <c r="M30" s="3">
        <v>0.5</v>
      </c>
      <c r="N30" s="3">
        <v>1</v>
      </c>
    </row>
    <row r="31" ht="14.4" spans="1:14">
      <c r="A31" s="3" t="s">
        <v>68</v>
      </c>
      <c r="B31" s="6">
        <v>1</v>
      </c>
      <c r="C31" s="6">
        <v>1</v>
      </c>
      <c r="D31" s="6">
        <v>0</v>
      </c>
      <c r="E31" s="3" t="s">
        <v>374</v>
      </c>
      <c r="F31" s="3" t="s">
        <v>353</v>
      </c>
      <c r="G31" s="3">
        <v>1</v>
      </c>
      <c r="H31" s="3" t="b">
        <v>1</v>
      </c>
      <c r="I31" s="3" t="s">
        <v>318</v>
      </c>
      <c r="J31" s="3" t="b">
        <v>1</v>
      </c>
      <c r="K31" s="3" t="b">
        <v>0</v>
      </c>
      <c r="L31" s="3" t="b">
        <v>0</v>
      </c>
      <c r="M31" s="3">
        <v>4</v>
      </c>
      <c r="N31" s="3">
        <v>1</v>
      </c>
    </row>
    <row r="32" ht="14.4" spans="1:14">
      <c r="A32" s="3" t="s">
        <v>233</v>
      </c>
      <c r="B32" s="6">
        <v>1</v>
      </c>
      <c r="C32" s="6">
        <v>1</v>
      </c>
      <c r="D32" s="6">
        <v>0</v>
      </c>
      <c r="E32" s="3" t="s">
        <v>238</v>
      </c>
      <c r="F32" s="3" t="s">
        <v>353</v>
      </c>
      <c r="G32" s="3">
        <v>2</v>
      </c>
      <c r="H32" t="b">
        <v>0</v>
      </c>
      <c r="I32" s="3" t="s">
        <v>319</v>
      </c>
      <c r="J32" t="b">
        <v>0</v>
      </c>
      <c r="K32" s="3" t="b">
        <v>0</v>
      </c>
      <c r="L32" s="3" t="b">
        <v>0</v>
      </c>
      <c r="M32" s="3">
        <v>0</v>
      </c>
      <c r="N32" s="3">
        <v>1</v>
      </c>
    </row>
    <row r="33" ht="14.4" spans="1:14">
      <c r="A33" s="3" t="s">
        <v>234</v>
      </c>
      <c r="B33" s="6">
        <v>1</v>
      </c>
      <c r="C33" s="6">
        <v>1</v>
      </c>
      <c r="D33" s="6">
        <v>0</v>
      </c>
      <c r="E33" s="3" t="s">
        <v>238</v>
      </c>
      <c r="F33" s="3" t="s">
        <v>353</v>
      </c>
      <c r="G33" s="3">
        <v>1</v>
      </c>
      <c r="H33" t="b">
        <v>0</v>
      </c>
      <c r="I33" s="3" t="s">
        <v>318</v>
      </c>
      <c r="J33" t="b">
        <v>0</v>
      </c>
      <c r="K33" s="3" t="b">
        <v>0</v>
      </c>
      <c r="L33" s="3" t="b">
        <v>0</v>
      </c>
      <c r="M33" s="3">
        <v>0</v>
      </c>
      <c r="N33" s="3">
        <v>1</v>
      </c>
    </row>
    <row r="34" ht="14.4" spans="1:14">
      <c r="A34" s="3" t="s">
        <v>235</v>
      </c>
      <c r="B34" s="6">
        <v>1</v>
      </c>
      <c r="C34" s="6">
        <v>1</v>
      </c>
      <c r="D34" s="6">
        <v>0</v>
      </c>
      <c r="E34" s="3" t="s">
        <v>238</v>
      </c>
      <c r="F34" s="3" t="s">
        <v>353</v>
      </c>
      <c r="G34" s="3">
        <v>0.5</v>
      </c>
      <c r="H34" t="b">
        <v>0</v>
      </c>
      <c r="I34" s="3" t="s">
        <v>322</v>
      </c>
      <c r="J34" t="b">
        <v>0</v>
      </c>
      <c r="K34" s="3" t="b">
        <v>0</v>
      </c>
      <c r="L34" s="3" t="b">
        <v>0</v>
      </c>
      <c r="M34" s="3">
        <v>0</v>
      </c>
      <c r="N34" s="3">
        <v>1</v>
      </c>
    </row>
    <row r="35" ht="14.4" spans="1:14">
      <c r="A35" s="3" t="s">
        <v>237</v>
      </c>
      <c r="B35" s="6">
        <v>0.5</v>
      </c>
      <c r="C35" s="6">
        <v>0</v>
      </c>
      <c r="D35" s="6">
        <v>0</v>
      </c>
      <c r="E35" s="3" t="s">
        <v>375</v>
      </c>
      <c r="F35" s="3" t="s">
        <v>353</v>
      </c>
      <c r="G35" s="3">
        <v>1</v>
      </c>
      <c r="H35" s="3" t="b">
        <v>0</v>
      </c>
      <c r="I35" s="3" t="s">
        <v>318</v>
      </c>
      <c r="J35" t="b">
        <v>0</v>
      </c>
      <c r="K35" s="3" t="b">
        <v>0</v>
      </c>
      <c r="L35" s="3" t="b">
        <v>0</v>
      </c>
      <c r="M35" s="3">
        <v>0</v>
      </c>
      <c r="N35" s="3">
        <v>1</v>
      </c>
    </row>
    <row r="36" ht="14.4" spans="1:14">
      <c r="A36" s="3" t="s">
        <v>236</v>
      </c>
      <c r="B36" s="6">
        <v>1</v>
      </c>
      <c r="C36" s="6">
        <v>1</v>
      </c>
      <c r="D36" s="6">
        <v>0</v>
      </c>
      <c r="E36" s="3" t="s">
        <v>378</v>
      </c>
      <c r="F36" s="3" t="s">
        <v>353</v>
      </c>
      <c r="G36" s="3">
        <v>1</v>
      </c>
      <c r="H36" t="b">
        <v>0</v>
      </c>
      <c r="I36" s="3" t="s">
        <v>318</v>
      </c>
      <c r="J36" t="b">
        <v>0</v>
      </c>
      <c r="K36" s="3" t="b">
        <v>0</v>
      </c>
      <c r="L36" s="3" t="b">
        <v>0</v>
      </c>
      <c r="M36" s="3">
        <v>0</v>
      </c>
      <c r="N36" s="3">
        <v>1</v>
      </c>
    </row>
    <row r="37" ht="14.4" spans="1:14">
      <c r="A37" s="3" t="s">
        <v>379</v>
      </c>
      <c r="B37" s="6"/>
      <c r="C37" s="6"/>
      <c r="D37" s="6"/>
      <c r="E37" s="3"/>
      <c r="F37" s="3"/>
      <c r="G37" s="3"/>
      <c r="H37" s="3" t="b">
        <v>0</v>
      </c>
      <c r="I37" s="3"/>
      <c r="J37" s="3" t="b">
        <v>0</v>
      </c>
      <c r="K37" s="3" t="b">
        <v>0</v>
      </c>
      <c r="L37" s="3" t="b">
        <v>0</v>
      </c>
      <c r="M37" s="3"/>
      <c r="N37" s="3"/>
    </row>
    <row r="38" ht="14.4" spans="1:14">
      <c r="A38" s="3" t="s">
        <v>244</v>
      </c>
      <c r="B38" s="6">
        <v>1</v>
      </c>
      <c r="C38" s="6">
        <v>1</v>
      </c>
      <c r="D38" s="6">
        <v>0</v>
      </c>
      <c r="E38" s="3" t="s">
        <v>380</v>
      </c>
      <c r="F38" s="3" t="s">
        <v>353</v>
      </c>
      <c r="G38" s="3">
        <v>1</v>
      </c>
      <c r="H38" s="3" t="b">
        <v>0</v>
      </c>
      <c r="I38" s="3" t="s">
        <v>329</v>
      </c>
      <c r="J38" s="3" t="b">
        <v>0</v>
      </c>
      <c r="K38" s="3" t="b">
        <v>0</v>
      </c>
      <c r="L38" s="3" t="b">
        <v>0</v>
      </c>
      <c r="M38" s="3">
        <v>0</v>
      </c>
      <c r="N38" s="3">
        <v>1</v>
      </c>
    </row>
    <row r="39" ht="14.4" spans="1:14">
      <c r="A39" s="3" t="s">
        <v>246</v>
      </c>
      <c r="B39" s="6">
        <v>1</v>
      </c>
      <c r="C39" s="6">
        <v>1</v>
      </c>
      <c r="D39" s="6">
        <v>0</v>
      </c>
      <c r="E39" s="3" t="s">
        <v>380</v>
      </c>
      <c r="F39" s="3" t="s">
        <v>353</v>
      </c>
      <c r="G39" s="3">
        <v>1</v>
      </c>
      <c r="H39" s="3" t="b">
        <v>0</v>
      </c>
      <c r="I39" s="3" t="s">
        <v>318</v>
      </c>
      <c r="J39" s="3" t="b">
        <v>0</v>
      </c>
      <c r="K39" s="3" t="b">
        <v>0</v>
      </c>
      <c r="L39" s="3" t="b">
        <v>0</v>
      </c>
      <c r="M39" s="3">
        <v>0</v>
      </c>
      <c r="N39" s="3">
        <v>1</v>
      </c>
    </row>
    <row r="40" ht="14.4" spans="1:14">
      <c r="A40" s="3" t="s">
        <v>241</v>
      </c>
      <c r="B40" s="6">
        <v>1</v>
      </c>
      <c r="C40" s="6">
        <v>1</v>
      </c>
      <c r="D40" s="6">
        <v>0</v>
      </c>
      <c r="E40" s="3" t="s">
        <v>381</v>
      </c>
      <c r="F40" s="3" t="s">
        <v>353</v>
      </c>
      <c r="G40" s="3">
        <v>1</v>
      </c>
      <c r="H40" t="b">
        <v>0</v>
      </c>
      <c r="I40" s="3" t="s">
        <v>318</v>
      </c>
      <c r="J40" t="b">
        <v>0</v>
      </c>
      <c r="K40" s="3" t="b">
        <v>0</v>
      </c>
      <c r="L40" s="3" t="b">
        <v>0</v>
      </c>
      <c r="M40" s="3">
        <v>0</v>
      </c>
      <c r="N40" s="3">
        <v>1</v>
      </c>
    </row>
    <row r="41" ht="14.4" spans="1:14">
      <c r="A41" s="3" t="s">
        <v>60</v>
      </c>
      <c r="B41" s="7">
        <v>1</v>
      </c>
      <c r="C41" s="7">
        <v>1</v>
      </c>
      <c r="D41" s="7">
        <v>1</v>
      </c>
      <c r="E41" s="3" t="s">
        <v>374</v>
      </c>
      <c r="F41" s="3" t="s">
        <v>372</v>
      </c>
      <c r="G41" s="8">
        <v>1</v>
      </c>
      <c r="H41" s="10" t="b">
        <v>1</v>
      </c>
      <c r="I41" s="3" t="s">
        <v>322</v>
      </c>
      <c r="J41" s="10" t="b">
        <v>1</v>
      </c>
      <c r="K41" s="3" t="b">
        <v>0</v>
      </c>
      <c r="L41" s="3" t="b">
        <v>0</v>
      </c>
      <c r="M41" s="8">
        <v>0</v>
      </c>
      <c r="N41" s="3">
        <v>1</v>
      </c>
    </row>
    <row r="42" ht="14.4" spans="1:14">
      <c r="A42" s="3" t="s">
        <v>52</v>
      </c>
      <c r="B42" s="6">
        <v>0.25</v>
      </c>
      <c r="C42" s="6">
        <v>3</v>
      </c>
      <c r="D42" s="6">
        <v>0</v>
      </c>
      <c r="E42" s="3" t="s">
        <v>382</v>
      </c>
      <c r="F42" s="3" t="s">
        <v>353</v>
      </c>
      <c r="G42" s="3">
        <v>1</v>
      </c>
      <c r="H42" s="3" t="b">
        <v>1</v>
      </c>
      <c r="I42" s="3" t="s">
        <v>320</v>
      </c>
      <c r="J42" t="b">
        <v>0</v>
      </c>
      <c r="K42" s="3" t="b">
        <v>0</v>
      </c>
      <c r="L42" s="3" t="b">
        <v>0</v>
      </c>
      <c r="M42" s="3">
        <v>0</v>
      </c>
      <c r="N42" s="3">
        <v>1</v>
      </c>
    </row>
    <row r="43" ht="14.4" spans="1:14">
      <c r="A43" s="3" t="s">
        <v>256</v>
      </c>
      <c r="B43" s="7">
        <v>1.25</v>
      </c>
      <c r="C43" s="7">
        <v>1.25</v>
      </c>
      <c r="D43" s="7">
        <v>0</v>
      </c>
      <c r="E43" s="3" t="s">
        <v>374</v>
      </c>
      <c r="F43" s="3" t="s">
        <v>353</v>
      </c>
      <c r="G43" s="8">
        <v>1</v>
      </c>
      <c r="H43" s="9" t="b">
        <v>1</v>
      </c>
      <c r="I43" s="3" t="s">
        <v>318</v>
      </c>
      <c r="J43" s="9" t="b">
        <v>1</v>
      </c>
      <c r="K43" s="3" t="b">
        <v>0</v>
      </c>
      <c r="L43" s="3" t="b">
        <v>0</v>
      </c>
      <c r="M43" s="8">
        <v>0.25</v>
      </c>
      <c r="N43" s="3">
        <v>1</v>
      </c>
    </row>
    <row r="44" ht="14.4" spans="1:14">
      <c r="A44" s="3" t="s">
        <v>260</v>
      </c>
      <c r="B44" s="6">
        <v>10</v>
      </c>
      <c r="C44" s="6">
        <v>10</v>
      </c>
      <c r="D44" s="6">
        <v>0</v>
      </c>
      <c r="E44" s="3" t="s">
        <v>383</v>
      </c>
      <c r="F44" s="3" t="s">
        <v>353</v>
      </c>
      <c r="G44" s="3">
        <v>1</v>
      </c>
      <c r="H44" s="3" t="b">
        <v>1</v>
      </c>
      <c r="I44" s="3" t="s">
        <v>318</v>
      </c>
      <c r="J44" s="3" t="b">
        <v>1</v>
      </c>
      <c r="K44" s="3" t="b">
        <v>0</v>
      </c>
      <c r="L44" s="3" t="b">
        <v>0</v>
      </c>
      <c r="M44" s="3">
        <v>0</v>
      </c>
      <c r="N44" s="3">
        <v>1</v>
      </c>
    </row>
    <row r="45" ht="14.4" spans="1:14">
      <c r="A45" s="3" t="s">
        <v>69</v>
      </c>
      <c r="B45" s="6">
        <v>1</v>
      </c>
      <c r="C45" s="6">
        <v>2.5</v>
      </c>
      <c r="D45" s="6">
        <v>0</v>
      </c>
      <c r="E45" s="3" t="s">
        <v>69</v>
      </c>
      <c r="F45" s="3" t="s">
        <v>353</v>
      </c>
      <c r="G45" s="3">
        <v>1</v>
      </c>
      <c r="H45" s="3" t="b">
        <v>1</v>
      </c>
      <c r="I45" s="3" t="s">
        <v>318</v>
      </c>
      <c r="J45" s="3" t="b">
        <v>1</v>
      </c>
      <c r="K45" s="3" t="b">
        <v>0</v>
      </c>
      <c r="L45" s="3" t="b">
        <v>0</v>
      </c>
      <c r="M45" s="3">
        <v>0</v>
      </c>
      <c r="N45" s="3">
        <v>1</v>
      </c>
    </row>
    <row r="46" ht="14.4" spans="1:14">
      <c r="A46" s="3" t="s">
        <v>261</v>
      </c>
      <c r="B46" s="6">
        <v>1.5</v>
      </c>
      <c r="C46" s="6">
        <v>1</v>
      </c>
      <c r="D46" s="6">
        <v>0</v>
      </c>
      <c r="E46" s="3" t="s">
        <v>374</v>
      </c>
      <c r="F46" s="3" t="s">
        <v>353</v>
      </c>
      <c r="G46" s="3">
        <v>1</v>
      </c>
      <c r="H46" s="3" t="b">
        <v>1</v>
      </c>
      <c r="I46" s="3" t="s">
        <v>325</v>
      </c>
      <c r="J46" s="3" t="b">
        <v>0</v>
      </c>
      <c r="K46" s="3" t="b">
        <v>0</v>
      </c>
      <c r="L46" s="3" t="b">
        <v>0</v>
      </c>
      <c r="M46" s="3">
        <v>0</v>
      </c>
      <c r="N46" s="3">
        <v>1</v>
      </c>
    </row>
    <row r="47" ht="14.4" spans="1:13">
      <c r="A47" s="3"/>
      <c r="B47" s="7"/>
      <c r="C47" s="7"/>
      <c r="D47" s="7"/>
      <c r="E47" s="3"/>
      <c r="F47" s="3"/>
      <c r="G47" s="8"/>
      <c r="H47" s="10"/>
      <c r="I47" s="3"/>
      <c r="J47" s="10"/>
      <c r="K47" s="10"/>
      <c r="M47" s="8"/>
    </row>
    <row r="49" ht="14.4" spans="3:7">
      <c r="C49" s="11"/>
      <c r="G49" s="10"/>
    </row>
    <row r="50" ht="14.4" spans="3:7">
      <c r="C50" s="11"/>
      <c r="G50" s="10"/>
    </row>
    <row r="51" ht="14.4" spans="3:7">
      <c r="C51" s="11"/>
      <c r="G51" s="10"/>
    </row>
    <row r="52" ht="14.4" spans="3:7">
      <c r="C52" s="11"/>
      <c r="G52" s="10"/>
    </row>
    <row r="53" ht="14.4" spans="3:7">
      <c r="C53" s="11"/>
      <c r="G53" s="10"/>
    </row>
    <row r="54" ht="14.4" spans="3:7">
      <c r="C54" s="11"/>
      <c r="G54" s="10"/>
    </row>
    <row r="55" ht="14.4" spans="3:7">
      <c r="C55" s="11"/>
      <c r="G55" s="10"/>
    </row>
    <row r="56" ht="14.4" spans="3:7">
      <c r="C56" s="11"/>
      <c r="G56" s="10"/>
    </row>
    <row r="57" ht="14.4" spans="3:7">
      <c r="C57" s="11"/>
      <c r="G57" s="10"/>
    </row>
    <row r="58" ht="14.4" spans="3:7">
      <c r="C58" s="11"/>
      <c r="G58" s="10"/>
    </row>
    <row r="59" ht="14.4" spans="3:7">
      <c r="C59" s="11"/>
      <c r="G59" s="10"/>
    </row>
    <row r="60" ht="14.4" spans="3:7">
      <c r="C60" s="11"/>
      <c r="G60" s="10"/>
    </row>
    <row r="61" ht="14.4" spans="3:7">
      <c r="C61" s="11"/>
      <c r="G61" s="10"/>
    </row>
    <row r="62" ht="14.4" spans="3:7">
      <c r="C62" s="11"/>
      <c r="G62" s="10"/>
    </row>
    <row r="63" ht="14.4" spans="3:7">
      <c r="C63" s="11"/>
      <c r="G63" s="10"/>
    </row>
    <row r="64" ht="14.4" spans="3:7">
      <c r="C64" s="11"/>
      <c r="G64" s="10"/>
    </row>
    <row r="65" ht="14.4" spans="3:7">
      <c r="C65" s="11"/>
      <c r="G65" s="10"/>
    </row>
    <row r="66" ht="14.4" spans="3:7">
      <c r="C66" s="11"/>
      <c r="G66" s="10"/>
    </row>
    <row r="67" ht="14.4" spans="3:7">
      <c r="C67" s="11"/>
      <c r="G67" s="10"/>
    </row>
    <row r="68" ht="14.4" spans="3:7">
      <c r="C68" s="11"/>
      <c r="G68" s="10"/>
    </row>
    <row r="69" ht="14.4" spans="3:7">
      <c r="C69" s="11"/>
      <c r="G69" s="10"/>
    </row>
    <row r="70" ht="14.4" spans="3:7">
      <c r="C70" s="11"/>
      <c r="G70" s="10"/>
    </row>
    <row r="71" ht="14.4" spans="3:7">
      <c r="C71" s="11"/>
      <c r="G71" s="10"/>
    </row>
    <row r="72" ht="14.4" spans="3:7">
      <c r="C72" s="11"/>
      <c r="G72" s="10"/>
    </row>
    <row r="73" ht="14.4" spans="3:7">
      <c r="C73" s="11"/>
      <c r="G73" s="10"/>
    </row>
    <row r="74" ht="14.4" spans="3:7">
      <c r="C74" s="11"/>
      <c r="G74" s="10"/>
    </row>
    <row r="75" ht="14.4" spans="3:7">
      <c r="C75" s="11"/>
      <c r="G75" s="10"/>
    </row>
    <row r="76" ht="14.4" spans="3:7">
      <c r="C76" s="11"/>
      <c r="G76" s="10"/>
    </row>
    <row r="77" ht="14.4" spans="3:7">
      <c r="C77" s="11"/>
      <c r="G77" s="10"/>
    </row>
    <row r="78" ht="14.4" spans="3:7">
      <c r="C78" s="11"/>
      <c r="G78" s="10"/>
    </row>
    <row r="79" ht="14.4" spans="3:7">
      <c r="C79" s="11"/>
      <c r="G79" s="10"/>
    </row>
    <row r="80" ht="14.4" spans="3:7">
      <c r="C80" s="11"/>
      <c r="G80" s="10"/>
    </row>
    <row r="81" ht="14.4" spans="3:7">
      <c r="C81" s="11"/>
      <c r="G81" s="10"/>
    </row>
    <row r="82" ht="14.4" spans="3:7">
      <c r="C82" s="11"/>
      <c r="G82" s="10"/>
    </row>
    <row r="83" ht="14.4" spans="3:7">
      <c r="C83" s="11"/>
      <c r="G83" s="10"/>
    </row>
    <row r="84" ht="14.4" spans="3:7">
      <c r="C84" s="11"/>
      <c r="G84" s="10"/>
    </row>
    <row r="85" ht="14.4" spans="3:7">
      <c r="C85" s="11"/>
      <c r="G85" s="10"/>
    </row>
    <row r="86" ht="14.4" spans="3:7">
      <c r="C86" s="11"/>
      <c r="G86" s="10"/>
    </row>
    <row r="87" ht="14.4" spans="3:7">
      <c r="C87" s="11"/>
      <c r="G87" s="10"/>
    </row>
    <row r="88" ht="14.4" spans="3:7">
      <c r="C88" s="11"/>
      <c r="G88" s="10"/>
    </row>
    <row r="89" ht="14.4" spans="3:7">
      <c r="C89" s="11"/>
      <c r="G89" s="10"/>
    </row>
    <row r="90" ht="14.4" spans="3:7">
      <c r="C90" s="11"/>
      <c r="G90" s="10"/>
    </row>
    <row r="91" ht="14.4" spans="3:7">
      <c r="C91" s="11"/>
      <c r="G91" s="10"/>
    </row>
    <row r="92" ht="14.4" spans="3:7">
      <c r="C92" s="11"/>
      <c r="G92" s="10"/>
    </row>
    <row r="93" ht="14.4" spans="3:7">
      <c r="C93" s="11"/>
      <c r="G93" s="10"/>
    </row>
    <row r="94" ht="14.4" spans="3:7">
      <c r="C94" s="11"/>
      <c r="G94" s="10"/>
    </row>
    <row r="95" ht="14.4" spans="3:7">
      <c r="C95" s="11"/>
      <c r="G95" s="10"/>
    </row>
    <row r="96" ht="14.4" spans="3:7">
      <c r="C96" s="11"/>
      <c r="G96" s="10"/>
    </row>
    <row r="97" ht="14.4" spans="3:7">
      <c r="C97" s="11"/>
      <c r="G97" s="10"/>
    </row>
    <row r="98" ht="14.4" spans="3:7">
      <c r="C98" s="11"/>
      <c r="G98" s="10"/>
    </row>
    <row r="99" ht="14.4" spans="3:7">
      <c r="C99" s="11"/>
      <c r="G99" s="10"/>
    </row>
    <row r="100" ht="14.4" spans="3:7">
      <c r="C100" s="11"/>
      <c r="G100" s="10"/>
    </row>
    <row r="101" ht="14.4" spans="3:7">
      <c r="C101" s="11"/>
      <c r="G101" s="10"/>
    </row>
    <row r="102" ht="14.4" spans="3:7">
      <c r="C102" s="11"/>
      <c r="G102" s="10"/>
    </row>
    <row r="103" ht="14.4" spans="3:7">
      <c r="C103" s="11"/>
      <c r="G103" s="10"/>
    </row>
    <row r="104" ht="14.4" spans="3:7">
      <c r="C104" s="11"/>
      <c r="G104" s="10"/>
    </row>
    <row r="105" ht="14.4" spans="3:7">
      <c r="C105" s="11"/>
      <c r="G105" s="10"/>
    </row>
    <row r="106" ht="14.4" spans="3:7">
      <c r="C106" s="11"/>
      <c r="G106" s="10"/>
    </row>
    <row r="107" ht="14.4" spans="3:7">
      <c r="C107" s="11"/>
      <c r="G107" s="10"/>
    </row>
    <row r="108" ht="14.4" spans="3:7">
      <c r="C108" s="11"/>
      <c r="G108" s="10"/>
    </row>
    <row r="109" ht="14.4" spans="3:7">
      <c r="C109" s="11"/>
      <c r="G109" s="10"/>
    </row>
    <row r="110" ht="14.4" spans="3:7">
      <c r="C110" s="11"/>
      <c r="G110" s="10"/>
    </row>
    <row r="111" ht="14.4" spans="3:7">
      <c r="C111" s="11"/>
      <c r="G111" s="10"/>
    </row>
    <row r="112" ht="14.4" spans="3:7">
      <c r="C112" s="11"/>
      <c r="G112" s="10"/>
    </row>
    <row r="113" ht="14.4" spans="3:7">
      <c r="C113" s="11"/>
      <c r="G113" s="10"/>
    </row>
    <row r="114" ht="14.4" spans="3:7">
      <c r="C114" s="11"/>
      <c r="G114" s="10"/>
    </row>
    <row r="115" ht="14.4" spans="3:7">
      <c r="C115" s="11"/>
      <c r="G115" s="10"/>
    </row>
    <row r="116" ht="14.4" spans="3:7">
      <c r="C116" s="11"/>
      <c r="G116" s="10"/>
    </row>
    <row r="117" ht="14.4" spans="3:7">
      <c r="C117" s="11"/>
      <c r="G117" s="10"/>
    </row>
    <row r="118" ht="14.4" spans="3:7">
      <c r="C118" s="11"/>
      <c r="G118" s="10"/>
    </row>
    <row r="119" ht="14.4" spans="3:7">
      <c r="C119" s="11"/>
      <c r="G119" s="10"/>
    </row>
    <row r="120" ht="14.4" spans="3:7">
      <c r="C120" s="11"/>
      <c r="G120" s="10"/>
    </row>
    <row r="121" ht="14.4" spans="3:7">
      <c r="C121" s="11"/>
      <c r="G121" s="10"/>
    </row>
    <row r="122" ht="14.4" spans="3:7">
      <c r="C122" s="11"/>
      <c r="G122" s="10"/>
    </row>
    <row r="123" ht="14.4" spans="3:7">
      <c r="C123" s="11"/>
      <c r="G123" s="10"/>
    </row>
    <row r="124" ht="14.4" spans="3:7">
      <c r="C124" s="11"/>
      <c r="G124" s="10"/>
    </row>
    <row r="125" ht="14.4" spans="3:7">
      <c r="C125" s="11"/>
      <c r="G125" s="10"/>
    </row>
    <row r="126" ht="14.4" spans="3:7">
      <c r="C126" s="11"/>
      <c r="G126" s="10"/>
    </row>
    <row r="127" ht="14.4" spans="3:7">
      <c r="C127" s="11"/>
      <c r="G127" s="10"/>
    </row>
    <row r="128" ht="14.4" spans="3:7">
      <c r="C128" s="11"/>
      <c r="G128" s="10"/>
    </row>
    <row r="129" ht="14.4" spans="3:7">
      <c r="C129" s="11"/>
      <c r="G129" s="10"/>
    </row>
    <row r="130" ht="14.4" spans="3:7">
      <c r="C130" s="11"/>
      <c r="G130" s="10"/>
    </row>
    <row r="131" ht="14.4" spans="3:7">
      <c r="C131" s="11"/>
      <c r="G131" s="10"/>
    </row>
    <row r="132" ht="14.4" spans="3:7">
      <c r="C132" s="11"/>
      <c r="G132" s="10"/>
    </row>
    <row r="133" ht="14.4" spans="3:7">
      <c r="C133" s="11"/>
      <c r="G133" s="10"/>
    </row>
    <row r="134" ht="14.4" spans="3:7">
      <c r="C134" s="11"/>
      <c r="G134" s="10"/>
    </row>
    <row r="135" ht="14.4" spans="3:7">
      <c r="C135" s="11"/>
      <c r="G135" s="10"/>
    </row>
    <row r="136" ht="14.4" spans="3:7">
      <c r="C136" s="11"/>
      <c r="G136" s="10"/>
    </row>
    <row r="137" ht="14.4" spans="3:7">
      <c r="C137" s="11"/>
      <c r="G137" s="10"/>
    </row>
    <row r="138" ht="14.4" spans="3:7">
      <c r="C138" s="11"/>
      <c r="G138" s="10"/>
    </row>
    <row r="139" ht="14.4" spans="3:7">
      <c r="C139" s="11"/>
      <c r="G139" s="10"/>
    </row>
    <row r="140" ht="14.4" spans="3:7">
      <c r="C140" s="11"/>
      <c r="G140" s="10"/>
    </row>
    <row r="141" ht="14.4" spans="3:7">
      <c r="C141" s="11"/>
      <c r="G141" s="10"/>
    </row>
    <row r="142" ht="14.4" spans="3:7">
      <c r="C142" s="11"/>
      <c r="G142" s="10"/>
    </row>
    <row r="143" ht="14.4" spans="3:7">
      <c r="C143" s="11"/>
      <c r="G143" s="10"/>
    </row>
    <row r="144" ht="14.4" spans="3:7">
      <c r="C144" s="11"/>
      <c r="G144" s="10"/>
    </row>
    <row r="145" ht="14.4" spans="3:7">
      <c r="C145" s="11"/>
      <c r="G145" s="10"/>
    </row>
    <row r="146" ht="14.4" spans="3:7">
      <c r="C146" s="11"/>
      <c r="G146" s="10"/>
    </row>
    <row r="147" ht="14.4" spans="3:7">
      <c r="C147" s="11"/>
      <c r="G147" s="10"/>
    </row>
    <row r="148" ht="14.4" spans="3:7">
      <c r="C148" s="11"/>
      <c r="G148" s="10"/>
    </row>
    <row r="149" ht="14.4" spans="3:7">
      <c r="C149" s="11"/>
      <c r="G149" s="10"/>
    </row>
    <row r="150" ht="14.4" spans="3:7">
      <c r="C150" s="11"/>
      <c r="G150" s="10"/>
    </row>
    <row r="151" ht="14.4" spans="3:7">
      <c r="C151" s="11"/>
      <c r="G151" s="10"/>
    </row>
    <row r="152" ht="14.4" spans="3:7">
      <c r="C152" s="11"/>
      <c r="G152" s="10"/>
    </row>
    <row r="153" ht="14.4" spans="3:7">
      <c r="C153" s="11"/>
      <c r="G153" s="10"/>
    </row>
    <row r="154" ht="14.4" spans="3:7">
      <c r="C154" s="11"/>
      <c r="G154" s="10"/>
    </row>
    <row r="155" ht="14.4" spans="3:7">
      <c r="C155" s="11"/>
      <c r="G155" s="10"/>
    </row>
    <row r="156" ht="14.4" spans="3:7">
      <c r="C156" s="11"/>
      <c r="G156" s="10"/>
    </row>
    <row r="157" ht="14.4" spans="3:7">
      <c r="C157" s="11"/>
      <c r="G157" s="10"/>
    </row>
    <row r="158" ht="14.4" spans="3:7">
      <c r="C158" s="11"/>
      <c r="G158" s="10"/>
    </row>
    <row r="159" ht="14.4" spans="3:7">
      <c r="C159" s="11"/>
      <c r="G159" s="10"/>
    </row>
    <row r="160" ht="14.4" spans="3:7">
      <c r="C160" s="11"/>
      <c r="G160" s="10"/>
    </row>
    <row r="161" ht="14.4" spans="3:7">
      <c r="C161" s="11"/>
      <c r="G161" s="10"/>
    </row>
    <row r="162" ht="14.4" spans="3:7">
      <c r="C162" s="11"/>
      <c r="G162" s="10"/>
    </row>
    <row r="163" ht="14.4" spans="3:7">
      <c r="C163" s="11"/>
      <c r="G163" s="10"/>
    </row>
    <row r="164" ht="14.4" spans="3:7">
      <c r="C164" s="11"/>
      <c r="G164" s="10"/>
    </row>
    <row r="165" ht="14.4" spans="3:7">
      <c r="C165" s="11"/>
      <c r="G165" s="10"/>
    </row>
    <row r="166" ht="14.4" spans="3:7">
      <c r="C166" s="11"/>
      <c r="G166" s="10"/>
    </row>
    <row r="167" ht="14.4" spans="3:7">
      <c r="C167" s="11"/>
      <c r="G167" s="10"/>
    </row>
    <row r="168" ht="14.4" spans="3:7">
      <c r="C168" s="11"/>
      <c r="G168" s="10"/>
    </row>
    <row r="169" ht="14.4" spans="3:7">
      <c r="C169" s="11"/>
      <c r="G169" s="10"/>
    </row>
    <row r="170" ht="14.4" spans="3:7">
      <c r="C170" s="11"/>
      <c r="G170" s="10"/>
    </row>
    <row r="171" ht="14.4" spans="3:7">
      <c r="C171" s="11"/>
      <c r="G171" s="10"/>
    </row>
    <row r="172" ht="14.4" spans="3:7">
      <c r="C172" s="11"/>
      <c r="G172" s="10"/>
    </row>
    <row r="173" ht="14.4" spans="3:7">
      <c r="C173" s="11"/>
      <c r="G173" s="10"/>
    </row>
    <row r="174" ht="14.4" spans="3:7">
      <c r="C174" s="11"/>
      <c r="G174" s="10"/>
    </row>
    <row r="175" ht="14.4" spans="3:7">
      <c r="C175" s="11"/>
      <c r="G175" s="10"/>
    </row>
    <row r="176" ht="14.4" spans="3:7">
      <c r="C176" s="11"/>
      <c r="G176" s="10"/>
    </row>
    <row r="177" ht="14.4" spans="3:7">
      <c r="C177" s="11"/>
      <c r="G177" s="10"/>
    </row>
    <row r="178" ht="14.4" spans="3:7">
      <c r="C178" s="11"/>
      <c r="G178" s="10"/>
    </row>
    <row r="179" ht="14.4" spans="3:7">
      <c r="C179" s="11"/>
      <c r="G179" s="10"/>
    </row>
    <row r="180" ht="14.4" spans="3:7">
      <c r="C180" s="11"/>
      <c r="G180" s="10"/>
    </row>
    <row r="181" ht="14.4" spans="3:7">
      <c r="C181" s="11"/>
      <c r="G181" s="10"/>
    </row>
    <row r="182" ht="14.4" spans="3:7">
      <c r="C182" s="11"/>
      <c r="G182" s="10"/>
    </row>
    <row r="183" ht="14.4" spans="3:7">
      <c r="C183" s="11"/>
      <c r="G183" s="10"/>
    </row>
    <row r="184" ht="14.4" spans="3:7">
      <c r="C184" s="11"/>
      <c r="G184" s="10"/>
    </row>
    <row r="185" ht="14.4" spans="3:7">
      <c r="C185" s="11"/>
      <c r="G185" s="10"/>
    </row>
    <row r="186" ht="14.4" spans="3:7">
      <c r="C186" s="11"/>
      <c r="G186" s="10"/>
    </row>
    <row r="187" ht="14.4" spans="3:7">
      <c r="C187" s="11"/>
      <c r="G187" s="10"/>
    </row>
    <row r="188" ht="14.4" spans="3:7">
      <c r="C188" s="11"/>
      <c r="G188" s="10"/>
    </row>
    <row r="189" ht="14.4" spans="3:7">
      <c r="C189" s="11"/>
      <c r="G189" s="10"/>
    </row>
    <row r="190" ht="14.4" spans="3:7">
      <c r="C190" s="11"/>
      <c r="G190" s="10"/>
    </row>
    <row r="191" ht="14.4" spans="3:7">
      <c r="C191" s="11"/>
      <c r="G191" s="10"/>
    </row>
    <row r="192" ht="14.4" spans="3:7">
      <c r="C192" s="11"/>
      <c r="G192" s="10"/>
    </row>
    <row r="193" ht="14.4" spans="3:7">
      <c r="C193" s="11"/>
      <c r="G193" s="10"/>
    </row>
    <row r="194" ht="14.4" spans="3:7">
      <c r="C194" s="11"/>
      <c r="G194" s="10"/>
    </row>
    <row r="195" ht="14.4" spans="3:7">
      <c r="C195" s="11"/>
      <c r="G195" s="10"/>
    </row>
    <row r="196" ht="14.4" spans="3:7">
      <c r="C196" s="11"/>
      <c r="G196" s="10"/>
    </row>
    <row r="197" ht="14.4" spans="3:7">
      <c r="C197" s="11"/>
      <c r="G197" s="10"/>
    </row>
    <row r="198" ht="14.4" spans="3:7">
      <c r="C198" s="11"/>
      <c r="G198" s="10"/>
    </row>
    <row r="199" ht="14.4" spans="3:7">
      <c r="C199" s="11"/>
      <c r="G199" s="10"/>
    </row>
    <row r="200" ht="14.4" spans="3:7">
      <c r="C200" s="11"/>
      <c r="G200" s="10"/>
    </row>
    <row r="201" ht="14.4" spans="3:7">
      <c r="C201" s="11"/>
      <c r="G201" s="10"/>
    </row>
    <row r="202" ht="14.4" spans="3:7">
      <c r="C202" s="11"/>
      <c r="G202" s="10"/>
    </row>
    <row r="203" ht="14.4" spans="3:7">
      <c r="C203" s="11"/>
      <c r="G203" s="10"/>
    </row>
    <row r="204" ht="14.4" spans="3:7">
      <c r="C204" s="11"/>
      <c r="G204" s="10"/>
    </row>
    <row r="205" ht="14.4" spans="3:7">
      <c r="C205" s="11"/>
      <c r="G205" s="10"/>
    </row>
    <row r="206" ht="14.4" spans="3:7">
      <c r="C206" s="11"/>
      <c r="G206" s="10"/>
    </row>
    <row r="207" ht="14.4" spans="3:7">
      <c r="C207" s="11"/>
      <c r="G207" s="10"/>
    </row>
    <row r="208" ht="14.4" spans="3:7">
      <c r="C208" s="11"/>
      <c r="G208" s="10"/>
    </row>
    <row r="209" ht="14.4" spans="3:7">
      <c r="C209" s="11"/>
      <c r="G209" s="10"/>
    </row>
    <row r="210" ht="14.4" spans="3:7">
      <c r="C210" s="11"/>
      <c r="G210" s="10"/>
    </row>
    <row r="211" ht="14.4" spans="3:7">
      <c r="C211" s="11"/>
      <c r="G211" s="10"/>
    </row>
    <row r="212" ht="14.4" spans="3:7">
      <c r="C212" s="11"/>
      <c r="G212" s="10"/>
    </row>
    <row r="213" ht="14.4" spans="3:7">
      <c r="C213" s="11"/>
      <c r="G213" s="10"/>
    </row>
    <row r="214" ht="14.4" spans="3:7">
      <c r="C214" s="11"/>
      <c r="G214" s="10"/>
    </row>
    <row r="215" ht="14.4" spans="3:7">
      <c r="C215" s="11"/>
      <c r="G215" s="10"/>
    </row>
    <row r="216" ht="14.4" spans="3:7">
      <c r="C216" s="11"/>
      <c r="G216" s="10"/>
    </row>
    <row r="217" ht="14.4" spans="3:7">
      <c r="C217" s="11"/>
      <c r="G217" s="10"/>
    </row>
    <row r="218" ht="14.4" spans="3:7">
      <c r="C218" s="11"/>
      <c r="G218" s="10"/>
    </row>
    <row r="219" ht="14.4" spans="3:7">
      <c r="C219" s="11"/>
      <c r="G219" s="10"/>
    </row>
    <row r="220" ht="14.4" spans="3:7">
      <c r="C220" s="11"/>
      <c r="G220" s="10"/>
    </row>
    <row r="221" ht="14.4" spans="3:7">
      <c r="C221" s="11"/>
      <c r="G221" s="10"/>
    </row>
    <row r="222" ht="14.4" spans="3:7">
      <c r="C222" s="11"/>
      <c r="G222" s="10"/>
    </row>
    <row r="223" ht="14.4" spans="3:7">
      <c r="C223" s="11"/>
      <c r="G223" s="10"/>
    </row>
    <row r="224" ht="14.4" spans="3:7">
      <c r="C224" s="11"/>
      <c r="G224" s="10"/>
    </row>
    <row r="225" ht="14.4" spans="3:7">
      <c r="C225" s="11"/>
      <c r="G225" s="10"/>
    </row>
    <row r="226" ht="14.4" spans="3:7">
      <c r="C226" s="11"/>
      <c r="G226" s="10"/>
    </row>
    <row r="227" ht="14.4" spans="3:7">
      <c r="C227" s="11"/>
      <c r="G227" s="10"/>
    </row>
    <row r="228" ht="14.4" spans="3:7">
      <c r="C228" s="11"/>
      <c r="G228" s="10"/>
    </row>
    <row r="229" ht="14.4" spans="3:7">
      <c r="C229" s="11"/>
      <c r="G229" s="10"/>
    </row>
    <row r="230" ht="14.4" spans="3:7">
      <c r="C230" s="11"/>
      <c r="G230" s="10"/>
    </row>
    <row r="231" ht="14.4" spans="3:7">
      <c r="C231" s="11"/>
      <c r="G231" s="10"/>
    </row>
    <row r="232" ht="14.4" spans="3:7">
      <c r="C232" s="11"/>
      <c r="G232" s="10"/>
    </row>
    <row r="233" ht="14.4" spans="3:7">
      <c r="C233" s="11"/>
      <c r="G233" s="10"/>
    </row>
    <row r="234" ht="14.4" spans="3:7">
      <c r="C234" s="11"/>
      <c r="G234" s="10"/>
    </row>
    <row r="235" ht="14.4" spans="3:7">
      <c r="C235" s="11"/>
      <c r="G235" s="10"/>
    </row>
    <row r="236" ht="14.4" spans="3:7">
      <c r="C236" s="11"/>
      <c r="G236" s="10"/>
    </row>
    <row r="237" ht="14.4" spans="3:7">
      <c r="C237" s="11"/>
      <c r="G237" s="10"/>
    </row>
    <row r="238" ht="14.4" spans="3:7">
      <c r="C238" s="11"/>
      <c r="G238" s="10"/>
    </row>
    <row r="239" ht="14.4" spans="3:7">
      <c r="C239" s="11"/>
      <c r="G239" s="10"/>
    </row>
    <row r="240" ht="14.4" spans="3:7">
      <c r="C240" s="11"/>
      <c r="G240" s="10"/>
    </row>
    <row r="241" ht="14.4" spans="3:7">
      <c r="C241" s="11"/>
      <c r="G241" s="10"/>
    </row>
    <row r="242" ht="14.4" spans="3:7">
      <c r="C242" s="11"/>
      <c r="G242" s="10"/>
    </row>
    <row r="243" ht="14.4" spans="3:7">
      <c r="C243" s="11"/>
      <c r="G243" s="10"/>
    </row>
    <row r="244" ht="14.4" spans="3:7">
      <c r="C244" s="11"/>
      <c r="G244" s="10"/>
    </row>
    <row r="245" ht="14.4" spans="3:7">
      <c r="C245" s="11"/>
      <c r="G245" s="10"/>
    </row>
    <row r="246" ht="14.4" spans="3:7">
      <c r="C246" s="11"/>
      <c r="G246" s="10"/>
    </row>
    <row r="247" ht="14.4" spans="3:7">
      <c r="C247" s="11"/>
      <c r="G247" s="10"/>
    </row>
    <row r="248" ht="14.4" spans="3:7">
      <c r="C248" s="11"/>
      <c r="G248" s="10"/>
    </row>
    <row r="249" ht="14.4" spans="3:7">
      <c r="C249" s="11"/>
      <c r="G249" s="10"/>
    </row>
    <row r="250" ht="14.4" spans="3:7">
      <c r="C250" s="11"/>
      <c r="G250" s="10"/>
    </row>
    <row r="251" ht="14.4" spans="3:7">
      <c r="C251" s="11"/>
      <c r="G251" s="10"/>
    </row>
    <row r="252" ht="14.4" spans="3:7">
      <c r="C252" s="11"/>
      <c r="G252" s="10"/>
    </row>
    <row r="253" ht="14.4" spans="3:7">
      <c r="C253" s="11"/>
      <c r="G253" s="10"/>
    </row>
    <row r="254" ht="14.4" spans="3:7">
      <c r="C254" s="11"/>
      <c r="G254" s="10"/>
    </row>
    <row r="255" ht="14.4" spans="3:7">
      <c r="C255" s="11"/>
      <c r="G255" s="10"/>
    </row>
    <row r="256" ht="14.4" spans="3:7">
      <c r="C256" s="11"/>
      <c r="G256" s="10"/>
    </row>
    <row r="257" ht="14.4" spans="3:7">
      <c r="C257" s="11"/>
      <c r="G257" s="10"/>
    </row>
    <row r="258" ht="14.4" spans="3:7">
      <c r="C258" s="11"/>
      <c r="G258" s="10"/>
    </row>
    <row r="259" ht="14.4" spans="3:7">
      <c r="C259" s="11"/>
      <c r="G259" s="10"/>
    </row>
    <row r="260" ht="14.4" spans="3:7">
      <c r="C260" s="11"/>
      <c r="G260" s="10"/>
    </row>
    <row r="261" ht="14.4" spans="3:7">
      <c r="C261" s="11"/>
      <c r="G261" s="10"/>
    </row>
    <row r="262" ht="14.4" spans="3:7">
      <c r="C262" s="11"/>
      <c r="G262" s="10"/>
    </row>
    <row r="263" ht="14.4" spans="3:7">
      <c r="C263" s="11"/>
      <c r="G263" s="10"/>
    </row>
    <row r="264" ht="14.4" spans="3:7">
      <c r="C264" s="11"/>
      <c r="G264" s="10"/>
    </row>
    <row r="265" ht="14.4" spans="3:7">
      <c r="C265" s="11"/>
      <c r="G265" s="10"/>
    </row>
    <row r="266" ht="14.4" spans="3:7">
      <c r="C266" s="11"/>
      <c r="G266" s="10"/>
    </row>
    <row r="267" ht="14.4" spans="3:7">
      <c r="C267" s="11"/>
      <c r="G267" s="10"/>
    </row>
    <row r="268" ht="14.4" spans="3:7">
      <c r="C268" s="11"/>
      <c r="G268" s="10"/>
    </row>
    <row r="269" ht="14.4" spans="3:7">
      <c r="C269" s="11"/>
      <c r="G269" s="10"/>
    </row>
    <row r="270" ht="14.4" spans="3:7">
      <c r="C270" s="11"/>
      <c r="G270" s="10"/>
    </row>
    <row r="271" ht="14.4" spans="3:7">
      <c r="C271" s="11"/>
      <c r="G271" s="10"/>
    </row>
    <row r="272" ht="14.4" spans="3:7">
      <c r="C272" s="11"/>
      <c r="G272" s="10"/>
    </row>
    <row r="273" ht="14.4" spans="3:7">
      <c r="C273" s="11"/>
      <c r="G273" s="10"/>
    </row>
    <row r="274" ht="14.4" spans="3:7">
      <c r="C274" s="11"/>
      <c r="G274" s="10"/>
    </row>
    <row r="275" ht="14.4" spans="3:7">
      <c r="C275" s="11"/>
      <c r="G275" s="10"/>
    </row>
    <row r="276" ht="14.4" spans="3:7">
      <c r="C276" s="11"/>
      <c r="G276" s="10"/>
    </row>
    <row r="277" ht="14.4" spans="3:7">
      <c r="C277" s="11"/>
      <c r="G277" s="10"/>
    </row>
    <row r="278" ht="14.4" spans="3:7">
      <c r="C278" s="11"/>
      <c r="G278" s="10"/>
    </row>
    <row r="279" ht="14.4" spans="3:7">
      <c r="C279" s="11"/>
      <c r="G279" s="10"/>
    </row>
    <row r="280" ht="14.4" spans="3:7">
      <c r="C280" s="11"/>
      <c r="G280" s="10"/>
    </row>
    <row r="281" ht="14.4" spans="3:7">
      <c r="C281" s="11"/>
      <c r="G281" s="10"/>
    </row>
    <row r="282" ht="14.4" spans="3:7">
      <c r="C282" s="11"/>
      <c r="G282" s="10"/>
    </row>
    <row r="283" ht="14.4" spans="3:7">
      <c r="C283" s="11"/>
      <c r="G283" s="10"/>
    </row>
    <row r="284" ht="14.4" spans="3:7">
      <c r="C284" s="11"/>
      <c r="G284" s="10"/>
    </row>
    <row r="285" ht="14.4" spans="3:7">
      <c r="C285" s="11"/>
      <c r="G285" s="10"/>
    </row>
    <row r="286" ht="14.4" spans="3:7">
      <c r="C286" s="11"/>
      <c r="G286" s="10"/>
    </row>
    <row r="287" ht="14.4" spans="3:7">
      <c r="C287" s="11"/>
      <c r="G287" s="10"/>
    </row>
    <row r="288" ht="14.4" spans="3:7">
      <c r="C288" s="11"/>
      <c r="G288" s="10"/>
    </row>
    <row r="289" ht="14.4" spans="3:7">
      <c r="C289" s="11"/>
      <c r="G289" s="10"/>
    </row>
    <row r="290" ht="14.4" spans="3:7">
      <c r="C290" s="11"/>
      <c r="G290" s="10"/>
    </row>
    <row r="291" ht="14.4" spans="3:7">
      <c r="C291" s="11"/>
      <c r="G291" s="10"/>
    </row>
    <row r="292" ht="14.4" spans="3:7">
      <c r="C292" s="11"/>
      <c r="G292" s="10"/>
    </row>
    <row r="293" ht="14.4" spans="3:7">
      <c r="C293" s="11"/>
      <c r="G293" s="10"/>
    </row>
    <row r="294" ht="14.4" spans="3:7">
      <c r="C294" s="11"/>
      <c r="G294" s="10"/>
    </row>
    <row r="295" ht="14.4" spans="3:7">
      <c r="C295" s="11"/>
      <c r="G295" s="10"/>
    </row>
    <row r="296" ht="14.4" spans="3:7">
      <c r="C296" s="11"/>
      <c r="G296" s="10"/>
    </row>
    <row r="297" ht="14.4" spans="3:7">
      <c r="C297" s="11"/>
      <c r="G297" s="10"/>
    </row>
    <row r="298" ht="14.4" spans="3:7">
      <c r="C298" s="11"/>
      <c r="G298" s="10"/>
    </row>
    <row r="299" ht="14.4" spans="3:7">
      <c r="C299" s="11"/>
      <c r="G299" s="10"/>
    </row>
    <row r="300" ht="14.4" spans="3:7">
      <c r="C300" s="11"/>
      <c r="G300" s="10"/>
    </row>
    <row r="301" ht="14.4" spans="3:7">
      <c r="C301" s="11"/>
      <c r="G301" s="10"/>
    </row>
    <row r="302" ht="14.4" spans="3:7">
      <c r="C302" s="11"/>
      <c r="G302" s="10"/>
    </row>
    <row r="303" ht="14.4" spans="3:7">
      <c r="C303" s="11"/>
      <c r="G303" s="10"/>
    </row>
    <row r="304" ht="14.4" spans="3:7">
      <c r="C304" s="11"/>
      <c r="G304" s="10"/>
    </row>
    <row r="305" ht="14.4" spans="3:7">
      <c r="C305" s="11"/>
      <c r="G305" s="10"/>
    </row>
    <row r="306" ht="14.4" spans="3:7">
      <c r="C306" s="11"/>
      <c r="G306" s="10"/>
    </row>
    <row r="307" ht="14.4" spans="3:7">
      <c r="C307" s="11"/>
      <c r="G307" s="10"/>
    </row>
    <row r="308" ht="14.4" spans="3:7">
      <c r="C308" s="11"/>
      <c r="G308" s="10"/>
    </row>
    <row r="309" ht="14.4" spans="3:7">
      <c r="C309" s="11"/>
      <c r="G309" s="10"/>
    </row>
    <row r="310" ht="14.4" spans="3:7">
      <c r="C310" s="11"/>
      <c r="G310" s="10"/>
    </row>
    <row r="311" ht="14.4" spans="3:7">
      <c r="C311" s="11"/>
      <c r="G311" s="10"/>
    </row>
    <row r="312" ht="14.4" spans="3:7">
      <c r="C312" s="11"/>
      <c r="G312" s="10"/>
    </row>
    <row r="313" ht="14.4" spans="3:7">
      <c r="C313" s="11"/>
      <c r="G313" s="10"/>
    </row>
    <row r="314" ht="14.4" spans="3:7">
      <c r="C314" s="11"/>
      <c r="G314" s="10"/>
    </row>
    <row r="315" ht="14.4" spans="3:7">
      <c r="C315" s="11"/>
      <c r="G315" s="10"/>
    </row>
    <row r="316" ht="14.4" spans="3:7">
      <c r="C316" s="11"/>
      <c r="G316" s="10"/>
    </row>
    <row r="317" ht="14.4" spans="3:7">
      <c r="C317" s="11"/>
      <c r="G317" s="10"/>
    </row>
    <row r="318" ht="14.4" spans="3:7">
      <c r="C318" s="11"/>
      <c r="G318" s="10"/>
    </row>
    <row r="319" ht="14.4" spans="3:7">
      <c r="C319" s="11"/>
      <c r="G319" s="10"/>
    </row>
    <row r="320" ht="14.4" spans="3:7">
      <c r="C320" s="11"/>
      <c r="G320" s="10"/>
    </row>
    <row r="321" ht="14.4" spans="3:7">
      <c r="C321" s="11"/>
      <c r="G321" s="10"/>
    </row>
    <row r="322" ht="14.4" spans="3:7">
      <c r="C322" s="11"/>
      <c r="G322" s="10"/>
    </row>
    <row r="323" ht="14.4" spans="3:7">
      <c r="C323" s="11"/>
      <c r="G323" s="10"/>
    </row>
    <row r="324" ht="14.4" spans="3:7">
      <c r="C324" s="11"/>
      <c r="G324" s="10"/>
    </row>
    <row r="325" ht="14.4" spans="3:7">
      <c r="C325" s="11"/>
      <c r="G325" s="10"/>
    </row>
    <row r="326" ht="14.4" spans="3:7">
      <c r="C326" s="11"/>
      <c r="G326" s="10"/>
    </row>
    <row r="327" ht="14.4" spans="3:7">
      <c r="C327" s="11"/>
      <c r="G327" s="10"/>
    </row>
    <row r="328" ht="14.4" spans="3:7">
      <c r="C328" s="11"/>
      <c r="G328" s="10"/>
    </row>
    <row r="329" ht="14.4" spans="3:7">
      <c r="C329" s="11"/>
      <c r="G329" s="10"/>
    </row>
    <row r="330" ht="14.4" spans="3:7">
      <c r="C330" s="11"/>
      <c r="G330" s="10"/>
    </row>
    <row r="331" ht="14.4" spans="3:7">
      <c r="C331" s="11"/>
      <c r="G331" s="10"/>
    </row>
    <row r="332" ht="14.4" spans="3:7">
      <c r="C332" s="11"/>
      <c r="G332" s="10"/>
    </row>
    <row r="333" ht="14.4" spans="3:7">
      <c r="C333" s="11"/>
      <c r="G333" s="10"/>
    </row>
    <row r="334" ht="14.4" spans="3:7">
      <c r="C334" s="11"/>
      <c r="G334" s="10"/>
    </row>
    <row r="335" ht="14.4" spans="3:7">
      <c r="C335" s="11"/>
      <c r="G335" s="10"/>
    </row>
    <row r="336" ht="14.4" spans="3:7">
      <c r="C336" s="11"/>
      <c r="G336" s="10"/>
    </row>
    <row r="337" ht="14.4" spans="3:7">
      <c r="C337" s="11"/>
      <c r="G337" s="10"/>
    </row>
    <row r="338" ht="14.4" spans="3:7">
      <c r="C338" s="11"/>
      <c r="G338" s="10"/>
    </row>
    <row r="339" ht="14.4" spans="3:7">
      <c r="C339" s="11"/>
      <c r="G339" s="10"/>
    </row>
    <row r="340" ht="14.4" spans="3:7">
      <c r="C340" s="11"/>
      <c r="G340" s="10"/>
    </row>
    <row r="341" ht="14.4" spans="3:7">
      <c r="C341" s="11"/>
      <c r="G341" s="10"/>
    </row>
    <row r="342" ht="14.4" spans="3:7">
      <c r="C342" s="11"/>
      <c r="G342" s="10"/>
    </row>
    <row r="343" ht="14.4" spans="3:7">
      <c r="C343" s="11"/>
      <c r="G343" s="10"/>
    </row>
    <row r="344" ht="14.4" spans="3:7">
      <c r="C344" s="11"/>
      <c r="G344" s="10"/>
    </row>
    <row r="345" ht="14.4" spans="3:7">
      <c r="C345" s="11"/>
      <c r="G345" s="10"/>
    </row>
    <row r="346" ht="14.4" spans="3:7">
      <c r="C346" s="11"/>
      <c r="G346" s="10"/>
    </row>
    <row r="347" ht="14.4" spans="3:7">
      <c r="C347" s="11"/>
      <c r="G347" s="10"/>
    </row>
    <row r="348" ht="14.4" spans="3:7">
      <c r="C348" s="11"/>
      <c r="G348" s="10"/>
    </row>
    <row r="349" ht="14.4" spans="3:7">
      <c r="C349" s="11"/>
      <c r="G349" s="10"/>
    </row>
    <row r="350" ht="14.4" spans="3:7">
      <c r="C350" s="11"/>
      <c r="G350" s="10"/>
    </row>
    <row r="351" ht="14.4" spans="3:7">
      <c r="C351" s="11"/>
      <c r="G351" s="10"/>
    </row>
    <row r="352" ht="14.4" spans="3:7">
      <c r="C352" s="11"/>
      <c r="G352" s="10"/>
    </row>
    <row r="353" ht="14.4" spans="3:7">
      <c r="C353" s="11"/>
      <c r="G353" s="10"/>
    </row>
    <row r="354" ht="14.4" spans="3:7">
      <c r="C354" s="11"/>
      <c r="G354" s="10"/>
    </row>
    <row r="355" ht="14.4" spans="3:7">
      <c r="C355" s="11"/>
      <c r="G355" s="10"/>
    </row>
    <row r="356" ht="14.4" spans="3:7">
      <c r="C356" s="11"/>
      <c r="G356" s="10"/>
    </row>
    <row r="357" ht="14.4" spans="3:7">
      <c r="C357" s="11"/>
      <c r="G357" s="10"/>
    </row>
    <row r="358" ht="14.4" spans="3:7">
      <c r="C358" s="11"/>
      <c r="G358" s="10"/>
    </row>
    <row r="359" ht="14.4" spans="3:7">
      <c r="C359" s="11"/>
      <c r="G359" s="10"/>
    </row>
    <row r="360" ht="14.4" spans="3:7">
      <c r="C360" s="11"/>
      <c r="G360" s="10"/>
    </row>
    <row r="361" ht="14.4" spans="3:7">
      <c r="C361" s="11"/>
      <c r="G361" s="10"/>
    </row>
    <row r="362" ht="14.4" spans="3:7">
      <c r="C362" s="11"/>
      <c r="G362" s="10"/>
    </row>
    <row r="363" ht="14.4" spans="3:7">
      <c r="C363" s="11"/>
      <c r="G363" s="10"/>
    </row>
    <row r="364" ht="14.4" spans="3:7">
      <c r="C364" s="11"/>
      <c r="G364" s="10"/>
    </row>
    <row r="365" ht="14.4" spans="3:7">
      <c r="C365" s="11"/>
      <c r="G365" s="10"/>
    </row>
    <row r="366" ht="14.4" spans="3:7">
      <c r="C366" s="11"/>
      <c r="G366" s="10"/>
    </row>
    <row r="367" ht="14.4" spans="3:7">
      <c r="C367" s="11"/>
      <c r="G367" s="10"/>
    </row>
    <row r="368" ht="14.4" spans="3:7">
      <c r="C368" s="11"/>
      <c r="G368" s="10"/>
    </row>
    <row r="369" ht="14.4" spans="3:7">
      <c r="C369" s="11"/>
      <c r="G369" s="10"/>
    </row>
    <row r="370" ht="14.4" spans="3:7">
      <c r="C370" s="11"/>
      <c r="G370" s="10"/>
    </row>
    <row r="371" ht="14.4" spans="3:7">
      <c r="C371" s="11"/>
      <c r="G371" s="10"/>
    </row>
    <row r="372" ht="14.4" spans="3:7">
      <c r="C372" s="11"/>
      <c r="G372" s="10"/>
    </row>
    <row r="373" ht="14.4" spans="3:7">
      <c r="C373" s="11"/>
      <c r="G373" s="10"/>
    </row>
    <row r="374" ht="14.4" spans="3:7">
      <c r="C374" s="11"/>
      <c r="G374" s="10"/>
    </row>
    <row r="375" ht="14.4" spans="3:7">
      <c r="C375" s="11"/>
      <c r="G375" s="10"/>
    </row>
    <row r="376" ht="14.4" spans="3:7">
      <c r="C376" s="11"/>
      <c r="G376" s="10"/>
    </row>
    <row r="377" ht="14.4" spans="3:7">
      <c r="C377" s="11"/>
      <c r="G377" s="10"/>
    </row>
    <row r="378" ht="14.4" spans="3:7">
      <c r="C378" s="11"/>
      <c r="G378" s="10"/>
    </row>
    <row r="379" ht="14.4" spans="3:7">
      <c r="C379" s="11"/>
      <c r="G379" s="10"/>
    </row>
    <row r="380" ht="14.4" spans="3:7">
      <c r="C380" s="11"/>
      <c r="G380" s="10"/>
    </row>
    <row r="381" ht="14.4" spans="3:7">
      <c r="C381" s="11"/>
      <c r="G381" s="10"/>
    </row>
    <row r="382" ht="14.4" spans="3:7">
      <c r="C382" s="11"/>
      <c r="G382" s="10"/>
    </row>
    <row r="383" ht="14.4" spans="3:7">
      <c r="C383" s="11"/>
      <c r="G383" s="10"/>
    </row>
    <row r="384" ht="14.4" spans="3:7">
      <c r="C384" s="11"/>
      <c r="G384" s="10"/>
    </row>
    <row r="385" ht="14.4" spans="3:7">
      <c r="C385" s="11"/>
      <c r="G385" s="10"/>
    </row>
    <row r="386" ht="14.4" spans="3:7">
      <c r="C386" s="11"/>
      <c r="G386" s="10"/>
    </row>
    <row r="387" ht="14.4" spans="3:7">
      <c r="C387" s="11"/>
      <c r="G387" s="10"/>
    </row>
    <row r="388" ht="14.4" spans="3:7">
      <c r="C388" s="11"/>
      <c r="G388" s="10"/>
    </row>
    <row r="389" ht="14.4" spans="3:7">
      <c r="C389" s="11"/>
      <c r="G389" s="10"/>
    </row>
    <row r="390" ht="14.4" spans="3:7">
      <c r="C390" s="11"/>
      <c r="G390" s="10"/>
    </row>
    <row r="391" ht="14.4" spans="3:7">
      <c r="C391" s="11"/>
      <c r="G391" s="10"/>
    </row>
    <row r="392" ht="14.4" spans="3:7">
      <c r="C392" s="11"/>
      <c r="G392" s="10"/>
    </row>
    <row r="393" ht="14.4" spans="3:7">
      <c r="C393" s="11"/>
      <c r="G393" s="10"/>
    </row>
    <row r="394" ht="14.4" spans="3:7">
      <c r="C394" s="11"/>
      <c r="G394" s="10"/>
    </row>
    <row r="395" ht="14.4" spans="3:7">
      <c r="C395" s="11"/>
      <c r="G395" s="10"/>
    </row>
    <row r="396" ht="14.4" spans="3:7">
      <c r="C396" s="11"/>
      <c r="G396" s="10"/>
    </row>
    <row r="397" ht="14.4" spans="3:7">
      <c r="C397" s="11"/>
      <c r="G397" s="10"/>
    </row>
    <row r="398" ht="14.4" spans="3:7">
      <c r="C398" s="11"/>
      <c r="G398" s="10"/>
    </row>
    <row r="399" ht="14.4" spans="3:7">
      <c r="C399" s="11"/>
      <c r="G399" s="10"/>
    </row>
    <row r="400" ht="14.4" spans="3:7">
      <c r="C400" s="11"/>
      <c r="G400" s="10"/>
    </row>
    <row r="401" ht="14.4" spans="3:7">
      <c r="C401" s="11"/>
      <c r="G401" s="10"/>
    </row>
    <row r="402" ht="14.4" spans="3:7">
      <c r="C402" s="11"/>
      <c r="G402" s="10"/>
    </row>
    <row r="403" ht="14.4" spans="3:7">
      <c r="C403" s="11"/>
      <c r="G403" s="10"/>
    </row>
    <row r="404" ht="14.4" spans="3:7">
      <c r="C404" s="11"/>
      <c r="G404" s="10"/>
    </row>
    <row r="405" ht="14.4" spans="3:7">
      <c r="C405" s="11"/>
      <c r="G405" s="10"/>
    </row>
    <row r="406" ht="14.4" spans="3:7">
      <c r="C406" s="11"/>
      <c r="G406" s="10"/>
    </row>
    <row r="407" ht="14.4" spans="3:7">
      <c r="C407" s="11"/>
      <c r="G407" s="10"/>
    </row>
    <row r="408" ht="14.4" spans="3:7">
      <c r="C408" s="11"/>
      <c r="G408" s="10"/>
    </row>
    <row r="409" ht="14.4" spans="3:7">
      <c r="C409" s="11"/>
      <c r="G409" s="10"/>
    </row>
    <row r="410" ht="14.4" spans="3:7">
      <c r="C410" s="11"/>
      <c r="G410" s="10"/>
    </row>
    <row r="411" ht="14.4" spans="3:7">
      <c r="C411" s="11"/>
      <c r="G411" s="10"/>
    </row>
    <row r="412" ht="14.4" spans="3:7">
      <c r="C412" s="11"/>
      <c r="G412" s="10"/>
    </row>
    <row r="413" ht="14.4" spans="3:7">
      <c r="C413" s="11"/>
      <c r="G413" s="10"/>
    </row>
    <row r="414" ht="14.4" spans="3:7">
      <c r="C414" s="11"/>
      <c r="G414" s="10"/>
    </row>
    <row r="415" ht="14.4" spans="3:7">
      <c r="C415" s="11"/>
      <c r="G415" s="10"/>
    </row>
    <row r="416" ht="14.4" spans="3:7">
      <c r="C416" s="11"/>
      <c r="G416" s="10"/>
    </row>
    <row r="417" ht="14.4" spans="3:7">
      <c r="C417" s="11"/>
      <c r="G417" s="10"/>
    </row>
    <row r="418" ht="14.4" spans="3:7">
      <c r="C418" s="11"/>
      <c r="G418" s="10"/>
    </row>
    <row r="419" ht="14.4" spans="3:7">
      <c r="C419" s="11"/>
      <c r="G419" s="10"/>
    </row>
    <row r="420" ht="14.4" spans="3:7">
      <c r="C420" s="11"/>
      <c r="G420" s="10"/>
    </row>
    <row r="421" ht="14.4" spans="3:7">
      <c r="C421" s="11"/>
      <c r="G421" s="10"/>
    </row>
    <row r="422" ht="14.4" spans="3:7">
      <c r="C422" s="11"/>
      <c r="G422" s="10"/>
    </row>
    <row r="423" ht="14.4" spans="3:7">
      <c r="C423" s="11"/>
      <c r="G423" s="10"/>
    </row>
    <row r="424" ht="14.4" spans="3:7">
      <c r="C424" s="11"/>
      <c r="G424" s="10"/>
    </row>
    <row r="425" ht="14.4" spans="3:7">
      <c r="C425" s="11"/>
      <c r="G425" s="10"/>
    </row>
    <row r="426" ht="14.4" spans="3:7">
      <c r="C426" s="11"/>
      <c r="G426" s="10"/>
    </row>
    <row r="427" ht="14.4" spans="3:7">
      <c r="C427" s="11"/>
      <c r="G427" s="10"/>
    </row>
    <row r="428" ht="14.4" spans="3:7">
      <c r="C428" s="11"/>
      <c r="G428" s="10"/>
    </row>
    <row r="429" ht="14.4" spans="3:7">
      <c r="C429" s="11"/>
      <c r="G429" s="10"/>
    </row>
    <row r="430" ht="14.4" spans="3:7">
      <c r="C430" s="11"/>
      <c r="G430" s="10"/>
    </row>
    <row r="431" ht="14.4" spans="3:7">
      <c r="C431" s="11"/>
      <c r="G431" s="10"/>
    </row>
    <row r="432" ht="14.4" spans="3:7">
      <c r="C432" s="11"/>
      <c r="G432" s="10"/>
    </row>
    <row r="433" ht="14.4" spans="3:7">
      <c r="C433" s="11"/>
      <c r="G433" s="10"/>
    </row>
    <row r="434" ht="14.4" spans="3:7">
      <c r="C434" s="11"/>
      <c r="G434" s="10"/>
    </row>
    <row r="435" ht="14.4" spans="3:7">
      <c r="C435" s="11"/>
      <c r="G435" s="10"/>
    </row>
    <row r="436" ht="14.4" spans="3:7">
      <c r="C436" s="11"/>
      <c r="G436" s="10"/>
    </row>
    <row r="437" ht="14.4" spans="3:7">
      <c r="C437" s="11"/>
      <c r="G437" s="10"/>
    </row>
    <row r="438" ht="14.4" spans="3:7">
      <c r="C438" s="11"/>
      <c r="G438" s="10"/>
    </row>
    <row r="439" ht="14.4" spans="3:7">
      <c r="C439" s="11"/>
      <c r="G439" s="10"/>
    </row>
    <row r="440" ht="14.4" spans="3:7">
      <c r="C440" s="11"/>
      <c r="G440" s="10"/>
    </row>
    <row r="441" ht="14.4" spans="3:7">
      <c r="C441" s="11"/>
      <c r="G441" s="10"/>
    </row>
    <row r="442" ht="14.4" spans="3:7">
      <c r="C442" s="11"/>
      <c r="G442" s="10"/>
    </row>
    <row r="443" ht="14.4" spans="3:7">
      <c r="C443" s="11"/>
      <c r="G443" s="10"/>
    </row>
    <row r="444" ht="14.4" spans="3:7">
      <c r="C444" s="11"/>
      <c r="G444" s="10"/>
    </row>
    <row r="445" ht="14.4" spans="3:7">
      <c r="C445" s="11"/>
      <c r="G445" s="10"/>
    </row>
    <row r="446" ht="14.4" spans="3:7">
      <c r="C446" s="11"/>
      <c r="G446" s="10"/>
    </row>
    <row r="447" ht="14.4" spans="3:7">
      <c r="C447" s="11"/>
      <c r="G447" s="10"/>
    </row>
    <row r="448" ht="14.4" spans="3:7">
      <c r="C448" s="11"/>
      <c r="G448" s="10"/>
    </row>
    <row r="449" ht="14.4" spans="3:7">
      <c r="C449" s="11"/>
      <c r="G449" s="10"/>
    </row>
    <row r="450" ht="14.4" spans="3:7">
      <c r="C450" s="11"/>
      <c r="G450" s="10"/>
    </row>
    <row r="451" ht="14.4" spans="3:7">
      <c r="C451" s="11"/>
      <c r="G451" s="10"/>
    </row>
    <row r="452" ht="14.4" spans="3:7">
      <c r="C452" s="11"/>
      <c r="G452" s="10"/>
    </row>
    <row r="453" ht="14.4" spans="3:7">
      <c r="C453" s="11"/>
      <c r="G453" s="10"/>
    </row>
    <row r="454" ht="14.4" spans="3:7">
      <c r="C454" s="11"/>
      <c r="G454" s="10"/>
    </row>
    <row r="455" ht="14.4" spans="3:7">
      <c r="C455" s="11"/>
      <c r="G455" s="10"/>
    </row>
    <row r="456" ht="14.4" spans="3:7">
      <c r="C456" s="11"/>
      <c r="G456" s="10"/>
    </row>
    <row r="457" ht="14.4" spans="3:7">
      <c r="C457" s="11"/>
      <c r="G457" s="10"/>
    </row>
    <row r="458" ht="14.4" spans="3:7">
      <c r="C458" s="11"/>
      <c r="G458" s="10"/>
    </row>
    <row r="459" ht="14.4" spans="3:7">
      <c r="C459" s="11"/>
      <c r="G459" s="10"/>
    </row>
    <row r="460" ht="14.4" spans="3:7">
      <c r="C460" s="11"/>
      <c r="G460" s="10"/>
    </row>
    <row r="461" ht="14.4" spans="3:7">
      <c r="C461" s="11"/>
      <c r="G461" s="10"/>
    </row>
    <row r="462" ht="14.4" spans="3:7">
      <c r="C462" s="11"/>
      <c r="G462" s="10"/>
    </row>
    <row r="463" ht="14.4" spans="3:7">
      <c r="C463" s="11"/>
      <c r="G463" s="10"/>
    </row>
    <row r="464" ht="14.4" spans="3:7">
      <c r="C464" s="11"/>
      <c r="G464" s="10"/>
    </row>
    <row r="465" ht="14.4" spans="3:7">
      <c r="C465" s="11"/>
      <c r="G465" s="10"/>
    </row>
    <row r="466" ht="14.4" spans="3:7">
      <c r="C466" s="11"/>
      <c r="G466" s="10"/>
    </row>
    <row r="467" ht="14.4" spans="3:7">
      <c r="C467" s="11"/>
      <c r="G467" s="10"/>
    </row>
    <row r="468" ht="14.4" spans="3:7">
      <c r="C468" s="11"/>
      <c r="G468" s="10"/>
    </row>
    <row r="469" ht="14.4" spans="3:7">
      <c r="C469" s="11"/>
      <c r="G469" s="10"/>
    </row>
    <row r="470" ht="14.4" spans="3:7">
      <c r="C470" s="11"/>
      <c r="G470" s="10"/>
    </row>
    <row r="471" ht="14.4" spans="3:7">
      <c r="C471" s="11"/>
      <c r="G471" s="10"/>
    </row>
    <row r="472" ht="14.4" spans="3:7">
      <c r="C472" s="11"/>
      <c r="G472" s="10"/>
    </row>
    <row r="473" ht="14.4" spans="3:7">
      <c r="C473" s="11"/>
      <c r="G473" s="10"/>
    </row>
    <row r="474" ht="14.4" spans="3:7">
      <c r="C474" s="11"/>
      <c r="G474" s="10"/>
    </row>
    <row r="475" ht="14.4" spans="3:7">
      <c r="C475" s="11"/>
      <c r="G475" s="10"/>
    </row>
    <row r="476" ht="14.4" spans="3:7">
      <c r="C476" s="11"/>
      <c r="G476" s="10"/>
    </row>
    <row r="477" ht="14.4" spans="3:7">
      <c r="C477" s="11"/>
      <c r="G477" s="10"/>
    </row>
    <row r="478" ht="14.4" spans="3:7">
      <c r="C478" s="11"/>
      <c r="G478" s="10"/>
    </row>
    <row r="479" ht="14.4" spans="3:7">
      <c r="C479" s="11"/>
      <c r="G479" s="10"/>
    </row>
    <row r="480" ht="14.4" spans="3:7">
      <c r="C480" s="11"/>
      <c r="G480" s="10"/>
    </row>
    <row r="481" ht="14.4" spans="3:7">
      <c r="C481" s="11"/>
      <c r="G481" s="10"/>
    </row>
    <row r="482" ht="14.4" spans="3:7">
      <c r="C482" s="11"/>
      <c r="G482" s="10"/>
    </row>
    <row r="483" ht="14.4" spans="3:7">
      <c r="C483" s="11"/>
      <c r="G483" s="10"/>
    </row>
    <row r="484" ht="14.4" spans="3:7">
      <c r="C484" s="11"/>
      <c r="G484" s="10"/>
    </row>
    <row r="485" ht="14.4" spans="3:7">
      <c r="C485" s="11"/>
      <c r="G485" s="10"/>
    </row>
    <row r="486" ht="14.4" spans="3:7">
      <c r="C486" s="11"/>
      <c r="G486" s="10"/>
    </row>
    <row r="487" ht="14.4" spans="3:7">
      <c r="C487" s="11"/>
      <c r="G487" s="10"/>
    </row>
    <row r="488" ht="14.4" spans="3:7">
      <c r="C488" s="11"/>
      <c r="G488" s="10"/>
    </row>
    <row r="489" ht="14.4" spans="3:7">
      <c r="C489" s="11"/>
      <c r="G489" s="10"/>
    </row>
    <row r="490" ht="14.4" spans="3:7">
      <c r="C490" s="11"/>
      <c r="G490" s="10"/>
    </row>
    <row r="491" ht="14.4" spans="3:7">
      <c r="C491" s="11"/>
      <c r="G491" s="10"/>
    </row>
    <row r="492" ht="14.4" spans="3:7">
      <c r="C492" s="11"/>
      <c r="G492" s="10"/>
    </row>
    <row r="493" ht="14.4" spans="3:7">
      <c r="C493" s="11"/>
      <c r="G493" s="10"/>
    </row>
    <row r="494" ht="14.4" spans="3:7">
      <c r="C494" s="11"/>
      <c r="G494" s="10"/>
    </row>
    <row r="495" ht="14.4" spans="3:7">
      <c r="C495" s="11"/>
      <c r="G495" s="10"/>
    </row>
    <row r="496" ht="14.4" spans="3:7">
      <c r="C496" s="11"/>
      <c r="G496" s="10"/>
    </row>
    <row r="497" ht="14.4" spans="3:7">
      <c r="C497" s="11"/>
      <c r="G497" s="10"/>
    </row>
    <row r="498" ht="14.4" spans="3:7">
      <c r="C498" s="11"/>
      <c r="G498" s="10"/>
    </row>
    <row r="499" ht="14.4" spans="3:7">
      <c r="C499" s="11"/>
      <c r="G499" s="10"/>
    </row>
    <row r="500" ht="14.4" spans="3:7">
      <c r="C500" s="11"/>
      <c r="G500" s="10"/>
    </row>
    <row r="501" ht="14.4" spans="3:7">
      <c r="C501" s="11"/>
      <c r="G501" s="10"/>
    </row>
    <row r="502" ht="14.4" spans="3:7">
      <c r="C502" s="11"/>
      <c r="G502" s="10"/>
    </row>
    <row r="503" ht="14.4" spans="3:7">
      <c r="C503" s="11"/>
      <c r="G503" s="10"/>
    </row>
    <row r="504" ht="14.4" spans="3:7">
      <c r="C504" s="11"/>
      <c r="G504" s="10"/>
    </row>
    <row r="505" ht="14.4" spans="3:7">
      <c r="C505" s="11"/>
      <c r="G505" s="10"/>
    </row>
    <row r="506" ht="14.4" spans="3:7">
      <c r="C506" s="11"/>
      <c r="G506" s="10"/>
    </row>
    <row r="507" ht="14.4" spans="3:7">
      <c r="C507" s="11"/>
      <c r="G507" s="10"/>
    </row>
    <row r="508" ht="14.4" spans="3:7">
      <c r="C508" s="11"/>
      <c r="G508" s="10"/>
    </row>
    <row r="509" ht="14.4" spans="3:7">
      <c r="C509" s="11"/>
      <c r="G509" s="10"/>
    </row>
    <row r="510" ht="14.4" spans="3:7">
      <c r="C510" s="11"/>
      <c r="G510" s="10"/>
    </row>
    <row r="511" ht="14.4" spans="3:7">
      <c r="C511" s="11"/>
      <c r="G511" s="10"/>
    </row>
    <row r="512" ht="14.4" spans="3:7">
      <c r="C512" s="11"/>
      <c r="G512" s="10"/>
    </row>
    <row r="513" ht="14.4" spans="3:7">
      <c r="C513" s="11"/>
      <c r="G513" s="10"/>
    </row>
    <row r="514" ht="14.4" spans="3:7">
      <c r="C514" s="11"/>
      <c r="G514" s="10"/>
    </row>
    <row r="515" ht="14.4" spans="3:7">
      <c r="C515" s="11"/>
      <c r="G515" s="10"/>
    </row>
    <row r="516" ht="14.4" spans="3:7">
      <c r="C516" s="11"/>
      <c r="G516" s="10"/>
    </row>
    <row r="517" ht="14.4" spans="3:7">
      <c r="C517" s="11"/>
      <c r="G517" s="10"/>
    </row>
    <row r="518" ht="14.4" spans="3:7">
      <c r="C518" s="11"/>
      <c r="G518" s="10"/>
    </row>
    <row r="519" ht="14.4" spans="3:7">
      <c r="C519" s="11"/>
      <c r="G519" s="10"/>
    </row>
    <row r="520" ht="14.4" spans="3:7">
      <c r="C520" s="11"/>
      <c r="G520" s="10"/>
    </row>
    <row r="521" ht="14.4" spans="3:7">
      <c r="C521" s="11"/>
      <c r="G521" s="10"/>
    </row>
    <row r="522" ht="14.4" spans="3:7">
      <c r="C522" s="11"/>
      <c r="G522" s="10"/>
    </row>
    <row r="523" ht="14.4" spans="3:7">
      <c r="C523" s="11"/>
      <c r="G523" s="10"/>
    </row>
    <row r="524" ht="14.4" spans="3:7">
      <c r="C524" s="11"/>
      <c r="G524" s="10"/>
    </row>
    <row r="525" ht="14.4" spans="3:7">
      <c r="C525" s="11"/>
      <c r="G525" s="10"/>
    </row>
    <row r="526" ht="14.4" spans="3:7">
      <c r="C526" s="11"/>
      <c r="G526" s="10"/>
    </row>
    <row r="527" ht="14.4" spans="3:7">
      <c r="C527" s="11"/>
      <c r="G527" s="10"/>
    </row>
    <row r="528" ht="14.4" spans="3:7">
      <c r="C528" s="11"/>
      <c r="G528" s="10"/>
    </row>
    <row r="529" ht="14.4" spans="3:7">
      <c r="C529" s="11"/>
      <c r="G529" s="10"/>
    </row>
    <row r="530" ht="14.4" spans="3:7">
      <c r="C530" s="11"/>
      <c r="G530" s="10"/>
    </row>
    <row r="531" ht="14.4" spans="3:7">
      <c r="C531" s="11"/>
      <c r="G531" s="10"/>
    </row>
    <row r="532" ht="14.4" spans="3:7">
      <c r="C532" s="11"/>
      <c r="G532" s="10"/>
    </row>
    <row r="533" ht="14.4" spans="3:7">
      <c r="C533" s="11"/>
      <c r="G533" s="10"/>
    </row>
    <row r="534" ht="14.4" spans="3:7">
      <c r="C534" s="11"/>
      <c r="G534" s="10"/>
    </row>
    <row r="535" ht="14.4" spans="3:7">
      <c r="C535" s="11"/>
      <c r="G535" s="10"/>
    </row>
    <row r="536" ht="14.4" spans="3:7">
      <c r="C536" s="11"/>
      <c r="G536" s="10"/>
    </row>
    <row r="537" ht="14.4" spans="3:7">
      <c r="C537" s="11"/>
      <c r="G537" s="10"/>
    </row>
    <row r="538" ht="14.4" spans="3:7">
      <c r="C538" s="11"/>
      <c r="G538" s="10"/>
    </row>
    <row r="539" ht="14.4" spans="3:7">
      <c r="C539" s="11"/>
      <c r="G539" s="10"/>
    </row>
    <row r="540" ht="14.4" spans="3:7">
      <c r="C540" s="11"/>
      <c r="G540" s="10"/>
    </row>
    <row r="541" ht="14.4" spans="3:7">
      <c r="C541" s="11"/>
      <c r="G541" s="10"/>
    </row>
    <row r="542" ht="14.4" spans="3:7">
      <c r="C542" s="11"/>
      <c r="G542" s="10"/>
    </row>
    <row r="543" ht="14.4" spans="3:7">
      <c r="C543" s="11"/>
      <c r="G543" s="10"/>
    </row>
    <row r="544" ht="14.4" spans="3:7">
      <c r="C544" s="11"/>
      <c r="G544" s="10"/>
    </row>
    <row r="545" ht="14.4" spans="3:7">
      <c r="C545" s="11"/>
      <c r="G545" s="10"/>
    </row>
    <row r="546" ht="14.4" spans="3:7">
      <c r="C546" s="11"/>
      <c r="G546" s="10"/>
    </row>
    <row r="547" ht="14.4" spans="3:7">
      <c r="C547" s="11"/>
      <c r="G547" s="10"/>
    </row>
    <row r="548" ht="14.4" spans="3:7">
      <c r="C548" s="11"/>
      <c r="G548" s="10"/>
    </row>
    <row r="549" ht="14.4" spans="3:7">
      <c r="C549" s="11"/>
      <c r="G549" s="10"/>
    </row>
    <row r="550" ht="14.4" spans="3:7">
      <c r="C550" s="11"/>
      <c r="G550" s="10"/>
    </row>
    <row r="551" ht="14.4" spans="3:7">
      <c r="C551" s="11"/>
      <c r="G551" s="10"/>
    </row>
    <row r="552" ht="14.4" spans="3:7">
      <c r="C552" s="11"/>
      <c r="G552" s="10"/>
    </row>
    <row r="553" ht="14.4" spans="3:7">
      <c r="C553" s="11"/>
      <c r="G553" s="10"/>
    </row>
    <row r="554" ht="14.4" spans="3:7">
      <c r="C554" s="11"/>
      <c r="G554" s="10"/>
    </row>
    <row r="555" ht="14.4" spans="3:7">
      <c r="C555" s="11"/>
      <c r="G555" s="10"/>
    </row>
    <row r="556" ht="14.4" spans="3:7">
      <c r="C556" s="11"/>
      <c r="G556" s="10"/>
    </row>
    <row r="557" ht="14.4" spans="3:7">
      <c r="C557" s="11"/>
      <c r="G557" s="10"/>
    </row>
    <row r="558" ht="14.4" spans="3:7">
      <c r="C558" s="11"/>
      <c r="G558" s="10"/>
    </row>
    <row r="559" ht="14.4" spans="3:7">
      <c r="C559" s="11"/>
      <c r="G559" s="10"/>
    </row>
    <row r="560" ht="14.4" spans="3:7">
      <c r="C560" s="11"/>
      <c r="G560" s="10"/>
    </row>
    <row r="561" ht="14.4" spans="3:7">
      <c r="C561" s="11"/>
      <c r="G561" s="10"/>
    </row>
    <row r="562" ht="14.4" spans="3:7">
      <c r="C562" s="11"/>
      <c r="G562" s="10"/>
    </row>
    <row r="563" ht="14.4" spans="3:7">
      <c r="C563" s="11"/>
      <c r="G563" s="10"/>
    </row>
    <row r="564" ht="14.4" spans="3:7">
      <c r="C564" s="11"/>
      <c r="G564" s="10"/>
    </row>
    <row r="565" ht="14.4" spans="3:7">
      <c r="C565" s="11"/>
      <c r="G565" s="10"/>
    </row>
    <row r="566" ht="14.4" spans="3:7">
      <c r="C566" s="11"/>
      <c r="G566" s="10"/>
    </row>
    <row r="567" ht="14.4" spans="3:7">
      <c r="C567" s="11"/>
      <c r="G567" s="10"/>
    </row>
    <row r="568" ht="14.4" spans="3:7">
      <c r="C568" s="11"/>
      <c r="G568" s="10"/>
    </row>
    <row r="569" ht="14.4" spans="3:7">
      <c r="C569" s="11"/>
      <c r="G569" s="10"/>
    </row>
    <row r="570" ht="14.4" spans="3:7">
      <c r="C570" s="11"/>
      <c r="G570" s="10"/>
    </row>
    <row r="571" ht="14.4" spans="3:7">
      <c r="C571" s="11"/>
      <c r="G571" s="10"/>
    </row>
    <row r="572" ht="14.4" spans="3:7">
      <c r="C572" s="11"/>
      <c r="G572" s="10"/>
    </row>
    <row r="573" ht="14.4" spans="3:7">
      <c r="C573" s="11"/>
      <c r="G573" s="10"/>
    </row>
    <row r="574" ht="14.4" spans="3:7">
      <c r="C574" s="11"/>
      <c r="G574" s="10"/>
    </row>
    <row r="575" ht="14.4" spans="3:7">
      <c r="C575" s="11"/>
      <c r="G575" s="10"/>
    </row>
    <row r="576" ht="14.4" spans="3:7">
      <c r="C576" s="11"/>
      <c r="G576" s="10"/>
    </row>
    <row r="577" ht="14.4" spans="3:7">
      <c r="C577" s="11"/>
      <c r="G577" s="10"/>
    </row>
    <row r="578" ht="14.4" spans="3:7">
      <c r="C578" s="11"/>
      <c r="G578" s="10"/>
    </row>
    <row r="579" ht="14.4" spans="3:7">
      <c r="C579" s="11"/>
      <c r="G579" s="10"/>
    </row>
    <row r="580" ht="14.4" spans="3:7">
      <c r="C580" s="11"/>
      <c r="G580" s="10"/>
    </row>
    <row r="581" ht="14.4" spans="3:7">
      <c r="C581" s="11"/>
      <c r="G581" s="10"/>
    </row>
    <row r="582" ht="14.4" spans="3:7">
      <c r="C582" s="11"/>
      <c r="G582" s="10"/>
    </row>
    <row r="583" ht="14.4" spans="3:7">
      <c r="C583" s="11"/>
      <c r="G583" s="10"/>
    </row>
    <row r="584" ht="14.4" spans="3:7">
      <c r="C584" s="11"/>
      <c r="G584" s="10"/>
    </row>
    <row r="585" ht="14.4" spans="3:7">
      <c r="C585" s="11"/>
      <c r="G585" s="10"/>
    </row>
    <row r="586" ht="14.4" spans="3:7">
      <c r="C586" s="11"/>
      <c r="G586" s="10"/>
    </row>
    <row r="587" ht="14.4" spans="3:7">
      <c r="C587" s="11"/>
      <c r="G587" s="10"/>
    </row>
    <row r="588" ht="14.4" spans="3:7">
      <c r="C588" s="11"/>
      <c r="G588" s="10"/>
    </row>
    <row r="589" ht="14.4" spans="3:7">
      <c r="C589" s="11"/>
      <c r="G589" s="10"/>
    </row>
    <row r="590" ht="14.4" spans="3:7">
      <c r="C590" s="11"/>
      <c r="G590" s="10"/>
    </row>
    <row r="591" ht="14.4" spans="3:7">
      <c r="C591" s="11"/>
      <c r="G591" s="10"/>
    </row>
    <row r="592" ht="14.4" spans="3:7">
      <c r="C592" s="11"/>
      <c r="G592" s="10"/>
    </row>
    <row r="593" ht="14.4" spans="3:7">
      <c r="C593" s="11"/>
      <c r="G593" s="10"/>
    </row>
    <row r="594" ht="14.4" spans="3:7">
      <c r="C594" s="11"/>
      <c r="G594" s="10"/>
    </row>
    <row r="595" ht="14.4" spans="3:7">
      <c r="C595" s="11"/>
      <c r="G595" s="10"/>
    </row>
    <row r="596" ht="14.4" spans="3:7">
      <c r="C596" s="11"/>
      <c r="G596" s="10"/>
    </row>
    <row r="597" ht="14.4" spans="3:7">
      <c r="C597" s="11"/>
      <c r="G597" s="10"/>
    </row>
    <row r="598" ht="14.4" spans="3:7">
      <c r="C598" s="11"/>
      <c r="G598" s="10"/>
    </row>
    <row r="599" ht="14.4" spans="3:7">
      <c r="C599" s="11"/>
      <c r="G599" s="10"/>
    </row>
    <row r="600" ht="14.4" spans="3:7">
      <c r="C600" s="11"/>
      <c r="G600" s="10"/>
    </row>
    <row r="601" ht="14.4" spans="3:7">
      <c r="C601" s="11"/>
      <c r="G601" s="10"/>
    </row>
    <row r="602" ht="14.4" spans="3:7">
      <c r="C602" s="11"/>
      <c r="G602" s="10"/>
    </row>
    <row r="603" ht="14.4" spans="3:7">
      <c r="C603" s="11"/>
      <c r="G603" s="10"/>
    </row>
    <row r="604" ht="14.4" spans="3:7">
      <c r="C604" s="11"/>
      <c r="G604" s="10"/>
    </row>
    <row r="605" ht="14.4" spans="3:7">
      <c r="C605" s="11"/>
      <c r="G605" s="10"/>
    </row>
    <row r="606" ht="14.4" spans="3:7">
      <c r="C606" s="11"/>
      <c r="G606" s="10"/>
    </row>
    <row r="607" ht="14.4" spans="3:7">
      <c r="C607" s="11"/>
      <c r="G607" s="10"/>
    </row>
    <row r="608" ht="14.4" spans="3:7">
      <c r="C608" s="11"/>
      <c r="G608" s="10"/>
    </row>
    <row r="609" ht="14.4" spans="3:7">
      <c r="C609" s="11"/>
      <c r="G609" s="10"/>
    </row>
    <row r="610" ht="14.4" spans="3:7">
      <c r="C610" s="11"/>
      <c r="G610" s="10"/>
    </row>
    <row r="611" ht="14.4" spans="3:7">
      <c r="C611" s="11"/>
      <c r="G611" s="10"/>
    </row>
    <row r="612" ht="14.4" spans="3:7">
      <c r="C612" s="11"/>
      <c r="G612" s="10"/>
    </row>
    <row r="613" ht="14.4" spans="3:7">
      <c r="C613" s="11"/>
      <c r="G613" s="10"/>
    </row>
    <row r="614" ht="14.4" spans="3:7">
      <c r="C614" s="11"/>
      <c r="G614" s="10"/>
    </row>
    <row r="615" ht="14.4" spans="3:7">
      <c r="C615" s="11"/>
      <c r="G615" s="10"/>
    </row>
    <row r="616" ht="14.4" spans="3:7">
      <c r="C616" s="11"/>
      <c r="G616" s="10"/>
    </row>
    <row r="617" ht="14.4" spans="3:7">
      <c r="C617" s="11"/>
      <c r="G617" s="10"/>
    </row>
    <row r="618" ht="14.4" spans="3:7">
      <c r="C618" s="11"/>
      <c r="G618" s="10"/>
    </row>
    <row r="619" ht="14.4" spans="3:7">
      <c r="C619" s="11"/>
      <c r="G619" s="10"/>
    </row>
    <row r="620" ht="14.4" spans="3:7">
      <c r="C620" s="11"/>
      <c r="G620" s="10"/>
    </row>
    <row r="621" ht="14.4" spans="3:7">
      <c r="C621" s="11"/>
      <c r="G621" s="10"/>
    </row>
    <row r="622" ht="14.4" spans="3:7">
      <c r="C622" s="11"/>
      <c r="G622" s="10"/>
    </row>
    <row r="623" ht="14.4" spans="3:7">
      <c r="C623" s="11"/>
      <c r="G623" s="10"/>
    </row>
    <row r="624" ht="14.4" spans="3:7">
      <c r="C624" s="11"/>
      <c r="G624" s="10"/>
    </row>
    <row r="625" ht="14.4" spans="3:7">
      <c r="C625" s="11"/>
      <c r="G625" s="10"/>
    </row>
    <row r="626" ht="14.4" spans="3:7">
      <c r="C626" s="11"/>
      <c r="G626" s="10"/>
    </row>
    <row r="627" ht="14.4" spans="3:7">
      <c r="C627" s="11"/>
      <c r="G627" s="10"/>
    </row>
    <row r="628" ht="14.4" spans="3:7">
      <c r="C628" s="11"/>
      <c r="G628" s="10"/>
    </row>
    <row r="629" ht="14.4" spans="3:7">
      <c r="C629" s="11"/>
      <c r="G629" s="10"/>
    </row>
    <row r="630" ht="14.4" spans="3:7">
      <c r="C630" s="11"/>
      <c r="G630" s="10"/>
    </row>
    <row r="631" ht="14.4" spans="3:7">
      <c r="C631" s="11"/>
      <c r="G631" s="10"/>
    </row>
    <row r="632" ht="14.4" spans="3:7">
      <c r="C632" s="11"/>
      <c r="G632" s="10"/>
    </row>
    <row r="633" ht="14.4" spans="3:7">
      <c r="C633" s="11"/>
      <c r="G633" s="10"/>
    </row>
    <row r="634" ht="14.4" spans="3:7">
      <c r="C634" s="11"/>
      <c r="G634" s="10"/>
    </row>
    <row r="635" ht="14.4" spans="3:7">
      <c r="C635" s="11"/>
      <c r="G635" s="10"/>
    </row>
    <row r="636" ht="14.4" spans="3:7">
      <c r="C636" s="11"/>
      <c r="G636" s="10"/>
    </row>
    <row r="637" ht="14.4" spans="3:7">
      <c r="C637" s="11"/>
      <c r="G637" s="10"/>
    </row>
    <row r="638" ht="14.4" spans="3:7">
      <c r="C638" s="11"/>
      <c r="G638" s="10"/>
    </row>
    <row r="639" ht="14.4" spans="3:7">
      <c r="C639" s="11"/>
      <c r="G639" s="10"/>
    </row>
    <row r="640" ht="14.4" spans="3:7">
      <c r="C640" s="11"/>
      <c r="G640" s="10"/>
    </row>
    <row r="641" ht="14.4" spans="3:7">
      <c r="C641" s="11"/>
      <c r="G641" s="10"/>
    </row>
    <row r="642" ht="14.4" spans="3:7">
      <c r="C642" s="11"/>
      <c r="G642" s="10"/>
    </row>
    <row r="643" ht="14.4" spans="3:7">
      <c r="C643" s="11"/>
      <c r="G643" s="10"/>
    </row>
    <row r="644" ht="14.4" spans="3:7">
      <c r="C644" s="11"/>
      <c r="G644" s="10"/>
    </row>
    <row r="645" ht="14.4" spans="3:7">
      <c r="C645" s="11"/>
      <c r="G645" s="10"/>
    </row>
    <row r="646" ht="14.4" spans="3:7">
      <c r="C646" s="11"/>
      <c r="G646" s="10"/>
    </row>
    <row r="647" ht="14.4" spans="3:7">
      <c r="C647" s="11"/>
      <c r="G647" s="10"/>
    </row>
    <row r="648" ht="14.4" spans="3:7">
      <c r="C648" s="11"/>
      <c r="G648" s="10"/>
    </row>
    <row r="649" ht="14.4" spans="3:7">
      <c r="C649" s="11"/>
      <c r="G649" s="10"/>
    </row>
    <row r="650" ht="14.4" spans="3:7">
      <c r="C650" s="11"/>
      <c r="G650" s="10"/>
    </row>
    <row r="651" ht="14.4" spans="3:7">
      <c r="C651" s="11"/>
      <c r="G651" s="10"/>
    </row>
    <row r="652" ht="14.4" spans="3:7">
      <c r="C652" s="11"/>
      <c r="G652" s="10"/>
    </row>
    <row r="653" ht="14.4" spans="3:7">
      <c r="C653" s="11"/>
      <c r="G653" s="10"/>
    </row>
    <row r="654" ht="14.4" spans="3:7">
      <c r="C654" s="11"/>
      <c r="G654" s="10"/>
    </row>
    <row r="655" ht="14.4" spans="3:7">
      <c r="C655" s="11"/>
      <c r="G655" s="10"/>
    </row>
    <row r="656" ht="14.4" spans="3:7">
      <c r="C656" s="11"/>
      <c r="G656" s="10"/>
    </row>
    <row r="657" ht="14.4" spans="3:7">
      <c r="C657" s="11"/>
      <c r="G657" s="10"/>
    </row>
    <row r="658" ht="14.4" spans="3:7">
      <c r="C658" s="11"/>
      <c r="G658" s="10"/>
    </row>
    <row r="659" ht="14.4" spans="3:7">
      <c r="C659" s="11"/>
      <c r="G659" s="10"/>
    </row>
    <row r="660" ht="14.4" spans="3:7">
      <c r="C660" s="11"/>
      <c r="G660" s="10"/>
    </row>
    <row r="661" ht="14.4" spans="3:7">
      <c r="C661" s="11"/>
      <c r="G661" s="10"/>
    </row>
    <row r="662" ht="14.4" spans="3:7">
      <c r="C662" s="11"/>
      <c r="G662" s="10"/>
    </row>
    <row r="663" ht="14.4" spans="3:7">
      <c r="C663" s="11"/>
      <c r="G663" s="10"/>
    </row>
    <row r="664" ht="14.4" spans="3:7">
      <c r="C664" s="11"/>
      <c r="G664" s="10"/>
    </row>
    <row r="665" ht="14.4" spans="3:7">
      <c r="C665" s="11"/>
      <c r="G665" s="10"/>
    </row>
    <row r="666" ht="14.4" spans="3:7">
      <c r="C666" s="11"/>
      <c r="G666" s="10"/>
    </row>
    <row r="667" ht="14.4" spans="3:7">
      <c r="C667" s="11"/>
      <c r="G667" s="10"/>
    </row>
    <row r="668" ht="14.4" spans="3:7">
      <c r="C668" s="11"/>
      <c r="G668" s="10"/>
    </row>
    <row r="669" ht="14.4" spans="3:7">
      <c r="C669" s="11"/>
      <c r="G669" s="10"/>
    </row>
    <row r="670" ht="14.4" spans="3:7">
      <c r="C670" s="11"/>
      <c r="G670" s="10"/>
    </row>
    <row r="671" ht="14.4" spans="3:7">
      <c r="C671" s="11"/>
      <c r="G671" s="10"/>
    </row>
    <row r="672" ht="14.4" spans="3:7">
      <c r="C672" s="11"/>
      <c r="G672" s="10"/>
    </row>
    <row r="673" ht="14.4" spans="3:7">
      <c r="C673" s="11"/>
      <c r="G673" s="10"/>
    </row>
    <row r="674" ht="14.4" spans="3:7">
      <c r="C674" s="11"/>
      <c r="G674" s="10"/>
    </row>
    <row r="675" ht="14.4" spans="3:7">
      <c r="C675" s="11"/>
      <c r="G675" s="10"/>
    </row>
    <row r="676" ht="14.4" spans="3:7">
      <c r="C676" s="11"/>
      <c r="G676" s="10"/>
    </row>
    <row r="677" ht="14.4" spans="3:7">
      <c r="C677" s="11"/>
      <c r="G677" s="10"/>
    </row>
    <row r="678" ht="14.4" spans="3:7">
      <c r="C678" s="11"/>
      <c r="G678" s="10"/>
    </row>
    <row r="679" ht="14.4" spans="3:7">
      <c r="C679" s="11"/>
      <c r="G679" s="10"/>
    </row>
    <row r="680" ht="14.4" spans="3:7">
      <c r="C680" s="11"/>
      <c r="G680" s="10"/>
    </row>
    <row r="681" ht="14.4" spans="3:7">
      <c r="C681" s="11"/>
      <c r="G681" s="10"/>
    </row>
    <row r="682" ht="14.4" spans="3:7">
      <c r="C682" s="11"/>
      <c r="G682" s="10"/>
    </row>
    <row r="683" ht="14.4" spans="3:7">
      <c r="C683" s="11"/>
      <c r="G683" s="10"/>
    </row>
    <row r="684" ht="14.4" spans="3:7">
      <c r="C684" s="11"/>
      <c r="G684" s="10"/>
    </row>
    <row r="685" ht="14.4" spans="3:7">
      <c r="C685" s="11"/>
      <c r="G685" s="10"/>
    </row>
    <row r="686" ht="14.4" spans="3:7">
      <c r="C686" s="11"/>
      <c r="G686" s="10"/>
    </row>
    <row r="687" ht="14.4" spans="3:7">
      <c r="C687" s="11"/>
      <c r="G687" s="10"/>
    </row>
    <row r="688" ht="14.4" spans="3:7">
      <c r="C688" s="11"/>
      <c r="G688" s="10"/>
    </row>
    <row r="689" ht="14.4" spans="3:7">
      <c r="C689" s="11"/>
      <c r="G689" s="10"/>
    </row>
    <row r="690" ht="14.4" spans="3:7">
      <c r="C690" s="11"/>
      <c r="G690" s="10"/>
    </row>
    <row r="691" ht="14.4" spans="3:7">
      <c r="C691" s="11"/>
      <c r="G691" s="10"/>
    </row>
    <row r="692" ht="14.4" spans="3:7">
      <c r="C692" s="11"/>
      <c r="G692" s="10"/>
    </row>
    <row r="693" ht="14.4" spans="3:7">
      <c r="C693" s="11"/>
      <c r="G693" s="10"/>
    </row>
    <row r="694" ht="14.4" spans="3:7">
      <c r="C694" s="11"/>
      <c r="G694" s="10"/>
    </row>
    <row r="695" ht="14.4" spans="3:7">
      <c r="C695" s="11"/>
      <c r="G695" s="10"/>
    </row>
    <row r="696" ht="14.4" spans="3:7">
      <c r="C696" s="11"/>
      <c r="G696" s="10"/>
    </row>
    <row r="697" ht="14.4" spans="3:7">
      <c r="C697" s="11"/>
      <c r="G697" s="10"/>
    </row>
    <row r="698" ht="14.4" spans="3:7">
      <c r="C698" s="11"/>
      <c r="G698" s="10"/>
    </row>
    <row r="699" ht="14.4" spans="3:7">
      <c r="C699" s="11"/>
      <c r="G699" s="10"/>
    </row>
    <row r="700" ht="14.4" spans="3:7">
      <c r="C700" s="11"/>
      <c r="G700" s="10"/>
    </row>
    <row r="701" ht="14.4" spans="3:7">
      <c r="C701" s="11"/>
      <c r="G701" s="10"/>
    </row>
    <row r="702" ht="14.4" spans="3:7">
      <c r="C702" s="11"/>
      <c r="G702" s="10"/>
    </row>
    <row r="703" ht="14.4" spans="3:7">
      <c r="C703" s="11"/>
      <c r="G703" s="10"/>
    </row>
    <row r="704" ht="14.4" spans="3:7">
      <c r="C704" s="11"/>
      <c r="G704" s="10"/>
    </row>
    <row r="705" ht="14.4" spans="3:7">
      <c r="C705" s="11"/>
      <c r="G705" s="10"/>
    </row>
    <row r="706" ht="14.4" spans="3:7">
      <c r="C706" s="11"/>
      <c r="G706" s="10"/>
    </row>
    <row r="707" ht="14.4" spans="3:7">
      <c r="C707" s="11"/>
      <c r="G707" s="10"/>
    </row>
    <row r="708" ht="14.4" spans="3:7">
      <c r="C708" s="11"/>
      <c r="G708" s="10"/>
    </row>
    <row r="709" ht="14.4" spans="3:7">
      <c r="C709" s="11"/>
      <c r="G709" s="10"/>
    </row>
    <row r="710" ht="14.4" spans="3:7">
      <c r="C710" s="11"/>
      <c r="G710" s="10"/>
    </row>
    <row r="711" ht="14.4" spans="3:7">
      <c r="C711" s="11"/>
      <c r="G711" s="10"/>
    </row>
    <row r="712" ht="14.4" spans="3:7">
      <c r="C712" s="11"/>
      <c r="G712" s="10"/>
    </row>
    <row r="713" ht="14.4" spans="3:7">
      <c r="C713" s="11"/>
      <c r="G713" s="10"/>
    </row>
    <row r="714" ht="14.4" spans="3:7">
      <c r="C714" s="11"/>
      <c r="G714" s="10"/>
    </row>
    <row r="715" ht="14.4" spans="3:7">
      <c r="C715" s="11"/>
      <c r="G715" s="10"/>
    </row>
    <row r="716" ht="14.4" spans="3:7">
      <c r="C716" s="11"/>
      <c r="G716" s="10"/>
    </row>
    <row r="717" ht="14.4" spans="3:7">
      <c r="C717" s="11"/>
      <c r="G717" s="10"/>
    </row>
    <row r="718" ht="14.4" spans="3:7">
      <c r="C718" s="11"/>
      <c r="G718" s="10"/>
    </row>
    <row r="719" ht="14.4" spans="3:7">
      <c r="C719" s="11"/>
      <c r="G719" s="10"/>
    </row>
    <row r="720" ht="14.4" spans="3:7">
      <c r="C720" s="11"/>
      <c r="G720" s="10"/>
    </row>
    <row r="721" ht="14.4" spans="3:7">
      <c r="C721" s="11"/>
      <c r="G721" s="10"/>
    </row>
    <row r="722" ht="14.4" spans="3:7">
      <c r="C722" s="11"/>
      <c r="G722" s="10"/>
    </row>
    <row r="723" ht="14.4" spans="3:7">
      <c r="C723" s="11"/>
      <c r="G723" s="10"/>
    </row>
    <row r="724" ht="14.4" spans="3:7">
      <c r="C724" s="11"/>
      <c r="G724" s="10"/>
    </row>
    <row r="725" ht="14.4" spans="3:7">
      <c r="C725" s="11"/>
      <c r="G725" s="10"/>
    </row>
    <row r="726" ht="14.4" spans="3:7">
      <c r="C726" s="11"/>
      <c r="G726" s="10"/>
    </row>
    <row r="727" ht="14.4" spans="3:7">
      <c r="C727" s="11"/>
      <c r="G727" s="10"/>
    </row>
    <row r="728" ht="14.4" spans="3:7">
      <c r="C728" s="11"/>
      <c r="G728" s="10"/>
    </row>
    <row r="729" ht="14.4" spans="3:7">
      <c r="C729" s="11"/>
      <c r="G729" s="10"/>
    </row>
    <row r="730" ht="14.4" spans="3:7">
      <c r="C730" s="11"/>
      <c r="G730" s="10"/>
    </row>
    <row r="731" ht="14.4" spans="3:7">
      <c r="C731" s="11"/>
      <c r="G731" s="10"/>
    </row>
    <row r="732" ht="14.4" spans="3:22">
      <c r="C732" s="11"/>
      <c r="G732" s="10"/>
      <c r="V732" t="str">
        <f>IFERROR(__xludf.DUMMYFUNCTION("ROUNDUP(IF(ISBLANK(VLOOKUP(B732,AmmoTypeFactors,16,False)),1,VLOOKUP(B732,AmmoTypeFactors,16,False)) * IFS(REGEXMATCH(B732, ""EMP""), 'Ammo Input'!M732 * N732 / 'Ingredient stats'!$C$5, REGEXMATCH(B732, ""Charge""), (U732^0.75)) + (IF(VLOOKUP(B732, AmmoTy"&amp;"peFactors, 10, false), 2) + IF('Ammo Input'!P732, 2,0) + IF('Ammo Input'!Q732,0.2*('Ammo Input'!H732/1000)*'Ammo Input'!O732,0)))"),"#N/A")</f>
        <v>#N/A</v>
      </c>
    </row>
    <row r="733" ht="14.4" spans="3:7">
      <c r="C733" s="11"/>
      <c r="G733" s="10"/>
    </row>
    <row r="734" ht="14.4" spans="3:7">
      <c r="C734" s="11"/>
      <c r="G734" s="10"/>
    </row>
    <row r="735" ht="14.4" spans="3:7">
      <c r="C735" s="11"/>
      <c r="G735" s="10"/>
    </row>
    <row r="736" ht="14.4" spans="3:7">
      <c r="C736" s="11"/>
      <c r="G736" s="10"/>
    </row>
    <row r="737" ht="14.4" spans="3:7">
      <c r="C737" s="11"/>
      <c r="G737" s="10"/>
    </row>
    <row r="738" ht="14.4" spans="3:7">
      <c r="C738" s="11"/>
      <c r="G738" s="10"/>
    </row>
    <row r="739" ht="14.4" spans="3:7">
      <c r="C739" s="11"/>
      <c r="G739" s="10"/>
    </row>
    <row r="740" ht="14.4" spans="3:7">
      <c r="C740" s="11"/>
      <c r="G740" s="10"/>
    </row>
    <row r="741" ht="14.4" spans="3:7">
      <c r="C741" s="11"/>
      <c r="G741" s="10"/>
    </row>
    <row r="742" ht="14.4" spans="3:7">
      <c r="C742" s="11"/>
      <c r="G742" s="10"/>
    </row>
    <row r="743" ht="14.4" spans="3:7">
      <c r="C743" s="11"/>
      <c r="G743" s="10"/>
    </row>
    <row r="744" ht="14.4" spans="3:7">
      <c r="C744" s="11"/>
      <c r="G744" s="10"/>
    </row>
    <row r="745" ht="14.4" spans="3:7">
      <c r="C745" s="11"/>
      <c r="G745" s="10"/>
    </row>
    <row r="746" ht="14.4" spans="3:7">
      <c r="C746" s="11"/>
      <c r="G746" s="10"/>
    </row>
    <row r="747" ht="14.4" spans="3:7">
      <c r="C747" s="11"/>
      <c r="G747" s="10"/>
    </row>
    <row r="748" ht="14.4" spans="3:7">
      <c r="C748" s="11"/>
      <c r="G748" s="10"/>
    </row>
    <row r="749" ht="14.4" spans="3:7">
      <c r="C749" s="11"/>
      <c r="G749" s="10"/>
    </row>
    <row r="750" ht="14.4" spans="3:7">
      <c r="C750" s="11"/>
      <c r="G750" s="10"/>
    </row>
    <row r="751" ht="14.4" spans="3:7">
      <c r="C751" s="11"/>
      <c r="G751" s="10"/>
    </row>
    <row r="752" ht="14.4" spans="3:7">
      <c r="C752" s="11"/>
      <c r="G752" s="10"/>
    </row>
    <row r="753" ht="14.4" spans="3:7">
      <c r="C753" s="11"/>
      <c r="G753" s="10"/>
    </row>
    <row r="754" ht="14.4" spans="3:7">
      <c r="C754" s="11"/>
      <c r="G754" s="10"/>
    </row>
    <row r="755" ht="14.4" spans="3:7">
      <c r="C755" s="11"/>
      <c r="G755" s="10"/>
    </row>
    <row r="756" ht="14.4" spans="3:7">
      <c r="C756" s="11"/>
      <c r="G756" s="10"/>
    </row>
    <row r="757" ht="14.4" spans="3:7">
      <c r="C757" s="11"/>
      <c r="G757" s="10"/>
    </row>
    <row r="758" ht="14.4" spans="3:7">
      <c r="C758" s="11"/>
      <c r="G758" s="10"/>
    </row>
    <row r="759" ht="14.4" spans="3:7">
      <c r="C759" s="11"/>
      <c r="G759" s="10"/>
    </row>
    <row r="760" ht="14.4" spans="3:7">
      <c r="C760" s="11"/>
      <c r="G760" s="10"/>
    </row>
    <row r="761" ht="14.4" spans="3:7">
      <c r="C761" s="11"/>
      <c r="G761" s="10"/>
    </row>
    <row r="762" ht="14.4" spans="3:7">
      <c r="C762" s="11"/>
      <c r="G762" s="10"/>
    </row>
    <row r="763" ht="14.4" spans="3:7">
      <c r="C763" s="11"/>
      <c r="G763" s="10"/>
    </row>
    <row r="764" ht="14.4" spans="3:7">
      <c r="C764" s="11"/>
      <c r="G764" s="10"/>
    </row>
    <row r="765" ht="14.4" spans="3:7">
      <c r="C765" s="11"/>
      <c r="G765" s="10"/>
    </row>
    <row r="766" ht="14.4" spans="3:7">
      <c r="C766" s="11"/>
      <c r="G766" s="10"/>
    </row>
    <row r="767" ht="14.4" spans="3:7">
      <c r="C767" s="11"/>
      <c r="G767" s="10"/>
    </row>
    <row r="768" ht="14.4" spans="3:7">
      <c r="C768" s="11"/>
      <c r="G768" s="10"/>
    </row>
    <row r="769" ht="14.4" spans="3:7">
      <c r="C769" s="11"/>
      <c r="G769" s="10"/>
    </row>
    <row r="770" ht="14.4" spans="3:7">
      <c r="C770" s="11"/>
      <c r="G770" s="10"/>
    </row>
    <row r="771" ht="14.4" spans="3:7">
      <c r="C771" s="11"/>
      <c r="G771" s="10"/>
    </row>
    <row r="772" ht="14.4" spans="3:7">
      <c r="C772" s="11"/>
      <c r="G772" s="10"/>
    </row>
    <row r="773" ht="14.4" spans="3:7">
      <c r="C773" s="11"/>
      <c r="G773" s="10"/>
    </row>
    <row r="774" ht="14.4" spans="3:7">
      <c r="C774" s="11"/>
      <c r="G774" s="10"/>
    </row>
    <row r="775" ht="14.4" spans="3:7">
      <c r="C775" s="11"/>
      <c r="G775" s="10"/>
    </row>
    <row r="776" ht="14.4" spans="3:7">
      <c r="C776" s="11"/>
      <c r="G776" s="10"/>
    </row>
    <row r="777" ht="14.4" spans="3:7">
      <c r="C777" s="11"/>
      <c r="G777" s="10"/>
    </row>
    <row r="778" ht="14.4" spans="3:7">
      <c r="C778" s="11"/>
      <c r="G778" s="10"/>
    </row>
    <row r="779" ht="14.4" spans="3:7">
      <c r="C779" s="11"/>
      <c r="G779" s="10"/>
    </row>
    <row r="780" ht="14.4" spans="3:7">
      <c r="C780" s="11"/>
      <c r="G780" s="10"/>
    </row>
    <row r="781" ht="14.4" spans="3:7">
      <c r="C781" s="11"/>
      <c r="G781" s="10"/>
    </row>
    <row r="782" ht="14.4" spans="3:7">
      <c r="C782" s="11"/>
      <c r="G782" s="10"/>
    </row>
    <row r="783" ht="14.4" spans="3:7">
      <c r="C783" s="11"/>
      <c r="G783" s="10"/>
    </row>
    <row r="784" ht="14.4" spans="3:7">
      <c r="C784" s="11"/>
      <c r="G784" s="10"/>
    </row>
    <row r="785" ht="14.4" spans="3:7">
      <c r="C785" s="11"/>
      <c r="G785" s="10"/>
    </row>
    <row r="786" ht="14.4" spans="3:7">
      <c r="C786" s="11"/>
      <c r="G786" s="10"/>
    </row>
    <row r="787" ht="14.4" spans="3:7">
      <c r="C787" s="11"/>
      <c r="G787" s="10"/>
    </row>
    <row r="788" ht="14.4" spans="3:7">
      <c r="C788" s="11"/>
      <c r="G788" s="10"/>
    </row>
    <row r="789" ht="14.4" spans="3:7">
      <c r="C789" s="11"/>
      <c r="G789" s="10"/>
    </row>
    <row r="790" ht="14.4" spans="3:7">
      <c r="C790" s="11"/>
      <c r="G790" s="10"/>
    </row>
    <row r="791" ht="14.4" spans="3:7">
      <c r="C791" s="11"/>
      <c r="G791" s="10"/>
    </row>
    <row r="792" ht="14.4" spans="3:7">
      <c r="C792" s="11"/>
      <c r="G792" s="10"/>
    </row>
    <row r="793" ht="14.4" spans="3:7">
      <c r="C793" s="11"/>
      <c r="G793" s="10"/>
    </row>
    <row r="794" ht="14.4" spans="3:7">
      <c r="C794" s="11"/>
      <c r="G794" s="10"/>
    </row>
    <row r="795" ht="14.4" spans="3:7">
      <c r="C795" s="11"/>
      <c r="G795" s="10"/>
    </row>
    <row r="796" ht="14.4" spans="3:7">
      <c r="C796" s="11"/>
      <c r="G796" s="10"/>
    </row>
    <row r="797" ht="14.4" spans="3:7">
      <c r="C797" s="11"/>
      <c r="G797" s="10"/>
    </row>
    <row r="798" ht="14.4" spans="3:7">
      <c r="C798" s="11"/>
      <c r="G798" s="10"/>
    </row>
    <row r="799" ht="14.4" spans="3:7">
      <c r="C799" s="11"/>
      <c r="G799" s="10"/>
    </row>
    <row r="800" ht="14.4" spans="3:7">
      <c r="C800" s="11"/>
      <c r="G800" s="10"/>
    </row>
    <row r="801" ht="14.4" spans="3:7">
      <c r="C801" s="11"/>
      <c r="G801" s="10"/>
    </row>
    <row r="802" ht="14.4" spans="3:7">
      <c r="C802" s="11"/>
      <c r="G802" s="10"/>
    </row>
    <row r="803" ht="14.4" spans="3:7">
      <c r="C803" s="11"/>
      <c r="G803" s="10"/>
    </row>
    <row r="804" ht="14.4" spans="3:7">
      <c r="C804" s="11"/>
      <c r="G804" s="10"/>
    </row>
    <row r="805" ht="14.4" spans="3:7">
      <c r="C805" s="11"/>
      <c r="G805" s="10"/>
    </row>
    <row r="806" ht="14.4" spans="3:7">
      <c r="C806" s="11"/>
      <c r="G806" s="10"/>
    </row>
    <row r="807" ht="14.4" spans="3:7">
      <c r="C807" s="11"/>
      <c r="G807" s="10"/>
    </row>
    <row r="808" ht="14.4" spans="3:7">
      <c r="C808" s="11"/>
      <c r="G808" s="10"/>
    </row>
    <row r="809" ht="14.4" spans="3:7">
      <c r="C809" s="11"/>
      <c r="G809" s="10"/>
    </row>
    <row r="810" ht="14.4" spans="3:7">
      <c r="C810" s="11"/>
      <c r="G810" s="10"/>
    </row>
    <row r="811" ht="14.4" spans="3:7">
      <c r="C811" s="11"/>
      <c r="G811" s="10"/>
    </row>
    <row r="812" ht="14.4" spans="3:7">
      <c r="C812" s="11"/>
      <c r="G812" s="10"/>
    </row>
    <row r="813" ht="14.4" spans="3:7">
      <c r="C813" s="11"/>
      <c r="G813" s="10"/>
    </row>
    <row r="814" ht="14.4" spans="3:7">
      <c r="C814" s="11"/>
      <c r="G814" s="10"/>
    </row>
    <row r="815" ht="14.4" spans="3:7">
      <c r="C815" s="11"/>
      <c r="G815" s="10"/>
    </row>
    <row r="816" ht="14.4" spans="3:7">
      <c r="C816" s="11"/>
      <c r="G816" s="10"/>
    </row>
    <row r="817" ht="14.4" spans="3:7">
      <c r="C817" s="11"/>
      <c r="G817" s="10"/>
    </row>
    <row r="818" ht="14.4" spans="3:7">
      <c r="C818" s="11"/>
      <c r="G818" s="10"/>
    </row>
    <row r="819" ht="14.4" spans="3:7">
      <c r="C819" s="11"/>
      <c r="G819" s="10"/>
    </row>
    <row r="820" ht="14.4" spans="3:7">
      <c r="C820" s="11"/>
      <c r="G820" s="10"/>
    </row>
    <row r="821" ht="14.4" spans="3:7">
      <c r="C821" s="11"/>
      <c r="G821" s="10"/>
    </row>
    <row r="822" ht="14.4" spans="3:7">
      <c r="C822" s="11"/>
      <c r="G822" s="10"/>
    </row>
    <row r="823" ht="14.4" spans="3:7">
      <c r="C823" s="11"/>
      <c r="G823" s="10"/>
    </row>
    <row r="824" ht="14.4" spans="3:7">
      <c r="C824" s="11"/>
      <c r="G824" s="10"/>
    </row>
    <row r="825" ht="14.4" spans="3:7">
      <c r="C825" s="11"/>
      <c r="G825" s="10"/>
    </row>
    <row r="826" ht="14.4" spans="3:7">
      <c r="C826" s="11"/>
      <c r="G826" s="10"/>
    </row>
    <row r="827" ht="14.4" spans="3:7">
      <c r="C827" s="11"/>
      <c r="G827" s="10"/>
    </row>
    <row r="828" ht="14.4" spans="3:7">
      <c r="C828" s="11"/>
      <c r="G828" s="10"/>
    </row>
    <row r="829" ht="14.4" spans="3:7">
      <c r="C829" s="11"/>
      <c r="G829" s="10"/>
    </row>
    <row r="830" ht="14.4" spans="3:7">
      <c r="C830" s="11"/>
      <c r="G830" s="10"/>
    </row>
    <row r="831" ht="14.4" spans="3:7">
      <c r="C831" s="11"/>
      <c r="G831" s="10"/>
    </row>
    <row r="832" ht="14.4" spans="3:7">
      <c r="C832" s="11"/>
      <c r="G832" s="10"/>
    </row>
    <row r="833" ht="14.4" spans="3:7">
      <c r="C833" s="11"/>
      <c r="G833" s="10"/>
    </row>
    <row r="834" ht="14.4" spans="3:7">
      <c r="C834" s="11"/>
      <c r="G834" s="10"/>
    </row>
    <row r="835" ht="14.4" spans="3:7">
      <c r="C835" s="11"/>
      <c r="G835" s="10"/>
    </row>
    <row r="836" ht="14.4" spans="3:7">
      <c r="C836" s="11"/>
      <c r="G836" s="10"/>
    </row>
    <row r="837" ht="14.4" spans="3:7">
      <c r="C837" s="11"/>
      <c r="G837" s="10"/>
    </row>
    <row r="838" ht="14.4" spans="3:7">
      <c r="C838" s="11"/>
      <c r="G838" s="10"/>
    </row>
    <row r="839" ht="14.4" spans="3:7">
      <c r="C839" s="11"/>
      <c r="G839" s="10"/>
    </row>
    <row r="840" ht="14.4" spans="3:7">
      <c r="C840" s="11"/>
      <c r="G840" s="10"/>
    </row>
    <row r="841" ht="14.4" spans="3:7">
      <c r="C841" s="11"/>
      <c r="G841" s="10"/>
    </row>
    <row r="842" ht="14.4" spans="3:7">
      <c r="C842" s="11"/>
      <c r="G842" s="10"/>
    </row>
    <row r="843" ht="14.4" spans="3:7">
      <c r="C843" s="11"/>
      <c r="G843" s="10"/>
    </row>
    <row r="844" ht="14.4" spans="3:7">
      <c r="C844" s="11"/>
      <c r="G844" s="10"/>
    </row>
    <row r="845" ht="14.4" spans="3:7">
      <c r="C845" s="11"/>
      <c r="G845" s="10"/>
    </row>
    <row r="846" ht="14.4" spans="3:7">
      <c r="C846" s="11"/>
      <c r="G846" s="10"/>
    </row>
    <row r="847" ht="14.4" spans="3:7">
      <c r="C847" s="11"/>
      <c r="G847" s="10"/>
    </row>
    <row r="848" ht="14.4" spans="3:7">
      <c r="C848" s="11"/>
      <c r="G848" s="10"/>
    </row>
    <row r="849" ht="14.4" spans="3:7">
      <c r="C849" s="11"/>
      <c r="G849" s="10"/>
    </row>
    <row r="850" ht="14.4" spans="3:7">
      <c r="C850" s="11"/>
      <c r="G850" s="10"/>
    </row>
    <row r="851" ht="14.4" spans="3:7">
      <c r="C851" s="11"/>
      <c r="G851" s="10"/>
    </row>
    <row r="852" ht="14.4" spans="3:7">
      <c r="C852" s="11"/>
      <c r="G852" s="10"/>
    </row>
    <row r="853" ht="14.4" spans="3:7">
      <c r="C853" s="11"/>
      <c r="G853" s="10"/>
    </row>
    <row r="854" ht="14.4" spans="3:7">
      <c r="C854" s="11"/>
      <c r="G854" s="10"/>
    </row>
    <row r="855" ht="14.4" spans="3:7">
      <c r="C855" s="11"/>
      <c r="G855" s="10"/>
    </row>
    <row r="856" ht="14.4" spans="3:7">
      <c r="C856" s="11"/>
      <c r="G856" s="10"/>
    </row>
    <row r="857" ht="14.4" spans="3:7">
      <c r="C857" s="11"/>
      <c r="G857" s="10"/>
    </row>
    <row r="858" ht="14.4" spans="3:7">
      <c r="C858" s="11"/>
      <c r="G858" s="10"/>
    </row>
    <row r="859" ht="14.4" spans="3:7">
      <c r="C859" s="11"/>
      <c r="G859" s="10"/>
    </row>
    <row r="860" ht="14.4" spans="3:7">
      <c r="C860" s="11"/>
      <c r="G860" s="10"/>
    </row>
    <row r="861" ht="14.4" spans="3:7">
      <c r="C861" s="11"/>
      <c r="G861" s="10"/>
    </row>
    <row r="862" ht="14.4" spans="3:7">
      <c r="C862" s="11"/>
      <c r="G862" s="10"/>
    </row>
    <row r="863" ht="14.4" spans="3:7">
      <c r="C863" s="11"/>
      <c r="G863" s="10"/>
    </row>
    <row r="864" ht="14.4" spans="3:7">
      <c r="C864" s="11"/>
      <c r="G864" s="10"/>
    </row>
    <row r="865" ht="14.4" spans="3:7">
      <c r="C865" s="11"/>
      <c r="G865" s="10"/>
    </row>
    <row r="866" ht="14.4" spans="3:7">
      <c r="C866" s="11"/>
      <c r="G866" s="10"/>
    </row>
    <row r="867" ht="14.4" spans="3:7">
      <c r="C867" s="11"/>
      <c r="G867" s="10"/>
    </row>
    <row r="868" ht="14.4" spans="3:7">
      <c r="C868" s="11"/>
      <c r="G868" s="10"/>
    </row>
    <row r="869" ht="14.4" spans="3:7">
      <c r="C869" s="11"/>
      <c r="G869" s="10"/>
    </row>
    <row r="870" ht="14.4" spans="3:7">
      <c r="C870" s="11"/>
      <c r="G870" s="10"/>
    </row>
    <row r="871" ht="14.4" spans="3:7">
      <c r="C871" s="11"/>
      <c r="G871" s="10"/>
    </row>
    <row r="872" ht="14.4" spans="3:7">
      <c r="C872" s="11"/>
      <c r="G872" s="10"/>
    </row>
    <row r="873" ht="14.4" spans="3:7">
      <c r="C873" s="11"/>
      <c r="G873" s="10"/>
    </row>
    <row r="874" ht="14.4" spans="3:7">
      <c r="C874" s="11"/>
      <c r="G874" s="10"/>
    </row>
    <row r="875" ht="14.4" spans="3:7">
      <c r="C875" s="11"/>
      <c r="G875" s="10"/>
    </row>
    <row r="876" ht="14.4" spans="3:7">
      <c r="C876" s="11"/>
      <c r="G876" s="10"/>
    </row>
    <row r="877" ht="14.4" spans="3:7">
      <c r="C877" s="11"/>
      <c r="G877" s="10"/>
    </row>
    <row r="878" ht="14.4" spans="3:7">
      <c r="C878" s="11"/>
      <c r="G878" s="10"/>
    </row>
    <row r="879" ht="14.4" spans="3:7">
      <c r="C879" s="11"/>
      <c r="G879" s="10"/>
    </row>
    <row r="880" ht="14.4" spans="3:7">
      <c r="C880" s="11"/>
      <c r="G880" s="10"/>
    </row>
    <row r="881" ht="14.4" spans="3:7">
      <c r="C881" s="11"/>
      <c r="G881" s="10"/>
    </row>
    <row r="882" ht="14.4" spans="3:7">
      <c r="C882" s="11"/>
      <c r="G882" s="10"/>
    </row>
    <row r="883" ht="14.4" spans="3:7">
      <c r="C883" s="11"/>
      <c r="G883" s="10"/>
    </row>
    <row r="884" ht="14.4" spans="3:7">
      <c r="C884" s="11"/>
      <c r="G884" s="10"/>
    </row>
    <row r="885" ht="14.4" spans="3:7">
      <c r="C885" s="11"/>
      <c r="G885" s="10"/>
    </row>
    <row r="886" ht="14.4" spans="3:7">
      <c r="C886" s="11"/>
      <c r="G886" s="10"/>
    </row>
    <row r="887" ht="14.4" spans="3:7">
      <c r="C887" s="11"/>
      <c r="G887" s="10"/>
    </row>
    <row r="888" ht="14.4" spans="3:7">
      <c r="C888" s="11"/>
      <c r="G888" s="10"/>
    </row>
    <row r="889" ht="14.4" spans="3:7">
      <c r="C889" s="11"/>
      <c r="G889" s="10"/>
    </row>
    <row r="890" ht="14.4" spans="3:7">
      <c r="C890" s="11"/>
      <c r="G890" s="10"/>
    </row>
    <row r="891" ht="14.4" spans="3:7">
      <c r="C891" s="11"/>
      <c r="G891" s="10"/>
    </row>
    <row r="892" ht="14.4" spans="3:7">
      <c r="C892" s="11"/>
      <c r="G892" s="10"/>
    </row>
    <row r="893" ht="14.4" spans="3:7">
      <c r="C893" s="11"/>
      <c r="G893" s="10"/>
    </row>
    <row r="894" ht="14.4" spans="3:7">
      <c r="C894" s="11"/>
      <c r="G894" s="10"/>
    </row>
    <row r="895" ht="14.4" spans="3:7">
      <c r="C895" s="11"/>
      <c r="G895" s="10"/>
    </row>
    <row r="896" ht="14.4" spans="3:7">
      <c r="C896" s="11"/>
      <c r="G896" s="10"/>
    </row>
    <row r="897" ht="14.4" spans="3:7">
      <c r="C897" s="11"/>
      <c r="G897" s="10"/>
    </row>
    <row r="898" ht="14.4" spans="3:7">
      <c r="C898" s="11"/>
      <c r="G898" s="10"/>
    </row>
    <row r="899" ht="14.4" spans="3:7">
      <c r="C899" s="11"/>
      <c r="G899" s="10"/>
    </row>
    <row r="900" ht="14.4" spans="3:7">
      <c r="C900" s="11"/>
      <c r="G900" s="10"/>
    </row>
    <row r="901" ht="14.4" spans="3:7">
      <c r="C901" s="11"/>
      <c r="G901" s="10"/>
    </row>
    <row r="902" ht="14.4" spans="3:7">
      <c r="C902" s="11"/>
      <c r="G902" s="10"/>
    </row>
    <row r="903" ht="14.4" spans="3:7">
      <c r="C903" s="11"/>
      <c r="G903" s="10"/>
    </row>
    <row r="904" ht="14.4" spans="3:7">
      <c r="C904" s="11"/>
      <c r="G904" s="10"/>
    </row>
    <row r="905" ht="14.4" spans="3:7">
      <c r="C905" s="11"/>
      <c r="G905" s="10"/>
    </row>
    <row r="906" ht="14.4" spans="3:7">
      <c r="C906" s="11"/>
      <c r="G906" s="10"/>
    </row>
    <row r="907" ht="14.4" spans="3:7">
      <c r="C907" s="11"/>
      <c r="G907" s="10"/>
    </row>
    <row r="908" ht="14.4" spans="3:7">
      <c r="C908" s="11"/>
      <c r="G908" s="10"/>
    </row>
    <row r="909" ht="14.4" spans="3:7">
      <c r="C909" s="11"/>
      <c r="G909" s="10"/>
    </row>
    <row r="910" ht="14.4" spans="3:7">
      <c r="C910" s="11"/>
      <c r="G910" s="10"/>
    </row>
    <row r="911" ht="14.4" spans="3:7">
      <c r="C911" s="11"/>
      <c r="G911" s="10"/>
    </row>
    <row r="912" ht="14.4" spans="3:7">
      <c r="C912" s="11"/>
      <c r="G912" s="10"/>
    </row>
    <row r="913" ht="14.4" spans="3:7">
      <c r="C913" s="11"/>
      <c r="G913" s="10"/>
    </row>
    <row r="914" ht="14.4" spans="3:7">
      <c r="C914" s="11"/>
      <c r="G914" s="10"/>
    </row>
    <row r="915" ht="14.4" spans="3:7">
      <c r="C915" s="11"/>
      <c r="G915" s="10"/>
    </row>
    <row r="916" ht="14.4" spans="3:7">
      <c r="C916" s="11"/>
      <c r="G916" s="10"/>
    </row>
    <row r="917" ht="14.4" spans="3:7">
      <c r="C917" s="11"/>
      <c r="G917" s="10"/>
    </row>
    <row r="918" ht="14.4" spans="3:7">
      <c r="C918" s="11"/>
      <c r="G918" s="10"/>
    </row>
    <row r="919" ht="14.4" spans="3:7">
      <c r="C919" s="11"/>
      <c r="G919" s="10"/>
    </row>
    <row r="920" ht="14.4" spans="3:7">
      <c r="C920" s="11"/>
      <c r="G920" s="10"/>
    </row>
    <row r="921" ht="14.4" spans="3:7">
      <c r="C921" s="11"/>
      <c r="G921" s="10"/>
    </row>
    <row r="922" ht="14.4" spans="3:7">
      <c r="C922" s="11"/>
      <c r="G922" s="10"/>
    </row>
    <row r="923" ht="14.4" spans="3:7">
      <c r="C923" s="11"/>
      <c r="G923" s="10"/>
    </row>
    <row r="924" ht="14.4" spans="3:7">
      <c r="C924" s="11"/>
      <c r="G924" s="10"/>
    </row>
    <row r="925" ht="14.4" spans="3:7">
      <c r="C925" s="11"/>
      <c r="G925" s="10"/>
    </row>
    <row r="926" ht="14.4" spans="3:7">
      <c r="C926" s="11"/>
      <c r="G926" s="10"/>
    </row>
    <row r="927" ht="14.4" spans="3:7">
      <c r="C927" s="11"/>
      <c r="G927" s="10"/>
    </row>
    <row r="928" ht="14.4" spans="3:7">
      <c r="C928" s="11"/>
      <c r="G928" s="10"/>
    </row>
    <row r="929" ht="14.4" spans="3:7">
      <c r="C929" s="11"/>
      <c r="G929" s="10"/>
    </row>
    <row r="930" ht="14.4" spans="3:7">
      <c r="C930" s="11"/>
      <c r="G930" s="10"/>
    </row>
    <row r="931" ht="14.4" spans="3:7">
      <c r="C931" s="11"/>
      <c r="G931" s="10"/>
    </row>
    <row r="932" ht="14.4" spans="3:7">
      <c r="C932" s="11"/>
      <c r="G932" s="10"/>
    </row>
    <row r="933" ht="14.4" spans="3:7">
      <c r="C933" s="11"/>
      <c r="G933" s="10"/>
    </row>
    <row r="934" ht="14.4" spans="3:7">
      <c r="C934" s="11"/>
      <c r="G934" s="10"/>
    </row>
    <row r="935" ht="14.4" spans="3:7">
      <c r="C935" s="11"/>
      <c r="G935" s="10"/>
    </row>
    <row r="936" ht="14.4" spans="3:7">
      <c r="C936" s="11"/>
      <c r="G936" s="10"/>
    </row>
    <row r="937" ht="14.4" spans="3:7">
      <c r="C937" s="11"/>
      <c r="G937" s="10"/>
    </row>
    <row r="938" ht="14.4" spans="3:7">
      <c r="C938" s="11"/>
      <c r="G938" s="10"/>
    </row>
    <row r="939" ht="14.4" spans="3:7">
      <c r="C939" s="11"/>
      <c r="G939" s="10"/>
    </row>
    <row r="940" ht="14.4" spans="3:7">
      <c r="C940" s="11"/>
      <c r="G940" s="10"/>
    </row>
    <row r="941" ht="14.4" spans="3:7">
      <c r="C941" s="11"/>
      <c r="G941" s="10"/>
    </row>
    <row r="942" ht="14.4" spans="3:7">
      <c r="C942" s="11"/>
      <c r="G942" s="10"/>
    </row>
    <row r="943" ht="14.4" spans="3:7">
      <c r="C943" s="11"/>
      <c r="G943" s="10"/>
    </row>
    <row r="944" ht="14.4" spans="3:7">
      <c r="C944" s="11"/>
      <c r="G944" s="10"/>
    </row>
    <row r="945" ht="14.4" spans="3:7">
      <c r="C945" s="11"/>
      <c r="G945" s="10"/>
    </row>
    <row r="946" ht="14.4" spans="3:7">
      <c r="C946" s="11"/>
      <c r="G946" s="10"/>
    </row>
    <row r="947" ht="14.4" spans="3:7">
      <c r="C947" s="11"/>
      <c r="G947" s="10"/>
    </row>
    <row r="948" ht="14.4" spans="3:7">
      <c r="C948" s="11"/>
      <c r="G948" s="10"/>
    </row>
    <row r="949" ht="14.4" spans="3:7">
      <c r="C949" s="11"/>
      <c r="G949" s="10"/>
    </row>
    <row r="950" ht="14.4" spans="3:7">
      <c r="C950" s="11"/>
      <c r="G950" s="10"/>
    </row>
    <row r="951" ht="14.4" spans="3:7">
      <c r="C951" s="11"/>
      <c r="G951" s="10"/>
    </row>
    <row r="952" ht="14.4" spans="3:7">
      <c r="C952" s="11"/>
      <c r="G952" s="10"/>
    </row>
    <row r="953" ht="14.4" spans="3:7">
      <c r="C953" s="11"/>
      <c r="G953" s="10"/>
    </row>
    <row r="954" ht="14.4" spans="3:7">
      <c r="C954" s="11"/>
      <c r="G954" s="10"/>
    </row>
    <row r="955" ht="14.4" spans="3:7">
      <c r="C955" s="11"/>
      <c r="G955" s="10"/>
    </row>
    <row r="956" ht="14.4" spans="3:7">
      <c r="C956" s="11"/>
      <c r="G956" s="10"/>
    </row>
    <row r="957" ht="14.4" spans="3:7">
      <c r="C957" s="11"/>
      <c r="G957" s="10"/>
    </row>
    <row r="958" ht="14.4" spans="3:7">
      <c r="C958" s="11"/>
      <c r="G958" s="10"/>
    </row>
    <row r="959" ht="14.4" spans="3:7">
      <c r="C959" s="11"/>
      <c r="G959" s="10"/>
    </row>
    <row r="960" ht="14.4" spans="3:7">
      <c r="C960" s="11"/>
      <c r="G960" s="10"/>
    </row>
    <row r="961" ht="14.4" spans="3:7">
      <c r="C961" s="11"/>
      <c r="G961" s="10"/>
    </row>
    <row r="962" ht="14.4" spans="3:7">
      <c r="C962" s="11"/>
      <c r="G962" s="10"/>
    </row>
    <row r="963" ht="14.4" spans="3:7">
      <c r="C963" s="11"/>
      <c r="G963" s="10"/>
    </row>
    <row r="964" ht="14.4" spans="3:7">
      <c r="C964" s="11"/>
      <c r="G964" s="10"/>
    </row>
    <row r="965" ht="14.4" spans="3:7">
      <c r="C965" s="11"/>
      <c r="G965" s="10"/>
    </row>
    <row r="966" ht="14.4" spans="3:7">
      <c r="C966" s="11"/>
      <c r="G966" s="10"/>
    </row>
    <row r="967" ht="14.4" spans="3:7">
      <c r="C967" s="11"/>
      <c r="G967" s="10"/>
    </row>
    <row r="968" ht="14.4" spans="3:7">
      <c r="C968" s="11"/>
      <c r="G968" s="10"/>
    </row>
    <row r="969" ht="14.4" spans="3:7">
      <c r="C969" s="11"/>
      <c r="G969" s="10"/>
    </row>
    <row r="970" ht="14.4" spans="3:7">
      <c r="C970" s="11"/>
      <c r="G970" s="10"/>
    </row>
    <row r="971" ht="14.4" spans="3:7">
      <c r="C971" s="11"/>
      <c r="G971" s="10"/>
    </row>
    <row r="972" ht="14.4" spans="3:7">
      <c r="C972" s="11"/>
      <c r="G972" s="10"/>
    </row>
    <row r="973" ht="14.4" spans="3:7">
      <c r="C973" s="11"/>
      <c r="G973" s="10"/>
    </row>
    <row r="974" ht="14.4" spans="3:7">
      <c r="C974" s="11"/>
      <c r="G974" s="10"/>
    </row>
    <row r="975" ht="14.4" spans="3:7">
      <c r="C975" s="11"/>
      <c r="G975" s="10"/>
    </row>
    <row r="976" ht="14.4" spans="3:7">
      <c r="C976" s="11"/>
      <c r="G976" s="10"/>
    </row>
    <row r="977" ht="14.4" spans="3:7">
      <c r="C977" s="11"/>
      <c r="G977" s="10"/>
    </row>
    <row r="978" ht="14.4" spans="3:7">
      <c r="C978" s="11"/>
      <c r="G978" s="10"/>
    </row>
    <row r="979" ht="14.4" spans="3:7">
      <c r="C979" s="11"/>
      <c r="G979" s="10"/>
    </row>
    <row r="980" ht="14.4" spans="3:7">
      <c r="C980" s="11"/>
      <c r="G980" s="10"/>
    </row>
    <row r="981" ht="14.4" spans="3:7">
      <c r="C981" s="11"/>
      <c r="G981" s="10"/>
    </row>
    <row r="982" ht="14.4" spans="3:7">
      <c r="C982" s="11"/>
      <c r="G982" s="10"/>
    </row>
    <row r="983" ht="14.4" spans="3:7">
      <c r="C983" s="11"/>
      <c r="G983" s="10"/>
    </row>
    <row r="984" ht="14.4" spans="3:7">
      <c r="C984" s="11"/>
      <c r="G984" s="10"/>
    </row>
    <row r="985" ht="14.4" spans="3:7">
      <c r="C985" s="11"/>
      <c r="G985" s="10"/>
    </row>
    <row r="986" ht="14.4" spans="3:7">
      <c r="C986" s="11"/>
      <c r="G986" s="10"/>
    </row>
    <row r="987" ht="14.4" spans="3:7">
      <c r="C987" s="11"/>
      <c r="G987" s="10"/>
    </row>
    <row r="988" ht="14.4" spans="3:7">
      <c r="C988" s="11"/>
      <c r="G988" s="10"/>
    </row>
    <row r="989" ht="14.4" spans="3:7">
      <c r="C989" s="11"/>
      <c r="G989" s="10"/>
    </row>
    <row r="990" ht="14.4" spans="3:7">
      <c r="C990" s="11"/>
      <c r="G990" s="10"/>
    </row>
    <row r="991" ht="14.4" spans="3:7">
      <c r="C991" s="11"/>
      <c r="G991" s="10"/>
    </row>
    <row r="992" ht="14.4" spans="3:7">
      <c r="C992" s="11"/>
      <c r="G992" s="10"/>
    </row>
    <row r="993" ht="14.4" spans="3:7">
      <c r="C993" s="11"/>
      <c r="G993" s="10"/>
    </row>
    <row r="994" ht="14.4" spans="3:7">
      <c r="C994" s="11"/>
      <c r="G994" s="10"/>
    </row>
    <row r="995" ht="14.4" spans="3:7">
      <c r="C995" s="11"/>
      <c r="G995" s="10"/>
    </row>
    <row r="996" ht="14.4" spans="3:7">
      <c r="C996" s="11"/>
      <c r="G996" s="10"/>
    </row>
    <row r="997" ht="14.4" spans="3:7">
      <c r="C997" s="11"/>
      <c r="G997" s="10"/>
    </row>
    <row r="998" ht="14.4" spans="3:7">
      <c r="C998" s="11"/>
      <c r="G998" s="10"/>
    </row>
    <row r="999" ht="14.4" spans="3:7">
      <c r="C999" s="11"/>
      <c r="G999" s="10"/>
    </row>
    <row r="1000" ht="14.4" spans="3:7">
      <c r="C1000" s="11"/>
      <c r="G1000" s="10"/>
    </row>
    <row r="1001" ht="14.4" spans="3:7">
      <c r="C1001" s="11"/>
      <c r="G1001" s="10"/>
    </row>
    <row r="1002" ht="14.4" spans="3:7">
      <c r="C1002" s="11"/>
      <c r="G1002" s="10"/>
    </row>
    <row r="1003" ht="14.4" spans="3:7">
      <c r="C1003" s="11"/>
      <c r="G1003" s="10"/>
    </row>
    <row r="1004" ht="14.4" spans="3:7">
      <c r="C1004" s="11"/>
      <c r="G1004" s="10"/>
    </row>
    <row r="1005" ht="14.4" spans="3:7">
      <c r="C1005" s="11"/>
      <c r="G1005" s="10"/>
    </row>
    <row r="1006" ht="14.4" spans="3:7">
      <c r="C1006" s="11"/>
      <c r="G1006" s="10"/>
    </row>
    <row r="1007" ht="14.4" spans="3:7">
      <c r="C1007" s="11"/>
      <c r="G1007" s="10"/>
    </row>
    <row r="1008" ht="14.4" spans="3:7">
      <c r="C1008" s="11"/>
      <c r="G1008" s="10"/>
    </row>
    <row r="1009" ht="14.4" spans="3:7">
      <c r="C1009" s="11"/>
      <c r="G1009" s="10"/>
    </row>
    <row r="1010" ht="14.4" spans="3:7">
      <c r="C1010" s="11"/>
      <c r="G1010" s="10"/>
    </row>
    <row r="1011" ht="14.4" spans="3:7">
      <c r="C1011" s="11"/>
      <c r="G1011" s="10"/>
    </row>
    <row r="1012" ht="14.4" spans="3:7">
      <c r="C1012" s="11"/>
      <c r="G1012" s="10"/>
    </row>
    <row r="1013" ht="14.4" spans="3:7">
      <c r="C1013" s="11"/>
      <c r="G1013" s="10"/>
    </row>
    <row r="1014" ht="14.4" spans="3:7">
      <c r="C1014" s="11"/>
      <c r="G1014" s="10"/>
    </row>
    <row r="1015" ht="14.4" spans="3:7">
      <c r="C1015" s="11"/>
      <c r="G1015" s="10"/>
    </row>
    <row r="1016" ht="14.4" spans="3:7">
      <c r="C1016" s="11"/>
      <c r="G1016" s="10"/>
    </row>
    <row r="1017" ht="14.4" spans="3:7">
      <c r="C1017" s="11"/>
      <c r="G1017" s="10"/>
    </row>
  </sheetData>
  <dataValidations count="5">
    <dataValidation type="list" allowBlank="1" sqref="E28">
      <formula1>"Bullet,Bomb,Flame,EMP,Beanbag,Thermobaric,Extinguish,Arrow,Stab,Stun,Smoke,ArrowVenom,Blunt,Burn"</formula1>
    </dataValidation>
    <dataValidation type="list" allowBlank="1" sqref="F28">
      <formula1>"None,Bomb,EMP,Flame_Secondary,Bomb_Secondary,ArrowVenom,Flame"</formula1>
    </dataValidation>
    <dataValidation type="list" allowBlank="1" sqref="E2:E14 E16:E27 E29:E46">
      <formula1>"Bullet,Bomb,Flame,EMP,Beanbag,Thermobaric,Extinguish,Arrow,Stab,Stun,Smoke,ArrowVenom,Blunt,Burn,Thump"</formula1>
    </dataValidation>
    <dataValidation type="list" allowBlank="1" sqref="F2:F14 F16:F27 F29:F46">
      <formula1>"None,Bomb,EMP,Flame_Secondary,Bomb_Secondary,ArrowVenom,Flame,Thermobaric"</formula1>
    </dataValidation>
    <dataValidation type="list" allowBlank="1" sqref="I2:I14 I16:I46">
      <formula1>'Ingredient stats'!$A$2:$A$13</formula1>
    </dataValidation>
  </dataValidation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4"/>
  <sheetViews>
    <sheetView workbookViewId="0">
      <selection activeCell="E4" sqref="E4"/>
    </sheetView>
  </sheetViews>
  <sheetFormatPr defaultColWidth="14.4259259259259" defaultRowHeight="15" customHeight="1"/>
  <cols>
    <col min="1" max="1" width="14.4259259259259" customWidth="1"/>
    <col min="2" max="2" width="14.287037037037" customWidth="1"/>
    <col min="3" max="3" width="8.71296296296296" customWidth="1"/>
    <col min="4" max="4" width="15.1388888888889" customWidth="1"/>
    <col min="5" max="26" width="8.71296296296296" customWidth="1"/>
  </cols>
  <sheetData>
    <row r="1" customHeight="1" spans="1:26">
      <c r="A1" s="1" t="s">
        <v>384</v>
      </c>
      <c r="B1" s="1" t="s">
        <v>385</v>
      </c>
      <c r="C1" s="1" t="s">
        <v>305</v>
      </c>
      <c r="D1" s="2" t="s">
        <v>386</v>
      </c>
      <c r="E1" s="1"/>
      <c r="F1" s="1"/>
      <c r="G1" s="1"/>
      <c r="H1" s="1"/>
      <c r="I1" s="1"/>
      <c r="J1" s="1"/>
      <c r="K1" s="1"/>
      <c r="L1" s="1"/>
      <c r="M1" s="1"/>
      <c r="N1" s="1"/>
      <c r="O1" s="1"/>
      <c r="P1" s="1"/>
      <c r="Q1" s="1"/>
      <c r="R1" s="1"/>
      <c r="S1" s="1"/>
      <c r="T1" s="1"/>
      <c r="U1" s="1"/>
      <c r="V1" s="1"/>
      <c r="W1" s="1"/>
      <c r="X1" s="1"/>
      <c r="Y1" s="1"/>
      <c r="Z1" s="1"/>
    </row>
    <row r="2" customHeight="1" spans="1:4">
      <c r="A2" t="s">
        <v>318</v>
      </c>
      <c r="B2">
        <v>1.9</v>
      </c>
      <c r="C2" s="3">
        <v>0.5</v>
      </c>
      <c r="D2" s="3">
        <v>100</v>
      </c>
    </row>
    <row r="3" customHeight="1" spans="1:4">
      <c r="A3" t="s">
        <v>320</v>
      </c>
      <c r="B3">
        <v>6</v>
      </c>
      <c r="C3" s="3">
        <v>1</v>
      </c>
      <c r="D3" s="3">
        <v>200</v>
      </c>
    </row>
    <row r="4" customHeight="1" spans="1:4">
      <c r="A4" t="s">
        <v>322</v>
      </c>
      <c r="B4">
        <v>9</v>
      </c>
      <c r="C4" s="3">
        <v>0.25</v>
      </c>
      <c r="D4" s="3">
        <v>400</v>
      </c>
    </row>
    <row r="5" customHeight="1" spans="1:4">
      <c r="A5" t="s">
        <v>323</v>
      </c>
      <c r="B5">
        <v>32</v>
      </c>
      <c r="C5" s="3">
        <v>0.6</v>
      </c>
      <c r="D5" s="3">
        <v>600</v>
      </c>
    </row>
    <row r="6" customHeight="1" spans="1:4">
      <c r="A6" t="s">
        <v>324</v>
      </c>
      <c r="B6">
        <v>6</v>
      </c>
      <c r="C6" s="3">
        <v>0.5</v>
      </c>
      <c r="D6" s="3">
        <v>400</v>
      </c>
    </row>
    <row r="7" customHeight="1" spans="1:4">
      <c r="A7" t="s">
        <v>328</v>
      </c>
      <c r="B7">
        <v>10</v>
      </c>
      <c r="C7" s="3">
        <v>0.35</v>
      </c>
      <c r="D7" s="3">
        <v>300</v>
      </c>
    </row>
    <row r="8" customHeight="1" spans="1:4">
      <c r="A8" t="s">
        <v>329</v>
      </c>
      <c r="B8">
        <v>1</v>
      </c>
      <c r="C8" s="3">
        <v>25</v>
      </c>
      <c r="D8" s="3">
        <v>600</v>
      </c>
    </row>
    <row r="9" customHeight="1" spans="1:4">
      <c r="A9" t="s">
        <v>325</v>
      </c>
      <c r="B9">
        <v>7.5</v>
      </c>
      <c r="C9" s="3">
        <v>0.5</v>
      </c>
      <c r="D9" s="3">
        <v>400</v>
      </c>
    </row>
    <row r="10" customHeight="1" spans="1:4">
      <c r="A10" t="s">
        <v>326</v>
      </c>
      <c r="B10">
        <v>2</v>
      </c>
      <c r="C10" s="3">
        <v>0.3</v>
      </c>
      <c r="D10" s="3">
        <v>200</v>
      </c>
    </row>
    <row r="11" customHeight="1" spans="1:4">
      <c r="A11" t="s">
        <v>327</v>
      </c>
      <c r="B11">
        <v>1.5</v>
      </c>
      <c r="C11" s="3">
        <v>0.026</v>
      </c>
      <c r="D11" s="3">
        <v>100</v>
      </c>
    </row>
    <row r="12" customHeight="1" spans="1:4">
      <c r="A12" t="s">
        <v>319</v>
      </c>
      <c r="B12">
        <v>1.2</v>
      </c>
      <c r="C12" s="3">
        <v>0.4</v>
      </c>
      <c r="D12" s="3">
        <v>100</v>
      </c>
    </row>
    <row r="13" customHeight="1" spans="1:4">
      <c r="A13" t="s">
        <v>321</v>
      </c>
      <c r="B13">
        <v>2.3</v>
      </c>
      <c r="C13" s="3">
        <v>0.05</v>
      </c>
      <c r="D13" s="3">
        <v>400</v>
      </c>
    </row>
    <row r="14" customHeight="1" spans="1:4">
      <c r="A14" t="s">
        <v>387</v>
      </c>
      <c r="B14">
        <v>0.75</v>
      </c>
      <c r="C14" s="3">
        <v>0.25</v>
      </c>
      <c r="D14" s="3">
        <v>250</v>
      </c>
    </row>
  </sheetData>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Ammo Input</vt:lpstr>
      <vt:lpstr>Ammo Stats</vt:lpstr>
      <vt:lpstr>Calcs</vt:lpstr>
      <vt:lpstr>Tables</vt:lpstr>
      <vt:lpstr>Ingredient stats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2025-04-05T00:37:00Z</dcterms:created>
  <dcterms:modified xsi:type="dcterms:W3CDTF">2025-04-16T04:12:23Z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39AC149FAF62421AA54B9CDDDEB08512_12</vt:lpwstr>
  </property>
  <property fmtid="{D5CDD505-2E9C-101B-9397-08002B2CF9AE}" pid="3" name="KSOProductBuildVer">
    <vt:lpwstr>2052-12.1.0.20784</vt:lpwstr>
  </property>
</Properties>
</file>