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'reDIP-SID-BOM'!$J$45</definedName>
    <definedName name="TotalCost" localSheetId="0">'reDIP-SID-BOM'!$J$3</definedName>
    <definedName name="USD_GBP" localSheetId="0">'reDIP-SID-BOM'!$C$45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$0.18      $1.83
    25   $0.11      $2.81
   100   $0.09      $9.46
   250   $0.09     $23.40
   500   $0.09     $46.20
  1000   $0.08     $80.10
  3000   $0.05    $160.20
  6000   $0.05    $319.20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$7,907.50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£0.07      £7.50
   500   £0.05     £23.00
  2500   £0.04    £107.50
  5000   £0.04    £200.00
 10000   £0.03    £340.00
 50000   £0.03  £1,665.00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$0.48
   100   $0.04      $3.90
   300   $0.03      $9.66
  1000   $0.03     $26.10
  5000   $0.03    $125.50
 10000   $0.02    $247.00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$0.11      $1.14
    50   $0.11      $5.70
   100   $0.10      $9.70
  1000   $0.06     $59.00
 10000   $0.05    $480.00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$0.14      $1.37
    25   $0.13      $3.25
    50   $0.12      $6.15
   100   $0.12     $11.60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$0.05    $772.50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$0.17      $1.65
    50   $0.11      $5.50
   100   $0.09      $9.35
   500   $0.07     $33.00
  1000   $0.06     $57.75
  2500   $0.06    $137.50
  5000   $0.05    $254.40
 15000   $0.05    $684.75
 30000   $0.04  $1,320.00
 75000   $0.04  $3,093.75
105000   $0.04  $3,826.20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£0.86
   100   £0.07      £7.35
   500   £0.05     £22.95
  2500   £0.04    £102.00
  7500   £0.04    £298.50
 15000   £0.04    £585.00
 75000   £0.04  £2,865.00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$0.50
   100   $0.04      $4.14
   300   $0.04     $10.59
  1000   $0.02     $24.20
  5000   $0.02    $117.50
 10000   $0.02    $232.00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$1.19
    50   $0.12      $5.95
   100   $0.09      $9.40
  1000   $0.07     $67.00
 10000   $0.05    $520.00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$0.13      $1.32
    25   $0.13      $3.15
    50   $0.12      $5.95
   100   $0.11     $11.30
 15000   $0.06    $930.00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$0.22      $2.17
    25   $0.21      $5.37
   100   $0.18     $17.77
   250   $0.17     $43.60
   500   $0.16     $81.55
  1000   $0.10     $98.80
  3000   $0.10    $293.40
  6000   $0.09    $561.60
 15000   $0.09  $1,390.50
 30000   $0.09  $2,661.00
 75000   $0.08  $6,165.00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$2.34
    50   $0.16      $7.81
   100   $0.13     $13.28
   500   $0.09     $46.86
  1000   $0.08     $82.00
  2500   $0.08    $195.25
  5000   $0.07    $361.20
 10000   $0.07    $683.40
 20000   $0.06  $1,296.40
 30000   $0.06  $1,874.40
 50000   $0.06  $2,929.00
100000   $0.05  $5,174.00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£1.58
   100   £0.14     £13.60
   500   £0.09     £43.00
  2500   £0.08    £205.00
  5000   £0.08    £385.00
 10000   £0.08    £836.00
 50000   £0.07  £3,580.00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$0.61
    50   $0.10      $5.04
   150   $0.09     $12.79
   500   $0.06     $29.05
  2500   $0.06    $141.00
  5000   $0.06    $277.50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$0.16      $1.57
    50   $0.16      $7.85
   100   $0.13     $13.30
  1000   $0.08     $82.00
 10000   $0.07    $680.00</t>
        </r>
      </text>
    </comment>
    <comment ref="AO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$0.25      $2.47
    25   $0.24      $5.90
    50   $0.22     $11.20
   100   $0.21     $21.20
 10000   $0.11  $1,110.00
 20000   $0.11  $2,180.00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$100.50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
 75000   $0.01    $378.75
105000   $0.00    $428.40
150000   $0.00    $592.50
375000   $0.00  $1,391.25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£0.27
   100   £0.01      £1.14
   500   £0.01      £3.65
  2500   £0.01     £13.00
  7500   £0.01     £38.25
 15000   £0.01     £81.00
 75000   £0.00    £352.50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$0.43
  1000   $0.00      $3.60
  3000   $0.00      $9.30
 10000   $0.00     $19.00
 50000   $0.00     $95.00
100000   $0.00    $190.00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$0.01      $1.50
  1000   $0.01      $9.00
 10000   $0.01     $70.00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$0.24      $2.41
    25   $0.24      $5.97
    50   $0.17      $8.50
   100   $0.14     $14.45
   250   $0.14     $35.77
   500   $0.12     $58.20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$2.02
    50   $0.13      $6.73
   100   $0.11     $11.44
   500   $0.08     $40.39
  1000   $0.07     $70.69
  4000   $0.06    $249.08
  8000   $0.06    $471.28
 12000   $0.06    $670.56
 28000   $0.05  $1,508.08
100000   $0.04  $4,460.00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£1.98
   100   £0.12     £11.90
   500   £0.09     £45.00
  1000   £0.08     £76.00
  2000   £0.07    £140.00
  4000   £0.06    £256.00
 20000   £0.06  £1,254.00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$0.04      $0.19
    50   $0.03      $1.54
   150   $0.03      $3.82
   500   $0.02     $10.60
  2500   $0.02     $51.00
  5000   $0.02    $100.50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$0.14      $1.35
    50   $0.14      $6.75
   100   $0.12     $11.50
  1000   $0.07     $71.00
 10000   $0.05    $530.00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$9.44
   100   $0.16     $16.18
   500   $0.12     $60.68
  1000   $0.10    $102.48
  4000   $0.09    $366.76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£0.13     £12.90
   500   £0.10     £48.45
  1000   £0.08     £81.30
  2000   £0.08    £159.20
  4000   £0.07    £296.40
 20000   £0.06  £1,228.00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$9.55
   100   $0.16     $16.20
  1000   $0.12    $125.00
 10000   $0.09    $910.00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$0.10    $404.00
  8000   $0.09    $752.00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£0.22      £4.32
   100   £0.12     £11.90
   500   £0.10     £48.50
  1000   £0.09     £86.00
  2000   £0.08    £168.00
  4000   £0.06    £252.00
 16000   £0.06    £960.00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$0.28      $2.85
    25   $0.24      $6.06
    50   $0.23     $11.25
   100   $0.14     $13.50
   250   $0.11     $26.47
   500   $0.09     $47.25
  1000   $0.08     $79.90
  3000   $0.07    $220.20
  6000   $0.07    $406.20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£0.09    £344.40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$2.57
    50   $0.26     $12.85
   100   $0.12     $11.50
  1000   $0.09     $86.00
 10000   $0.06    $590.00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
  4000   $0.10    $412.00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£0.13      £3.20
   100   £0.08      £7.93
   500   £0.06     £30.20
  4000   £0.05    £181.20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£0.22      £5.50
    50   £0.16      £8.05
   100   £0.10      £9.93
   250   £0.09     £23.55
   500   £0.09     £44.55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$2.64
    50   $0.26     $13.20
   100   $0.12     $11.90
  1000   $0.09     $88.00
 10000   $0.06    $610.00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$0.97
    50   $0.04      $1.95
   100   $0.04      $3.90
   250   $0.04      $9.75
   500   $0.04     $19.50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£0.11      £2.80
   100   £0.08      £7.93
   500   £0.06     £28.60
  4000   £0.04    £164.80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$0.71      $7.15
    25   $0.69     $17.15
    50   $0.67     $33.57
   100   $0.64     $64.22
   250   $0.58    $145.95
   800   $0.51    $408.66
  1600   $0.44    $700.56
  2400   $0.42  $1,015.80
  5600   $0.41  $2,288.50
  8000   $0.39  $3,113.60</t>
        </r>
      </text>
    </comment>
    <comment ref="W1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£0.90      £0.90
    20   £0.75     £14.96
    60   £0.67     £40.26
   160   £0.62     £99.04
   400   £0.58    £231.20
   800   £0.34    £273.60
  4000   £0.31  £1,232.00
  8000   £0.28  £2,264.00
 16000   £0.28  £4,432.00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$0.65      $6.53
    50   $0.65     $32.65
   100   $0.56     $56.20
  1000   $0.44    $444.00
 10000   $0.37  $3,690.00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$0.71      $7.09
    25   $0.67     $16.70
    50   $0.64     $32.00
   100   $0.61     $61.20
   250   $0.56    $139.00
   500   $0.50    $250.50
   800   $0.50    $400.80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$0.64
   500   $0.01      $5.40
  1500   $0.01     $13.95
  5000   $0.01     $40.00
 25000   $0.01    $195.00
 50000   $0.01    $385.00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10   $0.07      $0.66
    25   $0.05      $1.32
    50   $0.04      $2.00
   100   $0.03      $2.80
   250   $0.02      $5.50
   500   $0.02      $8.50
  1000   $0.01     $12.00
  2500   $0.01     $22.50
  5000   $0.02    $105.00
 10000   $0.02    $160.00
 15000   $0.02    $240.00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£35.00
 10000   £0.01     £60.00
 15000   £0.01     £90.00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£0.01     £19.75
  7500   £0.00     £30.75
 15000   £0.01    £102.00
 75000   £0.01    £420.00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$0.08      $0.80
    25   $0.07      $1.73
    50   $0.05      $2.35
   100   $0.04      $3.60
   250   $0.03      $7.00
   500   $0.02     $11.50
  1000   $0.02     $19.00
 15000   $0.01    $225.00
 20000   $0.01    $220.00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$0.25
    25   $0.03      $0.63
   100   $0.01      $1.03
   250   $0.01      $2.55
   500   $0.01      $5.00
  1000   $0.01      $5.30
  3000   $0.01     $15.60
  6000   $0.00     $25.20
 15000   $0.00     $49.50
 30000   $0.00     $96.00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£5.00
  5000   £0.01     £25.00
 10000   £0.01     £50.00
 15000   £0.01     £75.00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$0.02      $0.24
    25   $0.02      $0.59
   100   $0.01      $1.03
   250   $0.01      $2.55
   500   $0.01      $5.00
  1000   $0.01      $6.00
  3000   $0.00      $8.40
 15000   $0.00     $40.50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£60.00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$0.06      $0.59
    25   $0.06      $1.47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$5.65
  1500   $0.01     $14.70
  5000   $0.01     $42.50
 25000   $0.01    $207.50
 50000   $0.01    $410.00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$0.02      $5.50
   500   $0.02      $8.50
  1000   $0.01     $12.00
  2500   $0.01     $22.50
  5000   $0.02     $90.00
 10000   $0.01    $150.00
 15000   $0.01    $225.00
 20000   $0.01    $200.00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£90.00</t>
        </r>
      </text>
    </comment>
    <comment ref="M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£0.01     £99.00
 75000   £0.01    £412.50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$5.55
  1500   $0.01     $14.40
  5000   $0.01     $41.50
 25000   $0.01    $202.50
 50000   $0.01    $400.00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$0.62
    25   $0.05      $1.25
    50   $0.04      $1.90
   100   $0.03      $2.60
 15000   $0.01    $135.00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$0.68
    25   $0.05      $1.33
   100   $0.04      $3.53</t>
        </r>
      </text>
    </comment>
    <comment ref="Q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$0.69
   500   $0.01      $5.90
  1500   $0.01     $15.30
  5000   $0.01     $45.00
 25000   $0.01    $220.00
 50000   $0.01    $435.00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$9.00
  1000   $0.01     $12.00
  2500   $0.01     $27.50
  5000   $0.01     $50.00
 15000   $0.01    $135.00
 20000   $0.01    $200.00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$0.27
    25   $0.03      $0.66
   100   $0.01      $1.15
   250   $0.01      $2.85
   500   $0.01      $5.60
  1000   $0.01      $6.70
  3000   $0.00      $8.40
 30000   $0.00     $81.00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$0.41
   500   $0.01      $3.50
  1500   $0.01      $9.15
  5000   $0.01     $27.00
 25000   $0.01    $130.00
 50000   $0.01    $260.00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25   $0.02      $0.55
    50   $0.02      $0.84
   100   $0.01      $1.23
   250   $0.01      $2.35
   500   $0.01      $3.76
  1000   $0.01      $5.54
  5000   $0.00     $19.85
 15000   $0.00     $51.75
 30000   $0.00     $90.90
 75000   $0.00    $208.50
105000   $0.00    $285.60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£0.34
   100   £0.01      £1.36
   500   £0.01      £5.65
  2500   £0.01     £22.75
  7500   £0.01     £51.75
 15000   £0.01    £102.00
 75000   £0.01    £420.00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$0.57
   100   $0.01      $1.00
   250   $0.01      $2.25
   500   $0.01      $4.00
  1000   $0.01      $7.00
  2500   $0.01     $12.50
  5000   $0.00     $20.00
 15000   $0.01    $120.00</t>
        </r>
      </text>
    </comment>
    <comment ref="A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£50.00
 15000   £0.01     £75.00</t>
        </r>
      </text>
    </comment>
    <comment ref="S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£2.50
   500   £0.01      £5.90
  2500   £0.01     £19.75
  7500   £0.01     £50.25
 15000   £0.01     £99.00
 75000   £0.01    £412.50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$0.62
   500   $0.01      $5.20
  1500   $0.01     $13.35
  5000   $0.01     $38.50
 25000   $0.01    $187.50
 50000   $0.01    $370.00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$9.50
  1000   $0.02     $16.00
  2500   $0.01     $27.50
 15000   $0.02    $240.00</t>
        </r>
      </text>
    </comment>
    <comment ref="A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£75.00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$2.42
    25   $0.23      $5.74
   100   $0.21     $20.78
   250   $0.19     $47.36
   500   $0.18     $88.05
  1000   $0.15    $150.23
  2500   $0.15    $365.15
  8500   $0.14  $1,170.54
 17000   $0.13  $2,185.01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£1.65
    50   £0.16      £7.80
   100   £0.14     £14.20
   500   £0.12     £60.00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$0.11      $1.15
    30   $0.11      $3.44
   100   $0.11     $11.46
   500   $0.11     $57.30
  1000   $0.11    $114.60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$2.40
    50   $0.22     $11.05
   100   $0.21     $20.80
  1000   $0.17    $170.00
 10000   $0.17  $1,700.00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8500   $0.18  $1,513.00
100000   $0.15 $15,000.00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$2.97
    25   $0.27      $6.70
   100   $0.19     $18.53
   250   $0.16     $39.01
   500   $0.13     $63.39
  1000   $0.10     $97.52
  3000   $0.09    $263.31
  6000   $0.08    $497.34
 15000   $0.08  $1,207.50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£0.44      £2.19
    10   £0.33      £3.29
   100   £0.17     £16.50
   500   £0.10     £47.85
  3000   £0.07    £221.10
  9000   £0.07    £649.80
 24000   £0.07  £1,699.20
 45000   £0.07  £3,118.50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$0.39      $3.90
    50   $0.39     $19.50
   100   $0.20     $19.50
  1000   $0.11    $113.00
 10000   $0.08    $780.00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$2.68
    10   $0.41      $4.09
   100   $0.26     $25.50
  6000   $0.10    $576.00
 18000   $0.09  $1,530.00
 48000   $0.07  $3,312.00
 90000   $0.06  $5,400.00</t>
        </r>
      </text>
    </comment>
    <comment ref="BA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£0.68
    25   £0.09      £2.16
   100   £0.07      £7.50
   500   £0.07     £32.70
  3000   £0.06    £183.00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W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500   £0.19     £94.50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O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$0.55      $5.53
   100   $0.41     $41.30</t>
        </r>
      </text>
    </comment>
    <comment ref="A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£5.65
   108   £0.16     £17.39
  1008   £0.12    £121.97
  3000   £0.15    £438.00
  3006   £0.10    £297.59
  9000   £0.15  £1,323.00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$0.35  $1,400.00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$7.00
    50   $0.70     $35.00
   100   $0.54     $53.70
  1000   $0.34    $340.00
 10000   $0.31  $3,080.00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25   $1.58     $39.62
   100   $1.35    $135.02
   250   $1.27    $316.94
   500   $1.11    $554.64
  1000   $1.05  $1,046.50
  2000   $1.05  $2,093.00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50   $1.59     $79.50
   100   $1.35    $135.00
  1000   $0.92    $920.00
 10000   $0.92  $9,200.00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£4.35      £4.35
    10   £3.91     £39.10
    25   £3.69     £92.25
    50   £3.62    £181.00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$4.92      $4.92
    10   $4.42     $44.20
    50   $4.18    $209.00
   100   $3.62    $362.00
  1000   $3.49  $3,490.00
 10000   $3.49 $34,900.00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$48.10
  2450   $4.81 $11,784.50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$2.42
    25   $0.23      $5.76
    50   $0.22     $11.15
   100   $0.22     $21.56
   250   $0.20     $51.11
   500   $0.17     $85.49
  1000   $0.13    $132.69
  4000   $0.13    $505.48
  8000   $0.12    $951.52
 12000   $0.11  $1,338.00
 28000   $0.10  $2,913.96</t>
        </r>
      </text>
    </comment>
    <comment ref="W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500   £0.14     £72.00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$1,200.00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$0.26      $2.55
   100   $0.23     $22.90
  3000   $0.13    $393.00
  4000   $0.13    $524.00
  6000   $0.12    $702.00
 12000   $0.11  $1,272.00
 18000   $0.10  $1,764.00
 30000   $0.09  $2,730.00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£14.75
   100   £0.23     £22.70
  1000   £0.22    £219.00
  4000   £0.20    £820.00
  8000   £0.18  £1,480.00
 24000   £0.08  £1,992.00
 48000   £0.08  £3,648.00
100000   £0.07  £7,300.00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£0.86
    25   £0.15      £3.74
   100   £0.13     £12.96
   500   £0.11     £56.59
  2000   £0.11    £211.28</t>
        </r>
      </text>
    </comment>
    <comment ref="Q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25   $0.70     $17.49
   100   $0.65     $64.50
  3000   $0.65  $1,935.00</t>
        </r>
      </text>
    </comment>
    <comment ref="W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£0.80      £0.80
    25   £0.67     £16.85
   100   £0.62     £62.00</t>
        </r>
      </text>
    </comment>
    <comment ref="AI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$0.83      $8.27
    50   $0.70     $35.00
   100   $0.65     $64.50
  1000   $0.65    $645.00
 10000   $0.65  $6,450.00</t>
        </r>
      </text>
    </comment>
    <comment ref="AO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$0.87      $8.66
    25   $0.80     $19.88
    50   $0.76     $38.20
   100   $0.74     $73.80
  3000   $0.59  $1,770.00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£0.72     £14.36
    40   £0.69     £27.44
   100   £0.62     £61.90
  3000   £0.56  £1,674.00</t>
        </r>
      </text>
    </comment>
    <comment ref="BA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£0.76      £0.76
     5   £0.70      £3.50
    25   £0.64     £16.00
   100   £0.58     £58.00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$1.74      $1.74
    10   $1.59     $15.90
    50   $1.59     $79.50
   100   $1.38    $138.00
  1000   $1.37  $1,370.00
 10000   $1.20 $12,000.00</t>
        </r>
      </text>
    </comment>
    <comment ref="M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$1.76     $17.62
    25   $1.73     $43.36
    50   $1.69     $84.47
   100   $1.55    $155.50
   250   $1.55    $388.65
   500   $1.44    $720.65
  1000   $1.42  $1,415.10
  5000   $1.26  $6,301.50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Q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$9.15      $9.15
    25   $7.95    $198.75
   100   $7.67    $767.00
  2000   $6.95 $13,900.04</t>
        </r>
      </text>
    </comment>
    <comment ref="W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£5.87      £5.87
    10   £5.27     £52.70
    25   £4.66    £116.50
    50   £4.57    £228.50
   100   £4.57    £457.00</t>
        </r>
      </text>
    </comment>
    <comment ref="AI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$9.24      $9.24
    10   $9.24     $92.40
    50   $8.03    $401.50
   100   $7.75    $775.00
  1000   $7.75  $7,750.00
 10000   $7.74 $77,400.00</t>
        </r>
      </text>
    </comment>
    <comment ref="AO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$6.83     $68.30
    25   $6.54    $163.50
  2000   $5.43 $10,860.00
  4000   $5.27 $21,080.00
  8000   $4.95 $39,600.00
 12000   $4.72 $56,640.00</t>
        </r>
      </text>
    </comment>
    <comment ref="M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$1.22  $3,660.00</t>
        </r>
      </text>
    </comment>
    <comment ref="S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$2.02     $20.16
    50   $1.92     $96.00
   100   $1.68    $168.00
   500   $1.63    $816.00
  1000   $1.39  $1,392.00
  3000   $1.30  $3,888.00</t>
        </r>
      </text>
    </comment>
    <comment ref="Y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£1.44      £7.20
    50   £1.21     £60.50
   100   £1.21    £121.00
   250   £1.09    £272.50
   500   £0.96    £482.50
  3000   £0.91  £2,718.00
 15000   £0.89 £13,320.00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$2.02     $20.20
    50   $1.92     $96.00
   100   $1.68    $168.00
  1000   $1.43  $1,430.00
 10000   $1.43 $14,300.00</t>
        </r>
      </text>
    </comment>
    <comment ref="A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$1.18      $1.18
    10   $1.18     $11.80
    25   $1.18     $29.50
    50   $1.18     $59.00
   100   $1.18    $118.00
  1000   $1.34  $1,340.00
  2000   $1.28  $2,560.00
  3000   $1.28  $3,840.00
  4000   $1.17  $4,680.00
  6000   $1.12  $6,720.00
 10000   $1.09 $10,900.00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£1.60      £7.98
    50   £1.49     £74.70
   100   £1.30    £130.20
   250   £1.28    £319.00
  1000   £1.12  £1,122.00
  3000   £1.10  £3,300.00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B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D45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<sst xmlns="http://schemas.openxmlformats.org/spreadsheetml/2006/main" count="689" uniqueCount="360">
  <si>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</si>
  <si>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</si>
  <si>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</si>
  <si>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</si>
  <si>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</si>
  <si>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</si>
  <si>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</si>
  <si>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</si>
  <si>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</si>
  <si>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</si>
  <si>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</si>
  <si>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C1-C3,C5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</si>
  <si>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</si>
  <si>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</si>
  <si>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</si>
  <si>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</si>
  <si>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</si>
  <si>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</si>
  <si>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C4,C8,C23</t>
  </si>
  <si>
    <t>CAP CER 1uF 6.3V 20% X6S 0201</t>
  </si>
  <si>
    <t>1.2V DC</t>
  </si>
  <si>
    <t>C_0201_0603Metric</t>
  </si>
  <si>
    <t>GRM033C80J105ME05D</t>
  </si>
  <si>
    <t>C6,C7,C16</t>
  </si>
  <si>
    <t>CAP CER 4.7uF 6.3V 20% X5R 0201</t>
  </si>
  <si>
    <t>3.3V DC DERATED TO 1uF</t>
  </si>
  <si>
    <t>GRM035R60J475ME15D</t>
  </si>
  <si>
    <t>C9-C12,C17-C22,C24,C25</t>
  </si>
  <si>
    <t>0.1uF</t>
  </si>
  <si>
    <t>CAP CER 0.22uF 6.3V 20% X5R 0201</t>
  </si>
  <si>
    <t>C9,C20: 1.2V DC DERATED TO 0.1uF
C12: 1.65V DC VAG DERATED TO 0.1uF
C10,C11,C17-C19,C21,C22,C24,C25: 3.3V DC DERATED TO 0.1uF</t>
  </si>
  <si>
    <t>GRM033R60J224KE15D</t>
  </si>
  <si>
    <t>C13</t>
  </si>
  <si>
    <t>CAP CER 4.7uF 16V 20% X5R 0603</t>
  </si>
  <si>
    <t>9V/12V DC DERATED TO 1uF</t>
  </si>
  <si>
    <t>C_0603_1608Metric</t>
  </si>
  <si>
    <t>GRM188R61C475ME11D</t>
  </si>
  <si>
    <t>C14,C15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</si>
  <si>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</si>
  <si>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</si>
  <si>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</si>
  <si>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</si>
  <si>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</si>
  <si>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</si>
  <si>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</si>
  <si>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SML-LX0201USBC-TR</t>
  </si>
  <si>
    <t>LED BLUE Vf=2.6V If=2mA 15mcd 0201</t>
  </si>
  <si>
    <t>SML-LX0201</t>
  </si>
  <si>
    <t>Lumex</t>
  </si>
  <si>
    <t>D2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</si>
  <si>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</si>
  <si>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</si>
  <si>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</si>
  <si>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</si>
  <si>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</si>
  <si>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</si>
  <si>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</si>
  <si>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</si>
  <si>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</si>
  <si>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</si>
  <si>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</si>
  <si>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</si>
  <si>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</si>
  <si>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</si>
  <si>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</si>
  <si>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</si>
  <si>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</si>
  <si>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</si>
  <si>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</si>
  <si>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USB4105-GF-A</t>
  </si>
  <si>
    <t>CONN USB-C</t>
  </si>
  <si>
    <t>REPLACEMENT PARTS: HRO TYPE-C-31-M-12</t>
  </si>
  <si>
    <t>USB_C_Receptacle_HRO_TYPE-C-31-M-12</t>
  </si>
  <si>
    <t>GCT</t>
  </si>
  <si>
    <t>R1</t>
  </si>
  <si>
    <t>1k</t>
  </si>
  <si>
    <t>RES 1kΩ 50mW 1% 0201</t>
  </si>
  <si>
    <t>R_0201_0603Metric</t>
  </si>
  <si>
    <t>Panasonic</t>
  </si>
  <si>
    <t>ERJ1GNF1001C</t>
  </si>
  <si>
    <t>R2</t>
  </si>
  <si>
    <t>6.2k</t>
  </si>
  <si>
    <t>RES 6.2kΩ 50mW 1% 0201</t>
  </si>
  <si>
    <t>ERJ1GNF6201C</t>
  </si>
  <si>
    <t>R3,R4,R15,R16</t>
  </si>
  <si>
    <t>2.2k</t>
  </si>
  <si>
    <t>RES 2.2kΩ 50mW 5% 0201</t>
  </si>
  <si>
    <t>ERJ1GNJ222C</t>
  </si>
  <si>
    <t>R5</t>
  </si>
  <si>
    <t>1.5k</t>
  </si>
  <si>
    <t>RES 1.5kΩ 50mW 5% 0201</t>
  </si>
  <si>
    <t>ERJ1GNJ152C</t>
  </si>
  <si>
    <t>R6</t>
  </si>
  <si>
    <t>100k</t>
  </si>
  <si>
    <t>RES 100kΩ 50mW 1% 0201</t>
  </si>
  <si>
    <t>ERJ1GNF1003C</t>
  </si>
  <si>
    <t>R7-R9</t>
  </si>
  <si>
    <t>20k</t>
  </si>
  <si>
    <t>RES 20kΩ 50mW 1% 0201</t>
  </si>
  <si>
    <t>ERJ1GNF2002C</t>
  </si>
  <si>
    <t>R10,R14,R17,R18</t>
  </si>
  <si>
    <t>10k</t>
  </si>
  <si>
    <t>RES 10kΩ 50mW 1% 0201</t>
  </si>
  <si>
    <t>ERJ1GNF1002C</t>
  </si>
  <si>
    <t>R11,R12</t>
  </si>
  <si>
    <t>5.1k</t>
  </si>
  <si>
    <t>RES 5.1kΩ 50mW 5% 0201</t>
  </si>
  <si>
    <t>ERJ1GNJ512C</t>
  </si>
  <si>
    <t>R13</t>
  </si>
  <si>
    <t>100</t>
  </si>
  <si>
    <t>RES 100Ω 50mW 5% 0201</t>
  </si>
  <si>
    <t>ERJ1GNJ101C</t>
  </si>
  <si>
    <t>R19,R20</t>
  </si>
  <si>
    <t>0</t>
  </si>
  <si>
    <t>RES 0Ω 50mW 1% 0201</t>
  </si>
  <si>
    <t>ERJ1GN0R00C</t>
  </si>
  <si>
    <t>R21</t>
  </si>
  <si>
    <t>22</t>
  </si>
  <si>
    <t>RES 22Ω 50mW 1% 0201</t>
  </si>
  <si>
    <t>ERJ1GNF22R0C</t>
  </si>
  <si>
    <t>SW1</t>
  </si>
  <si>
    <t>KXT311LHS</t>
  </si>
  <si>
    <t>SW TACT 100gf 3.0x2.0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</si>
  <si>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</si>
  <si>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</si>
  <si>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</si>
  <si>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</si>
  <si>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</si>
  <si>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</si>
  <si>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</si>
  <si>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</si>
  <si>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</si>
  <si>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</si>
  <si>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</si>
  <si>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LM66200DRLR</t>
  </si>
  <si>
    <t>IC DUAL IDEAL DIODE</t>
  </si>
  <si>
    <t>SOT-5X3</t>
  </si>
  <si>
    <t>TI</t>
  </si>
  <si>
    <t>U5</t>
  </si>
  <si>
    <t>SN74CBT16211ADGVR</t>
  </si>
  <si>
    <t>IC BUS SWITCH TVSOP-56</t>
  </si>
  <si>
    <t>Texas_TVSOP-56_4.4x11.3mm_P0.4mm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</si>
  <si>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</si>
  <si>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</si>
  <si>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</si>
  <si>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</si>
  <si>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</si>
  <si>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</si>
  <si>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</si>
  <si>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</si>
  <si>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</si>
  <si>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</si>
  <si>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</si>
  <si>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</si>
  <si>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</si>
  <si>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</si>
  <si>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</si>
  <si>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</si>
  <si>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</si>
  <si>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APS6404L-3SQR</t>
  </si>
  <si>
    <t>IC PSRAM 64Mbit SOP-8</t>
  </si>
  <si>
    <t>REPLACEMENT PART: Lyontek LY68L6400SLIT</t>
  </si>
  <si>
    <t>SOP-8_3.9x4.9mm_P1.27mm</t>
  </si>
  <si>
    <t>AP</t>
  </si>
  <si>
    <t>APS6404L-3SQR-SN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</si>
  <si>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</si>
  <si>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</si>
  <si>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</si>
  <si>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</si>
  <si>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</si>
  <si>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</si>
  <si>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</si>
  <si>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</si>
  <si>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</si>
  <si>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</si>
  <si>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</si>
  <si>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</si>
  <si>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</si>
  <si>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</si>
  <si>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</si>
  <si>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</si>
  <si>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</si>
  <si>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Arrow</t>
  </si>
  <si>
    <t>Avail</t>
  </si>
  <si>
    <t>Purch</t>
  </si>
  <si>
    <t>MOQ</t>
  </si>
  <si>
    <t>Cat#</t>
  </si>
  <si>
    <t>SMLLX0201USBCTR</t>
  </si>
  <si>
    <t>ASCO24.000MHZEKT3</t>
  </si>
  <si>
    <t>Buy here</t>
  </si>
  <si>
    <t>Digi-Key</t>
  </si>
  <si>
    <t>490-14595-1-ND</t>
  </si>
  <si>
    <t>490-13218-1-ND</t>
  </si>
  <si>
    <t>490-13230-1-ND</t>
  </si>
  <si>
    <t>490-10406-1-ND</t>
  </si>
  <si>
    <t>490-14638-1-ND</t>
  </si>
  <si>
    <t>718-2355-1-ND</t>
  </si>
  <si>
    <t>NonStk</t>
  </si>
  <si>
    <t>67-2283-1-ND</t>
  </si>
  <si>
    <t>67-2282-1-ND</t>
  </si>
  <si>
    <t>2073-USB4105-GF-ACT-ND</t>
  </si>
  <si>
    <t>P122413CT-ND</t>
  </si>
  <si>
    <t>P123105CT-ND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</si>
  <si>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</si>
  <si>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</si>
  <si>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</si>
  <si>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</si>
  <si>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</si>
  <si>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</si>
  <si>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</si>
  <si>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</si>
  <si>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</si>
  <si>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</si>
  <si>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</si>
  <si>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</si>
  <si>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296-LM66200DRLRTR-ND</t>
  </si>
  <si>
    <t>296-6389-1-ND</t>
  </si>
  <si>
    <t>SGTL5000XNLA3-ND</t>
  </si>
  <si>
    <t>NUF2042XV6T1GOSCT-ND</t>
  </si>
  <si>
    <t>MCP6H01T-E/OTCT-ND</t>
  </si>
  <si>
    <t>W25Q128JVPIM-ND</t>
  </si>
  <si>
    <t>220-2212-1-ND</t>
  </si>
  <si>
    <t>535-12073-1-ND</t>
  </si>
  <si>
    <t>Farnell</t>
  </si>
  <si>
    <t>3581345</t>
  </si>
  <si>
    <t>3582762</t>
  </si>
  <si>
    <t>3238402</t>
  </si>
  <si>
    <t>2990684</t>
  </si>
  <si>
    <t>3581379</t>
  </si>
  <si>
    <t>2491414</t>
  </si>
  <si>
    <t>2775247</t>
  </si>
  <si>
    <t>2775246</t>
  </si>
  <si>
    <t>3588205</t>
  </si>
  <si>
    <t>2302336</t>
  </si>
  <si>
    <t>2302357</t>
  </si>
  <si>
    <t>3303211</t>
  </si>
  <si>
    <t>3303177</t>
  </si>
  <si>
    <t>2302389</t>
  </si>
  <si>
    <t>2302370</t>
  </si>
  <si>
    <t>2302362</t>
  </si>
  <si>
    <t>3303281</t>
  </si>
  <si>
    <t>3303148</t>
  </si>
  <si>
    <t>2799511</t>
  </si>
  <si>
    <t>2302291</t>
  </si>
  <si>
    <t>3023197</t>
  </si>
  <si>
    <t>3010452</t>
  </si>
  <si>
    <t>2981158</t>
  </si>
  <si>
    <t>2308050</t>
  </si>
  <si>
    <t>2824959</t>
  </si>
  <si>
    <t>2851675</t>
  </si>
  <si>
    <t>3768741</t>
  </si>
  <si>
    <t>3573055</t>
  </si>
  <si>
    <t>LCSC</t>
  </si>
  <si>
    <t>C437523</t>
  </si>
  <si>
    <t>C385023</t>
  </si>
  <si>
    <t>C335103</t>
  </si>
  <si>
    <t>C76931</t>
  </si>
  <si>
    <t>C415373</t>
  </si>
  <si>
    <t>C717001</t>
  </si>
  <si>
    <t>C717003</t>
  </si>
  <si>
    <t>C713490</t>
  </si>
  <si>
    <t>C717002</t>
  </si>
  <si>
    <t>C713500</t>
  </si>
  <si>
    <t>C717006</t>
  </si>
  <si>
    <t>C221820</t>
  </si>
  <si>
    <t>Mouser</t>
  </si>
  <si>
    <t>81GRM155C81C225KE1D</t>
  </si>
  <si>
    <t>81GRM033C80J105ME5D</t>
  </si>
  <si>
    <t>81GRM035R60J475ME5D</t>
  </si>
  <si>
    <t>81GRM33R60J224KE15D</t>
  </si>
  <si>
    <t>81GRM188R61C475ME1D</t>
  </si>
  <si>
    <t>74TMCJ0J106MTRF</t>
  </si>
  <si>
    <t>696SMLLX0201USBCTR</t>
  </si>
  <si>
    <t>696SMLLX0201UPGCTR</t>
  </si>
  <si>
    <t>640USB4105GFA</t>
  </si>
  <si>
    <t>667ERJ1GNF1001C</t>
  </si>
  <si>
    <t>667ERJ1GNF6201C</t>
  </si>
  <si>
    <t>667ERJ1GNJ222C</t>
  </si>
  <si>
    <t>667ERJ1GNJ152C</t>
  </si>
  <si>
    <t>667ERJ1GNF1003C</t>
  </si>
  <si>
    <t>667ERJ1GNF2002C</t>
  </si>
  <si>
    <t>667ERJ1GNF1002C</t>
  </si>
  <si>
    <t>667ERJ1GNJ512C</t>
  </si>
  <si>
    <t>667ERJ1GNJ101C</t>
  </si>
  <si>
    <t>667ERJ1GN0R00C</t>
  </si>
  <si>
    <t>667ERJ1GNF22R0C</t>
  </si>
  <si>
    <t>611KXT311LHS</t>
  </si>
  <si>
    <t>863NCP115AMX120TCG</t>
  </si>
  <si>
    <t>863NCP167AMX330TBG</t>
  </si>
  <si>
    <t>595LM66200DRLR</t>
  </si>
  <si>
    <t>595SNCBT16211ADGVR</t>
  </si>
  <si>
    <t>841SGTL5000XNLA3</t>
  </si>
  <si>
    <t>863NUF2042XV6T1G</t>
  </si>
  <si>
    <t>579MCP6H01TE/OT</t>
  </si>
  <si>
    <t>878APS6404L3SQRSN</t>
  </si>
  <si>
    <t>842ICE40UP5KSG48I</t>
  </si>
  <si>
    <t>815ASCO24EKT3</t>
  </si>
  <si>
    <t>Newark</t>
  </si>
  <si>
    <t>92AH5000</t>
  </si>
  <si>
    <t>03AJ1531</t>
  </si>
  <si>
    <t>34AH0743</t>
  </si>
  <si>
    <t>94AC8892</t>
  </si>
  <si>
    <t>92AH5109</t>
  </si>
  <si>
    <t>56Y0084</t>
  </si>
  <si>
    <t>30AC6125</t>
  </si>
  <si>
    <t>30AC6124</t>
  </si>
  <si>
    <t>86AH2021</t>
  </si>
  <si>
    <t>85Y7483</t>
  </si>
  <si>
    <t>36AJ9163</t>
  </si>
  <si>
    <t>51W5827</t>
  </si>
  <si>
    <t>51W5799</t>
  </si>
  <si>
    <t>85Y7485</t>
  </si>
  <si>
    <t>36AJ9148</t>
  </si>
  <si>
    <t>85Y7484</t>
  </si>
  <si>
    <t>51W5889</t>
  </si>
  <si>
    <t>51W5773</t>
  </si>
  <si>
    <t>51W5934</t>
  </si>
  <si>
    <t>85Y7497</t>
  </si>
  <si>
    <t>39AH6819</t>
  </si>
  <si>
    <t>97AC7838</t>
  </si>
  <si>
    <t>84AC7230</t>
  </si>
  <si>
    <t>14R9111</t>
  </si>
  <si>
    <t>46AC1428</t>
  </si>
  <si>
    <t>55AC2730</t>
  </si>
  <si>
    <t>50AJ3298</t>
  </si>
  <si>
    <t>89AH0815</t>
  </si>
  <si>
    <t>RS Components</t>
  </si>
  <si>
    <t>1852023</t>
  </si>
  <si>
    <t>1882240</t>
  </si>
  <si>
    <t>1797127</t>
  </si>
  <si>
    <t>1797128</t>
  </si>
  <si>
    <t>1797145</t>
  </si>
  <si>
    <t>1797130</t>
  </si>
  <si>
    <t>1763597</t>
  </si>
  <si>
    <t>1797129</t>
  </si>
  <si>
    <t>1763574</t>
  </si>
  <si>
    <t>1797146</t>
  </si>
  <si>
    <t>1859325</t>
  </si>
  <si>
    <t>8051879</t>
  </si>
  <si>
    <t>1773191</t>
  </si>
  <si>
    <t>2400887</t>
  </si>
  <si>
    <t>TME</t>
  </si>
  <si>
    <t>SMLLX0201UPGCTR</t>
  </si>
  <si>
    <t>MCP6H01TE/OT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</si>
  <si>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</si>
  <si>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</si>
  <si>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</si>
  <si>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</si>
  <si>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</si>
  <si>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</si>
  <si>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</si>
  <si>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</si>
  <si>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</si>
  <si>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fr. 08. april 2022 kl. 12.00 +0200</t>
  </si>
  <si>
    <t>Board Qty:</t>
  </si>
  <si>
    <t>Total Cost:</t>
  </si>
  <si>
    <t>Unit Cost:</t>
  </si>
  <si>
    <t>$ date:</t>
  </si>
  <si>
    <t>2022-04-08 12:00:56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</si>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</sst>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017922&amp;sid=1106&amp;ppid=46692789&amp;vpid=485848787&amp;ct=offers" TargetMode="External"/><Relationship Id="rId3" Type="http://schemas.openxmlformats.org/officeDocument/2006/relationships/hyperlink" Target="https://octopart.com/click/track?ai=8078&amp;sig=0b165bb&amp;sid=459&amp;ppid=46692789&amp;vpid=410305221&amp;ct=offers" TargetMode="External"/><Relationship Id="rId4" Type="http://schemas.openxmlformats.org/officeDocument/2006/relationships/hyperlink" Target="https://octopart.com/click/track?ai=8078&amp;sig=0d9d05a&amp;sid=819&amp;ppid=46692789&amp;vpid=666721052&amp;ct=offers" TargetMode="External"/><Relationship Id="rId5" Type="http://schemas.openxmlformats.org/officeDocument/2006/relationships/hyperlink" Target="https://octopart.com/click/track?ai=8078&amp;sig=005ea9f&amp;sid=27971&amp;ppid=46692789&amp;vpid=666930444&amp;ct=offers" TargetMode="External"/><Relationship Id="rId6" Type="http://schemas.openxmlformats.org/officeDocument/2006/relationships/hyperlink" Target="https://octopart.com/click/track?ai=8078&amp;sig=0cdb919&amp;sid=2401&amp;ppid=46692789&amp;vpid=230758256&amp;ct=offers" TargetMode="External"/><Relationship Id="rId7" Type="http://schemas.openxmlformats.org/officeDocument/2006/relationships/hyperlink" Target="https://octopart.com/click/track?ai=8078&amp;sig=0849c23&amp;sid=2402&amp;ppid=46692789&amp;vpid=669036303&amp;ct=offers" TargetMode="External"/><Relationship Id="rId8" Type="http://schemas.openxmlformats.org/officeDocument/2006/relationships/hyperlink" Target="https://www.murata.com/products/productdetail.aspx?partno=GRM033C80J105ME05D" TargetMode="External"/><Relationship Id="rId9" Type="http://schemas.openxmlformats.org/officeDocument/2006/relationships/hyperlink" Target="https://octopart.com/click/track?ai=8078&amp;sig=094e468&amp;sid=1106&amp;ppid=71220979&amp;vpid=473331182&amp;ct=offers" TargetMode="External"/><Relationship Id="rId10" Type="http://schemas.openxmlformats.org/officeDocument/2006/relationships/hyperlink" Target="https://octopart.com/click/track?ai=8078&amp;sig=0dd2dd5&amp;sid=459&amp;ppid=71220979&amp;vpid=252726184&amp;ct=offers" TargetMode="External"/><Relationship Id="rId11" Type="http://schemas.openxmlformats.org/officeDocument/2006/relationships/hyperlink" Target="https://octopart.com/click/track?c=1&amp;ai=8078&amp;sig=013a2f0&amp;sid=819&amp;ppid=71220979&amp;vpid=670691828&amp;ct=offers" TargetMode="External"/><Relationship Id="rId12" Type="http://schemas.openxmlformats.org/officeDocument/2006/relationships/hyperlink" Target="https://octopart.com/click/track?ai=8078&amp;sig=05d4785&amp;sid=27971&amp;ppid=71220979&amp;vpid=552547217&amp;ct=offers" TargetMode="External"/><Relationship Id="rId13" Type="http://schemas.openxmlformats.org/officeDocument/2006/relationships/hyperlink" Target="https://octopart.com/click/track?ai=8078&amp;sig=0e387aa&amp;sid=2401&amp;ppid=71220979&amp;vpid=262231651&amp;ct=offers" TargetMode="External"/><Relationship Id="rId14" Type="http://schemas.openxmlformats.org/officeDocument/2006/relationships/hyperlink" Target="https://octopart.com/click/track?c=1&amp;ai=8078&amp;sig=0e14f17&amp;sid=2402&amp;ppid=71220979&amp;vpid=671481163&amp;ct=offers" TargetMode="External"/><Relationship Id="rId15" Type="http://schemas.openxmlformats.org/officeDocument/2006/relationships/hyperlink" Target="https://www.murata.com/products/productdetail.aspx?partno=GRM035R60J475ME15D" TargetMode="External"/><Relationship Id="rId16" Type="http://schemas.openxmlformats.org/officeDocument/2006/relationships/hyperlink" Target="https://octopart.com/click/track?ai=8078&amp;sig=0a2952a&amp;sid=1106&amp;ppid=67141176&amp;vpid=477055386&amp;ct=offers" TargetMode="External"/><Relationship Id="rId17" Type="http://schemas.openxmlformats.org/officeDocument/2006/relationships/hyperlink" Target="https://octopart.com/click/track?ai=8078&amp;sig=02d1bd9&amp;sid=459&amp;ppid=67141176&amp;vpid=252726416&amp;ct=offers" TargetMode="External"/><Relationship Id="rId18" Type="http://schemas.openxmlformats.org/officeDocument/2006/relationships/hyperlink" Target="https://octopart.com/click/track?ai=8078&amp;sig=087aedd&amp;sid=11744&amp;ppid=67141176&amp;vpid=585909672&amp;ct=offers" TargetMode="External"/><Relationship Id="rId19" Type="http://schemas.openxmlformats.org/officeDocument/2006/relationships/hyperlink" Target="https://octopart.com/click/track?ai=8078&amp;sig=0ec1763&amp;sid=27971&amp;ppid=67141176&amp;vpid=510777411&amp;ct=offers" TargetMode="External"/><Relationship Id="rId20" Type="http://schemas.openxmlformats.org/officeDocument/2006/relationships/hyperlink" Target="https://octopart.com/click/track?ai=8078&amp;sig=0e8e022&amp;sid=2401&amp;ppid=67141176&amp;vpid=262254328&amp;ct=offers" TargetMode="External"/><Relationship Id="rId21" Type="http://schemas.openxmlformats.org/officeDocument/2006/relationships/hyperlink" Target="https://octopart.com/click/track?c=1&amp;ai=8078&amp;sig=00b605a&amp;sid=2402&amp;ppid=67141176&amp;vpid=587966703&amp;ct=offers" TargetMode="External"/><Relationship Id="rId22" Type="http://schemas.openxmlformats.org/officeDocument/2006/relationships/hyperlink" Target="https://www.murata.com/products/productdetail.aspx?partno=GRM033R60J224KE15D" TargetMode="External"/><Relationship Id="rId23" Type="http://schemas.openxmlformats.org/officeDocument/2006/relationships/hyperlink" Target="https://octopart.com/click/track?ai=8078&amp;sig=0c86c84&amp;sid=1106&amp;ppid=51454422&amp;vpid=480521207&amp;ct=offers" TargetMode="External"/><Relationship Id="rId24" Type="http://schemas.openxmlformats.org/officeDocument/2006/relationships/hyperlink" Target="https://octopart.com/click/track?ai=8078&amp;sig=0492ec2&amp;sid=459&amp;ppid=51454422&amp;vpid=172161550&amp;ct=offers" TargetMode="External"/><Relationship Id="rId25" Type="http://schemas.openxmlformats.org/officeDocument/2006/relationships/hyperlink" Target="https://octopart.com/click/track?ai=8078&amp;sig=0efc20f&amp;sid=819&amp;ppid=51454422&amp;vpid=528007216&amp;ct=offers" TargetMode="External"/><Relationship Id="rId26" Type="http://schemas.openxmlformats.org/officeDocument/2006/relationships/hyperlink" Target="https://octopart.com/click/track?ai=8078&amp;sig=0f2788c&amp;sid=27971&amp;ppid=51454422&amp;vpid=445986847&amp;ct=offers" TargetMode="External"/><Relationship Id="rId27" Type="http://schemas.openxmlformats.org/officeDocument/2006/relationships/hyperlink" Target="https://octopart.com/click/track?ai=8078&amp;sig=0207666&amp;sid=2401&amp;ppid=51454422&amp;vpid=178169497&amp;ct=offers" TargetMode="External"/><Relationship Id="rId28" Type="http://schemas.openxmlformats.org/officeDocument/2006/relationships/hyperlink" Target="https://octopart.com/click/track?ai=8078&amp;sig=0d37eed&amp;sid=2402&amp;ppid=51454422&amp;vpid=529126546&amp;ct=offers" TargetMode="External"/><Relationship Id="rId29" Type="http://schemas.openxmlformats.org/officeDocument/2006/relationships/hyperlink" Target="https://octopart.com/click/track?ai=8078&amp;sig=0fe5791&amp;sid=10022&amp;ppid=51454422&amp;vpid=562632809&amp;ct=offers" TargetMode="External"/><Relationship Id="rId30" Type="http://schemas.openxmlformats.org/officeDocument/2006/relationships/hyperlink" Target="https://www.murata.com/products/productdetail.aspx?partno=GRM188R61C475ME11D" TargetMode="External"/><Relationship Id="rId31" Type="http://schemas.openxmlformats.org/officeDocument/2006/relationships/hyperlink" Target="https://octopart.com/click/track?ai=8078&amp;sig=051f50a&amp;sid=1106&amp;ppid=46693351&amp;vpid=474736911&amp;ct=offers" TargetMode="External"/><Relationship Id="rId32" Type="http://schemas.openxmlformats.org/officeDocument/2006/relationships/hyperlink" Target="https://octopart.com/click/track?ai=8078&amp;sig=016baab&amp;sid=459&amp;ppid=46693351&amp;vpid=410305374&amp;ct=offers" TargetMode="External"/><Relationship Id="rId33" Type="http://schemas.openxmlformats.org/officeDocument/2006/relationships/hyperlink" Target="https://octopart.com/click/track?ai=8078&amp;sig=0e88e51&amp;sid=11744&amp;ppid=46693351&amp;vpid=667012264&amp;ct=offers" TargetMode="External"/><Relationship Id="rId34" Type="http://schemas.openxmlformats.org/officeDocument/2006/relationships/hyperlink" Target="https://octopart.com/click/track?ai=8078&amp;sig=09b8947&amp;sid=27971&amp;ppid=46693351&amp;vpid=583025469&amp;ct=offers" TargetMode="External"/><Relationship Id="rId35" Type="http://schemas.openxmlformats.org/officeDocument/2006/relationships/hyperlink" Target="https://octopart.com/click/track?ai=8078&amp;sig=0769423&amp;sid=2401&amp;ppid=46693351&amp;vpid=238592031&amp;ct=offers" TargetMode="External"/><Relationship Id="rId36" Type="http://schemas.openxmlformats.org/officeDocument/2006/relationships/hyperlink" Target="https://octopart.com/click/track?ai=8078&amp;sig=07b4992&amp;sid=2402&amp;ppid=46693351&amp;vpid=669036411&amp;ct=offers" TargetMode="External"/><Relationship Id="rId37" Type="http://schemas.openxmlformats.org/officeDocument/2006/relationships/hyperlink" Target="https://www.vishay.com/docs/40176/tmcj.pdf" TargetMode="External"/><Relationship Id="rId38" Type="http://schemas.openxmlformats.org/officeDocument/2006/relationships/hyperlink" Target="https://octopart.com/click/track?c=1&amp;ai=8078&amp;sig=0f93a07&amp;sid=459&amp;ppid=51468669&amp;vpid=542012103&amp;ct=offers" TargetMode="External"/><Relationship Id="rId39" Type="http://schemas.openxmlformats.org/officeDocument/2006/relationships/hyperlink" Target="https://octopart.com/click/track?c=1&amp;ai=8078&amp;sig=0142d8e&amp;sid=819&amp;ppid=51468669&amp;vpid=227400135&amp;ct=offers" TargetMode="External"/><Relationship Id="rId40" Type="http://schemas.openxmlformats.org/officeDocument/2006/relationships/hyperlink" Target="https://octopart.com/click/track?c=1&amp;ai=8078&amp;sig=0449c4a&amp;sid=2401&amp;ppid=51468669&amp;vpid=222364962&amp;ct=offers" TargetMode="External"/><Relationship Id="rId41" Type="http://schemas.openxmlformats.org/officeDocument/2006/relationships/hyperlink" Target="https://octopart.com/click/track?c=1&amp;ai=8078&amp;sig=01aab72&amp;sid=2402&amp;ppid=51468669&amp;vpid=228374112&amp;ct=offers" TargetMode="External"/><Relationship Id="rId42" Type="http://schemas.openxmlformats.org/officeDocument/2006/relationships/hyperlink" Target="https://octopart.com/click/track?ai=8078&amp;sig=074f439&amp;sid=10022&amp;ppid=51468669&amp;vpid=562995447&amp;ct=offers" TargetMode="External"/><Relationship Id="rId43" Type="http://schemas.openxmlformats.org/officeDocument/2006/relationships/hyperlink" Target="https://www.lumex.com/datasheet/SML-LX0201USBC-TR.html" TargetMode="External"/><Relationship Id="rId44" Type="http://schemas.openxmlformats.org/officeDocument/2006/relationships/hyperlink" Target="https://octopart.com/click/track?ai=8078&amp;sig=089e577&amp;sid=1106&amp;ppid=84788744&amp;vpid=485730355&amp;ct=offers" TargetMode="External"/><Relationship Id="rId45" Type="http://schemas.openxmlformats.org/officeDocument/2006/relationships/hyperlink" Target="https://octopart.com/click/track?ai=8078&amp;sig=034beed&amp;sid=459&amp;ppid=84788744&amp;vpid=439727366&amp;ct=offers" TargetMode="External"/><Relationship Id="rId46" Type="http://schemas.openxmlformats.org/officeDocument/2006/relationships/hyperlink" Target="https://octopart.com/click/track?c=1&amp;ai=8078&amp;sig=0ac7c46&amp;sid=11744&amp;ppid=84788744&amp;vpid=441493967&amp;ct=offers" TargetMode="External"/><Relationship Id="rId47" Type="http://schemas.openxmlformats.org/officeDocument/2006/relationships/hyperlink" Target="https://octopart.com/click/track?ai=8078&amp;sig=0210f61&amp;sid=2401&amp;ppid=84788744&amp;vpid=440311376&amp;ct=offers" TargetMode="External"/><Relationship Id="rId48" Type="http://schemas.openxmlformats.org/officeDocument/2006/relationships/hyperlink" Target="https://octopart.com/click/track?c=1&amp;ai=8078&amp;sig=0c194d8&amp;sid=2402&amp;ppid=84788744&amp;vpid=441141495&amp;ct=offers" TargetMode="External"/><Relationship Id="rId49" Type="http://schemas.openxmlformats.org/officeDocument/2006/relationships/hyperlink" Target="https://octopart.com/click/track?ai=8078&amp;sig=0d0b0e0&amp;sid=1532&amp;ppid=84788744&amp;vpid=709065381&amp;ct=offers" TargetMode="External"/><Relationship Id="rId50" Type="http://schemas.openxmlformats.org/officeDocument/2006/relationships/hyperlink" Target="https://www.lumex.com/datasheet/SML-LX0201UPGC-TR.html" TargetMode="External"/><Relationship Id="rId51" Type="http://schemas.openxmlformats.org/officeDocument/2006/relationships/hyperlink" Target="https://octopart.com/click/track?ai=8078&amp;sig=055564d&amp;sid=459&amp;ppid=84788743&amp;vpid=439727363&amp;ct=offers" TargetMode="External"/><Relationship Id="rId52" Type="http://schemas.openxmlformats.org/officeDocument/2006/relationships/hyperlink" Target="https://octopart.com/click/track?ai=8078&amp;sig=0d58308&amp;sid=11744&amp;ppid=84788743&amp;vpid=441493966&amp;ct=offers" TargetMode="External"/><Relationship Id="rId53" Type="http://schemas.openxmlformats.org/officeDocument/2006/relationships/hyperlink" Target="https://octopart.com/click/track?ai=8078&amp;sig=0bea5b7&amp;sid=2401&amp;ppid=84788743&amp;vpid=440311375&amp;ct=offers" TargetMode="External"/><Relationship Id="rId54" Type="http://schemas.openxmlformats.org/officeDocument/2006/relationships/hyperlink" Target="https://octopart.com/click/track?ai=8078&amp;sig=00c45d4&amp;sid=2402&amp;ppid=84788743&amp;vpid=441141494&amp;ct=offers" TargetMode="External"/><Relationship Id="rId55" Type="http://schemas.openxmlformats.org/officeDocument/2006/relationships/hyperlink" Target="https://octopart.com/click/track?ai=8078&amp;sig=0371ed3&amp;sid=1532&amp;ppid=84788743&amp;vpid=709065379&amp;ct=offers" TargetMode="External"/><Relationship Id="rId56" Type="http://schemas.openxmlformats.org/officeDocument/2006/relationships/hyperlink" Target="https://gct.co/files/drawings/usb4105.pdf?v=7f82f35c-3647-4bcd-a100-0fb9f1f8c8e2" TargetMode="External"/><Relationship Id="rId57" Type="http://schemas.openxmlformats.org/officeDocument/2006/relationships/hyperlink" Target="https://octopart.com/click/track?ai=8078&amp;sig=0e7fce6&amp;sid=459&amp;ppid=106627878&amp;vpid=596427179&amp;ct=offers" TargetMode="External"/><Relationship Id="rId58" Type="http://schemas.openxmlformats.org/officeDocument/2006/relationships/hyperlink" Target="https://octopart.com/click/track?c=1&amp;ai=8078&amp;sig=005bd8e&amp;sid=819&amp;ppid=107467269&amp;vpid=671898717&amp;ct=offers" TargetMode="External"/><Relationship Id="rId59" Type="http://schemas.openxmlformats.org/officeDocument/2006/relationships/hyperlink" Target="https://octopart.com/click/track?ai=8078&amp;sig=0c9fecf&amp;sid=2401&amp;ppid=106627878&amp;vpid=719291732&amp;ct=offers" TargetMode="External"/><Relationship Id="rId60" Type="http://schemas.openxmlformats.org/officeDocument/2006/relationships/hyperlink" Target="https://octopart.com/click/track?ai=8078&amp;sig=086441c&amp;sid=2402&amp;ppid=107467269&amp;vpid=660815924&amp;ct=offers" TargetMode="External"/><Relationship Id="rId61" Type="http://schemas.openxmlformats.org/officeDocument/2006/relationships/hyperlink" Target="https://industrial.panasonic.com/ww/products/pt/general-purpose-chip-resistors/models/ERJ1GNF1001C" TargetMode="External"/><Relationship Id="rId62" Type="http://schemas.openxmlformats.org/officeDocument/2006/relationships/hyperlink" Target="https://octopart.com/click/track?c=1&amp;ai=8078&amp;sig=02b4475&amp;sid=459&amp;ppid=55419696&amp;vpid=436711937&amp;ct=offers" TargetMode="External"/><Relationship Id="rId63" Type="http://schemas.openxmlformats.org/officeDocument/2006/relationships/hyperlink" Target="https://octopart.com/click/track?ai=8078&amp;sig=04693d8&amp;sid=819&amp;ppid=55419696&amp;vpid=139309632&amp;ct=offers" TargetMode="External"/><Relationship Id="rId64" Type="http://schemas.openxmlformats.org/officeDocument/2006/relationships/hyperlink" Target="https://octopart.com/click/track?ai=8078&amp;sig=095265f&amp;sid=27971&amp;ppid=55419696&amp;vpid=669037553&amp;ct=offers" TargetMode="External"/><Relationship Id="rId65" Type="http://schemas.openxmlformats.org/officeDocument/2006/relationships/hyperlink" Target="https://octopart.com/click/track?ai=8078&amp;sig=0133103&amp;sid=2401&amp;ppid=55419696&amp;vpid=187838585&amp;ct=offers" TargetMode="External"/><Relationship Id="rId66" Type="http://schemas.openxmlformats.org/officeDocument/2006/relationships/hyperlink" Target="https://octopart.com/click/track?ai=8078&amp;sig=0c7bd83&amp;sid=2402&amp;ppid=55419696&amp;vpid=423915171&amp;ct=offers" TargetMode="External"/><Relationship Id="rId67" Type="http://schemas.openxmlformats.org/officeDocument/2006/relationships/hyperlink" Target="https://octopart.com/click/track?ai=8078&amp;sig=0546fa6&amp;sid=10022&amp;ppid=55419696&amp;vpid=577025002&amp;ct=offers" TargetMode="External"/><Relationship Id="rId68" Type="http://schemas.openxmlformats.org/officeDocument/2006/relationships/hyperlink" Target="https://industrial.panasonic.com/ww/products/pt/general-purpose-chip-resistors/models/ERJ1GNF6201C" TargetMode="External"/><Relationship Id="rId69" Type="http://schemas.openxmlformats.org/officeDocument/2006/relationships/hyperlink" Target="https://octopart.com/click/track?ai=8078&amp;sig=0016ade&amp;sid=459&amp;ppid=55649301&amp;vpid=465234948&amp;ct=offers" TargetMode="External"/><Relationship Id="rId70" Type="http://schemas.openxmlformats.org/officeDocument/2006/relationships/hyperlink" Target="https://octopart.com/click/track?c=1&amp;ai=8078&amp;sig=05330d5&amp;sid=819&amp;ppid=55649301&amp;vpid=139310078&amp;ct=offers" TargetMode="External"/><Relationship Id="rId71" Type="http://schemas.openxmlformats.org/officeDocument/2006/relationships/hyperlink" Target="https://octopart.com/click/track?ai=8078&amp;sig=0ff0795&amp;sid=2401&amp;ppid=55649301&amp;vpid=322736988&amp;ct=offers" TargetMode="External"/><Relationship Id="rId72" Type="http://schemas.openxmlformats.org/officeDocument/2006/relationships/hyperlink" Target="https://octopart.com/click/track?c=1&amp;ai=8078&amp;sig=02b7713&amp;sid=2402&amp;ppid=55649301&amp;vpid=708013530&amp;ct=offers" TargetMode="External"/><Relationship Id="rId73" Type="http://schemas.openxmlformats.org/officeDocument/2006/relationships/hyperlink" Target="https://industrial.panasonic.com/ww/products/pt/general-purpose-chip-resistors/models/ERJ1GNJ222C" TargetMode="External"/><Relationship Id="rId74" Type="http://schemas.openxmlformats.org/officeDocument/2006/relationships/hyperlink" Target="https://octopart.com/click/track?ai=8078&amp;sig=05ea2d5&amp;sid=1106&amp;ppid=44403350&amp;vpid=473398349&amp;ct=offers" TargetMode="External"/><Relationship Id="rId75" Type="http://schemas.openxmlformats.org/officeDocument/2006/relationships/hyperlink" Target="https://octopart.com/click/track?ai=8078&amp;sig=0fe0904&amp;sid=459&amp;ppid=44403350&amp;vpid=465235292&amp;ct=offers" TargetMode="External"/><Relationship Id="rId76" Type="http://schemas.openxmlformats.org/officeDocument/2006/relationships/hyperlink" Target="https://octopart.com/click/track?c=1&amp;ai=8078&amp;sig=098df08&amp;sid=819&amp;ppid=44403350&amp;vpid=603690887&amp;ct=offers" TargetMode="External"/><Relationship Id="rId77" Type="http://schemas.openxmlformats.org/officeDocument/2006/relationships/hyperlink" Target="https://octopart.com/click/track?ai=8078&amp;sig=07d1d1b&amp;sid=2401&amp;ppid=44403350&amp;vpid=248150297&amp;ct=offers" TargetMode="External"/><Relationship Id="rId78" Type="http://schemas.openxmlformats.org/officeDocument/2006/relationships/hyperlink" Target="https://octopart.com/click/track?c=1&amp;ai=8078&amp;sig=01bc52e&amp;sid=2402&amp;ppid=44403350&amp;vpid=632042349&amp;ct=offers" TargetMode="External"/><Relationship Id="rId79" Type="http://schemas.openxmlformats.org/officeDocument/2006/relationships/hyperlink" Target="https://octopart.com/click/track?ai=8078&amp;sig=0a098df&amp;sid=10022&amp;ppid=44403350&amp;vpid=577025041&amp;ct=offers" TargetMode="External"/><Relationship Id="rId80" Type="http://schemas.openxmlformats.org/officeDocument/2006/relationships/hyperlink" Target="https://industrial.panasonic.com/ww/products/pt/general-purpose-chip-resistors/models/ERJ1GNJ152C" TargetMode="External"/><Relationship Id="rId81" Type="http://schemas.openxmlformats.org/officeDocument/2006/relationships/hyperlink" Target="https://octopart.com/click/track?ai=8078&amp;sig=0b212f8&amp;sid=1106&amp;ppid=55940368&amp;vpid=507401781&amp;ct=offers" TargetMode="External"/><Relationship Id="rId82" Type="http://schemas.openxmlformats.org/officeDocument/2006/relationships/hyperlink" Target="https://octopart.com/click/track?ai=8078&amp;sig=06f5537&amp;sid=459&amp;ppid=55940368&amp;vpid=465235230&amp;ct=offers" TargetMode="External"/><Relationship Id="rId83" Type="http://schemas.openxmlformats.org/officeDocument/2006/relationships/hyperlink" Target="https://octopart.com/click/track?c=1&amp;ai=8078&amp;sig=031cc2c&amp;sid=819&amp;ppid=55940368&amp;vpid=603690856&amp;ct=offers" TargetMode="External"/><Relationship Id="rId84" Type="http://schemas.openxmlformats.org/officeDocument/2006/relationships/hyperlink" Target="https://octopart.com/click/track?ai=8078&amp;sig=01a465a&amp;sid=2401&amp;ppid=55940368&amp;vpid=165486557&amp;ct=offers" TargetMode="External"/><Relationship Id="rId85" Type="http://schemas.openxmlformats.org/officeDocument/2006/relationships/hyperlink" Target="https://octopart.com/click/track?c=1&amp;ai=8078&amp;sig=0e5d5c9&amp;sid=2402&amp;ppid=55940368&amp;vpid=192308633&amp;ct=offers" TargetMode="External"/><Relationship Id="rId86" Type="http://schemas.openxmlformats.org/officeDocument/2006/relationships/hyperlink" Target="https://octopart.com/click/track?ai=8078&amp;sig=08f769b&amp;sid=10022&amp;ppid=55940368&amp;vpid=577025035&amp;ct=offers" TargetMode="External"/><Relationship Id="rId87" Type="http://schemas.openxmlformats.org/officeDocument/2006/relationships/hyperlink" Target="https://industrial.panasonic.com/ww/products/pt/general-purpose-chip-resistors/models/ERJ1GNF1003C" TargetMode="External"/><Relationship Id="rId88" Type="http://schemas.openxmlformats.org/officeDocument/2006/relationships/hyperlink" Target="https://octopart.com/click/track?ai=8078&amp;sig=056ae07&amp;sid=1106&amp;ppid=55419699&amp;vpid=481515832&amp;ct=offers" TargetMode="External"/><Relationship Id="rId89" Type="http://schemas.openxmlformats.org/officeDocument/2006/relationships/hyperlink" Target="https://octopart.com/click/track?ai=8078&amp;sig=05b0c10&amp;sid=459&amp;ppid=55419699&amp;vpid=465234048&amp;ct=offers" TargetMode="External"/><Relationship Id="rId90" Type="http://schemas.openxmlformats.org/officeDocument/2006/relationships/hyperlink" Target="https://octopart.com/click/track?ai=8078&amp;sig=0fd4895&amp;sid=819&amp;ppid=55419699&amp;vpid=139309641&amp;ct=offers" TargetMode="External"/><Relationship Id="rId91" Type="http://schemas.openxmlformats.org/officeDocument/2006/relationships/hyperlink" Target="https://octopart.com/click/track?ai=8078&amp;sig=016ffb6&amp;sid=27971&amp;ppid=55419699&amp;vpid=669037555&amp;ct=offers" TargetMode="External"/><Relationship Id="rId92" Type="http://schemas.openxmlformats.org/officeDocument/2006/relationships/hyperlink" Target="https://octopart.com/click/track?ai=8078&amp;sig=0f53f81&amp;sid=2401&amp;ppid=55419699&amp;vpid=187838587&amp;ct=offers" TargetMode="External"/><Relationship Id="rId93" Type="http://schemas.openxmlformats.org/officeDocument/2006/relationships/hyperlink" Target="https://octopart.com/click/track?ai=8078&amp;sig=06ff9cf&amp;sid=2402&amp;ppid=55419699&amp;vpid=423915173&amp;ct=offers" TargetMode="External"/><Relationship Id="rId94" Type="http://schemas.openxmlformats.org/officeDocument/2006/relationships/hyperlink" Target="https://octopart.com/click/track?ai=8078&amp;sig=0de3a6c&amp;sid=10022&amp;ppid=55419699&amp;vpid=577025004&amp;ct=offers" TargetMode="External"/><Relationship Id="rId95" Type="http://schemas.openxmlformats.org/officeDocument/2006/relationships/hyperlink" Target="https://industrial.panasonic.com/ww/products/pt/general-purpose-chip-resistors/models/ERJ1GNF2002C" TargetMode="External"/><Relationship Id="rId96" Type="http://schemas.openxmlformats.org/officeDocument/2006/relationships/hyperlink" Target="https://octopart.com/click/track?ai=8078&amp;sig=0f0b897&amp;sid=1106&amp;ppid=55419770&amp;vpid=248847025&amp;ct=offers" TargetMode="External"/><Relationship Id="rId97" Type="http://schemas.openxmlformats.org/officeDocument/2006/relationships/hyperlink" Target="https://octopart.com/click/track?c=1&amp;ai=8078&amp;sig=0a2fed8&amp;sid=459&amp;ppid=55419770&amp;vpid=465234364&amp;ct=offers" TargetMode="External"/><Relationship Id="rId98" Type="http://schemas.openxmlformats.org/officeDocument/2006/relationships/hyperlink" Target="https://octopart.com/click/track?c=1&amp;ai=8078&amp;sig=02957f8&amp;sid=819&amp;ppid=55419770&amp;vpid=139309800&amp;ct=offers" TargetMode="External"/><Relationship Id="rId99" Type="http://schemas.openxmlformats.org/officeDocument/2006/relationships/hyperlink" Target="https://octopart.com/click/track?ai=8078&amp;sig=035d3a2&amp;sid=27971&amp;ppid=55419770&amp;vpid=669037562&amp;ct=offers" TargetMode="External"/><Relationship Id="rId100" Type="http://schemas.openxmlformats.org/officeDocument/2006/relationships/hyperlink" Target="https://octopart.com/click/track?c=1&amp;ai=8078&amp;sig=0c0005c&amp;sid=2401&amp;ppid=55419770&amp;vpid=193534025&amp;ct=offers" TargetMode="External"/><Relationship Id="rId101" Type="http://schemas.openxmlformats.org/officeDocument/2006/relationships/hyperlink" Target="https://octopart.com/click/track?c=1&amp;ai=8078&amp;sig=04e76a3&amp;sid=2402&amp;ppid=55419770&amp;vpid=708013514&amp;ct=offers" TargetMode="External"/><Relationship Id="rId102" Type="http://schemas.openxmlformats.org/officeDocument/2006/relationships/hyperlink" Target="https://industrial.panasonic.com/ww/products/pt/general-purpose-chip-resistors/models/ERJ1GNF1002C" TargetMode="External"/><Relationship Id="rId103" Type="http://schemas.openxmlformats.org/officeDocument/2006/relationships/hyperlink" Target="https://octopart.com/click/track?ai=8078&amp;sig=09e29da&amp;sid=1106&amp;ppid=55419697&amp;vpid=480866856&amp;ct=offers" TargetMode="External"/><Relationship Id="rId104" Type="http://schemas.openxmlformats.org/officeDocument/2006/relationships/hyperlink" Target="https://octopart.com/click/track?c=1&amp;ai=8078&amp;sig=0d11641&amp;sid=459&amp;ppid=55419697&amp;vpid=436711940&amp;ct=offers" TargetMode="External"/><Relationship Id="rId105" Type="http://schemas.openxmlformats.org/officeDocument/2006/relationships/hyperlink" Target="https://octopart.com/click/track?c=1&amp;ai=8078&amp;sig=02a5b1a&amp;sid=819&amp;ppid=55419697&amp;vpid=139309636&amp;ct=offers" TargetMode="External"/><Relationship Id="rId106" Type="http://schemas.openxmlformats.org/officeDocument/2006/relationships/hyperlink" Target="https://octopart.com/click/track?ai=8078&amp;sig=02e7488&amp;sid=27971&amp;ppid=55419697&amp;vpid=669037554&amp;ct=offers" TargetMode="External"/><Relationship Id="rId107" Type="http://schemas.openxmlformats.org/officeDocument/2006/relationships/hyperlink" Target="https://octopart.com/click/track?ai=8078&amp;sig=08e4731&amp;sid=2401&amp;ppid=55419697&amp;vpid=189037115&amp;ct=offers" TargetMode="External"/><Relationship Id="rId108" Type="http://schemas.openxmlformats.org/officeDocument/2006/relationships/hyperlink" Target="https://octopart.com/click/track?c=1&amp;ai=8078&amp;sig=074f86a&amp;sid=2402&amp;ppid=55419697&amp;vpid=432963067&amp;ct=offers" TargetMode="External"/><Relationship Id="rId109" Type="http://schemas.openxmlformats.org/officeDocument/2006/relationships/hyperlink" Target="https://octopart.com/click/track?ai=8078&amp;sig=0924ec2&amp;sid=10022&amp;ppid=55419697&amp;vpid=501237973&amp;ct=offers" TargetMode="External"/><Relationship Id="rId110" Type="http://schemas.openxmlformats.org/officeDocument/2006/relationships/hyperlink" Target="https://industrial.panasonic.com/ww/products/pt/general-purpose-chip-resistors/models/ERJ1GNJ512C" TargetMode="External"/><Relationship Id="rId111" Type="http://schemas.openxmlformats.org/officeDocument/2006/relationships/hyperlink" Target="https://octopart.com/click/track?ai=8078&amp;sig=0dd36dc&amp;sid=459&amp;ppid=66942597&amp;vpid=465235418&amp;ct=offers" TargetMode="External"/><Relationship Id="rId112" Type="http://schemas.openxmlformats.org/officeDocument/2006/relationships/hyperlink" Target="https://octopart.com/click/track?c=1&amp;ai=8078&amp;sig=01b939b&amp;sid=819&amp;ppid=66942597&amp;vpid=603690950&amp;ct=offers" TargetMode="External"/><Relationship Id="rId113" Type="http://schemas.openxmlformats.org/officeDocument/2006/relationships/hyperlink" Target="https://octopart.com/click/track?ai=8078&amp;sig=07a33f5&amp;sid=2401&amp;ppid=66942597&amp;vpid=265943161&amp;ct=offers" TargetMode="External"/><Relationship Id="rId114" Type="http://schemas.openxmlformats.org/officeDocument/2006/relationships/hyperlink" Target="https://octopart.com/click/track?c=1&amp;ai=8078&amp;sig=0cb0675&amp;sid=2402&amp;ppid=66942597&amp;vpid=669843420&amp;ct=offers" TargetMode="External"/><Relationship Id="rId115" Type="http://schemas.openxmlformats.org/officeDocument/2006/relationships/hyperlink" Target="https://industrial.panasonic.com/ww/products/pt/general-purpose-chip-resistors/models/ERJ1GNJ101C" TargetMode="External"/><Relationship Id="rId116" Type="http://schemas.openxmlformats.org/officeDocument/2006/relationships/hyperlink" Target="https://octopart.com/click/track?ai=8078&amp;sig=0a88044&amp;sid=1106&amp;ppid=44403300&amp;vpid=473398341&amp;ct=offers" TargetMode="External"/><Relationship Id="rId117" Type="http://schemas.openxmlformats.org/officeDocument/2006/relationships/hyperlink" Target="https://octopart.com/click/track?ai=8078&amp;sig=080fecf&amp;sid=459&amp;ppid=44403300&amp;vpid=465235178&amp;ct=offers" TargetMode="External"/><Relationship Id="rId118" Type="http://schemas.openxmlformats.org/officeDocument/2006/relationships/hyperlink" Target="https://octopart.com/click/track?c=1&amp;ai=8078&amp;sig=0b30f5a&amp;sid=819&amp;ppid=44403300&amp;vpid=603690830&amp;ct=offers" TargetMode="External"/><Relationship Id="rId119" Type="http://schemas.openxmlformats.org/officeDocument/2006/relationships/hyperlink" Target="https://octopart.com/click/track?ai=8078&amp;sig=08d00b1&amp;sid=27971&amp;ppid=44403300&amp;vpid=669037577&amp;ct=offers" TargetMode="External"/><Relationship Id="rId120" Type="http://schemas.openxmlformats.org/officeDocument/2006/relationships/hyperlink" Target="https://octopart.com/click/track?ai=8078&amp;sig=0e9f721&amp;sid=2401&amp;ppid=44403300&amp;vpid=165486549&amp;ct=offers" TargetMode="External"/><Relationship Id="rId121" Type="http://schemas.openxmlformats.org/officeDocument/2006/relationships/hyperlink" Target="https://octopart.com/click/track?c=1&amp;ai=8078&amp;sig=0f3777c&amp;sid=2402&amp;ppid=44403300&amp;vpid=166626673&amp;ct=offers" TargetMode="External"/><Relationship Id="rId122" Type="http://schemas.openxmlformats.org/officeDocument/2006/relationships/hyperlink" Target="https://octopart.com/click/track?ai=8078&amp;sig=0e76548&amp;sid=10022&amp;ppid=44403300&amp;vpid=577025029&amp;ct=offers" TargetMode="External"/><Relationship Id="rId123" Type="http://schemas.openxmlformats.org/officeDocument/2006/relationships/hyperlink" Target="https://industrial.panasonic.com/ww/products/pt/general-purpose-chip-resistors/models/ERJ1GN0R00C" TargetMode="External"/><Relationship Id="rId124" Type="http://schemas.openxmlformats.org/officeDocument/2006/relationships/hyperlink" Target="https://octopart.com/click/track?ai=8078&amp;sig=06e3983&amp;sid=459&amp;ppid=16432844&amp;vpid=73994004&amp;ct=offers" TargetMode="External"/><Relationship Id="rId125" Type="http://schemas.openxmlformats.org/officeDocument/2006/relationships/hyperlink" Target="https://octopart.com/click/track?c=1&amp;ai=8078&amp;sig=00be688&amp;sid=819&amp;ppid=16432844&amp;vpid=670693408&amp;ct=offers" TargetMode="External"/><Relationship Id="rId126" Type="http://schemas.openxmlformats.org/officeDocument/2006/relationships/hyperlink" Target="https://octopart.com/click/track?ai=8078&amp;sig=06ab724&amp;sid=2401&amp;ppid=16432844&amp;vpid=41840075&amp;ct=offers" TargetMode="External"/><Relationship Id="rId127" Type="http://schemas.openxmlformats.org/officeDocument/2006/relationships/hyperlink" Target="https://octopart.com/click/track?ai=8078&amp;sig=03714c0&amp;sid=2402&amp;ppid=16432844&amp;vpid=87993748&amp;ct=offers" TargetMode="External"/><Relationship Id="rId128" Type="http://schemas.openxmlformats.org/officeDocument/2006/relationships/hyperlink" Target="https://octopart.com/click/track?ai=8078&amp;sig=0514af3&amp;sid=10022&amp;ppid=16432844&amp;vpid=501237969&amp;ct=offers" TargetMode="External"/><Relationship Id="rId129" Type="http://schemas.openxmlformats.org/officeDocument/2006/relationships/hyperlink" Target="https://industrial.panasonic.com/ww/products/pt/general-purpose-chip-resistors/models/ERJ1GNF22R0C" TargetMode="External"/><Relationship Id="rId130" Type="http://schemas.openxmlformats.org/officeDocument/2006/relationships/hyperlink" Target="https://octopart.com/click/track?ai=8078&amp;sig=08ee572&amp;sid=459&amp;ppid=55559998&amp;vpid=465234424&amp;ct=offers" TargetMode="External"/><Relationship Id="rId131" Type="http://schemas.openxmlformats.org/officeDocument/2006/relationships/hyperlink" Target="https://octopart.com/click/track?ai=8078&amp;sig=0f5afc1&amp;sid=819&amp;ppid=55559998&amp;vpid=139309833&amp;ct=offers" TargetMode="External"/><Relationship Id="rId132" Type="http://schemas.openxmlformats.org/officeDocument/2006/relationships/hyperlink" Target="https://octopart.com/click/track?ai=8078&amp;sig=07c5712&amp;sid=27971&amp;ppid=55559998&amp;vpid=669037565&amp;ct=offers" TargetMode="External"/><Relationship Id="rId133" Type="http://schemas.openxmlformats.org/officeDocument/2006/relationships/hyperlink" Target="https://octopart.com/click/track?ai=8078&amp;sig=0dd1891&amp;sid=2401&amp;ppid=55559998&amp;vpid=187838618&amp;ct=offers" TargetMode="External"/><Relationship Id="rId134" Type="http://schemas.openxmlformats.org/officeDocument/2006/relationships/hyperlink" Target="https://octopart.com/click/track?c=1&amp;ai=8078&amp;sig=0fa1c00&amp;sid=2402&amp;ppid=55559998&amp;vpid=423915177&amp;ct=offers" TargetMode="External"/><Relationship Id="rId135" Type="http://schemas.openxmlformats.org/officeDocument/2006/relationships/hyperlink" Target="https://octopart.com/click/track?ai=8078&amp;sig=06d7890&amp;sid=10022&amp;ppid=55559998&amp;vpid=577025017&amp;ct=offers" TargetMode="External"/><Relationship Id="rId136" Type="http://schemas.openxmlformats.org/officeDocument/2006/relationships/hyperlink" Target="https://www.ckswitches.com/media/1465/kxt3.pdf" TargetMode="External"/><Relationship Id="rId137" Type="http://schemas.openxmlformats.org/officeDocument/2006/relationships/hyperlink" Target="https://octopart.com/click/track?ai=8078&amp;sig=0223530&amp;sid=459&amp;ppid=81056064&amp;vpid=409558688&amp;ct=offers" TargetMode="External"/><Relationship Id="rId138" Type="http://schemas.openxmlformats.org/officeDocument/2006/relationships/hyperlink" Target="https://octopart.com/click/track?ai=8078&amp;sig=008fd99&amp;sid=11744&amp;ppid=81056064&amp;vpid=573795781&amp;ct=offers" TargetMode="External"/><Relationship Id="rId139" Type="http://schemas.openxmlformats.org/officeDocument/2006/relationships/hyperlink" Target="https://octopart.com/click/track?ai=8078&amp;sig=0c0d3ac&amp;sid=27971&amp;ppid=81056064&amp;vpid=499988073&amp;ct=offers" TargetMode="External"/><Relationship Id="rId140" Type="http://schemas.openxmlformats.org/officeDocument/2006/relationships/hyperlink" Target="https://octopart.com/click/track?ai=8078&amp;sig=02cc0b6&amp;sid=2401&amp;ppid=81056064&amp;vpid=418675924&amp;ct=offers" TargetMode="External"/><Relationship Id="rId141" Type="http://schemas.openxmlformats.org/officeDocument/2006/relationships/hyperlink" Target="https://octopart.com/click/track?c=1&amp;ai=8078&amp;sig=0bcd80a&amp;sid=2402&amp;ppid=81056064&amp;vpid=591711208&amp;ct=offers" TargetMode="External"/><Relationship Id="rId142" Type="http://schemas.openxmlformats.org/officeDocument/2006/relationships/hyperlink" Target="https://www.onsemi.com/pdf/datasheet/ncp115-d.pdf" TargetMode="External"/><Relationship Id="rId143" Type="http://schemas.openxmlformats.org/officeDocument/2006/relationships/hyperlink" Target="https://octopart.com/click/track?ai=8078&amp;sig=0a3f4b6&amp;sid=459&amp;ppid=92380524&amp;vpid=530205177&amp;ct=offers" TargetMode="External"/><Relationship Id="rId144" Type="http://schemas.openxmlformats.org/officeDocument/2006/relationships/hyperlink" Target="https://octopart.com/click/track?ai=8078&amp;sig=05836ef&amp;sid=819&amp;ppid=92380524&amp;vpid=530799043&amp;ct=offers" TargetMode="External"/><Relationship Id="rId145" Type="http://schemas.openxmlformats.org/officeDocument/2006/relationships/hyperlink" Target="https://octopart.com/click/track?ai=8078&amp;sig=036a8af&amp;sid=2401&amp;ppid=92380524&amp;vpid=523401631&amp;ct=offers" TargetMode="External"/><Relationship Id="rId146" Type="http://schemas.openxmlformats.org/officeDocument/2006/relationships/hyperlink" Target="https://octopart.com/click/track?ai=8078&amp;sig=09fcc50&amp;sid=2402&amp;ppid=92380524&amp;vpid=531928826&amp;ct=offers" TargetMode="External"/><Relationship Id="rId147" Type="http://schemas.openxmlformats.org/officeDocument/2006/relationships/hyperlink" Target="https://octopart.com/click/track?ai=8078&amp;sig=0266325&amp;sid=1532&amp;ppid=92380524&amp;vpid=780042463&amp;ct=offers" TargetMode="External"/><Relationship Id="rId148" Type="http://schemas.openxmlformats.org/officeDocument/2006/relationships/hyperlink" Target="https://www.onsemi.com/pdf/datasheet/ncp167-d.pdf" TargetMode="External"/><Relationship Id="rId149" Type="http://schemas.openxmlformats.org/officeDocument/2006/relationships/hyperlink" Target="https://octopart.com/click/track?c=1&amp;ai=8078&amp;sig=0d6401e&amp;sid=459&amp;ppid=85869721&amp;vpid=510801591&amp;ct=offers" TargetMode="External"/><Relationship Id="rId150" Type="http://schemas.openxmlformats.org/officeDocument/2006/relationships/hyperlink" Target="https://octopart.com/click/track?c=1&amp;ai=8078&amp;sig=0793e3e&amp;sid=819&amp;ppid=85869721&amp;vpid=521259823&amp;ct=offers" TargetMode="External"/><Relationship Id="rId151" Type="http://schemas.openxmlformats.org/officeDocument/2006/relationships/hyperlink" Target="https://octopart.com/click/track?c=1&amp;ai=8078&amp;sig=07e14c5&amp;sid=2401&amp;ppid=85869721&amp;vpid=480971673&amp;ct=offers" TargetMode="External"/><Relationship Id="rId152" Type="http://schemas.openxmlformats.org/officeDocument/2006/relationships/hyperlink" Target="https://octopart.com/click/track?c=1&amp;ai=8078&amp;sig=0620216&amp;sid=2402&amp;ppid=85869721&amp;vpid=530859240&amp;ct=offers" TargetMode="External"/><Relationship Id="rId153" Type="http://schemas.openxmlformats.org/officeDocument/2006/relationships/hyperlink" Target="https://octopart.com/click/track?ai=8078&amp;sig=0d86e14&amp;sid=10022&amp;ppid=85869721&amp;vpid=562641330&amp;ct=offers" TargetMode="External"/><Relationship Id="rId154" Type="http://schemas.openxmlformats.org/officeDocument/2006/relationships/hyperlink" Target="https://www.ti.com/lit/ds/symlink/lm66200.pdf" TargetMode="External"/><Relationship Id="rId155" Type="http://schemas.openxmlformats.org/officeDocument/2006/relationships/hyperlink" Target="https://octopart.com/click/track?c=1&amp;ai=8078&amp;sig=0c2676f&amp;sid=459&amp;ppid=122983326&amp;vpid=783761531&amp;ct=offers" TargetMode="External"/><Relationship Id="rId156" Type="http://schemas.openxmlformats.org/officeDocument/2006/relationships/hyperlink" Target="https://octopart.com/click/track?c=1&amp;ai=8078&amp;sig=05c5f86&amp;sid=2401&amp;ppid=122983326&amp;vpid=784483631&amp;ct=offers" TargetMode="External"/><Relationship Id="rId157" Type="http://schemas.openxmlformats.org/officeDocument/2006/relationships/hyperlink" Target="https://www.ti.com/lit/ds/symlink/sn74cbt16211a.pdf" TargetMode="External"/><Relationship Id="rId158" Type="http://schemas.openxmlformats.org/officeDocument/2006/relationships/hyperlink" Target="https://octopart.com/click/track?ai=8078&amp;sig=0c6c25b&amp;sid=459&amp;ppid=472602&amp;vpid=1179239&amp;ct=offers" TargetMode="External"/><Relationship Id="rId159" Type="http://schemas.openxmlformats.org/officeDocument/2006/relationships/hyperlink" Target="https://octopart.com/click/track?ai=8078&amp;sig=0cbb348&amp;sid=2401&amp;ppid=472602&amp;vpid=165578678&amp;ct=offers" TargetMode="External"/><Relationship Id="rId160" Type="http://schemas.openxmlformats.org/officeDocument/2006/relationships/hyperlink" Target="https://www.nxp.com/docs/en/data-sheet/SGTL5000.pdf" TargetMode="External"/><Relationship Id="rId161" Type="http://schemas.openxmlformats.org/officeDocument/2006/relationships/hyperlink" Target="https://octopart.com/click/track?c=1&amp;ai=8078&amp;sig=0e67bb5&amp;sid=459&amp;ppid=70302733&amp;vpid=248305906&amp;ct=offers" TargetMode="External"/><Relationship Id="rId162" Type="http://schemas.openxmlformats.org/officeDocument/2006/relationships/hyperlink" Target="https://octopart.com/click/track?c=1&amp;ai=8078&amp;sig=090de4c&amp;sid=819&amp;ppid=70302733&amp;vpid=247821581&amp;ct=offers" TargetMode="External"/><Relationship Id="rId163" Type="http://schemas.openxmlformats.org/officeDocument/2006/relationships/hyperlink" Target="https://octopart.com/click/track?c=1&amp;ai=8078&amp;sig=047f522&amp;sid=2401&amp;ppid=70302733&amp;vpid=251555959&amp;ct=offers" TargetMode="External"/><Relationship Id="rId164" Type="http://schemas.openxmlformats.org/officeDocument/2006/relationships/hyperlink" Target="https://octopart.com/click/track?c=1&amp;ai=8078&amp;sig=00417c4&amp;sid=2402&amp;ppid=70302733&amp;vpid=270421497&amp;ct=offers" TargetMode="External"/><Relationship Id="rId165" Type="http://schemas.openxmlformats.org/officeDocument/2006/relationships/hyperlink" Target="https://www.onsemi.com/pdf/datasheet/nuf2030xv6-d.pdf" TargetMode="External"/><Relationship Id="rId166" Type="http://schemas.openxmlformats.org/officeDocument/2006/relationships/hyperlink" Target="https://octopart.com/click/track?c=1&amp;ai=8078&amp;sig=08ab043&amp;sid=459&amp;ppid=1432420&amp;vpid=34063078&amp;ct=offers" TargetMode="External"/><Relationship Id="rId167" Type="http://schemas.openxmlformats.org/officeDocument/2006/relationships/hyperlink" Target="https://octopart.com/click/track?c=1&amp;ai=8078&amp;sig=02aea61&amp;sid=11744&amp;ppid=1432420&amp;vpid=464605090&amp;ct=offers" TargetMode="External"/><Relationship Id="rId168" Type="http://schemas.openxmlformats.org/officeDocument/2006/relationships/hyperlink" Target="https://octopart.com/click/track?c=1&amp;ai=8078&amp;sig=0a62f1b&amp;sid=2401&amp;ppid=1432420&amp;vpid=37670933&amp;ct=offers" TargetMode="External"/><Relationship Id="rId169" Type="http://schemas.openxmlformats.org/officeDocument/2006/relationships/hyperlink" Target="https://octopart.com/click/track?ai=8078&amp;sig=02bcbf3&amp;sid=2402&amp;ppid=1432420&amp;vpid=462366243&amp;ct=offers" TargetMode="External"/><Relationship Id="rId170" Type="http://schemas.openxmlformats.org/officeDocument/2006/relationships/hyperlink" Target="https://octopart.com/click/track?c=1&amp;ai=8078&amp;sig=0767d5a&amp;sid=10022&amp;ppid=1432420&amp;vpid=199088821&amp;ct=offers" TargetMode="External"/><Relationship Id="rId171" Type="http://schemas.openxmlformats.org/officeDocument/2006/relationships/hyperlink" Target="https://octopart.com/click/track?ai=8078&amp;sig=0871723&amp;sid=1532&amp;ppid=1432420&amp;vpid=709123001&amp;ct=offers" TargetMode="External"/><Relationship Id="rId172" Type="http://schemas.openxmlformats.org/officeDocument/2006/relationships/hyperlink" Target="https://www.microchip.com/en-us/product/MCP6H01" TargetMode="External"/><Relationship Id="rId173" Type="http://schemas.openxmlformats.org/officeDocument/2006/relationships/hyperlink" Target="https://octopart.com/click/track?c=1&amp;ai=8078&amp;sig=00f6610&amp;sid=459&amp;ppid=21389927&amp;vpid=46837432&amp;ct=offers" TargetMode="External"/><Relationship Id="rId174" Type="http://schemas.openxmlformats.org/officeDocument/2006/relationships/hyperlink" Target="https://octopart.com/click/track?c=1&amp;ai=8078&amp;sig=038834a&amp;sid=819&amp;ppid=21389927&amp;vpid=477258536&amp;ct=offers" TargetMode="External"/><Relationship Id="rId175" Type="http://schemas.openxmlformats.org/officeDocument/2006/relationships/hyperlink" Target="https://octopart.com/click/track?c=1&amp;ai=8078&amp;sig=00a6da5&amp;sid=2401&amp;ppid=21389927&amp;vpid=96737316&amp;ct=offers" TargetMode="External"/><Relationship Id="rId176" Type="http://schemas.openxmlformats.org/officeDocument/2006/relationships/hyperlink" Target="https://octopart.com/click/track?c=1&amp;ai=8078&amp;sig=06c4409&amp;sid=2402&amp;ppid=21389927&amp;vpid=477464962&amp;ct=offers" TargetMode="External"/><Relationship Id="rId177" Type="http://schemas.openxmlformats.org/officeDocument/2006/relationships/hyperlink" Target="https://octopart.com/click/track?c=1&amp;ai=8078&amp;sig=0e9c7ba&amp;sid=10022&amp;ppid=21389927&amp;vpid=501149510&amp;ct=offers" TargetMode="External"/><Relationship Id="rId178" Type="http://schemas.openxmlformats.org/officeDocument/2006/relationships/hyperlink" Target="https://octopart.com/click/track?ai=8078&amp;sig=0683b33&amp;sid=1532&amp;ppid=21389927&amp;vpid=709082526&amp;ct=offers" TargetMode="External"/><Relationship Id="rId179" Type="http://schemas.openxmlformats.org/officeDocument/2006/relationships/hyperlink" Target="https://www.apmemory.com/wp-content/uploads/APM_PSRAM_E3_QSPI-APS6404L-3SQR-v2.4-KGD_PKG.pdf" TargetMode="External"/><Relationship Id="rId180" Type="http://schemas.openxmlformats.org/officeDocument/2006/relationships/hyperlink" Target="https://octopart.com/click/track?ai=8078&amp;sig=027698f&amp;sid=2401&amp;ppid=119879774&amp;vpid=738017483&amp;ct=offers" TargetMode="External"/><Relationship Id="rId181" Type="http://schemas.openxmlformats.org/officeDocument/2006/relationships/hyperlink" Target="https://www.winbond.com/resource-files/W25Q128JV%20RevI%2008232021%20Plus.pdf" TargetMode="External"/><Relationship Id="rId182" Type="http://schemas.openxmlformats.org/officeDocument/2006/relationships/hyperlink" Target="https://octopart.com/click/track?ai=8078&amp;sig=074beb7&amp;sid=1106&amp;ppid=81762594&amp;vpid=486419345&amp;ct=offers" TargetMode="External"/><Relationship Id="rId183" Type="http://schemas.openxmlformats.org/officeDocument/2006/relationships/hyperlink" Target="https://octopart.com/click/track?ai=8078&amp;sig=0c22e88&amp;sid=459&amp;ppid=81762594&amp;vpid=420816932&amp;ct=offers" TargetMode="External"/><Relationship Id="rId184" Type="http://schemas.openxmlformats.org/officeDocument/2006/relationships/hyperlink" Target="http://www.latticesemi.com/Products/FPGAandCPLD/iCE40UltraPlus" TargetMode="External"/><Relationship Id="rId185" Type="http://schemas.openxmlformats.org/officeDocument/2006/relationships/hyperlink" Target="https://octopart.com/click/track?c=1&amp;ai=8078&amp;sig=08e94d1&amp;sid=459&amp;ppid=87369311&amp;vpid=495120370&amp;ct=offers" TargetMode="External"/><Relationship Id="rId186" Type="http://schemas.openxmlformats.org/officeDocument/2006/relationships/hyperlink" Target="https://octopart.com/click/track?c=1&amp;ai=8078&amp;sig=046bf45&amp;sid=819&amp;ppid=87369311&amp;vpid=718456045&amp;ct=offers" TargetMode="External"/><Relationship Id="rId187" Type="http://schemas.openxmlformats.org/officeDocument/2006/relationships/hyperlink" Target="https://octopart.com/click/track?c=1&amp;ai=8078&amp;sig=0cde656&amp;sid=2401&amp;ppid=87369311&amp;vpid=477152809&amp;ct=offers" TargetMode="External"/><Relationship Id="rId188" Type="http://schemas.openxmlformats.org/officeDocument/2006/relationships/hyperlink" Target="https://octopart.com/click/track?c=1&amp;ai=8078&amp;sig=0c32068&amp;sid=2402&amp;ppid=87369311&amp;vpid=719396471&amp;ct=offers" TargetMode="External"/><Relationship Id="rId189" Type="http://schemas.openxmlformats.org/officeDocument/2006/relationships/hyperlink" Target="https://abracon.com/Oscillators/ASCO.pdf" TargetMode="External"/><Relationship Id="rId190" Type="http://schemas.openxmlformats.org/officeDocument/2006/relationships/hyperlink" Target="https://octopart.com/click/track?ai=8078&amp;sig=036788e&amp;sid=1106&amp;ppid=29304148&amp;vpid=631024060&amp;ct=offers" TargetMode="External"/><Relationship Id="rId191" Type="http://schemas.openxmlformats.org/officeDocument/2006/relationships/hyperlink" Target="https://octopart.com/click/track?ai=8078&amp;sig=08c1eac&amp;sid=459&amp;ppid=29304148&amp;vpid=77656383&amp;ct=offers" TargetMode="External"/><Relationship Id="rId192" Type="http://schemas.openxmlformats.org/officeDocument/2006/relationships/hyperlink" Target="https://octopart.com/click/track?c=1&amp;ai=8078&amp;sig=037d458&amp;sid=11744&amp;ppid=29304148&amp;vpid=663680083&amp;ct=offers" TargetMode="External"/><Relationship Id="rId193" Type="http://schemas.openxmlformats.org/officeDocument/2006/relationships/hyperlink" Target="https://octopart.com/click/track?ai=8078&amp;sig=0787bed&amp;sid=2401&amp;ppid=29304148&amp;vpid=182948634&amp;ct=offers" TargetMode="External"/><Relationship Id="rId194" Type="http://schemas.openxmlformats.org/officeDocument/2006/relationships/hyperlink" Target="https://octopart.com/click/track?ai=8078&amp;sig=0785f27&amp;sid=2402&amp;ppid=29304148&amp;vpid=664848724&amp;ct=offers" TargetMode="External"/><Relationship Id="rId195" Type="http://schemas.openxmlformats.org/officeDocument/2006/relationships/hyperlink" Target="https://octopart.com/click/track?c=1&amp;ai=8078&amp;sig=042e0da&amp;sid=10022&amp;ppid=29304148&amp;vpid=804469521&amp;ct=offers" TargetMode="External"/><Relationship Id="rId196" Type="http://schemas.openxmlformats.org/officeDocument/2006/relationships/hyperlink" Target="https://www.arrow.com/en/bom-tool/" TargetMode="External"/><Relationship Id="rId197" Type="http://schemas.openxmlformats.org/officeDocument/2006/relationships/hyperlink" Target="https://www.digikey.com/ordering/shoppingcart" TargetMode="External"/><Relationship Id="rId198" Type="http://schemas.openxmlformats.org/officeDocument/2006/relationships/hyperlink" Target="https://fr.farnell.com/en-FR/quick-order?isQuickPaste=true" TargetMode="External"/><Relationship Id="rId199" Type="http://schemas.openxmlformats.org/officeDocument/2006/relationships/hyperlink" Target="https://lcsc.com/bom.html" TargetMode="External"/><Relationship Id="rId200" Type="http://schemas.openxmlformats.org/officeDocument/2006/relationships/hyperlink" Target="https://mouser.com/bom/" TargetMode="External"/><Relationship Id="rId201" Type="http://schemas.openxmlformats.org/officeDocument/2006/relationships/hyperlink" Target="https://www.newark.com/quick-order?isQuickPaste=true" TargetMode="External"/><Relationship Id="rId202" Type="http://schemas.openxmlformats.org/officeDocument/2006/relationships/hyperlink" Target="https://uk.rs-online.com/web/mylists/manualQuotes.html?method=showEnquiryCreationPage&amp;mode=new" TargetMode="External"/><Relationship Id="rId203" Type="http://schemas.openxmlformats.org/officeDocument/2006/relationships/hyperlink" Target="https://www.tme.eu/en/Profile/QuickBuy/load.html" TargetMode="External"/><Relationship Id="rId204" Type="http://schemas.openxmlformats.org/officeDocument/2006/relationships/vmlDrawing" Target="../drawings/vmlDrawing1.vml"/><Relationship Id="rId20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1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1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3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0" hidden="1" customWidth="1" outlineLevel="3" collapsed="1"/>
    <col min="27" max="27" width="16.7109375" customWidth="1"/>
    <col min="28" max="28" width="16.7109375" customWidth="1" outlineLevel="2"/>
    <col min="29" max="29" width="9.7109375" customWidth="1" outlineLevel="1"/>
    <col min="30" max="30" width="9.140625" outlineLevel="2"/>
    <col min="31" max="31" width="10.7109375" customWidth="1" outlineLevel="2"/>
    <col min="32" max="32" width="0" hidden="1" customWidth="1" outlineLevel="3" collapsed="1"/>
    <col min="33" max="33" width="16.7109375" customWidth="1"/>
    <col min="34" max="34" width="16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20.7109375" customWidth="1" outlineLevel="2"/>
    <col min="41" max="41" width="9.7109375" customWidth="1" outlineLevel="1"/>
    <col min="42" max="42" width="9.140625" outlineLevel="2"/>
    <col min="43" max="43" width="10.7109375" customWidth="1" outlineLevel="2"/>
    <col min="44" max="44" width="0" hidden="1" customWidth="1" outlineLevel="3" collapsed="1"/>
    <col min="45" max="45" width="16.7109375" customWidth="1"/>
    <col min="46" max="46" width="16.7109375" customWidth="1" outlineLevel="2"/>
    <col min="47" max="47" width="9.7109375" customWidth="1" outlineLevel="1"/>
    <col min="48" max="48" width="9.140625" outlineLevel="2"/>
    <col min="49" max="49" width="10.7109375" customWidth="1" outlineLevel="2"/>
    <col min="50" max="50" width="0" hidden="1" customWidth="1" outlineLevel="3" collapsed="1"/>
    <col min="51" max="51" width="16.7109375" customWidth="1"/>
    <col min="52" max="52" width="16.7109375" customWidth="1" outlineLevel="2"/>
    <col min="53" max="53" width="9.7109375" customWidth="1" outlineLevel="1"/>
    <col min="54" max="54" width="9.140625" outlineLevel="2"/>
    <col min="55" max="55" width="10.7109375" customWidth="1" outlineLevel="2"/>
    <col min="56" max="56" width="0" hidden="1" customWidth="1" outlineLevel="3" collapsed="1"/>
    <col min="57" max="57" width="16.7109375" customWidth="1"/>
    <col min="58" max="58" width="16.7109375" customWidth="1" outlineLevel="2"/>
  </cols>
  <sheetData>
    <row r="1" spans="1:58">
      <c r="A1" s="1" t="s">
        <v>348</v>
      </c>
      <c r="B1" s="2" t="s">
        <v>349</v>
      </c>
      <c r="I1" s="3" t="s">
        <v>354</v>
      </c>
      <c r="J1" s="3">
        <v>100</v>
      </c>
    </row>
    <row r="2" spans="1:58">
      <c r="A2" s="1" t="s">
        <v>350</v>
      </c>
      <c r="B2" s="2" t="s">
        <v>351</v>
      </c>
      <c r="I2" s="1" t="s">
        <v>356</v>
      </c>
      <c r="J2" s="4">
        <f>TotalCost/BoardQty</f>
        <v>18.8149</v>
      </c>
    </row>
    <row r="3" spans="1:58">
      <c r="A3" s="1" t="s">
        <v>352</v>
      </c>
      <c r="B3" s="2" t="s">
        <v>353</v>
      </c>
      <c r="I3" s="1" t="s">
        <v>355</v>
      </c>
      <c r="J3" s="5">
        <f>SUM(J7:J42)</f>
        <v>1881.4907</v>
      </c>
      <c r="O3" s="5">
        <f>SUM(O7:O42)</f>
        <v>299.46</v>
      </c>
      <c r="P3" s="6" t="str">
        <f>(COUNTA(O7:O42)&amp;" of "&amp;ROWS(O7:O42)&amp;" parts found")</f>
        <v>14 of 36 parts found</v>
      </c>
      <c r="U3" s="5">
        <f>SUM(U7:U42)</f>
        <v>2171.164</v>
      </c>
      <c r="V3" s="6" t="str">
        <f>(COUNTA(U7:U42)&amp;" of "&amp;ROWS(U7:U42)&amp;" parts found")</f>
        <v>31 of 36 parts found</v>
      </c>
      <c r="AA3" s="5">
        <f>SUM(AA7:AA42)</f>
        <v>1757.6788</v>
      </c>
      <c r="AB3" s="6" t="str">
        <f>(COUNTA(AA7:AA42)&amp;" of "&amp;ROWS(AA7:AA42)&amp;" parts found")</f>
        <v>28 of 36 parts found</v>
      </c>
      <c r="AG3" s="5">
        <f>SUM(AG7:AG42)</f>
        <v>82.15</v>
      </c>
      <c r="AH3" s="6" t="str">
        <f>(COUNTA(AG7:AG42)&amp;" of "&amp;ROWS(AG7:AG42)&amp;" parts found")</f>
        <v>12 of 36 parts found</v>
      </c>
      <c r="AM3" s="5">
        <f>SUM(AM7:AM42)</f>
        <v>2090.6</v>
      </c>
      <c r="AN3" s="6" t="str">
        <f>(COUNTA(AM7:AM42)&amp;" of "&amp;ROWS(AM7:AM42)&amp;" parts found")</f>
        <v>31 of 36 parts found</v>
      </c>
      <c r="AS3" s="5">
        <f>SUM(AS7:AS42)</f>
        <v>1776.1</v>
      </c>
      <c r="AT3" s="6" t="str">
        <f>(COUNTA(AS7:AS42)&amp;" of "&amp;ROWS(AS7:AS42)&amp;" parts found")</f>
        <v>28 of 36 parts found</v>
      </c>
      <c r="AY3" s="5">
        <f>SUM(AY7:AY42)</f>
        <v>364.1719</v>
      </c>
      <c r="AZ3" s="6" t="str">
        <f>(COUNTA(AY7:AY42)&amp;" of "&amp;ROWS(AY7:AY42)&amp;" parts found")</f>
        <v>14 of 36 parts found</v>
      </c>
      <c r="BE3" s="5">
        <f>SUM(BE7:BE42)</f>
        <v>133.1896</v>
      </c>
      <c r="BF3" s="6" t="str">
        <f>(COUNTA(BE7:BE42)&amp;" of "&amp;ROWS(BE7:BE42)&amp;" parts found")</f>
        <v>5 of 36 parts found</v>
      </c>
    </row>
    <row r="4" spans="1:58">
      <c r="A4" s="1" t="s">
        <v>357</v>
      </c>
      <c r="B4" s="2" t="s">
        <v>358</v>
      </c>
    </row>
    <row r="5" spans="1:58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182</v>
      </c>
      <c r="L5" s="8"/>
      <c r="M5" s="8"/>
      <c r="N5" s="8"/>
      <c r="O5" s="8"/>
      <c r="P5" s="8"/>
      <c r="Q5" s="9" t="s">
        <v>190</v>
      </c>
      <c r="R5" s="9"/>
      <c r="S5" s="9"/>
      <c r="T5" s="9"/>
      <c r="U5" s="9"/>
      <c r="V5" s="9"/>
      <c r="W5" s="10" t="s">
        <v>223</v>
      </c>
      <c r="X5" s="10"/>
      <c r="Y5" s="10"/>
      <c r="Z5" s="10"/>
      <c r="AA5" s="10"/>
      <c r="AB5" s="10"/>
      <c r="AC5" s="11" t="s">
        <v>252</v>
      </c>
      <c r="AD5" s="11"/>
      <c r="AE5" s="11"/>
      <c r="AF5" s="11"/>
      <c r="AG5" s="11"/>
      <c r="AH5" s="11"/>
      <c r="AI5" s="12" t="s">
        <v>265</v>
      </c>
      <c r="AJ5" s="12"/>
      <c r="AK5" s="12"/>
      <c r="AL5" s="12"/>
      <c r="AM5" s="12"/>
      <c r="AN5" s="12"/>
      <c r="AO5" s="13" t="s">
        <v>297</v>
      </c>
      <c r="AP5" s="13"/>
      <c r="AQ5" s="13"/>
      <c r="AR5" s="13"/>
      <c r="AS5" s="13"/>
      <c r="AT5" s="13"/>
      <c r="AU5" s="14" t="s">
        <v>326</v>
      </c>
      <c r="AV5" s="14"/>
      <c r="AW5" s="14"/>
      <c r="AX5" s="14"/>
      <c r="AY5" s="14"/>
      <c r="AZ5" s="14"/>
      <c r="BA5" s="15" t="s">
        <v>341</v>
      </c>
      <c r="BB5" s="15"/>
      <c r="BC5" s="15"/>
      <c r="BD5" s="15"/>
      <c r="BE5" s="15"/>
      <c r="BF5" s="15"/>
    </row>
    <row r="6" spans="1:5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183</v>
      </c>
      <c r="L6" s="16" t="s">
        <v>184</v>
      </c>
      <c r="M6" s="16" t="s">
        <v>9</v>
      </c>
      <c r="N6" s="16" t="s">
        <v>185</v>
      </c>
      <c r="O6" s="16" t="s">
        <v>10</v>
      </c>
      <c r="P6" s="16" t="s">
        <v>186</v>
      </c>
      <c r="Q6" s="16" t="s">
        <v>183</v>
      </c>
      <c r="R6" s="16" t="s">
        <v>184</v>
      </c>
      <c r="S6" s="16" t="s">
        <v>9</v>
      </c>
      <c r="T6" s="16" t="s">
        <v>185</v>
      </c>
      <c r="U6" s="16" t="s">
        <v>10</v>
      </c>
      <c r="V6" s="16" t="s">
        <v>186</v>
      </c>
      <c r="W6" s="16" t="s">
        <v>183</v>
      </c>
      <c r="X6" s="16" t="s">
        <v>184</v>
      </c>
      <c r="Y6" s="16" t="s">
        <v>9</v>
      </c>
      <c r="Z6" s="16" t="s">
        <v>185</v>
      </c>
      <c r="AA6" s="16" t="s">
        <v>10</v>
      </c>
      <c r="AB6" s="16" t="s">
        <v>186</v>
      </c>
      <c r="AC6" s="16" t="s">
        <v>183</v>
      </c>
      <c r="AD6" s="16" t="s">
        <v>184</v>
      </c>
      <c r="AE6" s="16" t="s">
        <v>9</v>
      </c>
      <c r="AF6" s="16" t="s">
        <v>185</v>
      </c>
      <c r="AG6" s="16" t="s">
        <v>10</v>
      </c>
      <c r="AH6" s="16" t="s">
        <v>186</v>
      </c>
      <c r="AI6" s="16" t="s">
        <v>183</v>
      </c>
      <c r="AJ6" s="16" t="s">
        <v>184</v>
      </c>
      <c r="AK6" s="16" t="s">
        <v>9</v>
      </c>
      <c r="AL6" s="16" t="s">
        <v>185</v>
      </c>
      <c r="AM6" s="16" t="s">
        <v>10</v>
      </c>
      <c r="AN6" s="16" t="s">
        <v>186</v>
      </c>
      <c r="AO6" s="16" t="s">
        <v>183</v>
      </c>
      <c r="AP6" s="16" t="s">
        <v>184</v>
      </c>
      <c r="AQ6" s="16" t="s">
        <v>9</v>
      </c>
      <c r="AR6" s="16" t="s">
        <v>185</v>
      </c>
      <c r="AS6" s="16" t="s">
        <v>10</v>
      </c>
      <c r="AT6" s="16" t="s">
        <v>186</v>
      </c>
      <c r="AU6" s="16" t="s">
        <v>183</v>
      </c>
      <c r="AV6" s="16" t="s">
        <v>184</v>
      </c>
      <c r="AW6" s="16" t="s">
        <v>9</v>
      </c>
      <c r="AX6" s="16" t="s">
        <v>185</v>
      </c>
      <c r="AY6" s="16" t="s">
        <v>10</v>
      </c>
      <c r="AZ6" s="16" t="s">
        <v>186</v>
      </c>
      <c r="BA6" s="16" t="s">
        <v>183</v>
      </c>
      <c r="BB6" s="16" t="s">
        <v>184</v>
      </c>
      <c r="BC6" s="16" t="s">
        <v>9</v>
      </c>
      <c r="BD6" s="16" t="s">
        <v>185</v>
      </c>
      <c r="BE6" s="16" t="s">
        <v>10</v>
      </c>
      <c r="BF6" s="16" t="s">
        <v>186</v>
      </c>
    </row>
    <row r="7" spans="1:58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f>CEILING(BoardQty*4.0,1)</f>
        <v>400</v>
      </c>
      <c r="I7" s="18">
        <f>IF(MIN(M7,S7,Y7,AE7,AK7,AQ7,AW7,BC7)&lt;&gt;0,MIN(M7,S7,Y7,AE7,AK7,AQ7,AW7,BC7),"")</f>
        <v>0.0322</v>
      </c>
      <c r="J7" s="19">
        <f>IF(AND(ISNUMBER(H7),ISNUMBER(I7)),H7*I7,"")</f>
        <v>12.88</v>
      </c>
      <c r="K7" s="17">
        <v>9005</v>
      </c>
      <c r="L7" s="17"/>
      <c r="M7" s="18">
        <f>IFERROR(IF(OR(L7&gt;=N7,H7&gt;=N7),LOOKUP(IF(L7="",H7,L7),{0,1,10,25,100,250,500,1000,3000,6000},{0.0,0.2526,0.183,0.1126,0.0946,0.0936,0.0924,0.0801,0.0534,0.0532}),"MOQ="&amp;N7),"")</f>
        <v>0.0936</v>
      </c>
      <c r="N7" s="17">
        <v>1</v>
      </c>
      <c r="O7" s="19">
        <f>IFERROR(IF(L7="",H7,L7)*M7,"")</f>
        <v>37.44</v>
      </c>
      <c r="P7" s="17" t="s">
        <v>17</v>
      </c>
      <c r="Q7" s="17">
        <v>21504</v>
      </c>
      <c r="R7" s="17"/>
      <c r="S7" s="18">
        <f>IFERROR(IF(OR(R7&gt;=T7,H7&gt;=T7),LOOKUP(IF(R7="",H7,R7),{0,1,10,50,100,500,1000,2500,5000,10000,20000,30000,50000,100000,250000},{0.0,0.28,0.19,0.1138,0.0961,0.06578,0.05819,0.05566,0.0506,0.04807,0.04554,0.04301,0.04048,0.03416,0.03163}),"MOQ="&amp;T7),"")</f>
        <v>0.0961</v>
      </c>
      <c r="T7" s="17">
        <v>1</v>
      </c>
      <c r="U7" s="19">
        <f>IFERROR(IF(R7="",H7,R7)*S7,"")</f>
        <v>38.44</v>
      </c>
      <c r="V7" s="17" t="s">
        <v>191</v>
      </c>
      <c r="W7" s="17">
        <v>45549</v>
      </c>
      <c r="X7" s="17"/>
      <c r="Y7" s="18">
        <f>IFERROR(IF(OR(X7&gt;=Z7,H7&gt;=Z7),USD_GBP*LOOKUP(IF(X7="",H7,X7),{0,1,10,100,500,2500,5000,10000,50000},{0.0,0.088,0.088,0.075,0.046,0.043,0.04,0.034,0.0333}),"MOQ="&amp;Z7),"")</f>
        <v>0.09810665068903535</v>
      </c>
      <c r="Z7" s="17">
        <v>10</v>
      </c>
      <c r="AA7" s="19">
        <f>IFERROR(IF(X7="",H7,X7)*Y7,"")</f>
        <v>39.2427</v>
      </c>
      <c r="AB7" s="17" t="s">
        <v>224</v>
      </c>
      <c r="AC7" s="17">
        <v>6010</v>
      </c>
      <c r="AD7" s="17"/>
      <c r="AE7" s="18">
        <f>IFERROR(IF(OR(AD7&gt;=AF7,H7&gt;=AF7),LOOKUP(IF(AD7="",H7,AD7),{0,1,10,100,300,1000,5000,10000},{0.0,0.0483,0.0483,0.039,0.0322,0.0261,0.0251,0.0247}),"MOQ="&amp;AF7),"")</f>
        <v>0.0322</v>
      </c>
      <c r="AF7" s="17">
        <v>10</v>
      </c>
      <c r="AG7" s="19">
        <f>IFERROR(IF(AD7="",H7,AD7)*AE7,"")</f>
        <v>12.88</v>
      </c>
      <c r="AH7" s="17" t="s">
        <v>253</v>
      </c>
      <c r="AI7" s="17">
        <v>4715</v>
      </c>
      <c r="AJ7" s="17"/>
      <c r="AK7" s="18">
        <f>IFERROR(IF(OR(AJ7&gt;=AL7,H7&gt;=AL7),LOOKUP(IF(AJ7="",H7,AJ7),{0,1,10,50,100,1000,10000},{0.0,0.28,0.114,0.114,0.097,0.059,0.048}),"MOQ="&amp;AL7),"")</f>
        <v>0.097</v>
      </c>
      <c r="AL7" s="17">
        <v>1</v>
      </c>
      <c r="AM7" s="19">
        <f>IFERROR(IF(AJ7="",H7,AJ7)*AK7,"")</f>
        <v>38.8</v>
      </c>
      <c r="AN7" s="17" t="s">
        <v>266</v>
      </c>
      <c r="AO7" s="17">
        <v>45549</v>
      </c>
      <c r="AP7" s="17"/>
      <c r="AQ7" s="18">
        <f>IFERROR(IF(OR(AP7&gt;=AR7,H7&gt;=AR7),LOOKUP(IF(AP7="",H7,AP7),{0,1,10,25,50,100},{0.0,0.336,0.137,0.13,0.123,0.116}),"MOQ="&amp;AR7),"")</f>
        <v>0.116</v>
      </c>
      <c r="AR7" s="17">
        <v>1</v>
      </c>
      <c r="AS7" s="19">
        <f>IFERROR(IF(AP7="",H7,AP7)*AQ7,"")</f>
        <v>46.4</v>
      </c>
      <c r="AT7" s="17" t="s">
        <v>298</v>
      </c>
    </row>
    <row r="8" spans="1:58">
      <c r="A8" s="17" t="s">
        <v>18</v>
      </c>
      <c r="B8" s="17" t="s">
        <v>12</v>
      </c>
      <c r="C8" s="17" t="s">
        <v>19</v>
      </c>
      <c r="D8" s="17" t="s">
        <v>20</v>
      </c>
      <c r="E8" s="17" t="s">
        <v>21</v>
      </c>
      <c r="F8" s="17" t="s">
        <v>16</v>
      </c>
      <c r="G8" s="17" t="s">
        <v>22</v>
      </c>
      <c r="H8" s="17">
        <f>CEILING(BoardQty*3.0,1)</f>
        <v>300</v>
      </c>
      <c r="I8" s="18">
        <f>IF(MIN(M8,S8,Y8,AE8,AK8,AQ8,AW8,BC8)&lt;&gt;0,MIN(M8,S8,Y8,AE8,AK8,AQ8,AW8,BC8),"")</f>
        <v>0.0353</v>
      </c>
      <c r="J8" s="19">
        <f>IF(AND(ISNUMBER(H8),ISNUMBER(I8)),H8*I8,"")</f>
        <v>10.59</v>
      </c>
      <c r="K8" s="17">
        <v>22278</v>
      </c>
      <c r="L8" s="17"/>
      <c r="M8" s="18">
        <f>IFERROR(IF(OR(L8&gt;=N8,H8&gt;=N8),LOOKUP(IF(L8="",H8,L8),{0,1,15000},{0.0,0.0515,0.0515}),"MOQ="&amp;N8),"")</f>
        <v/>
      </c>
      <c r="N8" s="17">
        <v>15000</v>
      </c>
      <c r="O8" s="19">
        <f>IFERROR(IF(L8="",H8,L8)*M8,"")</f>
        <v/>
      </c>
      <c r="P8" s="17" t="s">
        <v>22</v>
      </c>
      <c r="Q8" s="17">
        <v>1214472</v>
      </c>
      <c r="R8" s="17"/>
      <c r="S8" s="18">
        <f>IFERROR(IF(OR(R8&gt;=T8,H8&gt;=T8),LOOKUP(IF(R8="",H8,R8),{0,1,10,50,100,500,1000,2500,5000,15000,30000,75000,105000},{0.0,0.24,0.165,0.11,0.0935,0.066,0.05775,0.055,0.05088,0.04565,0.044,0.04125,0.03644}),"MOQ="&amp;T8),"")</f>
        <v>0.0935</v>
      </c>
      <c r="T8" s="17">
        <v>1</v>
      </c>
      <c r="U8" s="19">
        <f>IFERROR(IF(R8="",H8,R8)*S8,"")</f>
        <v>28.05</v>
      </c>
      <c r="V8" s="17" t="s">
        <v>192</v>
      </c>
      <c r="W8" s="20" t="s">
        <v>197</v>
      </c>
      <c r="X8" s="17"/>
      <c r="Y8" s="18">
        <f>IFERROR(IF(OR(X8&gt;=Z8,H8&gt;=Z8),USD_GBP*LOOKUP(IF(X8="",H8,X8),{0,1,10,100,500,2500,7500,15000,75000},{0.0,0.0857,0.0857,0.0735,0.0459,0.0408,0.0398,0.039,0.0382}),"MOQ="&amp;Z8),"")</f>
        <v>0.09614451767525463</v>
      </c>
      <c r="Z8" s="17">
        <v>10</v>
      </c>
      <c r="AA8" s="19">
        <f>IFERROR(IF(X8="",H8,X8)*Y8,"")</f>
        <v>28.8434</v>
      </c>
      <c r="AB8" s="17" t="s">
        <v>225</v>
      </c>
      <c r="AC8" s="17">
        <v>19250</v>
      </c>
      <c r="AD8" s="17"/>
      <c r="AE8" s="18">
        <f>IFERROR(IF(OR(AD8&gt;=AF8,H8&gt;=AF8),LOOKUP(IF(AD8="",H8,AD8),{0,1,10,100,300,1000,5000,10000},{0.0,0.0499,0.0499,0.0414,0.0353,0.0242,0.0235,0.0232}),"MOQ="&amp;AF8),"")</f>
        <v>0.0353</v>
      </c>
      <c r="AF8" s="17">
        <v>10</v>
      </c>
      <c r="AG8" s="19">
        <f>IFERROR(IF(AD8="",H8,AD8)*AE8,"")</f>
        <v>10.59</v>
      </c>
      <c r="AH8" s="17" t="s">
        <v>254</v>
      </c>
      <c r="AI8" s="17">
        <v>1198227</v>
      </c>
      <c r="AJ8" s="17"/>
      <c r="AK8" s="18">
        <f>IFERROR(IF(OR(AJ8&gt;=AL8,H8&gt;=AL8),LOOKUP(IF(AJ8="",H8,AJ8),{0,1,10,50,100,1000,10000},{0.0,0.24,0.119,0.119,0.094,0.067,0.052}),"MOQ="&amp;AL8),"")</f>
        <v>0.094</v>
      </c>
      <c r="AL8" s="17">
        <v>1</v>
      </c>
      <c r="AM8" s="19">
        <f>IFERROR(IF(AJ8="",H8,AJ8)*AK8,"")</f>
        <v>28.2</v>
      </c>
      <c r="AN8" s="17" t="s">
        <v>267</v>
      </c>
      <c r="AO8" s="20" t="s">
        <v>197</v>
      </c>
      <c r="AP8" s="17"/>
      <c r="AQ8" s="18">
        <f>IFERROR(IF(OR(AP8&gt;=AR8,H8&gt;=AR8),LOOKUP(IF(AP8="",H8,AP8),{0,1,10,25,50,100,15000},{0.0,0.288,0.132,0.126,0.119,0.113,0.062}),"MOQ="&amp;AR8),"")</f>
        <v>0.113</v>
      </c>
      <c r="AR8" s="17">
        <v>1</v>
      </c>
      <c r="AS8" s="19">
        <f>IFERROR(IF(AP8="",H8,AP8)*AQ8,"")</f>
        <v>33.9</v>
      </c>
      <c r="AT8" s="17" t="s">
        <v>299</v>
      </c>
    </row>
    <row r="9" spans="1:58">
      <c r="A9" s="17" t="s">
        <v>23</v>
      </c>
      <c r="B9" s="17" t="s">
        <v>12</v>
      </c>
      <c r="C9" s="17" t="s">
        <v>24</v>
      </c>
      <c r="D9" s="17" t="s">
        <v>25</v>
      </c>
      <c r="E9" s="17" t="s">
        <v>21</v>
      </c>
      <c r="F9" s="17" t="s">
        <v>16</v>
      </c>
      <c r="G9" s="17" t="s">
        <v>26</v>
      </c>
      <c r="H9" s="17">
        <f>CEILING(BoardQty*3.0,1)</f>
        <v>300</v>
      </c>
      <c r="I9" s="18">
        <f>IF(MIN(M9,S9,Y9,AE9,AK9,AQ9,AW9,BC9)&lt;&gt;0,MIN(M9,S9,Y9,AE9,AK9,AQ9,AW9,BC9),"")</f>
        <v>0.0853</v>
      </c>
      <c r="J9" s="19">
        <f>IF(AND(ISNUMBER(H9),ISNUMBER(I9)),H9*I9,"")</f>
        <v>25.59</v>
      </c>
      <c r="K9" s="17">
        <v>90074</v>
      </c>
      <c r="L9" s="17"/>
      <c r="M9" s="18">
        <f>IFERROR(IF(OR(L9&gt;=N9,H9&gt;=N9),LOOKUP(IF(L9="",H9,L9),{0,1,10,25,100,250,500,1000,3000,6000,15000,30000,75000},{0.0,0.3745,0.2169,0.2147,0.1777,0.1744,0.1631,0.0988,0.0978,0.0936,0.0927,0.0887,0.0822}),"MOQ="&amp;N9),"")</f>
        <v>0.1744</v>
      </c>
      <c r="N9" s="17">
        <v>1</v>
      </c>
      <c r="O9" s="19">
        <f>IFERROR(IF(L9="",H9,L9)*M9,"")</f>
        <v>52.32</v>
      </c>
      <c r="P9" s="17" t="s">
        <v>26</v>
      </c>
      <c r="Q9" s="17">
        <v>1639292</v>
      </c>
      <c r="R9" s="17"/>
      <c r="S9" s="18">
        <f>IFERROR(IF(OR(R9&gt;=T9,H9&gt;=T9),LOOKUP(IF(R9="",H9,R9),{0,1,10,50,100,500,1000,2500,5000,10000,20000,30000,50000,100000},{0.0,0.34,0.234,0.1562,0.1328,0.09372,0.082,0.0781,0.07224,0.06834,0.06482,0.06248,0.05858,0.05174}),"MOQ="&amp;T9),"")</f>
        <v>0.1328</v>
      </c>
      <c r="T9" s="17">
        <v>1</v>
      </c>
      <c r="U9" s="19">
        <f>IFERROR(IF(R9="",H9,R9)*S9,"")</f>
        <v>39.84</v>
      </c>
      <c r="V9" s="17" t="s">
        <v>193</v>
      </c>
      <c r="W9" s="17">
        <v>30</v>
      </c>
      <c r="X9" s="17"/>
      <c r="Y9" s="18">
        <f>IFERROR(IF(OR(X9&gt;=Z9,H9&gt;=Z9),USD_GBP*LOOKUP(IF(X9="",H9,X9),{0,1,10,100,500,2500,5000,10000,50000},{0.0,0.158,0.158,0.136,0.086,0.082,0.077,0.0836,0.0716}),"MOQ="&amp;Z9),"")</f>
        <v>0.17790005991611743</v>
      </c>
      <c r="Z9" s="17">
        <v>10</v>
      </c>
      <c r="AA9" s="19">
        <f>IFERROR(IF(X9="",H9,X9)*Y9,"")</f>
        <v>53.37</v>
      </c>
      <c r="AB9" s="17" t="s">
        <v>226</v>
      </c>
      <c r="AC9" s="17">
        <v>29450</v>
      </c>
      <c r="AD9" s="17"/>
      <c r="AE9" s="18">
        <f>IFERROR(IF(OR(AD9&gt;=AF9,H9&gt;=AF9),LOOKUP(IF(AD9="",H9,AD9),{0,1,5,50,150,500,2500,5000},{0.0,0.122,0.122,0.1007,0.0853,0.0581,0.0564,0.0555}),"MOQ="&amp;AF9),"")</f>
        <v>0.0853</v>
      </c>
      <c r="AF9" s="17">
        <v>5</v>
      </c>
      <c r="AG9" s="19">
        <f>IFERROR(IF(AD9="",H9,AD9)*AE9,"")</f>
        <v>25.59</v>
      </c>
      <c r="AH9" s="17" t="s">
        <v>255</v>
      </c>
      <c r="AI9" s="17">
        <v>612544</v>
      </c>
      <c r="AJ9" s="17"/>
      <c r="AK9" s="18">
        <f>IFERROR(IF(OR(AJ9&gt;=AL9,H9&gt;=AL9),LOOKUP(IF(AJ9="",H9,AJ9),{0,1,10,50,100,1000,10000},{0.0,0.34,0.157,0.157,0.133,0.082,0.068}),"MOQ="&amp;AL9),"")</f>
        <v>0.133</v>
      </c>
      <c r="AL9" s="17">
        <v>1</v>
      </c>
      <c r="AM9" s="19">
        <f>IFERROR(IF(AJ9="",H9,AJ9)*AK9,"")</f>
        <v>39.9</v>
      </c>
      <c r="AN9" s="17" t="s">
        <v>268</v>
      </c>
      <c r="AO9" s="20" t="s">
        <v>197</v>
      </c>
      <c r="AP9" s="17"/>
      <c r="AQ9" s="18">
        <f>IFERROR(IF(OR(AP9&gt;=AR9,H9&gt;=AR9),LOOKUP(IF(AP9="",H9,AP9),{0,1,10,25,50,100,10000,20000},{0.0,0.504,0.247,0.236,0.224,0.212,0.111,0.109}),"MOQ="&amp;AR9),"")</f>
        <v>0.212</v>
      </c>
      <c r="AR9" s="17">
        <v>1</v>
      </c>
      <c r="AS9" s="19">
        <f>IFERROR(IF(AP9="",H9,AP9)*AQ9,"")</f>
        <v>63.6</v>
      </c>
      <c r="AT9" s="17" t="s">
        <v>300</v>
      </c>
    </row>
    <row r="10" spans="1:58" ht="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21</v>
      </c>
      <c r="F10" s="17" t="s">
        <v>16</v>
      </c>
      <c r="G10" s="17" t="s">
        <v>31</v>
      </c>
      <c r="H10" s="17">
        <f>CEILING(BoardQty*12.0,1)</f>
        <v>1200</v>
      </c>
      <c r="I10" s="18">
        <f>IF(MIN(M10,S10,Y10,AE10,AK10,AQ10,AW10,BC10)&lt;&gt;0,MIN(M10,S10,Y10,AE10,AK10,AQ10,AW10,BC10),"")</f>
        <v>0.0036</v>
      </c>
      <c r="J10" s="19">
        <f>IF(AND(ISNUMBER(H10),ISNUMBER(I10)),H10*I10,"")</f>
        <v>4.32</v>
      </c>
      <c r="K10" s="17">
        <v>115702</v>
      </c>
      <c r="L10" s="17"/>
      <c r="M10" s="18">
        <f>IFERROR(IF(OR(L10&gt;=N10,H10&gt;=N10),LOOKUP(IF(L10="",H10,L10),{0,1,15000},{0.0,0.0067,0.0067}),"MOQ="&amp;N10),"")</f>
        <v/>
      </c>
      <c r="N10" s="17">
        <v>15000</v>
      </c>
      <c r="O10" s="19">
        <f>IFERROR(IF(L10="",H10,L10)*M10,"")</f>
        <v/>
      </c>
      <c r="P10" s="17" t="s">
        <v>31</v>
      </c>
      <c r="Q10" s="17">
        <v>2576632</v>
      </c>
      <c r="R10" s="17"/>
      <c r="S10" s="18">
        <f>IFERROR(IF(OR(R10&gt;=T10,H10&gt;=T10),LOOKUP(IF(R10="",H10,R10),{0,1,10,50,100,500,1000,2500,5000,15000,30000,75000,105000,150000,375000},{0.0,0.1,0.033,0.0178,0.0146,0.0104,0.00817,0.00742,0.00683,0.00594,0.00564,0.00505,0.00408,0.00395,0.00371}),"MOQ="&amp;T10),"")</f>
        <v>0.00817</v>
      </c>
      <c r="T10" s="17">
        <v>1</v>
      </c>
      <c r="U10" s="19">
        <f>IFERROR(IF(R10="",H10,R10)*S10,"")</f>
        <v>9.804</v>
      </c>
      <c r="V10" s="17" t="s">
        <v>194</v>
      </c>
      <c r="W10" s="17">
        <v>210000</v>
      </c>
      <c r="X10" s="17"/>
      <c r="Y10" s="18">
        <f>IFERROR(IF(OR(X10&gt;=Z10,H10&gt;=Z10),USD_GBP*LOOKUP(IF(X10="",H10,X10),{0,1,10,100,500,2500,7500,15000,75000},{0.0,0.0271,0.0271,0.0114,0.0073,0.0052,0.0051,0.0054,0.0047}),"MOQ="&amp;Z10),"")</f>
        <v>0.009549047333732774</v>
      </c>
      <c r="Z10" s="17">
        <v>10</v>
      </c>
      <c r="AA10" s="19">
        <f>IFERROR(IF(X10="",H10,X10)*Y10,"")</f>
        <v>11.4589</v>
      </c>
      <c r="AB10" s="17" t="s">
        <v>227</v>
      </c>
      <c r="AC10" s="17">
        <v>21600</v>
      </c>
      <c r="AD10" s="17"/>
      <c r="AE10" s="18">
        <f>IFERROR(IF(OR(AD10&gt;=AF10,H10&gt;=AF10),LOOKUP(IF(AD10="",H10,AD10),{0,1,100,1000,3000,10000,50000,100000},{0.0,0.0043,0.0043,0.0036,0.0031,0.0019,0.0019,0.0019}),"MOQ="&amp;AF10),"")</f>
        <v>0.0036</v>
      </c>
      <c r="AF10" s="17">
        <v>100</v>
      </c>
      <c r="AG10" s="19">
        <f>IFERROR(IF(AD10="",H10,AD10)*AE10,"")</f>
        <v>4.32</v>
      </c>
      <c r="AH10" s="17" t="s">
        <v>256</v>
      </c>
      <c r="AI10" s="17">
        <v>350407</v>
      </c>
      <c r="AJ10" s="17"/>
      <c r="AK10" s="18">
        <f>IFERROR(IF(OR(AJ10&gt;=AL10,H10&gt;=AL10),LOOKUP(IF(AJ10="",H10,AJ10),{0,1,10,50,100,1000,10000},{0.0,0.1,0.034,0.034,0.015,0.009,0.007}),"MOQ="&amp;AL10),"")</f>
        <v>0.009</v>
      </c>
      <c r="AL10" s="17">
        <v>1</v>
      </c>
      <c r="AM10" s="19">
        <f>IFERROR(IF(AJ10="",H10,AJ10)*AK10,"")</f>
        <v>10.8</v>
      </c>
      <c r="AN10" s="17" t="s">
        <v>269</v>
      </c>
      <c r="AO10" s="17">
        <v>210000</v>
      </c>
      <c r="AP10" s="17"/>
      <c r="AQ10" s="18">
        <f>IFERROR(IF(OR(AP10&gt;=AR10,H10&gt;=AR10),LOOKUP(IF(AP10="",H10,AP10),{0,1,10,25,50,100,15000},{0.0,0.12,0.041,0.033,0.026,0.018,0.008}),"MOQ="&amp;AR10),"")</f>
        <v>0.018</v>
      </c>
      <c r="AR10" s="17">
        <v>1</v>
      </c>
      <c r="AS10" s="19">
        <f>IFERROR(IF(AP10="",H10,AP10)*AQ10,"")</f>
        <v>21.6</v>
      </c>
      <c r="AT10" s="17" t="s">
        <v>301</v>
      </c>
      <c r="AU10" s="17">
        <v>21000</v>
      </c>
      <c r="AV10" s="17"/>
      <c r="AW10" s="18">
        <f>IFERROR(IF(OR(AV10&gt;=AX10,H10&gt;=AX10),USD_GBP*LOOKUP(IF(AV10="",H10,AV10),{0,1,1000,5000,10000,15000,60000},{0.0,0.007,0.007,0.006,0.006,0.004,0.004}),"MOQ="&amp;AX10),"")</f>
        <v>0.009156620730976632</v>
      </c>
      <c r="AX10" s="17">
        <v>1000</v>
      </c>
      <c r="AY10" s="19">
        <f>IFERROR(IF(AV10="",H10,AV10)*AW10,"")</f>
        <v>10.9879</v>
      </c>
      <c r="AZ10" s="17" t="s">
        <v>327</v>
      </c>
    </row>
    <row r="11" spans="1:58">
      <c r="A11" s="17" t="s">
        <v>32</v>
      </c>
      <c r="B11" s="17" t="s">
        <v>12</v>
      </c>
      <c r="C11" s="17" t="s">
        <v>33</v>
      </c>
      <c r="D11" s="17" t="s">
        <v>34</v>
      </c>
      <c r="E11" s="17" t="s">
        <v>35</v>
      </c>
      <c r="F11" s="17" t="s">
        <v>16</v>
      </c>
      <c r="G11" s="17" t="s">
        <v>36</v>
      </c>
      <c r="H11" s="17">
        <f>CEILING(BoardQty*1.0,1)</f>
        <v>100</v>
      </c>
      <c r="I11" s="18">
        <f>IF(MIN(M11,S11,Y11,AE11,AK11,AQ11,AW11,BC11)&lt;&gt;0,MIN(M11,S11,Y11,AE11,AK11,AQ11,AW11,BC11),"")</f>
        <v>0.0308</v>
      </c>
      <c r="J11" s="19">
        <f>IF(AND(ISNUMBER(H11),ISNUMBER(I11)),H11*I11,"")</f>
        <v>3.08</v>
      </c>
      <c r="K11" s="17">
        <v>899</v>
      </c>
      <c r="L11" s="17"/>
      <c r="M11" s="18">
        <f>IFERROR(IF(OR(L11&gt;=N11,H11&gt;=N11),LOOKUP(IF(L11="",H11,L11),{0,1,10,25,50,100,250,500},{0.0,0.3276,0.2414,0.2389,0.17,0.1445,0.1431,0.1164}),"MOQ="&amp;N11),"")</f>
        <v>0.1445</v>
      </c>
      <c r="N11" s="17">
        <v>1</v>
      </c>
      <c r="O11" s="19">
        <f>IFERROR(IF(L11="",H11,L11)*M11,"")</f>
        <v>14.45</v>
      </c>
      <c r="P11" s="17" t="s">
        <v>36</v>
      </c>
      <c r="Q11" s="17">
        <v>4534</v>
      </c>
      <c r="R11" s="17"/>
      <c r="S11" s="18">
        <f>IFERROR(IF(OR(R11&gt;=T11,H11&gt;=T11),LOOKUP(IF(R11="",H11,R11),{0,1,10,50,100,500,1000,4000,8000,12000,28000,100000},{0.0,0.29,0.202,0.1346,0.1144,0.08078,0.07069,0.06227,0.05891,0.05588,0.05386,0.0446}),"MOQ="&amp;T11),"")</f>
        <v>0.1144</v>
      </c>
      <c r="T11" s="17">
        <v>1</v>
      </c>
      <c r="U11" s="19">
        <f>IFERROR(IF(R11="",H11,R11)*S11,"")</f>
        <v>11.44</v>
      </c>
      <c r="V11" s="17" t="s">
        <v>195</v>
      </c>
      <c r="W11" s="17">
        <v>10070</v>
      </c>
      <c r="X11" s="17"/>
      <c r="Y11" s="18">
        <f>IFERROR(IF(OR(X11&gt;=Z11,H11&gt;=Z11),USD_GBP*LOOKUP(IF(X11="",H11,X11),{0,1,10,100,500,1000,2000,4000,20000},{0.0,0.198,0.198,0.119,0.09,0.076,0.07,0.064,0.0627}),"MOQ="&amp;Z11),"")</f>
        <v>0.15566255242660273</v>
      </c>
      <c r="Z11" s="17">
        <v>10</v>
      </c>
      <c r="AA11" s="19">
        <f>IFERROR(IF(X11="",H11,X11)*Y11,"")</f>
        <v>15.5663</v>
      </c>
      <c r="AB11" s="17" t="s">
        <v>228</v>
      </c>
      <c r="AC11" s="17">
        <v>3445</v>
      </c>
      <c r="AD11" s="17"/>
      <c r="AE11" s="18">
        <f>IFERROR(IF(OR(AD11&gt;=AF11,H11&gt;=AF11),LOOKUP(IF(AD11="",H11,AD11),{0,1,5,50,150,500,2500,5000},{0.0,0.0381,0.0381,0.0308,0.0255,0.0212,0.0204,0.0201}),"MOQ="&amp;AF11),"")</f>
        <v>0.0308</v>
      </c>
      <c r="AF11" s="17">
        <v>5</v>
      </c>
      <c r="AG11" s="19">
        <f>IFERROR(IF(AD11="",H11,AD11)*AE11,"")</f>
        <v>3.08</v>
      </c>
      <c r="AH11" s="17" t="s">
        <v>257</v>
      </c>
      <c r="AI11" s="17">
        <v>3860</v>
      </c>
      <c r="AJ11" s="17"/>
      <c r="AK11" s="18">
        <f>IFERROR(IF(OR(AJ11&gt;=AL11,H11&gt;=AL11),LOOKUP(IF(AJ11="",H11,AJ11),{0,1,10,50,100,1000,10000},{0.0,0.29,0.135,0.135,0.115,0.071,0.053}),"MOQ="&amp;AL11),"")</f>
        <v>0.115</v>
      </c>
      <c r="AL11" s="17">
        <v>1</v>
      </c>
      <c r="AM11" s="19">
        <f>IFERROR(IF(AJ11="",H11,AJ11)*AK11,"")</f>
        <v>11.5</v>
      </c>
      <c r="AN11" s="17" t="s">
        <v>270</v>
      </c>
      <c r="AO11" s="17">
        <v>10070</v>
      </c>
      <c r="AP11" s="17"/>
      <c r="AQ11" s="18">
        <f>IFERROR(IF(OR(AP11&gt;=AR11,H11&gt;=AR11),LOOKUP(IF(AP11="",H11,AP11),{0,1,10,25,50,100},{0.0,0.444,0.31,0.268,0.226,0.185}),"MOQ="&amp;AR11),"")</f>
        <v>0.185</v>
      </c>
      <c r="AR11" s="17">
        <v>1</v>
      </c>
      <c r="AS11" s="19">
        <f>IFERROR(IF(AP11="",H11,AP11)*AQ11,"")</f>
        <v>18.5</v>
      </c>
      <c r="AT11" s="17" t="s">
        <v>302</v>
      </c>
    </row>
    <row r="12" spans="1:58">
      <c r="A12" s="17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>
        <f>CEILING(BoardQty*2.0,1)</f>
        <v>200</v>
      </c>
      <c r="I12" s="18">
        <f>IF(MIN(M12,S12,Y12,AE12,AK12,AQ12,AW12,BC12)&lt;&gt;0,MIN(M12,S12,Y12,AE12,AK12,AQ12,AW12,BC12),"")</f>
        <v>0.15566255242660273</v>
      </c>
      <c r="J12" s="19">
        <f>IF(AND(ISNUMBER(H12),ISNUMBER(I12)),H12*I12,"")</f>
        <v>31.1325</v>
      </c>
      <c r="Q12" s="20" t="s">
        <v>197</v>
      </c>
      <c r="R12" s="17"/>
      <c r="S12" s="18">
        <f>IFERROR(IF(OR(R12&gt;=T12,H12&gt;=T12),LOOKUP(IF(R12="",H12,R12),{0,1,10,50,100,500,1000,4000},{0.0,0.39,0.27,0.1888,0.1618,0.12136,0.10248,0.09169}),"MOQ="&amp;T12),"")</f>
        <v>0.1618</v>
      </c>
      <c r="T12" s="17">
        <v>1</v>
      </c>
      <c r="U12" s="19">
        <f>IFERROR(IF(R12="",H12,R12)*S12,"")</f>
        <v>32.36</v>
      </c>
      <c r="V12" s="17" t="s">
        <v>196</v>
      </c>
      <c r="W12" s="20" t="s">
        <v>197</v>
      </c>
      <c r="X12" s="17"/>
      <c r="Y12" s="18">
        <f>IFERROR(IF(OR(X12&gt;=Z12,H12&gt;=Z12),USD_GBP*LOOKUP(IF(X12="",H12,X12),{0,1,10,100,500,1000,2000,4000,20000},{0.0,0.216,0.216,0.129,0.0969,0.0813,0.0796,0.0741,0.0614}),"MOQ="&amp;Z12),"")</f>
        <v>0.1687434391851408</v>
      </c>
      <c r="Z12" s="17">
        <v>10</v>
      </c>
      <c r="AA12" s="19">
        <f>IFERROR(IF(X12="",H12,X12)*Y12,"")</f>
        <v>33.7487</v>
      </c>
      <c r="AB12" s="17" t="s">
        <v>229</v>
      </c>
      <c r="AI12" s="20" t="s">
        <v>197</v>
      </c>
      <c r="AJ12" s="17"/>
      <c r="AK12" s="18">
        <f>IFERROR(IF(OR(AJ12&gt;=AL12,H12&gt;=AL12),LOOKUP(IF(AJ12="",H12,AJ12),{0,1,10,50,100,1000,10000},{0.0,0.39,0.27,0.191,0.162,0.125,0.091}),"MOQ="&amp;AL12),"")</f>
        <v>0.162</v>
      </c>
      <c r="AL12" s="17">
        <v>1</v>
      </c>
      <c r="AM12" s="19">
        <f>IFERROR(IF(AJ12="",H12,AJ12)*AK12,"")</f>
        <v>32.4</v>
      </c>
      <c r="AN12" s="17" t="s">
        <v>271</v>
      </c>
      <c r="AO12" s="20" t="s">
        <v>197</v>
      </c>
      <c r="AP12" s="17"/>
      <c r="AQ12" s="18">
        <f>IFERROR(IF(OR(AP12&gt;=AR12,H12&gt;=AR12),LOOKUP(IF(AP12="",H12,AP12),{0,1,10,25,50,100,4000,8000},{0.0,0.27,0.27,0.234,0.197,0.161,0.101,0.094}),"MOQ="&amp;AR12),"")</f>
        <v>0.161</v>
      </c>
      <c r="AR12" s="17">
        <v>10</v>
      </c>
      <c r="AS12" s="19">
        <f>IFERROR(IF(AP12="",H12,AP12)*AQ12,"")</f>
        <v>32.2</v>
      </c>
      <c r="AT12" s="17" t="s">
        <v>303</v>
      </c>
      <c r="AU12" s="17">
        <v>20</v>
      </c>
      <c r="AV12" s="17"/>
      <c r="AW12" s="18">
        <f>IFERROR(IF(OR(AV12&gt;=AX12,H12&gt;=AX12),USD_GBP*LOOKUP(IF(AV12="",H12,AV12),{0,1,20,100,500,1000,2000,4000,16000},{0.0,0.216,0.216,0.119,0.097,0.086,0.084,0.063,0.06}),"MOQ="&amp;AX12),"")</f>
        <v>0.15566255242660273</v>
      </c>
      <c r="AX12" s="17">
        <v>20</v>
      </c>
      <c r="AY12" s="19">
        <f>IFERROR(IF(AV12="",H12,AV12)*AW12,"")</f>
        <v>31.1325</v>
      </c>
      <c r="AZ12" s="17" t="s">
        <v>328</v>
      </c>
    </row>
    <row r="13" spans="1:58" ht="30" customHeight="1">
      <c r="A13" s="17" t="s">
        <v>44</v>
      </c>
      <c r="B13" s="17" t="s">
        <v>45</v>
      </c>
      <c r="C13" s="17" t="s">
        <v>46</v>
      </c>
      <c r="E13" s="17" t="s">
        <v>47</v>
      </c>
      <c r="F13" s="17" t="s">
        <v>48</v>
      </c>
      <c r="G13" s="17" t="s">
        <v>45</v>
      </c>
      <c r="H13" s="17">
        <f>CEILING(BoardQty*1.0,1)</f>
        <v>100</v>
      </c>
      <c r="I13" s="18">
        <f>IF(MIN(M13,S13,Y13,AE13,AK13,AQ13,AW13,BC13)&lt;&gt;0,MIN(M13,S13,Y13,AE13,AK13,AQ13,AW13,BC13),"")</f>
        <v>0.1037314319952067</v>
      </c>
      <c r="J13" s="19">
        <f>IF(AND(ISNUMBER(H13),ISNUMBER(I13)),H13*I13,"")</f>
        <v>10.3731</v>
      </c>
      <c r="K13" s="17">
        <v>8037</v>
      </c>
      <c r="L13" s="17"/>
      <c r="M13" s="18">
        <f>IFERROR(IF(OR(L13&gt;=N13,H13&gt;=N13),LOOKUP(IF(L13="",H13,L13),{0,1,10,25,50,100,250,500,1000,3000,6000},{0.0,0.3336,0.2848,0.2423,0.225,0.135,0.1059,0.0945,0.0799,0.0734,0.0677}),"MOQ="&amp;N13),"")</f>
        <v>0.135</v>
      </c>
      <c r="N13" s="17">
        <v>1</v>
      </c>
      <c r="O13" s="19">
        <f>IFERROR(IF(L13="",H13,L13)*M13,"")</f>
        <v>13.5</v>
      </c>
      <c r="P13" s="17" t="s">
        <v>187</v>
      </c>
      <c r="Q13" s="17">
        <v>38004</v>
      </c>
      <c r="R13" s="17"/>
      <c r="S13" s="18">
        <f>IFERROR(IF(OR(R13&gt;=T13,H13&gt;=T13),LOOKUP(IF(R13="",H13,R13),{0,1,10,100,500,1000,2000,4000,8000,12000,28000,100000},{0.0,0.32,0.256,0.115,0.10388,0.08533,0.0742,0.0742,0.06678,0.05936,0.05565,0.0525}),"MOQ="&amp;T13),"")</f>
        <v>0.115</v>
      </c>
      <c r="T13" s="17">
        <v>1</v>
      </c>
      <c r="U13" s="19">
        <f>IFERROR(IF(R13="",H13,R13)*S13,"")</f>
        <v>11.5</v>
      </c>
      <c r="V13" s="17" t="s">
        <v>198</v>
      </c>
      <c r="W13" s="20" t="s">
        <v>197</v>
      </c>
      <c r="X13" s="17"/>
      <c r="Y13" s="18">
        <f>IFERROR(IF(OR(X13&gt;=Z13,H13&gt;=Z13),USD_GBP*LOOKUP(IF(X13="",H13,X13),{0,1,4000},{0.0,0.0861,0.0861}),"MOQ="&amp;Z13),"")</f>
        <v/>
      </c>
      <c r="Z13" s="17">
        <v>4000</v>
      </c>
      <c r="AA13" s="19">
        <f>IFERROR(IF(X13="",H13,X13)*Y13,"")</f>
        <v/>
      </c>
      <c r="AB13" s="17" t="s">
        <v>230</v>
      </c>
      <c r="AI13" s="17">
        <v>2404</v>
      </c>
      <c r="AJ13" s="17"/>
      <c r="AK13" s="18">
        <f>IFERROR(IF(OR(AJ13&gt;=AL13,H13&gt;=AL13),LOOKUP(IF(AJ13="",H13,AJ13),{0,1,10,50,100,1000,10000},{0.0,0.33,0.257,0.257,0.115,0.086,0.059}),"MOQ="&amp;AL13),"")</f>
        <v>0.115</v>
      </c>
      <c r="AL13" s="17">
        <v>1</v>
      </c>
      <c r="AM13" s="19">
        <f>IFERROR(IF(AJ13="",H13,AJ13)*AK13,"")</f>
        <v>11.5</v>
      </c>
      <c r="AN13" s="17" t="s">
        <v>272</v>
      </c>
      <c r="AO13" s="20" t="s">
        <v>197</v>
      </c>
      <c r="AP13" s="17"/>
      <c r="AQ13" s="18">
        <f>IFERROR(IF(OR(AP13&gt;=AR13,H13&gt;=AR13),LOOKUP(IF(AP13="",H13,AP13),{0,1,25,50,100,250,500,4000},{0.0,0.32,0.256,0.186,0.115,0.109,0.103,0.103}),"MOQ="&amp;AR13),"")</f>
        <v>0.115</v>
      </c>
      <c r="AR13" s="17">
        <v>1</v>
      </c>
      <c r="AS13" s="19">
        <f>IFERROR(IF(AP13="",H13,AP13)*AQ13,"")</f>
        <v>11.5</v>
      </c>
      <c r="AT13" s="17" t="s">
        <v>304</v>
      </c>
      <c r="BA13" s="17">
        <v>3125</v>
      </c>
      <c r="BB13" s="17"/>
      <c r="BC13" s="18">
        <f>IFERROR(IF(OR(BB13&gt;=BD13,H13&gt;=BD13),USD_GBP*LOOKUP(IF(BB13="",H13,BB13),{0,1,5,25,100,500,4000},{0.0,0.148,0.148,0.128,0.0793,0.0604,0.0453}),"MOQ="&amp;BD13),"")</f>
        <v>0.1037314319952067</v>
      </c>
      <c r="BD13" s="17">
        <v>5</v>
      </c>
      <c r="BE13" s="19">
        <f>IFERROR(IF(BB13="",H13,BB13)*BC13,"")</f>
        <v>10.3731</v>
      </c>
      <c r="BF13" s="17" t="s">
        <v>187</v>
      </c>
    </row>
    <row r="14" spans="1:58" ht="30" customHeight="1">
      <c r="A14" s="17" t="s">
        <v>49</v>
      </c>
      <c r="B14" s="17" t="s">
        <v>50</v>
      </c>
      <c r="C14" s="17" t="s">
        <v>51</v>
      </c>
      <c r="E14" s="17" t="s">
        <v>47</v>
      </c>
      <c r="F14" s="17" t="s">
        <v>48</v>
      </c>
      <c r="G14" s="17" t="s">
        <v>50</v>
      </c>
      <c r="H14" s="17">
        <f>CEILING(BoardQty*1.0,1)</f>
        <v>100</v>
      </c>
      <c r="I14" s="18">
        <f>IF(MIN(M14,S14,Y14,AE14,AK14,AQ14,AW14,BC14)&lt;&gt;0,MIN(M14,S14,Y14,AE14,AK14,AQ14,AW14,BC14),"")</f>
        <v>0.039</v>
      </c>
      <c r="J14" s="19">
        <f>IF(AND(ISNUMBER(H14),ISNUMBER(I14)),H14*I14,"")</f>
        <v>3.9</v>
      </c>
      <c r="Q14" s="17">
        <v>12478</v>
      </c>
      <c r="R14" s="17"/>
      <c r="S14" s="18">
        <f>IFERROR(IF(OR(R14&gt;=T14,H14&gt;=T14),LOOKUP(IF(R14="",H14,R14),{0,1,10,100,500,1000,2000,4000,8000,12000,28000,100000},{0.0,0.33,0.263,0.1183,0.10684,0.08777,0.07632,0.07632,0.06869,0.06106,0.05724,0.054}),"MOQ="&amp;T14),"")</f>
        <v>0.1183</v>
      </c>
      <c r="T14" s="17">
        <v>1</v>
      </c>
      <c r="U14" s="19">
        <f>IFERROR(IF(R14="",H14,R14)*S14,"")</f>
        <v>11.83</v>
      </c>
      <c r="V14" s="17" t="s">
        <v>199</v>
      </c>
      <c r="W14" s="17">
        <v>2316</v>
      </c>
      <c r="X14" s="17"/>
      <c r="Y14" s="18">
        <f>IFERROR(IF(OR(X14&gt;=Z14,H14&gt;=Z14),USD_GBP*LOOKUP(IF(X14="",H14,X14),{0,1,25,50,100,250,500},{0.0,0.277,0.22,0.161,0.0993,0.0942,0.0891}),"MOQ="&amp;Z14),"")</f>
        <v>0.1298932055122828</v>
      </c>
      <c r="Z14" s="17">
        <v>1</v>
      </c>
      <c r="AA14" s="19">
        <f>IFERROR(IF(X14="",H14,X14)*Y14,"")</f>
        <v>12.9893</v>
      </c>
      <c r="AB14" s="17" t="s">
        <v>231</v>
      </c>
      <c r="AI14" s="17">
        <v>11240</v>
      </c>
      <c r="AJ14" s="17"/>
      <c r="AK14" s="18">
        <f>IFERROR(IF(OR(AJ14&gt;=AL14,H14&gt;=AL14),LOOKUP(IF(AJ14="",H14,AJ14),{0,1,10,50,100,1000,10000},{0.0,0.33,0.264,0.264,0.119,0.088,0.061}),"MOQ="&amp;AL14),"")</f>
        <v>0.119</v>
      </c>
      <c r="AL14" s="17">
        <v>1</v>
      </c>
      <c r="AM14" s="19">
        <f>IFERROR(IF(AJ14="",H14,AJ14)*AK14,"")</f>
        <v>11.9</v>
      </c>
      <c r="AN14" s="17" t="s">
        <v>273</v>
      </c>
      <c r="AO14" s="17">
        <v>2316</v>
      </c>
      <c r="AP14" s="17"/>
      <c r="AQ14" s="18">
        <f>IFERROR(IF(OR(AP14&gt;=AR14,H14&gt;=AR14),LOOKUP(IF(AP14="",H14,AP14),{0,1,25,50,100,250,500},{0.0,0.039,0.039,0.039,0.039,0.039,0.039}),"MOQ="&amp;AR14),"")</f>
        <v>0.039</v>
      </c>
      <c r="AR14" s="17">
        <v>1</v>
      </c>
      <c r="AS14" s="19">
        <f>IFERROR(IF(AP14="",H14,AP14)*AQ14,"")</f>
        <v>3.9</v>
      </c>
      <c r="AT14" s="17" t="s">
        <v>305</v>
      </c>
      <c r="BA14" s="17">
        <v>1488</v>
      </c>
      <c r="BB14" s="17"/>
      <c r="BC14" s="18">
        <f>IFERROR(IF(OR(BB14&gt;=BD14,H14&gt;=BD14),USD_GBP*LOOKUP(IF(BB14="",H14,BB14),{0,1,5,25,100,500,4000},{0.0,0.148,0.148,0.112,0.0793,0.0572,0.0412}),"MOQ="&amp;BD14),"")</f>
        <v>0.1037314319952067</v>
      </c>
      <c r="BD14" s="17">
        <v>5</v>
      </c>
      <c r="BE14" s="19">
        <f>IFERROR(IF(BB14="",H14,BB14)*BC14,"")</f>
        <v>10.3731</v>
      </c>
      <c r="BF14" s="17" t="s">
        <v>342</v>
      </c>
    </row>
    <row r="15" spans="1:58" ht="30" customHeight="1">
      <c r="A15" s="17" t="s">
        <v>52</v>
      </c>
      <c r="B15" s="17" t="s">
        <v>53</v>
      </c>
      <c r="C15" s="17" t="s">
        <v>54</v>
      </c>
      <c r="E15" s="17" t="s">
        <v>55</v>
      </c>
      <c r="H15" s="17">
        <f>CEILING(BoardQty*1,1)</f>
        <v>100</v>
      </c>
      <c r="I15" s="18">
        <f>IF(MIN(M15,S15,Y15,AE15,AK15,AQ15,AW15,BC15)&lt;&gt;0,MIN(M15,S15,Y15,AE15,AK15,AQ15,AW15,BC15),"")</f>
        <v/>
      </c>
      <c r="J15" s="19">
        <f>IF(AND(ISNUMBER(H15),ISNUMBER(I15)),H15*I15,"")</f>
        <v/>
      </c>
    </row>
    <row r="16" spans="1:58" ht="30" customHeight="1">
      <c r="A16" s="17" t="s">
        <v>56</v>
      </c>
      <c r="B16" s="17" t="s">
        <v>57</v>
      </c>
      <c r="C16" s="17" t="s">
        <v>58</v>
      </c>
      <c r="E16" s="17" t="s">
        <v>59</v>
      </c>
      <c r="H16" s="17">
        <f>CEILING(BoardQty*1,1)</f>
        <v>100</v>
      </c>
      <c r="I16" s="18">
        <f>IF(MIN(M16,S16,Y16,AE16,AK16,AQ16,AW16,BC16)&lt;&gt;0,MIN(M16,S16,Y16,AE16,AK16,AQ16,AW16,BC16),"")</f>
        <v/>
      </c>
      <c r="J16" s="19">
        <f>IF(AND(ISNUMBER(H16),ISNUMBER(I16)),H16*I16,"")</f>
        <v/>
      </c>
    </row>
    <row r="17" spans="1:58" ht="30" customHeight="1">
      <c r="A17" s="17" t="s">
        <v>60</v>
      </c>
      <c r="B17" s="17" t="s">
        <v>61</v>
      </c>
      <c r="C17" s="17" t="s">
        <v>62</v>
      </c>
      <c r="E17" s="17" t="s">
        <v>63</v>
      </c>
      <c r="H17" s="17">
        <f>CEILING(BoardQty*1,1)</f>
        <v>100</v>
      </c>
      <c r="I17" s="18">
        <f>IF(MIN(M17,S17,Y17,AE17,AK17,AQ17,AW17,BC17)&lt;&gt;0,MIN(M17,S17,Y17,AE17,AK17,AQ17,AW17,BC17),"")</f>
        <v/>
      </c>
      <c r="J17" s="19">
        <f>IF(AND(ISNUMBER(H17),ISNUMBER(I17)),H17*I17,"")</f>
        <v/>
      </c>
    </row>
    <row r="18" spans="1:58" ht="30" customHeight="1">
      <c r="A18" s="17" t="s">
        <v>64</v>
      </c>
      <c r="B18" s="17" t="s">
        <v>65</v>
      </c>
      <c r="C18" s="17" t="s">
        <v>66</v>
      </c>
      <c r="E18" s="17" t="s">
        <v>67</v>
      </c>
      <c r="H18" s="17">
        <f>CEILING(BoardQty*1,1)</f>
        <v>100</v>
      </c>
      <c r="I18" s="18">
        <f>IF(MIN(M18,S18,Y18,AE18,AK18,AQ18,AW18,BC18)&lt;&gt;0,MIN(M18,S18,Y18,AE18,AK18,AQ18,AW18,BC18),"")</f>
        <v/>
      </c>
      <c r="J18" s="19">
        <f>IF(AND(ISNUMBER(H18),ISNUMBER(I18)),H18*I18,"")</f>
        <v/>
      </c>
    </row>
    <row r="19" spans="1:58" ht="30" customHeight="1">
      <c r="A19" s="17" t="s">
        <v>68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69</v>
      </c>
      <c r="H19" s="17">
        <f>CEILING(BoardQty*1.0,1)</f>
        <v>100</v>
      </c>
      <c r="I19" s="18">
        <f>IF(MIN(M19,S19,Y19,AE19,AK19,AQ19,AW19,BC19)&lt;&gt;0,MIN(M19,S19,Y19,AE19,AK19,AQ19,AW19,BC19),"")</f>
        <v>0.562</v>
      </c>
      <c r="J19" s="19">
        <f>IF(AND(ISNUMBER(H19),ISNUMBER(I19)),H19*I19,"")</f>
        <v>56.2</v>
      </c>
      <c r="Q19" s="17">
        <v>35835</v>
      </c>
      <c r="R19" s="17"/>
      <c r="S19" s="18">
        <f>IFERROR(IF(OR(R19&gt;=T19,H19&gt;=T19),LOOKUP(IF(R19="",H19,R19),{0,1,10,25,50,100,250,800,1600,2400,5600,8000},{0.0,0.85,0.715,0.686,0.6714,0.6422,0.5838,0.51083,0.43785,0.42325,0.40866,0.3892}),"MOQ="&amp;T19),"")</f>
        <v>0.6422</v>
      </c>
      <c r="T19" s="17">
        <v>1</v>
      </c>
      <c r="U19" s="19">
        <f>IFERROR(IF(R19="",H19,R19)*S19,"")</f>
        <v>64.22</v>
      </c>
      <c r="V19" s="17" t="s">
        <v>200</v>
      </c>
      <c r="W19" s="20" t="s">
        <v>197</v>
      </c>
      <c r="X19" s="17"/>
      <c r="Y19" s="18">
        <f>IFERROR(IF(OR(X19&gt;=Z19,H19&gt;=Z19),USD_GBP*LOOKUP(IF(X19="",H19,X19),{0,1,20,60,160,400,800,4000,8000,16000},{0.0,0.903,0.748,0.671,0.619,0.578,0.342,0.308,0.283,0.277}),"MOQ="&amp;Z19),"")</f>
        <v>0.8777275014979029</v>
      </c>
      <c r="Z19" s="17">
        <v>1</v>
      </c>
      <c r="AA19" s="19">
        <f>IFERROR(IF(X19="",H19,X19)*Y19,"")</f>
        <v>87.7728</v>
      </c>
      <c r="AB19" s="17" t="s">
        <v>232</v>
      </c>
      <c r="AI19" s="17">
        <v>85163</v>
      </c>
      <c r="AJ19" s="17"/>
      <c r="AK19" s="18">
        <f>IFERROR(IF(OR(AJ19&gt;=AL19,H19&gt;=AL19),LOOKUP(IF(AJ19="",H19,AJ19),{0,1,10,50,100,1000,10000},{0.0,0.81,0.653,0.653,0.562,0.444,0.369}),"MOQ="&amp;AL19),"")</f>
        <v>0.562</v>
      </c>
      <c r="AL19" s="17">
        <v>1</v>
      </c>
      <c r="AM19" s="19">
        <f>IFERROR(IF(AJ19="",H19,AJ19)*AK19,"")</f>
        <v>56.2</v>
      </c>
      <c r="AN19" s="17" t="s">
        <v>274</v>
      </c>
      <c r="AO19" s="17">
        <v>3200</v>
      </c>
      <c r="AP19" s="17"/>
      <c r="AQ19" s="18">
        <f>IFERROR(IF(OR(AP19&gt;=AR19,H19&gt;=AR19),LOOKUP(IF(AP19="",H19,AP19),{0,1,10,25,50,100,250,500,800},{0.0,0.807,0.709,0.668,0.64,0.612,0.556,0.501,0.501}),"MOQ="&amp;AR19),"")</f>
        <v>0.612</v>
      </c>
      <c r="AR19" s="17">
        <v>1</v>
      </c>
      <c r="AS19" s="19">
        <f>IFERROR(IF(AP19="",H19,AP19)*AQ19,"")</f>
        <v>61.2</v>
      </c>
      <c r="AT19" s="17" t="s">
        <v>306</v>
      </c>
    </row>
    <row r="20" spans="1:58">
      <c r="A20" s="17" t="s">
        <v>74</v>
      </c>
      <c r="B20" s="17" t="s">
        <v>75</v>
      </c>
      <c r="C20" s="17" t="s">
        <v>76</v>
      </c>
      <c r="E20" s="17" t="s">
        <v>77</v>
      </c>
      <c r="F20" s="17" t="s">
        <v>78</v>
      </c>
      <c r="G20" s="17" t="s">
        <v>79</v>
      </c>
      <c r="H20" s="17">
        <f>CEILING(BoardQty*1.0,1)</f>
        <v>100</v>
      </c>
      <c r="I20" s="18">
        <f>IF(MIN(M20,S20,Y20,AE20,AK20,AQ20,AW20,BC20)&lt;&gt;0,MIN(M20,S20,Y20,AE20,AK20,AQ20,AW20,BC20),"")</f>
        <v>0.0128</v>
      </c>
      <c r="J20" s="19">
        <f>IF(AND(ISNUMBER(H20),ISNUMBER(I20)),H20*I20,"")</f>
        <v>1.28</v>
      </c>
      <c r="Q20" s="20" t="s">
        <v>197</v>
      </c>
      <c r="R20" s="17"/>
      <c r="S20" s="18">
        <f>IFERROR(IF(OR(R20&gt;=T20,H20&gt;=T20),LOOKUP(IF(R20="",H20,R20),{0,1,10,100,1000,2500,5000,15000},{0.0,0.1,0.065,0.0266,0.01192,0.01035,0.00855,0.00743}),"MOQ="&amp;T20),"")</f>
        <v>0.0266</v>
      </c>
      <c r="T20" s="17">
        <v>1</v>
      </c>
      <c r="U20" s="19">
        <f>IFERROR(IF(R20="",H20,R20)*S20,"")</f>
        <v>2.66</v>
      </c>
      <c r="V20" s="17" t="s">
        <v>201</v>
      </c>
      <c r="W20" s="17">
        <v>4217</v>
      </c>
      <c r="X20" s="17"/>
      <c r="Y20" s="18">
        <f>IFERROR(IF(OR(X20&gt;=Z20,H20&gt;=Z20),USD_GBP*LOOKUP(IF(X20="",H20,X20),{0,1,10,100,500,2500,7500,15000,75000},{0.0,0.0533,0.0533,0.0215,0.0102,0.0068,0.0067,0.0066,0.0065}),"MOQ="&amp;Z20),"")</f>
        <v>0.028123906530856797</v>
      </c>
      <c r="Z20" s="17">
        <v>10</v>
      </c>
      <c r="AA20" s="19">
        <f>IFERROR(IF(X20="",H20,X20)*Y20,"")</f>
        <v>2.8124</v>
      </c>
      <c r="AB20" s="17" t="s">
        <v>233</v>
      </c>
      <c r="AC20" s="17">
        <v>6550</v>
      </c>
      <c r="AD20" s="17"/>
      <c r="AE20" s="18">
        <f>IFERROR(IF(OR(AD20&gt;=AF20,H20&gt;=AF20),LOOKUP(IF(AD20="",H20,AD20),{0,1,50,500,1500,5000,25000,50000},{0.0,0.0128,0.0128,0.0108,0.0093,0.008,0.0078,0.0077}),"MOQ="&amp;AF20),"")</f>
        <v>0.0128</v>
      </c>
      <c r="AF20" s="17">
        <v>50</v>
      </c>
      <c r="AG20" s="19">
        <f>IFERROR(IF(AD20="",H20,AD20)*AE20,"")</f>
        <v>1.28</v>
      </c>
      <c r="AH20" s="17" t="s">
        <v>258</v>
      </c>
      <c r="AI20" s="17">
        <v>1037341</v>
      </c>
      <c r="AJ20" s="17"/>
      <c r="AK20" s="18">
        <f>IFERROR(IF(OR(AJ20&gt;=AL20,H20&gt;=AL20),LOOKUP(IF(AJ20="",H20,AJ20),{0,1,10,50,100,1000,10000},{0.0,0.11,0.06,0.06,0.025,0.011,0.007}),"MOQ="&amp;AL20),"")</f>
        <v>0.025</v>
      </c>
      <c r="AL20" s="17">
        <v>1</v>
      </c>
      <c r="AM20" s="19">
        <f>IFERROR(IF(AJ20="",H20,AJ20)*AK20,"")</f>
        <v>2.5</v>
      </c>
      <c r="AN20" s="17" t="s">
        <v>275</v>
      </c>
      <c r="AO20" s="17">
        <v>15400</v>
      </c>
      <c r="AP20" s="17"/>
      <c r="AQ20" s="18">
        <f>IFERROR(IF(OR(AP20&gt;=AR20,H20&gt;=AR20),LOOKUP(IF(AP20="",H20,AP20),{0,1,10,25,50,100,250,500,1000,2500,5000,10000,15000},{0.0,0.022,0.066,0.053,0.04,0.028,0.022,0.017,0.012,0.009,0.021,0.016,0.016}),"MOQ="&amp;AR20),"")</f>
        <v>0.028</v>
      </c>
      <c r="AR20" s="17">
        <v>1</v>
      </c>
      <c r="AS20" s="19">
        <f>IFERROR(IF(AP20="",H20,AP20)*AQ20,"")</f>
        <v>2.8</v>
      </c>
      <c r="AT20" s="17" t="s">
        <v>307</v>
      </c>
      <c r="AU20" s="17">
        <v>53000</v>
      </c>
      <c r="AV20" s="17"/>
      <c r="AW20" s="18">
        <f>IFERROR(IF(OR(AV20&gt;=AX20,H20&gt;=AX20),USD_GBP*LOOKUP(IF(AV20="",H20,AV20),{0,1,1000,5000,10000,15000},{0.0,0.008,0.008,0.007,0.006,0.006}),"MOQ="&amp;AX20),"")</f>
        <v/>
      </c>
      <c r="AX20" s="17">
        <v>1000</v>
      </c>
      <c r="AY20" s="19">
        <f>IFERROR(IF(AV20="",H20,AV20)*AW20,"")</f>
        <v/>
      </c>
      <c r="AZ20" s="17" t="s">
        <v>329</v>
      </c>
    </row>
    <row r="21" spans="1:58">
      <c r="A21" s="17" t="s">
        <v>80</v>
      </c>
      <c r="B21" s="17" t="s">
        <v>81</v>
      </c>
      <c r="C21" s="17" t="s">
        <v>82</v>
      </c>
      <c r="E21" s="17" t="s">
        <v>77</v>
      </c>
      <c r="F21" s="17" t="s">
        <v>78</v>
      </c>
      <c r="G21" s="17" t="s">
        <v>83</v>
      </c>
      <c r="H21" s="17">
        <f>CEILING(BoardQty*1.0,1)</f>
        <v>100</v>
      </c>
      <c r="I21" s="18">
        <f>IF(MIN(M21,S21,Y21,AE21,AK21,AQ21,AW21,BC21)&lt;&gt;0,MIN(M21,S21,Y21,AE21,AK21,AQ21,AW21,BC21),"")</f>
        <v>0.018444050329538646</v>
      </c>
      <c r="J21" s="19">
        <f>IF(AND(ISNUMBER(H21),ISNUMBER(I21)),H21*I21,"")</f>
        <v>1.8444</v>
      </c>
      <c r="Q21" s="17">
        <v>28274</v>
      </c>
      <c r="R21" s="17"/>
      <c r="S21" s="18">
        <f>IFERROR(IF(OR(R21&gt;=T21,H21&gt;=T21),LOOKUP(IF(R21="",H21,R21),{0,1,10,100,1000,2500,5000,15000},{0.0,0.1,0.065,0.0266,0.01192,0.01035,0.00855,0.00743}),"MOQ="&amp;T21),"")</f>
        <v>0.0266</v>
      </c>
      <c r="T21" s="17">
        <v>1</v>
      </c>
      <c r="U21" s="19">
        <f>IFERROR(IF(R21="",H21,R21)*S21,"")</f>
        <v>2.66</v>
      </c>
      <c r="V21" s="17" t="s">
        <v>202</v>
      </c>
      <c r="W21" s="20" t="s">
        <v>197</v>
      </c>
      <c r="X21" s="17"/>
      <c r="Y21" s="18">
        <f>IFERROR(IF(OR(X21&gt;=Z21,H21&gt;=Z21),USD_GBP*LOOKUP(IF(X21="",H21,X21),{0,1,10,100,150,500,2500,7500,15000,75000},{0.0,0.0257,0.0257,0.0141,0.0141,0.0087,0.0079,0.0041,0.0068,0.0056}),"MOQ="&amp;Z21),"")</f>
        <v>0.018444050329538646</v>
      </c>
      <c r="Z21" s="17">
        <v>10</v>
      </c>
      <c r="AA21" s="19">
        <f>IFERROR(IF(X21="",H21,X21)*Y21,"")</f>
        <v>1.8444</v>
      </c>
      <c r="AB21" s="17" t="s">
        <v>234</v>
      </c>
      <c r="AI21" s="17">
        <v>26757</v>
      </c>
      <c r="AJ21" s="17"/>
      <c r="AK21" s="18">
        <f>IFERROR(IF(OR(AJ21&gt;=AL21,H21&gt;=AL21),LOOKUP(IF(AJ21="",H21,AJ21),{0,1,10,50,100,1000,10000},{0.0,0.11,0.06,0.06,0.025,0.011,0.007}),"MOQ="&amp;AL21),"")</f>
        <v>0.025</v>
      </c>
      <c r="AL21" s="17">
        <v>1</v>
      </c>
      <c r="AM21" s="19">
        <f>IFERROR(IF(AJ21="",H21,AJ21)*AK21,"")</f>
        <v>2.5</v>
      </c>
      <c r="AN21" s="17" t="s">
        <v>276</v>
      </c>
      <c r="AO21" s="20" t="s">
        <v>197</v>
      </c>
      <c r="AP21" s="17"/>
      <c r="AQ21" s="18">
        <f>IFERROR(IF(OR(AP21&gt;=AR21,H21&gt;=AR21),LOOKUP(IF(AP21="",H21,AP21),{0,1,10,25,50,100,250,500,1000,15000,20000},{0.0,0.006,0.08,0.069,0.047,0.036,0.028,0.023,0.019,0.015,0.011}),"MOQ="&amp;AR21),"")</f>
        <v>0.036</v>
      </c>
      <c r="AR21" s="17">
        <v>1</v>
      </c>
      <c r="AS21" s="19">
        <f>IFERROR(IF(AP21="",H21,AP21)*AQ21,"")</f>
        <v>3.6</v>
      </c>
      <c r="AT21" s="17" t="s">
        <v>308</v>
      </c>
    </row>
    <row r="22" spans="1:58">
      <c r="A22" s="17" t="s">
        <v>84</v>
      </c>
      <c r="B22" s="17" t="s">
        <v>85</v>
      </c>
      <c r="C22" s="17" t="s">
        <v>86</v>
      </c>
      <c r="E22" s="17" t="s">
        <v>77</v>
      </c>
      <c r="F22" s="17" t="s">
        <v>78</v>
      </c>
      <c r="G22" s="17" t="s">
        <v>87</v>
      </c>
      <c r="H22" s="17">
        <f>CEILING(BoardQty*4.0,1)</f>
        <v>400</v>
      </c>
      <c r="I22" s="18">
        <f>IF(MIN(M22,S22,Y22,AE22,AK22,AQ22,AW22,BC22)&lt;&gt;0,MIN(M22,S22,Y22,AE22,AK22,AQ22,AW22,BC22),"")</f>
        <v>0.0102</v>
      </c>
      <c r="J22" s="19">
        <f>IF(AND(ISNUMBER(H22),ISNUMBER(I22)),H22*I22,"")</f>
        <v>4.08</v>
      </c>
      <c r="K22" s="17">
        <v>63696</v>
      </c>
      <c r="L22" s="17"/>
      <c r="M22" s="18">
        <f>IFERROR(IF(OR(L22&gt;=N22,H22&gt;=N22),LOOKUP(IF(L22="",H22,L22),{0,1,10,25,100,250,500,1000,3000,6000,15000,30000},{0.0,0.0653,0.0254,0.0251,0.0103,0.0102,0.01,0.0053,0.0052,0.0042,0.0033,0.0032}),"MOQ="&amp;N22),"")</f>
        <v>0.0102</v>
      </c>
      <c r="N22" s="17">
        <v>1</v>
      </c>
      <c r="O22" s="19">
        <f>IFERROR(IF(L22="",H22,L22)*M22,"")</f>
        <v>4.08</v>
      </c>
      <c r="P22" s="17" t="s">
        <v>87</v>
      </c>
      <c r="Q22" s="17">
        <v>92538</v>
      </c>
      <c r="R22" s="17"/>
      <c r="S22" s="18">
        <f>IFERROR(IF(OR(R22&gt;=T22,H22&gt;=T22),LOOKUP(IF(R22="",H22,R22),{0,1,10,100,1000,2500,5000,15000},{0.0,0.1,0.034,0.014,0.00629,0.00546,0.00451,0.00392}),"MOQ="&amp;T22),"")</f>
        <v>0.014</v>
      </c>
      <c r="T22" s="17">
        <v>1</v>
      </c>
      <c r="U22" s="19">
        <f>IFERROR(IF(R22="",H22,R22)*S22,"")</f>
        <v>5.6</v>
      </c>
      <c r="V22" s="17" t="s">
        <v>203</v>
      </c>
      <c r="W22" s="20" t="s">
        <v>197</v>
      </c>
      <c r="X22" s="17"/>
      <c r="Y22" s="18">
        <f>IFERROR(IF(OR(X22&gt;=Z22,H22&gt;=Z22),USD_GBP*LOOKUP(IF(X22="",H22,X22),{0,1,30000},{0.0,0.0054,0.0054}),"MOQ="&amp;Z22),"")</f>
        <v/>
      </c>
      <c r="Z22" s="17">
        <v>30000</v>
      </c>
      <c r="AA22" s="19">
        <f>IFERROR(IF(X22="",H22,X22)*Y22,"")</f>
        <v/>
      </c>
      <c r="AB22" s="17" t="s">
        <v>235</v>
      </c>
      <c r="AI22" s="17">
        <v>3112</v>
      </c>
      <c r="AJ22" s="17"/>
      <c r="AK22" s="18">
        <f>IFERROR(IF(OR(AJ22&gt;=AL22,H22&gt;=AL22),LOOKUP(IF(AJ22="",H22,AJ22),{0,1,10,50,100,1000,10000},{0.0,0.1,0.032,0.032,0.013,0.006,0.004}),"MOQ="&amp;AL22),"")</f>
        <v>0.013</v>
      </c>
      <c r="AL22" s="17">
        <v>1</v>
      </c>
      <c r="AM22" s="19">
        <f>IFERROR(IF(AJ22="",H22,AJ22)*AK22,"")</f>
        <v>5.2</v>
      </c>
      <c r="AN22" s="17" t="s">
        <v>277</v>
      </c>
      <c r="AO22" s="20" t="s">
        <v>197</v>
      </c>
      <c r="AP22" s="17"/>
      <c r="AQ22" s="18">
        <f>IFERROR(IF(OR(AP22&gt;=AR22,H22&gt;=AR22),LOOKUP(IF(AP22="",H22,AP22),{0,1,15000,30000},{0.0,0.005,0.005,0.004}),"MOQ="&amp;AR22),"")</f>
        <v/>
      </c>
      <c r="AR22" s="17">
        <v>15000</v>
      </c>
      <c r="AS22" s="19">
        <f>IFERROR(IF(AP22="",H22,AP22)*AQ22,"")</f>
        <v/>
      </c>
      <c r="AT22" s="17" t="s">
        <v>309</v>
      </c>
      <c r="AU22" s="17">
        <v>28000</v>
      </c>
      <c r="AV22" s="17"/>
      <c r="AW22" s="18">
        <f>IFERROR(IF(OR(AV22&gt;=AX22,H22&gt;=AX22),USD_GBP*LOOKUP(IF(AV22="",H22,AV22),{0,1,1000,5000,10000,15000},{0.0,0.005,0.005,0.005,0.005,0.005}),"MOQ="&amp;AX22),"")</f>
        <v/>
      </c>
      <c r="AX22" s="17">
        <v>1000</v>
      </c>
      <c r="AY22" s="19">
        <f>IFERROR(IF(AV22="",H22,AV22)*AW22,"")</f>
        <v/>
      </c>
      <c r="AZ22" s="17" t="s">
        <v>330</v>
      </c>
    </row>
    <row r="23" spans="1:58">
      <c r="A23" s="17" t="s">
        <v>88</v>
      </c>
      <c r="B23" s="17" t="s">
        <v>89</v>
      </c>
      <c r="C23" s="17" t="s">
        <v>90</v>
      </c>
      <c r="E23" s="17" t="s">
        <v>77</v>
      </c>
      <c r="F23" s="17" t="s">
        <v>78</v>
      </c>
      <c r="G23" s="17" t="s">
        <v>91</v>
      </c>
      <c r="H23" s="17">
        <f>CEILING(BoardQty*1.0,1)</f>
        <v>100</v>
      </c>
      <c r="I23" s="18">
        <f>IF(MIN(M23,S23,Y23,AE23,AK23,AQ23,AW23,BC23)&lt;&gt;0,MIN(M23,S23,Y23,AE23,AK23,AQ23,AW23,BC23),"")</f>
        <v>0.0103</v>
      </c>
      <c r="J23" s="19">
        <f>IF(AND(ISNUMBER(H23),ISNUMBER(I23)),H23*I23,"")</f>
        <v>1.03</v>
      </c>
      <c r="K23" s="17">
        <v>60000</v>
      </c>
      <c r="L23" s="17"/>
      <c r="M23" s="18">
        <f>IFERROR(IF(OR(L23&gt;=N23,H23&gt;=N23),LOOKUP(IF(L23="",H23,L23),{0,1,10,25,100,250,500,1000,3000,15000},{0.0,0.0682,0.0239,0.0237,0.0103,0.0102,0.01,0.006,0.0028,0.0027}),"MOQ="&amp;N23),"")</f>
        <v>0.0103</v>
      </c>
      <c r="N23" s="17">
        <v>1</v>
      </c>
      <c r="O23" s="19">
        <f>IFERROR(IF(L23="",H23,L23)*M23,"")</f>
        <v>1.03</v>
      </c>
      <c r="P23" s="17" t="s">
        <v>91</v>
      </c>
      <c r="Q23" s="17">
        <v>143810</v>
      </c>
      <c r="R23" s="17"/>
      <c r="S23" s="18">
        <f>IFERROR(IF(OR(R23&gt;=T23,H23&gt;=T23),LOOKUP(IF(R23="",H23,R23),{0,1,10,100,1000,2500,5000,15000},{0.0,0.1,0.034,0.014,0.00629,0.00546,0.00451,0.00392}),"MOQ="&amp;T23),"")</f>
        <v>0.014</v>
      </c>
      <c r="T23" s="17">
        <v>1</v>
      </c>
      <c r="U23" s="19">
        <f>IFERROR(IF(R23="",H23,R23)*S23,"")</f>
        <v>1.4</v>
      </c>
      <c r="V23" s="17" t="s">
        <v>204</v>
      </c>
      <c r="W23" s="20" t="s">
        <v>197</v>
      </c>
      <c r="X23" s="17"/>
      <c r="Y23" s="18">
        <f>IFERROR(IF(OR(X23&gt;=Z23,H23&gt;=Z23),USD_GBP*LOOKUP(IF(X23="",H23,X23),{0,1,30000},{0.0,0.0054,0.0054}),"MOQ="&amp;Z23),"")</f>
        <v/>
      </c>
      <c r="Z23" s="17">
        <v>30000</v>
      </c>
      <c r="AA23" s="19">
        <f>IFERROR(IF(X23="",H23,X23)*Y23,"")</f>
        <v/>
      </c>
      <c r="AB23" s="17" t="s">
        <v>236</v>
      </c>
      <c r="AI23" s="17">
        <v>23842</v>
      </c>
      <c r="AJ23" s="17"/>
      <c r="AK23" s="18">
        <f>IFERROR(IF(OR(AJ23&gt;=AL23,H23&gt;=AL23),LOOKUP(IF(AJ23="",H23,AJ23),{0,1,10,50,100,1000,10000},{0.0,0.1,0.032,0.032,0.013,0.006,0.004}),"MOQ="&amp;AL23),"")</f>
        <v>0.013</v>
      </c>
      <c r="AL23" s="17">
        <v>1</v>
      </c>
      <c r="AM23" s="19">
        <f>IFERROR(IF(AJ23="",H23,AJ23)*AK23,"")</f>
        <v>1.3</v>
      </c>
      <c r="AN23" s="17" t="s">
        <v>278</v>
      </c>
      <c r="AO23" s="20" t="s">
        <v>197</v>
      </c>
      <c r="AP23" s="17"/>
      <c r="AQ23" s="18">
        <f>IFERROR(IF(OR(AP23&gt;=AR23,H23&gt;=AR23),LOOKUP(IF(AP23="",H23,AP23),{0,1,15000,30000},{0.0,0.005,0.005,0.004}),"MOQ="&amp;AR23),"")</f>
        <v/>
      </c>
      <c r="AR23" s="17">
        <v>15000</v>
      </c>
      <c r="AS23" s="19">
        <f>IFERROR(IF(AP23="",H23,AP23)*AQ23,"")</f>
        <v/>
      </c>
      <c r="AT23" s="17" t="s">
        <v>310</v>
      </c>
      <c r="AU23" s="17">
        <v>28000</v>
      </c>
      <c r="AV23" s="17"/>
      <c r="AW23" s="18">
        <f>IFERROR(IF(OR(AV23&gt;=AX23,H23&gt;=AX23),USD_GBP*LOOKUP(IF(AV23="",H23,AV23),{0,1,1000,15000},{0.0,0.004,0.004,0.004}),"MOQ="&amp;AX23),"")</f>
        <v/>
      </c>
      <c r="AX23" s="17">
        <v>1000</v>
      </c>
      <c r="AY23" s="19">
        <f>IFERROR(IF(AV23="",H23,AV23)*AW23,"")</f>
        <v/>
      </c>
      <c r="AZ23" s="17" t="s">
        <v>331</v>
      </c>
    </row>
    <row r="24" spans="1:58">
      <c r="A24" s="17" t="s">
        <v>92</v>
      </c>
      <c r="B24" s="17" t="s">
        <v>93</v>
      </c>
      <c r="C24" s="17" t="s">
        <v>94</v>
      </c>
      <c r="E24" s="17" t="s">
        <v>77</v>
      </c>
      <c r="F24" s="17" t="s">
        <v>78</v>
      </c>
      <c r="G24" s="17" t="s">
        <v>95</v>
      </c>
      <c r="H24" s="17">
        <f>CEILING(BoardQty*1.0,1)</f>
        <v>100</v>
      </c>
      <c r="I24" s="18">
        <f>IF(MIN(M24,S24,Y24,AE24,AK24,AQ24,AW24,BC24)&lt;&gt;0,MIN(M24,S24,Y24,AE24,AK24,AQ24,AW24,BC24),"")</f>
        <v>0.0133</v>
      </c>
      <c r="J24" s="19">
        <f>IF(AND(ISNUMBER(H24),ISNUMBER(I24)),H24*I24,"")</f>
        <v>1.33</v>
      </c>
      <c r="K24" s="17">
        <v>285000</v>
      </c>
      <c r="L24" s="17"/>
      <c r="M24" s="18">
        <f>IFERROR(IF(OR(L24&gt;=N24,H24&gt;=N24),LOOKUP(IF(L24="",H24,L24),{0,1,10,25},{0.0,0.0803,0.0593,0.0587}),"MOQ="&amp;N24),"")</f>
        <v>0.0587</v>
      </c>
      <c r="N24" s="17">
        <v>1</v>
      </c>
      <c r="O24" s="19">
        <f>IFERROR(IF(L24="",H24,L24)*M24,"")</f>
        <v>5.87</v>
      </c>
      <c r="P24" s="17" t="s">
        <v>95</v>
      </c>
      <c r="Q24" s="17">
        <v>504427</v>
      </c>
      <c r="R24" s="17"/>
      <c r="S24" s="18">
        <f>IFERROR(IF(OR(R24&gt;=T24,H24&gt;=T24),LOOKUP(IF(R24="",H24,R24),{0,1,10,100,1000,2500,5000,15000},{0.0,0.1,0.065,0.0266,0.01192,0.01035,0.00855,0.00743}),"MOQ="&amp;T24),"")</f>
        <v>0.0266</v>
      </c>
      <c r="T24" s="17">
        <v>1</v>
      </c>
      <c r="U24" s="19">
        <f>IFERROR(IF(R24="",H24,R24)*S24,"")</f>
        <v>2.66</v>
      </c>
      <c r="V24" s="17" t="s">
        <v>205</v>
      </c>
      <c r="W24" s="17">
        <v>49201</v>
      </c>
      <c r="X24" s="17"/>
      <c r="Y24" s="18">
        <f>IFERROR(IF(OR(X24&gt;=Z24,H24&gt;=Z24),USD_GBP*LOOKUP(IF(X24="",H24,X24),{0,1,10,100,500,2500,7500,15000,75000},{0.0,0.0533,0.0533,0.0215,0.0102,0.0068,0.0067,0.0066,0.0065}),"MOQ="&amp;Z24),"")</f>
        <v>0.028123906530856797</v>
      </c>
      <c r="Z24" s="17">
        <v>10</v>
      </c>
      <c r="AA24" s="19">
        <f>IFERROR(IF(X24="",H24,X24)*Y24,"")</f>
        <v>2.8124</v>
      </c>
      <c r="AB24" s="17" t="s">
        <v>237</v>
      </c>
      <c r="AC24" s="17">
        <v>6350</v>
      </c>
      <c r="AD24" s="17"/>
      <c r="AE24" s="18">
        <f>IFERROR(IF(OR(AD24&gt;=AF24,H24&gt;=AF24),LOOKUP(IF(AD24="",H24,AD24),{0,1,50,500,1500,5000,25000,50000},{0.0,0.0133,0.0133,0.0113,0.0098,0.0085,0.0083,0.0082}),"MOQ="&amp;AF24),"")</f>
        <v>0.0133</v>
      </c>
      <c r="AF24" s="17">
        <v>50</v>
      </c>
      <c r="AG24" s="19">
        <f>IFERROR(IF(AD24="",H24,AD24)*AE24,"")</f>
        <v>1.33</v>
      </c>
      <c r="AH24" s="17" t="s">
        <v>259</v>
      </c>
      <c r="AI24" s="17">
        <v>923836</v>
      </c>
      <c r="AJ24" s="17"/>
      <c r="AK24" s="18">
        <f>IFERROR(IF(OR(AJ24&gt;=AL24,H24&gt;=AL24),LOOKUP(IF(AJ24="",H24,AJ24),{0,1,10,50,100,1000,10000},{0.0,0.11,0.06,0.06,0.025,0.011,0.007}),"MOQ="&amp;AL24),"")</f>
        <v>0.025</v>
      </c>
      <c r="AL24" s="17">
        <v>1</v>
      </c>
      <c r="AM24" s="19">
        <f>IFERROR(IF(AJ24="",H24,AJ24)*AK24,"")</f>
        <v>2.5</v>
      </c>
      <c r="AN24" s="17" t="s">
        <v>279</v>
      </c>
      <c r="AO24" s="17">
        <v>15000</v>
      </c>
      <c r="AP24" s="17"/>
      <c r="AQ24" s="18">
        <f>IFERROR(IF(OR(AP24&gt;=AR24,H24&gt;=AR24),LOOKUP(IF(AP24="",H24,AP24),{0,1,10,25,50,100,250,500,1000,2500,5000,10000,15000,20000},{0.0,0.121,0.066,0.053,0.04,0.028,0.022,0.017,0.012,0.009,0.018,0.015,0.015,0.01}),"MOQ="&amp;AR24),"")</f>
        <v>0.028</v>
      </c>
      <c r="AR24" s="17">
        <v>1</v>
      </c>
      <c r="AS24" s="19">
        <f>IFERROR(IF(AP24="",H24,AP24)*AQ24,"")</f>
        <v>2.8</v>
      </c>
      <c r="AT24" s="17" t="s">
        <v>311</v>
      </c>
      <c r="AU24" s="17">
        <v>42000</v>
      </c>
      <c r="AV24" s="17"/>
      <c r="AW24" s="18">
        <f>IFERROR(IF(OR(AV24&gt;=AX24,H24&gt;=AX24),USD_GBP*LOOKUP(IF(AV24="",H24,AV24),{0,1,1000,5000,10000,15000},{0.0,0.008,0.008,0.006,0.006,0.006}),"MOQ="&amp;AX24),"")</f>
        <v/>
      </c>
      <c r="AX24" s="17">
        <v>1000</v>
      </c>
      <c r="AY24" s="19">
        <f>IFERROR(IF(AV24="",H24,AV24)*AW24,"")</f>
        <v/>
      </c>
      <c r="AZ24" s="17" t="s">
        <v>332</v>
      </c>
    </row>
    <row r="25" spans="1:58">
      <c r="A25" s="17" t="s">
        <v>96</v>
      </c>
      <c r="B25" s="17" t="s">
        <v>97</v>
      </c>
      <c r="C25" s="17" t="s">
        <v>98</v>
      </c>
      <c r="E25" s="17" t="s">
        <v>77</v>
      </c>
      <c r="F25" s="17" t="s">
        <v>78</v>
      </c>
      <c r="G25" s="17" t="s">
        <v>99</v>
      </c>
      <c r="H25" s="17">
        <f>CEILING(BoardQty*3.0,1)</f>
        <v>300</v>
      </c>
      <c r="I25" s="18">
        <f>IF(MIN(M25,S25,Y25,AE25,AK25,AQ25,AW25,BC25)&lt;&gt;0,MIN(M25,S25,Y25,AE25,AK25,AQ25,AW25,BC25),"")</f>
        <v>0.0133</v>
      </c>
      <c r="J25" s="19">
        <f>IF(AND(ISNUMBER(H25),ISNUMBER(I25)),H25*I25,"")</f>
        <v>3.99</v>
      </c>
      <c r="K25" s="17">
        <v>90000</v>
      </c>
      <c r="L25" s="17"/>
      <c r="M25" s="18">
        <f>IFERROR(IF(OR(L25&gt;=N25,H25&gt;=N25),LOOKUP(IF(L25="",H25,L25),{0,1,15000},{0.0,0.006,0.006}),"MOQ="&amp;N25),"")</f>
        <v/>
      </c>
      <c r="N25" s="17">
        <v>15000</v>
      </c>
      <c r="O25" s="19">
        <f>IFERROR(IF(L25="",H25,L25)*M25,"")</f>
        <v/>
      </c>
      <c r="P25" s="17" t="s">
        <v>99</v>
      </c>
      <c r="Q25" s="20" t="s">
        <v>197</v>
      </c>
      <c r="R25" s="17"/>
      <c r="S25" s="18">
        <f>IFERROR(IF(OR(R25&gt;=T25,H25&gt;=T25),LOOKUP(IF(R25="",H25,R25),{0,1,10,100,1000,2500,5000,15000},{0.0,0.1,0.065,0.0266,0.01192,0.01035,0.00855,0.00743}),"MOQ="&amp;T25),"")</f>
        <v>0.0266</v>
      </c>
      <c r="T25" s="17">
        <v>1</v>
      </c>
      <c r="U25" s="19">
        <f>IFERROR(IF(R25="",H25,R25)*S25,"")</f>
        <v>7.98</v>
      </c>
      <c r="V25" s="17" t="s">
        <v>206</v>
      </c>
      <c r="W25" s="20" t="s">
        <v>197</v>
      </c>
      <c r="X25" s="17"/>
      <c r="Y25" s="18">
        <f>IFERROR(IF(OR(X25&gt;=Z25,H25&gt;=Z25),USD_GBP*LOOKUP(IF(X25="",H25,X25),{0,1,10,100,150,500,2500,7500,15000,75000},{0.0,0.0257,0.0257,0.0141,0.0141,0.0087,0.0046,0.0041,0.0066,0.0055}),"MOQ="&amp;Z25),"")</f>
        <v>0.018444050329538646</v>
      </c>
      <c r="Z25" s="17">
        <v>10</v>
      </c>
      <c r="AA25" s="19">
        <f>IFERROR(IF(X25="",H25,X25)*Y25,"")</f>
        <v>5.5332</v>
      </c>
      <c r="AB25" s="17" t="s">
        <v>238</v>
      </c>
      <c r="AC25" s="17">
        <v>5750</v>
      </c>
      <c r="AD25" s="17"/>
      <c r="AE25" s="18">
        <f>IFERROR(IF(OR(AD25&gt;=AF25,H25&gt;=AF25),LOOKUP(IF(AD25="",H25,AD25),{0,1,50,500,1500,5000,25000,50000},{0.0,0.0133,0.0133,0.0111,0.0096,0.0083,0.0081,0.008}),"MOQ="&amp;AF25),"")</f>
        <v>0.0133</v>
      </c>
      <c r="AF25" s="17">
        <v>50</v>
      </c>
      <c r="AG25" s="19">
        <f>IFERROR(IF(AD25="",H25,AD25)*AE25,"")</f>
        <v>3.99</v>
      </c>
      <c r="AH25" s="17" t="s">
        <v>260</v>
      </c>
      <c r="AI25" s="20" t="s">
        <v>197</v>
      </c>
      <c r="AJ25" s="17"/>
      <c r="AK25" s="18">
        <f>IFERROR(IF(OR(AJ25&gt;=AL25,H25&gt;=AL25),LOOKUP(IF(AJ25="",H25,AJ25),{0,1,10,50,100,1000,10000},{0.0,0.11,0.06,0.06,0.025,0.011,0.007}),"MOQ="&amp;AL25),"")</f>
        <v>0.025</v>
      </c>
      <c r="AL25" s="17">
        <v>1</v>
      </c>
      <c r="AM25" s="19">
        <f>IFERROR(IF(AJ25="",H25,AJ25)*AK25,"")</f>
        <v>7.5</v>
      </c>
      <c r="AN25" s="17" t="s">
        <v>280</v>
      </c>
      <c r="AO25" s="20" t="s">
        <v>197</v>
      </c>
      <c r="AP25" s="17"/>
      <c r="AQ25" s="18">
        <f>IFERROR(IF(OR(AP25&gt;=AR25,H25&gt;=AR25),LOOKUP(IF(AP25="",H25,AP25),{0,1,10,25,50,100,15000},{0.0,0.009,0.062,0.05,0.038,0.026,0.009}),"MOQ="&amp;AR25),"")</f>
        <v>0.026</v>
      </c>
      <c r="AR25" s="17">
        <v>1</v>
      </c>
      <c r="AS25" s="19">
        <f>IFERROR(IF(AP25="",H25,AP25)*AQ25,"")</f>
        <v>7.8</v>
      </c>
      <c r="AT25" s="17" t="s">
        <v>312</v>
      </c>
    </row>
    <row r="26" spans="1:58">
      <c r="A26" s="17" t="s">
        <v>100</v>
      </c>
      <c r="B26" s="17" t="s">
        <v>101</v>
      </c>
      <c r="C26" s="17" t="s">
        <v>102</v>
      </c>
      <c r="E26" s="17" t="s">
        <v>77</v>
      </c>
      <c r="F26" s="17" t="s">
        <v>78</v>
      </c>
      <c r="G26" s="17" t="s">
        <v>103</v>
      </c>
      <c r="H26" s="17">
        <f>CEILING(BoardQty*4.0,1)</f>
        <v>400</v>
      </c>
      <c r="I26" s="18">
        <f>IF(MIN(M26,S26,Y26,AE26,AK26,AQ26,AW26,BC26)&lt;&gt;0,MIN(M26,S26,Y26,AE26,AK26,AQ26,AW26,BC26),"")</f>
        <v>0.0139</v>
      </c>
      <c r="J26" s="19">
        <f>IF(AND(ISNUMBER(H26),ISNUMBER(I26)),H26*I26,"")</f>
        <v>5.56</v>
      </c>
      <c r="K26" s="17">
        <v>100</v>
      </c>
      <c r="L26" s="17"/>
      <c r="M26" s="18">
        <f>IFERROR(IF(OR(L26&gt;=N26,H26&gt;=N26),LOOKUP(IF(L26="",H26,L26),{0,1,10,25,100},{0.0,0.0817,0.0678,0.0533,0.0353}),"MOQ="&amp;N26),"")</f>
        <v>0.0353</v>
      </c>
      <c r="N26" s="17">
        <v>1</v>
      </c>
      <c r="O26" s="19">
        <f>IFERROR(IF(L26="",H26,L26)*M26,"")</f>
        <v>14.12</v>
      </c>
      <c r="P26" s="17" t="s">
        <v>103</v>
      </c>
      <c r="Q26" s="20" t="s">
        <v>197</v>
      </c>
      <c r="R26" s="17"/>
      <c r="S26" s="18">
        <f>IFERROR(IF(OR(R26&gt;=T26,H26&gt;=T26),LOOKUP(IF(R26="",H26,R26),{0,1,10,100,1000,2500,5000,15000},{0.0,0.1,0.065,0.0266,0.01192,0.01035,0.00855,0.00743}),"MOQ="&amp;T26),"")</f>
        <v>0.0266</v>
      </c>
      <c r="T26" s="17">
        <v>1</v>
      </c>
      <c r="U26" s="19">
        <f>IFERROR(IF(R26="",H26,R26)*S26,"")</f>
        <v>10.64</v>
      </c>
      <c r="V26" s="17" t="s">
        <v>207</v>
      </c>
      <c r="W26" s="17">
        <v>405000</v>
      </c>
      <c r="X26" s="17"/>
      <c r="Y26" s="18">
        <f>IFERROR(IF(OR(X26&gt;=Z26,H26&gt;=Z26),USD_GBP*LOOKUP(IF(X26="",H26,X26),{0,1,10,100,500,2500,7500,15000,75000},{0.0,0.0533,0.0533,0.0215,0.0102,0.0068,0.0067,0.0066,0.0065}),"MOQ="&amp;Z26),"")</f>
        <v>0.028123906530856797</v>
      </c>
      <c r="Z26" s="17">
        <v>10</v>
      </c>
      <c r="AA26" s="19">
        <f>IFERROR(IF(X26="",H26,X26)*Y26,"")</f>
        <v>11.2496</v>
      </c>
      <c r="AB26" s="17" t="s">
        <v>239</v>
      </c>
      <c r="AC26" s="17">
        <v>400</v>
      </c>
      <c r="AD26" s="17"/>
      <c r="AE26" s="18">
        <f>IFERROR(IF(OR(AD26&gt;=AF26,H26&gt;=AF26),LOOKUP(IF(AD26="",H26,AD26),{0,1,50,500,1500,5000,25000,50000},{0.0,0.0139,0.0139,0.0118,0.0102,0.009,0.0088,0.0087}),"MOQ="&amp;AF26),"")</f>
        <v>0.0139</v>
      </c>
      <c r="AF26" s="17">
        <v>50</v>
      </c>
      <c r="AG26" s="19">
        <f>IFERROR(IF(AD26="",H26,AD26)*AE26,"")</f>
        <v>5.56</v>
      </c>
      <c r="AH26" s="17" t="s">
        <v>261</v>
      </c>
      <c r="AI26" s="17">
        <v>582049</v>
      </c>
      <c r="AJ26" s="17"/>
      <c r="AK26" s="18">
        <f>IFERROR(IF(OR(AJ26&gt;=AL26,H26&gt;=AL26),LOOKUP(IF(AJ26="",H26,AJ26),{0,1,10,50,100,1000,10000},{0.0,0.11,0.06,0.06,0.025,0.011,0.007}),"MOQ="&amp;AL26),"")</f>
        <v>0.025</v>
      </c>
      <c r="AL26" s="17">
        <v>1</v>
      </c>
      <c r="AM26" s="19">
        <f>IFERROR(IF(AJ26="",H26,AJ26)*AK26,"")</f>
        <v>10.0</v>
      </c>
      <c r="AN26" s="17" t="s">
        <v>281</v>
      </c>
      <c r="AO26" s="17">
        <v>360000</v>
      </c>
      <c r="AP26" s="17"/>
      <c r="AQ26" s="18">
        <f>IFERROR(IF(OR(AP26&gt;=AR26,H26&gt;=AR26),LOOKUP(IF(AP26="",H26,AP26),{0,1,10,25,50,100,250,500,1000,2500,5000,15000,20000},{0.0,0.121,0.066,0.053,0.04,0.028,0.025,0.018,0.012,0.011,0.01,0.009,0.01}),"MOQ="&amp;AR26),"")</f>
        <v>0.025</v>
      </c>
      <c r="AR26" s="17">
        <v>1</v>
      </c>
      <c r="AS26" s="19">
        <f>IFERROR(IF(AP26="",H26,AP26)*AQ26,"")</f>
        <v>10.0</v>
      </c>
      <c r="AT26" s="17" t="s">
        <v>313</v>
      </c>
      <c r="AU26" s="17">
        <v>652000</v>
      </c>
      <c r="AV26" s="17"/>
      <c r="AW26" s="18">
        <f>IFERROR(IF(OR(AV26&gt;=AX26,H26&gt;=AX26),USD_GBP*LOOKUP(IF(AV26="",H26,AV26),{0,1,1000,15000},{0.0,0.007,0.007,0.006}),"MOQ="&amp;AX26),"")</f>
        <v/>
      </c>
      <c r="AX26" s="17">
        <v>1000</v>
      </c>
      <c r="AY26" s="19">
        <f>IFERROR(IF(AV26="",H26,AV26)*AW26,"")</f>
        <v/>
      </c>
      <c r="AZ26" s="17" t="s">
        <v>333</v>
      </c>
    </row>
    <row r="27" spans="1:58">
      <c r="A27" s="17" t="s">
        <v>104</v>
      </c>
      <c r="B27" s="17" t="s">
        <v>105</v>
      </c>
      <c r="C27" s="17" t="s">
        <v>106</v>
      </c>
      <c r="E27" s="17" t="s">
        <v>77</v>
      </c>
      <c r="F27" s="17" t="s">
        <v>78</v>
      </c>
      <c r="G27" s="17" t="s">
        <v>107</v>
      </c>
      <c r="H27" s="17">
        <f>CEILING(BoardQty*2.0,1)</f>
        <v>200</v>
      </c>
      <c r="I27" s="18">
        <f>IF(MIN(M27,S27,Y27,AE27,AK27,AQ27,AW27,BC27)&lt;&gt;0,MIN(M27,S27,Y27,AE27,AK27,AQ27,AW27,BC27),"")</f>
        <v>0.013</v>
      </c>
      <c r="J27" s="19">
        <f>IF(AND(ISNUMBER(H27),ISNUMBER(I27)),H27*I27,"")</f>
        <v>2.6</v>
      </c>
      <c r="Q27" s="17">
        <v>148810</v>
      </c>
      <c r="R27" s="17"/>
      <c r="S27" s="18">
        <f>IFERROR(IF(OR(R27&gt;=T27,H27&gt;=T27),LOOKUP(IF(R27="",H27,R27),{0,1,10,100,1000,2500,5000,15000},{0.0,0.1,0.034,0.014,0.00629,0.00546,0.00451,0.00392}),"MOQ="&amp;T27),"")</f>
        <v>0.014</v>
      </c>
      <c r="T27" s="17">
        <v>1</v>
      </c>
      <c r="U27" s="19">
        <f>IFERROR(IF(R27="",H27,R27)*S27,"")</f>
        <v>2.8</v>
      </c>
      <c r="V27" s="17" t="s">
        <v>208</v>
      </c>
      <c r="W27" s="20" t="s">
        <v>197</v>
      </c>
      <c r="X27" s="17"/>
      <c r="Y27" s="18">
        <f>IFERROR(IF(OR(X27&gt;=Z27,H27&gt;=Z27),USD_GBP*LOOKUP(IF(X27="",H27,X27),{0,1,30000},{0.0,0.0054,0.0054}),"MOQ="&amp;Z27),"")</f>
        <v/>
      </c>
      <c r="Z27" s="17">
        <v>30000</v>
      </c>
      <c r="AA27" s="19">
        <f>IFERROR(IF(X27="",H27,X27)*Y27,"")</f>
        <v/>
      </c>
      <c r="AB27" s="17" t="s">
        <v>240</v>
      </c>
      <c r="AI27" s="17">
        <v>66957</v>
      </c>
      <c r="AJ27" s="17"/>
      <c r="AK27" s="18">
        <f>IFERROR(IF(OR(AJ27&gt;=AL27,H27&gt;=AL27),LOOKUP(IF(AJ27="",H27,AJ27),{0,1,10,50,100,1000,10000},{0.0,0.1,0.032,0.032,0.013,0.006,0.004}),"MOQ="&amp;AL27),"")</f>
        <v>0.013</v>
      </c>
      <c r="AL27" s="17">
        <v>1</v>
      </c>
      <c r="AM27" s="19">
        <f>IFERROR(IF(AJ27="",H27,AJ27)*AK27,"")</f>
        <v>2.6</v>
      </c>
      <c r="AN27" s="17" t="s">
        <v>282</v>
      </c>
      <c r="AO27" s="20" t="s">
        <v>197</v>
      </c>
      <c r="AP27" s="17"/>
      <c r="AQ27" s="18">
        <f>IFERROR(IF(OR(AP27&gt;=AR27,H27&gt;=AR27),LOOKUP(IF(AP27="",H27,AP27),{0,1,15000,30000},{0.0,0.005,0.005,0.004}),"MOQ="&amp;AR27),"")</f>
        <v/>
      </c>
      <c r="AR27" s="17">
        <v>15000</v>
      </c>
      <c r="AS27" s="19">
        <f>IFERROR(IF(AP27="",H27,AP27)*AQ27,"")</f>
        <v/>
      </c>
      <c r="AT27" s="17" t="s">
        <v>314</v>
      </c>
    </row>
    <row r="28" spans="1:58">
      <c r="A28" s="17" t="s">
        <v>108</v>
      </c>
      <c r="B28" s="17" t="s">
        <v>109</v>
      </c>
      <c r="C28" s="17" t="s">
        <v>110</v>
      </c>
      <c r="E28" s="17" t="s">
        <v>77</v>
      </c>
      <c r="F28" s="17" t="s">
        <v>78</v>
      </c>
      <c r="G28" s="17" t="s">
        <v>111</v>
      </c>
      <c r="H28" s="17">
        <f>CEILING(BoardQty*1.0,1)</f>
        <v>100</v>
      </c>
      <c r="I28" s="18">
        <f>IF(MIN(M28,S28,Y28,AE28,AK28,AQ28,AW28,BC28)&lt;&gt;0,MIN(M28,S28,Y28,AE28,AK28,AQ28,AW28,BC28),"")</f>
        <v>0.008</v>
      </c>
      <c r="J28" s="19">
        <f>IF(AND(ISNUMBER(H28),ISNUMBER(I28)),H28*I28,"")</f>
        <v>0.8</v>
      </c>
      <c r="K28" s="17">
        <v>60087</v>
      </c>
      <c r="L28" s="17"/>
      <c r="M28" s="18">
        <f>IFERROR(IF(OR(L28&gt;=N28,H28&gt;=N28),LOOKUP(IF(L28="",H28,L28),{0,1,10,25,100,250,500,1000,3000,30000},{0.0,0.0689,0.0266,0.0264,0.0115,0.0114,0.0112,0.0067,0.0028,0.0027}),"MOQ="&amp;N28),"")</f>
        <v>0.0115</v>
      </c>
      <c r="N28" s="17">
        <v>1</v>
      </c>
      <c r="O28" s="19">
        <f>IFERROR(IF(L28="",H28,L28)*M28,"")</f>
        <v>1.15</v>
      </c>
      <c r="P28" s="17" t="s">
        <v>111</v>
      </c>
      <c r="Q28" s="17">
        <v>480293</v>
      </c>
      <c r="R28" s="17"/>
      <c r="S28" s="18">
        <f>IFERROR(IF(OR(R28&gt;=T28,H28&gt;=T28),LOOKUP(IF(R28="",H28,R28),{0,1,10,100,1000,2500,5000,15000},{0.0,0.1,0.034,0.014,0.00629,0.00546,0.00451,0.00392}),"MOQ="&amp;T28),"")</f>
        <v>0.014</v>
      </c>
      <c r="T28" s="17">
        <v>1</v>
      </c>
      <c r="U28" s="19">
        <f>IFERROR(IF(R28="",H28,R28)*S28,"")</f>
        <v>1.4</v>
      </c>
      <c r="V28" s="17" t="s">
        <v>209</v>
      </c>
      <c r="W28" s="20" t="s">
        <v>197</v>
      </c>
      <c r="X28" s="17"/>
      <c r="Y28" s="18">
        <f>IFERROR(IF(OR(X28&gt;=Z28,H28&gt;=Z28),USD_GBP*LOOKUP(IF(X28="",H28,X28),{0,1,30000},{0.0,0.0054,0.0054}),"MOQ="&amp;Z28),"")</f>
        <v/>
      </c>
      <c r="Z28" s="17">
        <v>30000</v>
      </c>
      <c r="AA28" s="19">
        <f>IFERROR(IF(X28="",H28,X28)*Y28,"")</f>
        <v/>
      </c>
      <c r="AB28" s="17" t="s">
        <v>241</v>
      </c>
      <c r="AC28" s="17">
        <v>14050</v>
      </c>
      <c r="AD28" s="17"/>
      <c r="AE28" s="18">
        <f>IFERROR(IF(OR(AD28&gt;=AF28,H28&gt;=AF28),LOOKUP(IF(AD28="",H28,AD28),{0,1,50,500,1500,5000,25000,50000},{0.0,0.0083,0.0083,0.007,0.0061,0.0054,0.0052,0.0052}),"MOQ="&amp;AF28),"")</f>
        <v>0.0083</v>
      </c>
      <c r="AF28" s="17">
        <v>50</v>
      </c>
      <c r="AG28" s="19">
        <f>IFERROR(IF(AD28="",H28,AD28)*AE28,"")</f>
        <v>0.83</v>
      </c>
      <c r="AH28" s="17" t="s">
        <v>262</v>
      </c>
      <c r="AI28" s="17">
        <v>108726</v>
      </c>
      <c r="AJ28" s="17"/>
      <c r="AK28" s="18">
        <f>IFERROR(IF(OR(AJ28&gt;=AL28,H28&gt;=AL28),LOOKUP(IF(AJ28="",H28,AJ28),{0,1,10,50,100,1000,10000},{0.0,0.1,0.032,0.032,0.013,0.006,0.004}),"MOQ="&amp;AL28),"")</f>
        <v>0.013</v>
      </c>
      <c r="AL28" s="17">
        <v>1</v>
      </c>
      <c r="AM28" s="19">
        <f>IFERROR(IF(AJ28="",H28,AJ28)*AK28,"")</f>
        <v>1.3</v>
      </c>
      <c r="AN28" s="17" t="s">
        <v>283</v>
      </c>
      <c r="AO28" s="20" t="s">
        <v>197</v>
      </c>
      <c r="AP28" s="17"/>
      <c r="AQ28" s="18">
        <f>IFERROR(IF(OR(AP28&gt;=AR28,H28&gt;=AR28),LOOKUP(IF(AP28="",H28,AP28),{0,1,5000,10000,15000},{0.0,0.008,0.007,0.006,0.006}),"MOQ="&amp;AR28),"")</f>
        <v>0.008</v>
      </c>
      <c r="AR28" s="17">
        <v>1</v>
      </c>
      <c r="AS28" s="19">
        <f>IFERROR(IF(AP28="",H28,AP28)*AQ28,"")</f>
        <v>0.8</v>
      </c>
      <c r="AT28" s="17" t="s">
        <v>315</v>
      </c>
      <c r="AU28" s="17">
        <v>37000</v>
      </c>
      <c r="AV28" s="17"/>
      <c r="AW28" s="18">
        <f>IFERROR(IF(OR(AV28&gt;=AX28,H28&gt;=AX28),USD_GBP*LOOKUP(IF(AV28="",H28,AV28),{0,1,1000,5000,10000,15000},{0.0,0.004,0.004,0.004,0.004,0.004}),"MOQ="&amp;AX28),"")</f>
        <v/>
      </c>
      <c r="AX28" s="17">
        <v>1000</v>
      </c>
      <c r="AY28" s="19">
        <f>IFERROR(IF(AV28="",H28,AV28)*AW28,"")</f>
        <v/>
      </c>
      <c r="AZ28" s="17" t="s">
        <v>334</v>
      </c>
    </row>
    <row r="29" spans="1:58">
      <c r="A29" s="17" t="s">
        <v>112</v>
      </c>
      <c r="B29" s="17" t="s">
        <v>113</v>
      </c>
      <c r="C29" s="17" t="s">
        <v>114</v>
      </c>
      <c r="E29" s="17" t="s">
        <v>77</v>
      </c>
      <c r="F29" s="17" t="s">
        <v>78</v>
      </c>
      <c r="G29" s="17" t="s">
        <v>115</v>
      </c>
      <c r="H29" s="17">
        <f>CEILING(BoardQty*2.0,1)</f>
        <v>200</v>
      </c>
      <c r="I29" s="18">
        <f>IF(MIN(M29,S29,Y29,AE29,AK29,AQ29,AW29,BC29)&lt;&gt;0,MIN(M29,S29,Y29,AE29,AK29,AQ29,AW29,BC29),"")</f>
        <v>0.01</v>
      </c>
      <c r="J29" s="19">
        <f>IF(AND(ISNUMBER(H29),ISNUMBER(I29)),H29*I29,"")</f>
        <v>2.0</v>
      </c>
      <c r="Q29" s="17">
        <v>6317632</v>
      </c>
      <c r="R29" s="17"/>
      <c r="S29" s="18">
        <f>IFERROR(IF(OR(R29&gt;=T29,H29&gt;=T29),LOOKUP(IF(R29="",H29,R29),{0,1,10,25,50,100,250,500,1000,5000,15000,30000,75000,105000},{0.0,0.1,0.03,0.022,0.0168,0.0123,0.0094,0.00752,0.00554,0.00397,0.00345,0.00303,0.00278,0.00272}),"MOQ="&amp;T29),"")</f>
        <v>0.0123</v>
      </c>
      <c r="T29" s="17">
        <v>1</v>
      </c>
      <c r="U29" s="19">
        <f>IFERROR(IF(R29="",H29,R29)*S29,"")</f>
        <v>2.46</v>
      </c>
      <c r="V29" s="17" t="s">
        <v>210</v>
      </c>
      <c r="W29" s="17">
        <v>240000</v>
      </c>
      <c r="X29" s="17"/>
      <c r="Y29" s="18">
        <f>IFERROR(IF(OR(X29&gt;=Z29,H29&gt;=Z29),USD_GBP*LOOKUP(IF(X29="",H29,X29),{0,1,10,100,500,2500,7500,15000,75000},{0.0,0.0339,0.0339,0.0136,0.0113,0.0091,0.0069,0.0068,0.0056}),"MOQ="&amp;Z29),"")</f>
        <v>0.01779000599161174</v>
      </c>
      <c r="Z29" s="17">
        <v>10</v>
      </c>
      <c r="AA29" s="19">
        <f>IFERROR(IF(X29="",H29,X29)*Y29,"")</f>
        <v>3.558</v>
      </c>
      <c r="AB29" s="17" t="s">
        <v>242</v>
      </c>
      <c r="AI29" s="17">
        <v>7284611</v>
      </c>
      <c r="AJ29" s="17"/>
      <c r="AK29" s="18">
        <f>IFERROR(IF(OR(AJ29&gt;=AL29,H29&gt;=AL29),LOOKUP(IF(AJ29="",H29,AJ29),{0,1,10,50,100,1000,10000},{0.0,0.1,0.032,0.032,0.013,0.006,0.004}),"MOQ="&amp;AL29),"")</f>
        <v>0.013</v>
      </c>
      <c r="AL29" s="17">
        <v>1</v>
      </c>
      <c r="AM29" s="19">
        <f>IFERROR(IF(AJ29="",H29,AJ29)*AK29,"")</f>
        <v>2.6</v>
      </c>
      <c r="AN29" s="17" t="s">
        <v>284</v>
      </c>
      <c r="AO29" s="17">
        <v>240000</v>
      </c>
      <c r="AP29" s="17"/>
      <c r="AQ29" s="18">
        <f>IFERROR(IF(OR(AP29&gt;=AR29,H29&gt;=AR29),LOOKUP(IF(AP29="",H29,AP29),{0,1,25,100,250,500,1000,2500,5000,15000},{0.0,0.008,0.023,0.01,0.009,0.008,0.007,0.005,0.004,0.008}),"MOQ="&amp;AR29),"")</f>
        <v>0.01</v>
      </c>
      <c r="AR29" s="17">
        <v>1</v>
      </c>
      <c r="AS29" s="19">
        <f>IFERROR(IF(AP29="",H29,AP29)*AQ29,"")</f>
        <v>2.0</v>
      </c>
      <c r="AT29" s="17" t="s">
        <v>316</v>
      </c>
      <c r="AU29" s="17">
        <v>547637</v>
      </c>
      <c r="AV29" s="17"/>
      <c r="AW29" s="18">
        <f>IFERROR(IF(OR(AV29&gt;=AX29,H29&gt;=AX29),USD_GBP*LOOKUP(IF(AV29="",H29,AV29),{0,1,1000,5000,15000},{0.0,0.011,0.011,0.01,0.005}),"MOQ="&amp;AX29),"")</f>
        <v/>
      </c>
      <c r="AX29" s="17">
        <v>1000</v>
      </c>
      <c r="AY29" s="19">
        <f>IFERROR(IF(AV29="",H29,AV29)*AW29,"")</f>
        <v/>
      </c>
      <c r="AZ29" s="17" t="s">
        <v>335</v>
      </c>
    </row>
    <row r="30" spans="1:58">
      <c r="A30" s="17" t="s">
        <v>116</v>
      </c>
      <c r="B30" s="17" t="s">
        <v>117</v>
      </c>
      <c r="C30" s="17" t="s">
        <v>118</v>
      </c>
      <c r="E30" s="17" t="s">
        <v>77</v>
      </c>
      <c r="F30" s="17" t="s">
        <v>78</v>
      </c>
      <c r="G30" s="17" t="s">
        <v>119</v>
      </c>
      <c r="H30" s="17">
        <f>CEILING(BoardQty*1.0,1)</f>
        <v>100</v>
      </c>
      <c r="I30" s="18">
        <f>IF(MIN(M30,S30,Y30,AE30,AK30,AQ30,AW30,BC30)&lt;&gt;0,MIN(M30,S30,Y30,AE30,AK30,AQ30,AW30,BC30),"")</f>
        <v>0.0124</v>
      </c>
      <c r="J30" s="19">
        <f>IF(AND(ISNUMBER(H30),ISNUMBER(I30)),H30*I30,"")</f>
        <v>1.24</v>
      </c>
      <c r="Q30" s="17">
        <v>556386</v>
      </c>
      <c r="R30" s="17"/>
      <c r="S30" s="18">
        <f>IFERROR(IF(OR(R30&gt;=T30,H30&gt;=T30),LOOKUP(IF(R30="",H30,R30),{0,1,10,100,1000,2500,5000,15000},{0.0,0.1,0.065,0.0266,0.01192,0.01035,0.00855,0.00743}),"MOQ="&amp;T30),"")</f>
        <v>0.0266</v>
      </c>
      <c r="T30" s="17">
        <v>1</v>
      </c>
      <c r="U30" s="19">
        <f>IFERROR(IF(R30="",H30,R30)*S30,"")</f>
        <v>2.66</v>
      </c>
      <c r="V30" s="17" t="s">
        <v>211</v>
      </c>
      <c r="W30" s="17">
        <v>104</v>
      </c>
      <c r="X30" s="17"/>
      <c r="Y30" s="18">
        <f>IFERROR(IF(OR(X30&gt;=Z30,H30&gt;=Z30),USD_GBP*LOOKUP(IF(X30="",H30,X30),{0,1,10,100,500,2500,7500,15000,75000},{0.0,0.0619,0.0619,0.025,0.0118,0.0079,0.0067,0.0066,0.0055}),"MOQ="&amp;Z30),"")</f>
        <v>0.032702216896345115</v>
      </c>
      <c r="Z30" s="17">
        <v>10</v>
      </c>
      <c r="AA30" s="19">
        <f>IFERROR(IF(X30="",H30,X30)*Y30,"")</f>
        <v>3.2702</v>
      </c>
      <c r="AB30" s="17" t="s">
        <v>243</v>
      </c>
      <c r="AC30" s="17">
        <v>14350</v>
      </c>
      <c r="AD30" s="17"/>
      <c r="AE30" s="18">
        <f>IFERROR(IF(OR(AD30&gt;=AF30,H30&gt;=AF30),LOOKUP(IF(AD30="",H30,AD30),{0,1,50,500,1500,5000,25000,50000},{0.0,0.0124,0.0124,0.0104,0.0089,0.0077,0.0075,0.0074}),"MOQ="&amp;AF30),"")</f>
        <v>0.0124</v>
      </c>
      <c r="AF30" s="17">
        <v>50</v>
      </c>
      <c r="AG30" s="19">
        <f>IFERROR(IF(AD30="",H30,AD30)*AE30,"")</f>
        <v>1.24</v>
      </c>
      <c r="AH30" s="17" t="s">
        <v>263</v>
      </c>
      <c r="AI30" s="17">
        <v>267080</v>
      </c>
      <c r="AJ30" s="17"/>
      <c r="AK30" s="18">
        <f>IFERROR(IF(OR(AJ30&gt;=AL30,H30&gt;=AL30),LOOKUP(IF(AJ30="",H30,AJ30),{0,1,10,50,100,1000,10000},{0.0,0.11,0.06,0.06,0.025,0.011,0.007}),"MOQ="&amp;AL30),"")</f>
        <v>0.025</v>
      </c>
      <c r="AL30" s="17">
        <v>1</v>
      </c>
      <c r="AM30" s="19">
        <f>IFERROR(IF(AJ30="",H30,AJ30)*AK30,"")</f>
        <v>2.5</v>
      </c>
      <c r="AN30" s="17" t="s">
        <v>285</v>
      </c>
      <c r="AO30" s="17">
        <v>41</v>
      </c>
      <c r="AP30" s="17"/>
      <c r="AQ30" s="18">
        <f>IFERROR(IF(OR(AP30&gt;=AR30,H30&gt;=AR30),LOOKUP(IF(AP30="",H30,AP30),{0,1,10,25,50,100,250,500,1000,2500,15000},{0.0,0.121,0.066,0.053,0.04,0.028,0.025,0.019,0.016,0.011,0.016}),"MOQ="&amp;AR30),"")</f>
        <v>0.028</v>
      </c>
      <c r="AR30" s="17">
        <v>1</v>
      </c>
      <c r="AS30" s="19">
        <f>IFERROR(IF(AP30="",H30,AP30)*AQ30,"")</f>
        <v>2.8</v>
      </c>
      <c r="AT30" s="17" t="s">
        <v>317</v>
      </c>
      <c r="AU30" s="17">
        <v>4000</v>
      </c>
      <c r="AV30" s="17"/>
      <c r="AW30" s="18">
        <f>IFERROR(IF(OR(AV30&gt;=AX30,H30&gt;=AX30),USD_GBP*LOOKUP(IF(AV30="",H30,AV30),{0,1,1000,5000,10000,15000},{0.0,0.008,0.008,0.006,0.006,0.005}),"MOQ="&amp;AX30),"")</f>
        <v/>
      </c>
      <c r="AX30" s="17">
        <v>1000</v>
      </c>
      <c r="AY30" s="19">
        <f>IFERROR(IF(AV30="",H30,AV30)*AW30,"")</f>
        <v/>
      </c>
      <c r="AZ30" s="17" t="s">
        <v>336</v>
      </c>
    </row>
    <row r="31" spans="1:58">
      <c r="A31" s="17" t="s">
        <v>120</v>
      </c>
      <c r="B31" s="17" t="s">
        <v>121</v>
      </c>
      <c r="C31" s="17" t="s">
        <v>122</v>
      </c>
      <c r="E31" s="17" t="s">
        <v>123</v>
      </c>
      <c r="F31" s="17" t="s">
        <v>124</v>
      </c>
      <c r="G31" s="17" t="s">
        <v>121</v>
      </c>
      <c r="H31" s="17">
        <f>CEILING(BoardQty*1.0,1)</f>
        <v>100</v>
      </c>
      <c r="I31" s="18">
        <f>IF(MIN(M31,S31,Y31,AE31,AK31,AQ31,AW31,BC31)&lt;&gt;0,MIN(M31,S31,Y31,AE31,AK31,AQ31,AW31,BC31),"")</f>
        <v>0.087</v>
      </c>
      <c r="J31" s="19">
        <f>IF(AND(ISNUMBER(H31),ISNUMBER(I31)),H31*I31,"")</f>
        <v>8.7</v>
      </c>
      <c r="Q31" s="17">
        <v>685</v>
      </c>
      <c r="R31" s="17"/>
      <c r="S31" s="18">
        <f>IFERROR(IF(OR(R31&gt;=T31,H31&gt;=T31),LOOKUP(IF(R31="",H31,R31),{0,1,10,25,100,250,500,1000,2500,8500,17000},{0.0,0.25,0.242,0.2296,0.2078,0.18944,0.1761,0.15023,0.14606,0.13771,0.12853}),"MOQ="&amp;T31),"")</f>
        <v>0.2078</v>
      </c>
      <c r="T31" s="17">
        <v>1</v>
      </c>
      <c r="U31" s="19">
        <f>IFERROR(IF(R31="",H31,R31)*S31,"")</f>
        <v>20.78</v>
      </c>
      <c r="V31" s="17" t="s">
        <v>212</v>
      </c>
      <c r="W31" s="17">
        <v>352</v>
      </c>
      <c r="X31" s="17"/>
      <c r="Y31" s="18">
        <f>IFERROR(IF(OR(X31&gt;=Z31,H31&gt;=Z31),USD_GBP*LOOKUP(IF(X31="",H31,X31),{0,1,10,50,100,500},{0.0,0.165,0.165,0.156,0.142,0.12}),"MOQ="&amp;Z31),"")</f>
        <v>0.18574859197124025</v>
      </c>
      <c r="Z31" s="17">
        <v>10</v>
      </c>
      <c r="AA31" s="19">
        <f>IFERROR(IF(X31="",H31,X31)*Y31,"")</f>
        <v>18.5749</v>
      </c>
      <c r="AB31" s="17" t="s">
        <v>244</v>
      </c>
      <c r="AC31" s="17">
        <v>4816</v>
      </c>
      <c r="AD31" s="17"/>
      <c r="AE31" s="18">
        <f>IFERROR(IF(OR(AD31&gt;=AF31,H31&gt;=AF31),LOOKUP(IF(AD31="",H31,AD31),{0,1,10,30,100,500,1000},{0.0,0.1146,0.1146,0.1146,0.1146,0.1146,0.1146}),"MOQ="&amp;AF31),"")</f>
        <v>0.1146</v>
      </c>
      <c r="AF31" s="17">
        <v>1</v>
      </c>
      <c r="AG31" s="19">
        <f>IFERROR(IF(AD31="",H31,AD31)*AE31,"")</f>
        <v>11.46</v>
      </c>
      <c r="AH31" s="17" t="s">
        <v>264</v>
      </c>
      <c r="AI31" s="17">
        <v>7199</v>
      </c>
      <c r="AJ31" s="17"/>
      <c r="AK31" s="18">
        <f>IFERROR(IF(OR(AJ31&gt;=AL31,H31&gt;=AL31),LOOKUP(IF(AJ31="",H31,AJ31),{0,1,10,50,100,1000,10000},{0.0,0.25,0.24,0.221,0.208,0.17,0.17}),"MOQ="&amp;AL31),"")</f>
        <v>0.208</v>
      </c>
      <c r="AL31" s="17">
        <v>1</v>
      </c>
      <c r="AM31" s="19">
        <f>IFERROR(IF(AJ31="",H31,AJ31)*AK31,"")</f>
        <v>20.8</v>
      </c>
      <c r="AN31" s="17" t="s">
        <v>286</v>
      </c>
      <c r="AO31" s="17">
        <v>6738</v>
      </c>
      <c r="AP31" s="17"/>
      <c r="AQ31" s="18">
        <f>IFERROR(IF(OR(AP31&gt;=AR31,H31&gt;=AR31),LOOKUP(IF(AP31="",H31,AP31),{0,1,8500,100000},{0.0,0.087,0.178,0.15}),"MOQ="&amp;AR31),"")</f>
        <v>0.087</v>
      </c>
      <c r="AR31" s="17">
        <v>1</v>
      </c>
      <c r="AS31" s="19">
        <f>IFERROR(IF(AP31="",H31,AP31)*AQ31,"")</f>
        <v>8.7</v>
      </c>
      <c r="AT31" s="17" t="s">
        <v>318</v>
      </c>
    </row>
    <row r="32" spans="1:58">
      <c r="A32" s="17" t="s">
        <v>125</v>
      </c>
      <c r="B32" s="17" t="s">
        <v>126</v>
      </c>
      <c r="C32" s="17" t="s">
        <v>127</v>
      </c>
      <c r="E32" s="17" t="s">
        <v>128</v>
      </c>
      <c r="F32" s="17" t="s">
        <v>129</v>
      </c>
      <c r="G32" s="17" t="s">
        <v>126</v>
      </c>
      <c r="H32" s="17">
        <f>CEILING(BoardQty*2.0,1)</f>
        <v>200</v>
      </c>
      <c r="I32" s="18">
        <f>IF(MIN(M32,S32,Y32,AE32,AK32,AQ32,AW32,BC32)&lt;&gt;0,MIN(M32,S32,Y32,AE32,AK32,AQ32,AW32,BC32),"")</f>
        <v>0.09810665068903535</v>
      </c>
      <c r="J32" s="19">
        <f>IF(AND(ISNUMBER(H32),ISNUMBER(I32)),H32*I32,"")</f>
        <v>19.6213</v>
      </c>
      <c r="Q32" s="17">
        <v>298</v>
      </c>
      <c r="R32" s="17"/>
      <c r="S32" s="18">
        <f>IFERROR(IF(OR(R32&gt;=T32,H32&gt;=T32),LOOKUP(IF(R32="",H32,R32),{0,1,10,25,100,250,500,1000,3000,6000,15000},{0.0,0.39,0.297,0.268,0.1853,0.15604,0.12678,0.09752,0.08777,0.08289,0.0805}),"MOQ="&amp;T32),"")</f>
        <v>0.1853</v>
      </c>
      <c r="T32" s="17">
        <v>1</v>
      </c>
      <c r="U32" s="19">
        <f>IFERROR(IF(R32="",H32,R32)*S32,"")</f>
        <v>37.06</v>
      </c>
      <c r="V32" s="17" t="s">
        <v>213</v>
      </c>
      <c r="W32" s="17">
        <v>1312</v>
      </c>
      <c r="X32" s="17"/>
      <c r="Y32" s="18">
        <f>IFERROR(IF(OR(X32&gt;=Z32,H32&gt;=Z32),USD_GBP*LOOKUP(IF(X32="",H32,X32),{0,1,5,10,100,500,3000,9000,24000,45000},{0.0,0.439,0.439,0.329,0.165,0.0957,0.0737,0.0722,0.0708,0.0693}),"MOQ="&amp;Z32),"")</f>
        <v>0.21583463151587778</v>
      </c>
      <c r="Z32" s="17">
        <v>5</v>
      </c>
      <c r="AA32" s="19">
        <f>IFERROR(IF(X32="",H32,X32)*Y32,"")</f>
        <v>43.1669</v>
      </c>
      <c r="AB32" s="17" t="s">
        <v>245</v>
      </c>
      <c r="AI32" s="17">
        <v>10729</v>
      </c>
      <c r="AJ32" s="17"/>
      <c r="AK32" s="18">
        <f>IFERROR(IF(OR(AJ32&gt;=AL32,H32&gt;=AL32),LOOKUP(IF(AJ32="",H32,AJ32),{0,1,10,50,100,1000,10000},{0.0,0.52,0.39,0.39,0.195,0.113,0.078}),"MOQ="&amp;AL32),"")</f>
        <v>0.195</v>
      </c>
      <c r="AL32" s="17">
        <v>1</v>
      </c>
      <c r="AM32" s="19">
        <f>IFERROR(IF(AJ32="",H32,AJ32)*AK32,"")</f>
        <v>39.0</v>
      </c>
      <c r="AN32" s="17" t="s">
        <v>287</v>
      </c>
      <c r="AO32" s="17">
        <v>1312</v>
      </c>
      <c r="AP32" s="17"/>
      <c r="AQ32" s="18">
        <f>IFERROR(IF(OR(AP32&gt;=AR32,H32&gt;=AR32),LOOKUP(IF(AP32="",H32,AP32),{0,1,5,10,100,6000,18000,48000,90000},{0.0,0.536,0.536,0.409,0.255,0.096,0.085,0.069,0.06}),"MOQ="&amp;AR32),"")</f>
        <v>0.255</v>
      </c>
      <c r="AR32" s="17">
        <v>5</v>
      </c>
      <c r="AS32" s="19">
        <f>IFERROR(IF(AP32="",H32,AP32)*AQ32,"")</f>
        <v>51.0</v>
      </c>
      <c r="AT32" s="17" t="s">
        <v>319</v>
      </c>
      <c r="BA32" s="20" t="s">
        <v>197</v>
      </c>
      <c r="BB32" s="17"/>
      <c r="BC32" s="18">
        <f>IFERROR(IF(OR(BB32&gt;=BD32,H32&gt;=BD32),USD_GBP*LOOKUP(IF(BB32="",H32,BB32),{0,1,5,25,100,500,3000},{0.0,0.136,0.136,0.0864,0.075,0.0654,0.061}),"MOQ="&amp;BD32),"")</f>
        <v>0.09810665068903535</v>
      </c>
      <c r="BD32" s="17">
        <v>5</v>
      </c>
      <c r="BE32" s="19">
        <f>IFERROR(IF(BB32="",H32,BB32)*BC32,"")</f>
        <v>19.6213</v>
      </c>
      <c r="BF32" s="17" t="s">
        <v>126</v>
      </c>
    </row>
    <row r="33" spans="1:58">
      <c r="A33" s="17" t="s">
        <v>130</v>
      </c>
      <c r="B33" s="17" t="s">
        <v>131</v>
      </c>
      <c r="C33" s="17" t="s">
        <v>132</v>
      </c>
      <c r="E33" s="17" t="s">
        <v>128</v>
      </c>
      <c r="F33" s="17" t="s">
        <v>129</v>
      </c>
      <c r="G33" s="17" t="s">
        <v>131</v>
      </c>
      <c r="H33" s="17">
        <f>CEILING(BoardQty*1.0,1)</f>
        <v>100</v>
      </c>
      <c r="I33" s="18">
        <f>IF(MIN(M33,S33,Y33,AE33,AK33,AQ33,AW33,BC33)&lt;&gt;0,MIN(M33,S33,Y33,AE33,AK33,AQ33,AW33,BC33),"")</f>
        <v>0.279</v>
      </c>
      <c r="J33" s="19">
        <f>IF(AND(ISNUMBER(H33),ISNUMBER(I33)),H33*I33,"")</f>
        <v>27.9</v>
      </c>
      <c r="Q33" s="20" t="s">
        <v>197</v>
      </c>
      <c r="R33" s="17"/>
      <c r="S33" s="18">
        <f>IFERROR(IF(OR(R33&gt;=T33,H33&gt;=T33),LOOKUP(IF(R33="",H33,R33),{0,1,10,25,100,250,500,1000,3000},{0.0,0.47,0.402,0.3756,0.3004,0.27892,0.236,0.18236,0.1771}),"MOQ="&amp;T33),"")</f>
        <v>0.3004</v>
      </c>
      <c r="T33" s="17">
        <v>1</v>
      </c>
      <c r="U33" s="19">
        <f>IFERROR(IF(R33="",H33,R33)*S33,"")</f>
        <v>30.04</v>
      </c>
      <c r="V33" s="17" t="s">
        <v>214</v>
      </c>
      <c r="W33" s="20" t="s">
        <v>197</v>
      </c>
      <c r="X33" s="17"/>
      <c r="Y33" s="18">
        <f>IFERROR(IF(OR(X33&gt;=Z33,H33&gt;=Z33),USD_GBP*LOOKUP(IF(X33="",H33,X33),{0,1,5,10,100,500},{0.0,0.554,0.554,0.464,0.286,0.189}),"MOQ="&amp;Z33),"")</f>
        <v>0.3741133612941881</v>
      </c>
      <c r="Z33" s="17">
        <v>5</v>
      </c>
      <c r="AA33" s="19">
        <f>IFERROR(IF(X33="",H33,X33)*Y33,"")</f>
        <v>37.4113</v>
      </c>
      <c r="AB33" s="17" t="s">
        <v>246</v>
      </c>
      <c r="AI33" s="20" t="s">
        <v>197</v>
      </c>
      <c r="AJ33" s="17"/>
      <c r="AK33" s="18">
        <f>IFERROR(IF(OR(AJ33&gt;=AL33,H33&gt;=AL33),LOOKUP(IF(AJ33="",H33,AJ33),{0,1,10,50,100,1000,10000},{0.0,0.47,0.376,0.376,0.279,0.183,0.166}),"MOQ="&amp;AL33),"")</f>
        <v>0.279</v>
      </c>
      <c r="AL33" s="17">
        <v>1</v>
      </c>
      <c r="AM33" s="19">
        <f>IFERROR(IF(AJ33="",H33,AJ33)*AK33,"")</f>
        <v>27.9</v>
      </c>
      <c r="AN33" s="17" t="s">
        <v>288</v>
      </c>
      <c r="AO33" s="20" t="s">
        <v>197</v>
      </c>
      <c r="AP33" s="17"/>
      <c r="AQ33" s="18">
        <f>IFERROR(IF(OR(AP33&gt;=AR33,H33&gt;=AR33),LOOKUP(IF(AP33="",H33,AP33),{0,1,5,10,100},{0.0,0.646,0.646,0.553,0.413}),"MOQ="&amp;AR33),"")</f>
        <v>0.413</v>
      </c>
      <c r="AR33" s="17">
        <v>1</v>
      </c>
      <c r="AS33" s="19">
        <f>IFERROR(IF(AP33="",H33,AP33)*AQ33,"")</f>
        <v>41.3</v>
      </c>
      <c r="AT33" s="17" t="s">
        <v>320</v>
      </c>
      <c r="AU33" s="17">
        <v>12</v>
      </c>
      <c r="AV33" s="17"/>
      <c r="AW33" s="18">
        <f>IFERROR(IF(OR(AV33&gt;=AX33,H33&gt;=AX33),USD_GBP*LOOKUP(IF(AV33="",H33,AV33),{0,1,18,108,1008,3000,3006,9000},{0.0,0.314,0.314,0.161,0.121,0.146,0.099,0.147}),"MOQ="&amp;AX33),"")</f>
        <v>0.4107398442180947</v>
      </c>
      <c r="AX33" s="17">
        <v>18</v>
      </c>
      <c r="AY33" s="19">
        <f>IFERROR(IF(AV33="",H33,AV33)*AW33,"")</f>
        <v>41.074</v>
      </c>
      <c r="AZ33" s="17" t="s">
        <v>337</v>
      </c>
    </row>
    <row r="34" spans="1:58">
      <c r="A34" s="17" t="s">
        <v>133</v>
      </c>
      <c r="B34" s="17" t="s">
        <v>134</v>
      </c>
      <c r="C34" s="17" t="s">
        <v>135</v>
      </c>
      <c r="E34" s="17" t="s">
        <v>136</v>
      </c>
      <c r="F34" s="17" t="s">
        <v>137</v>
      </c>
      <c r="G34" s="17" t="s">
        <v>134</v>
      </c>
      <c r="H34" s="17">
        <f>CEILING(BoardQty*1.0,1)</f>
        <v>100</v>
      </c>
      <c r="I34" s="18">
        <f>IF(MIN(M34,S34,Y34,AE34,AK34,AQ34,AW34,BC34)&lt;&gt;0,MIN(M34,S34,Y34,AE34,AK34,AQ34,AW34,BC34),"")</f>
        <v>0.537</v>
      </c>
      <c r="J34" s="19">
        <f>IF(AND(ISNUMBER(H34),ISNUMBER(I34)),H34*I34,"")</f>
        <v>53.7</v>
      </c>
      <c r="Q34" s="20" t="s">
        <v>197</v>
      </c>
      <c r="R34" s="17"/>
      <c r="S34" s="18">
        <f>IFERROR(IF(OR(R34&gt;=T34,H34&gt;=T34),LOOKUP(IF(R34="",H34,R34),{0,1,4000},{0.0,0.35,0.35}),"MOQ="&amp;T34),"")</f>
        <v/>
      </c>
      <c r="T34" s="17">
        <v>4000</v>
      </c>
      <c r="U34" s="19">
        <f>IFERROR(IF(R34="",H34,R34)*S34,"")</f>
        <v/>
      </c>
      <c r="V34" s="17" t="s">
        <v>215</v>
      </c>
      <c r="AI34" s="20" t="s">
        <v>197</v>
      </c>
      <c r="AJ34" s="17"/>
      <c r="AK34" s="18">
        <f>IFERROR(IF(OR(AJ34&gt;=AL34,H34&gt;=AL34),LOOKUP(IF(AJ34="",H34,AJ34),{0,1,10,50,100,1000,10000},{0.0,0.8,0.7,0.7,0.537,0.34,0.308}),"MOQ="&amp;AL34),"")</f>
        <v>0.537</v>
      </c>
      <c r="AL34" s="17">
        <v>1</v>
      </c>
      <c r="AM34" s="19">
        <f>IFERROR(IF(AJ34="",H34,AJ34)*AK34,"")</f>
        <v>53.7</v>
      </c>
      <c r="AN34" s="17" t="s">
        <v>289</v>
      </c>
    </row>
    <row r="35" spans="1:58">
      <c r="A35" s="17" t="s">
        <v>138</v>
      </c>
      <c r="B35" s="17" t="s">
        <v>139</v>
      </c>
      <c r="C35" s="17" t="s">
        <v>140</v>
      </c>
      <c r="E35" s="17" t="s">
        <v>141</v>
      </c>
      <c r="F35" s="17" t="s">
        <v>137</v>
      </c>
      <c r="G35" s="17" t="s">
        <v>139</v>
      </c>
      <c r="H35" s="17">
        <f>CEILING(BoardQty*1.0,1)</f>
        <v>100</v>
      </c>
      <c r="I35" s="18">
        <f>IF(MIN(M35,S35,Y35,AE35,AK35,AQ35,AW35,BC35)&lt;&gt;0,MIN(M35,S35,Y35,AE35,AK35,AQ35,AW35,BC35),"")</f>
        <v>1.35</v>
      </c>
      <c r="J35" s="19">
        <f>IF(AND(ISNUMBER(H35),ISNUMBER(I35)),H35*I35,"")</f>
        <v>135.0</v>
      </c>
      <c r="Q35" s="17">
        <v>2950</v>
      </c>
      <c r="R35" s="17"/>
      <c r="S35" s="18">
        <f>IFERROR(IF(OR(R35&gt;=T35,H35&gt;=T35),LOOKUP(IF(R35="",H35,R35),{0,1,10,25,100,250,500,1000,2000},{0.0,1.87,1.68,1.5848,1.3502,1.26776,1.10928,1.0465,1.0465}),"MOQ="&amp;T35),"")</f>
        <v>1.3502</v>
      </c>
      <c r="T35" s="17">
        <v>1</v>
      </c>
      <c r="U35" s="19">
        <f>IFERROR(IF(R35="",H35,R35)*S35,"")</f>
        <v>135.02</v>
      </c>
      <c r="V35" s="17" t="s">
        <v>216</v>
      </c>
      <c r="AI35" s="17">
        <v>1630</v>
      </c>
      <c r="AJ35" s="17"/>
      <c r="AK35" s="18">
        <f>IFERROR(IF(OR(AJ35&gt;=AL35,H35&gt;=AL35),LOOKUP(IF(AJ35="",H35,AJ35),{0,1,10,50,100,1000,10000},{0.0,1.87,1.68,1.59,1.35,0.92,0.92}),"MOQ="&amp;AL35),"")</f>
        <v>1.35</v>
      </c>
      <c r="AL35" s="17">
        <v>1</v>
      </c>
      <c r="AM35" s="19">
        <f>IFERROR(IF(AJ35="",H35,AJ35)*AK35,"")</f>
        <v>135.0</v>
      </c>
      <c r="AN35" s="17" t="s">
        <v>290</v>
      </c>
    </row>
    <row r="36" spans="1:58" ht="30" customHeight="1">
      <c r="A36" s="17" t="s">
        <v>142</v>
      </c>
      <c r="B36" s="17" t="s">
        <v>143</v>
      </c>
      <c r="C36" s="17" t="s">
        <v>144</v>
      </c>
      <c r="D36" s="17" t="s">
        <v>145</v>
      </c>
      <c r="E36" s="17" t="s">
        <v>146</v>
      </c>
      <c r="F36" s="17" t="s">
        <v>147</v>
      </c>
      <c r="G36" s="17" t="s">
        <v>143</v>
      </c>
      <c r="H36" s="17">
        <f>CEILING(BoardQty*1.0,1)</f>
        <v>100</v>
      </c>
      <c r="I36" s="18">
        <f>IF(MIN(M36,S36,Y36,AE36,AK36,AQ36,AW36,BC36)&lt;&gt;0,MIN(M36,S36,Y36,AE36,AK36,AQ36,AW36,BC36),"")</f>
        <v>3.62</v>
      </c>
      <c r="J36" s="19">
        <f>IF(AND(ISNUMBER(H36),ISNUMBER(I36)),H36*I36,"")</f>
        <v>362.0</v>
      </c>
      <c r="Q36" s="20" t="s">
        <v>197</v>
      </c>
      <c r="R36" s="17"/>
      <c r="S36" s="18">
        <f>IFERROR(IF(OR(R36&gt;=T36,H36&gt;=T36),LOOKUP(IF(R36="",H36,R36),{0,1,10},{0.0,4.87,4.812}),"MOQ="&amp;T36),"")</f>
        <v>4.812</v>
      </c>
      <c r="T36" s="17">
        <v>1</v>
      </c>
      <c r="U36" s="19">
        <f>IFERROR(IF(R36="",H36,R36)*S36,"")</f>
        <v>481.2</v>
      </c>
      <c r="V36" s="17" t="s">
        <v>217</v>
      </c>
      <c r="W36" s="20" t="s">
        <v>197</v>
      </c>
      <c r="X36" s="17"/>
      <c r="Y36" s="18">
        <f>IFERROR(IF(OR(X36&gt;=Z36,H36&gt;=Z36),USD_GBP*LOOKUP(IF(X36="",H36,X36),{0,1,10,25,50},{0.0,4.35,3.91,3.69,3.62}),"MOQ="&amp;Z36),"")</f>
        <v>4.735281006590773</v>
      </c>
      <c r="Z36" s="17">
        <v>1</v>
      </c>
      <c r="AA36" s="19">
        <f>IFERROR(IF(X36="",H36,X36)*Y36,"")</f>
        <v>473.5281</v>
      </c>
      <c r="AB36" s="17" t="s">
        <v>247</v>
      </c>
      <c r="AI36" s="20" t="s">
        <v>197</v>
      </c>
      <c r="AJ36" s="17"/>
      <c r="AK36" s="18">
        <f>IFERROR(IF(OR(AJ36&gt;=AL36,H36&gt;=AL36),LOOKUP(IF(AJ36="",H36,AJ36),{0,1,10,50,100,1000,10000},{0.0,4.92,4.42,4.18,3.62,3.49,3.49}),"MOQ="&amp;AL36),"")</f>
        <v>3.62</v>
      </c>
      <c r="AL36" s="17">
        <v>1</v>
      </c>
      <c r="AM36" s="19">
        <f>IFERROR(IF(AJ36="",H36,AJ36)*AK36,"")</f>
        <v>362.0</v>
      </c>
      <c r="AN36" s="17" t="s">
        <v>291</v>
      </c>
      <c r="AO36" s="20" t="s">
        <v>197</v>
      </c>
      <c r="AP36" s="17"/>
      <c r="AQ36" s="18">
        <f>IFERROR(IF(OR(AP36&gt;=AR36,H36&gt;=AR36),LOOKUP(IF(AP36="",H36,AP36),{0,1,10,2450},{0.0,4.87,4.81,4.81}),"MOQ="&amp;AR36),"")</f>
        <v>4.81</v>
      </c>
      <c r="AR36" s="17">
        <v>1</v>
      </c>
      <c r="AS36" s="19">
        <f>IFERROR(IF(AP36="",H36,AP36)*AQ36,"")</f>
        <v>481.0</v>
      </c>
      <c r="AT36" s="17" t="s">
        <v>321</v>
      </c>
    </row>
    <row r="37" spans="1:58" ht="30" customHeight="1">
      <c r="A37" s="17" t="s">
        <v>148</v>
      </c>
      <c r="B37" s="17" t="s">
        <v>149</v>
      </c>
      <c r="C37" s="17" t="s">
        <v>150</v>
      </c>
      <c r="E37" s="17" t="s">
        <v>151</v>
      </c>
      <c r="F37" s="17" t="s">
        <v>129</v>
      </c>
      <c r="G37" s="17" t="s">
        <v>152</v>
      </c>
      <c r="H37" s="17">
        <f>CEILING(BoardQty*1.0,1)</f>
        <v>100</v>
      </c>
      <c r="I37" s="18">
        <f>IF(MIN(M37,S37,Y37,AE37,AK37,AQ37,AW37,BC37)&lt;&gt;0,MIN(M37,S37,Y37,AE37,AK37,AQ37,AW37,BC37),"")</f>
        <v>0.16952829239065306</v>
      </c>
      <c r="J37" s="19">
        <f>IF(AND(ISNUMBER(H37),ISNUMBER(I37)),H37*I37,"")</f>
        <v>16.9528</v>
      </c>
      <c r="Q37" s="20" t="s">
        <v>197</v>
      </c>
      <c r="R37" s="17"/>
      <c r="S37" s="18">
        <f>IFERROR(IF(OR(R37&gt;=T37,H37&gt;=T37),LOOKUP(IF(R37="",H37,R37),{0,1,10,25,50,100,250,500,1000,4000,8000,12000,28000},{0.0,0.26,0.242,0.2304,0.223,0.2156,0.20444,0.17098,0.13269,0.12637,0.11894,0.1115,0.10407}),"MOQ="&amp;T37),"")</f>
        <v>0.2156</v>
      </c>
      <c r="T37" s="17">
        <v>1</v>
      </c>
      <c r="U37" s="19">
        <f>IFERROR(IF(R37="",H37,R37)*S37,"")</f>
        <v>21.56</v>
      </c>
      <c r="V37" s="17" t="s">
        <v>218</v>
      </c>
      <c r="W37" s="20" t="s">
        <v>197</v>
      </c>
      <c r="X37" s="17"/>
      <c r="Y37" s="18">
        <f>IFERROR(IF(OR(X37&gt;=Z37,H37&gt;=Z37),USD_GBP*LOOKUP(IF(X37="",H37,X37),{0,1,5,10,100,500},{0.0,0.531,0.531,0.424,0.258,0.144}),"MOQ="&amp;Z37),"")</f>
        <v>0.3374868783702816</v>
      </c>
      <c r="Z37" s="17">
        <v>5</v>
      </c>
      <c r="AA37" s="19">
        <f>IFERROR(IF(X37="",H37,X37)*Y37,"")</f>
        <v>33.7487</v>
      </c>
      <c r="AB37" s="17" t="s">
        <v>248</v>
      </c>
      <c r="AI37" s="20" t="s">
        <v>197</v>
      </c>
      <c r="AJ37" s="17"/>
      <c r="AK37" s="18">
        <f>IFERROR(IF(OR(AJ37&gt;=AL37,H37&gt;=AL37),LOOKUP(IF(AJ37="",H37,AJ37),{0,1,10,50,100,1000,10000},{0.0,0.45,0.367,0.367,0.25,0.141,0.12}),"MOQ="&amp;AL37),"")</f>
        <v>0.25</v>
      </c>
      <c r="AL37" s="17">
        <v>1</v>
      </c>
      <c r="AM37" s="19">
        <f>IFERROR(IF(AJ37="",H37,AJ37)*AK37,"")</f>
        <v>25.0</v>
      </c>
      <c r="AN37" s="17" t="s">
        <v>292</v>
      </c>
      <c r="AO37" s="17">
        <v>1</v>
      </c>
      <c r="AP37" s="17"/>
      <c r="AQ37" s="18">
        <f>IFERROR(IF(OR(AP37&gt;=AR37,H37&gt;=AR37),LOOKUP(IF(AP37="",H37,AP37),{0,1,10,100,3000,4000,6000,12000,18000,30000},{0.0,0.268,0.255,0.229,0.131,0.131,0.117,0.106,0.098,0.091}),"MOQ="&amp;AR37),"")</f>
        <v>0.229</v>
      </c>
      <c r="AR37" s="17">
        <v>1</v>
      </c>
      <c r="AS37" s="19">
        <f>IFERROR(IF(AP37="",H37,AP37)*AQ37,"")</f>
        <v>22.9</v>
      </c>
      <c r="AT37" s="17" t="s">
        <v>322</v>
      </c>
      <c r="AU37" s="20" t="s">
        <v>197</v>
      </c>
      <c r="AV37" s="17"/>
      <c r="AW37" s="18">
        <f>IFERROR(IF(OR(AV37&gt;=AX37,H37&gt;=AX37),USD_GBP*LOOKUP(IF(AV37="",H37,AV37),{0,1,50,100,1000,4000,8000,24000,48000,100000},{0.0,0.295,0.295,0.227,0.219,0.205,0.185,0.083,0.076,0.073}),"MOQ="&amp;AX37),"")</f>
        <v>0.29693612941881364</v>
      </c>
      <c r="AX37" s="17">
        <v>50</v>
      </c>
      <c r="AY37" s="19">
        <f>IFERROR(IF(AV37="",H37,AV37)*AW37,"")</f>
        <v>29.6936</v>
      </c>
      <c r="AZ37" s="17" t="s">
        <v>338</v>
      </c>
      <c r="BA37" s="20" t="s">
        <v>197</v>
      </c>
      <c r="BB37" s="17"/>
      <c r="BC37" s="18">
        <f>IFERROR(IF(OR(BB37&gt;=BD37,H37&gt;=BD37),USD_GBP*LOOKUP(IF(BB37="",H37,BB37),{0,1,5,25,100,500,2000},{0.0,0.172,0.172,0.1496,0.1296,0.11318,0.10564}),"MOQ="&amp;BD37),"")</f>
        <v>0.16952829239065306</v>
      </c>
      <c r="BD37" s="17">
        <v>5</v>
      </c>
      <c r="BE37" s="19">
        <f>IFERROR(IF(BB37="",H37,BB37)*BC37,"")</f>
        <v>16.9528</v>
      </c>
      <c r="BF37" s="17" t="s">
        <v>152</v>
      </c>
    </row>
    <row r="38" spans="1:58">
      <c r="A38" s="17" t="s">
        <v>153</v>
      </c>
      <c r="B38" s="17" t="s">
        <v>154</v>
      </c>
      <c r="C38" s="17" t="s">
        <v>155</v>
      </c>
      <c r="E38" s="17" t="s">
        <v>156</v>
      </c>
      <c r="F38" s="17" t="s">
        <v>157</v>
      </c>
      <c r="G38" s="17" t="s">
        <v>154</v>
      </c>
      <c r="H38" s="17">
        <f>CEILING(BoardQty*1.0,1)</f>
        <v>100</v>
      </c>
      <c r="I38" s="18">
        <f>IF(MIN(M38,S38,Y38,AE38,AK38,AQ38,AW38,BC38)&lt;&gt;0,MIN(M38,S38,Y38,AE38,AK38,AQ38,AW38,BC38),"")</f>
        <v>0.645</v>
      </c>
      <c r="J38" s="19">
        <f>IF(AND(ISNUMBER(H38),ISNUMBER(I38)),H38*I38,"")</f>
        <v>64.5</v>
      </c>
      <c r="Q38" s="20" t="s">
        <v>197</v>
      </c>
      <c r="R38" s="17"/>
      <c r="S38" s="18">
        <f>IFERROR(IF(OR(R38&gt;=T38,H38&gt;=T38),LOOKUP(IF(R38="",H38,R38),{0,1,25,100,3000},{0.0,0.83,0.6996,0.645,0.645}),"MOQ="&amp;T38),"")</f>
        <v>0.645</v>
      </c>
      <c r="T38" s="17">
        <v>1</v>
      </c>
      <c r="U38" s="19">
        <f>IFERROR(IF(R38="",H38,R38)*S38,"")</f>
        <v>64.5</v>
      </c>
      <c r="V38" s="17" t="s">
        <v>219</v>
      </c>
      <c r="W38" s="20" t="s">
        <v>197</v>
      </c>
      <c r="X38" s="17"/>
      <c r="Y38" s="18">
        <f>IFERROR(IF(OR(X38&gt;=Z38,H38&gt;=Z38),USD_GBP*LOOKUP(IF(X38="",H38,X38),{0,1,25,100},{0.0,0.798,0.674,0.62}),"MOQ="&amp;Z38),"")</f>
        <v>0.8110149790293588</v>
      </c>
      <c r="Z38" s="17">
        <v>1</v>
      </c>
      <c r="AA38" s="19">
        <f>IFERROR(IF(X38="",H38,X38)*Y38,"")</f>
        <v>81.1015</v>
      </c>
      <c r="AB38" s="17" t="s">
        <v>249</v>
      </c>
      <c r="AI38" s="20" t="s">
        <v>197</v>
      </c>
      <c r="AJ38" s="17"/>
      <c r="AK38" s="18">
        <f>IFERROR(IF(OR(AJ38&gt;=AL38,H38&gt;=AL38),LOOKUP(IF(AJ38="",H38,AJ38),{0,1,10,50,100,1000,10000},{0.0,0.83,0.827,0.7,0.645,0.645,0.645}),"MOQ="&amp;AL38),"")</f>
        <v>0.645</v>
      </c>
      <c r="AL38" s="17">
        <v>1</v>
      </c>
      <c r="AM38" s="19">
        <f>IFERROR(IF(AJ38="",H38,AJ38)*AK38,"")</f>
        <v>64.5</v>
      </c>
      <c r="AN38" s="17" t="s">
        <v>293</v>
      </c>
      <c r="AO38" s="20" t="s">
        <v>197</v>
      </c>
      <c r="AP38" s="17"/>
      <c r="AQ38" s="18">
        <f>IFERROR(IF(OR(AP38&gt;=AR38,H38&gt;=AR38),LOOKUP(IF(AP38="",H38,AP38),{0,1,10,25,50,100,3000},{0.0,0.59,0.866,0.795,0.764,0.738,0.59}),"MOQ="&amp;AR38),"")</f>
        <v>0.738</v>
      </c>
      <c r="AR38" s="17">
        <v>1</v>
      </c>
      <c r="AS38" s="19">
        <f>IFERROR(IF(AP38="",H38,AP38)*AQ38,"")</f>
        <v>73.8</v>
      </c>
      <c r="AT38" s="17" t="s">
        <v>323</v>
      </c>
      <c r="AU38" s="20" t="s">
        <v>197</v>
      </c>
      <c r="AV38" s="17"/>
      <c r="AW38" s="18">
        <f>IFERROR(IF(OR(AV38&gt;=AX38,H38&gt;=AX38),USD_GBP*LOOKUP(IF(AV38="",H38,AV38),{0,1,20,40,100,3000},{0.0,0.718,0.718,0.686,0.619,0.558}),"MOQ="&amp;AX38),"")</f>
        <v>0.8097068903535051</v>
      </c>
      <c r="AX38" s="17">
        <v>20</v>
      </c>
      <c r="AY38" s="19">
        <f>IFERROR(IF(AV38="",H38,AV38)*AW38,"")</f>
        <v>80.9707</v>
      </c>
      <c r="AZ38" s="17" t="s">
        <v>339</v>
      </c>
      <c r="BA38" s="20" t="s">
        <v>197</v>
      </c>
      <c r="BB38" s="17"/>
      <c r="BC38" s="18">
        <f>IFERROR(IF(OR(BB38&gt;=BD38,H38&gt;=BD38),USD_GBP*LOOKUP(IF(BB38="",H38,BB38),{0,1,5,25,100},{0.0,0.76,0.7,0.64,0.58}),"MOQ="&amp;BD38),"")</f>
        <v>0.7586914319952066</v>
      </c>
      <c r="BD38" s="17">
        <v>1</v>
      </c>
      <c r="BE38" s="19">
        <f>IFERROR(IF(BB38="",H38,BB38)*BC38,"")</f>
        <v>75.8691</v>
      </c>
      <c r="BF38" s="17" t="s">
        <v>343</v>
      </c>
    </row>
    <row r="39" spans="1:58" ht="30" customHeight="1">
      <c r="A39" s="17" t="s">
        <v>158</v>
      </c>
      <c r="B39" s="17" t="s">
        <v>159</v>
      </c>
      <c r="C39" s="17" t="s">
        <v>160</v>
      </c>
      <c r="D39" s="17" t="s">
        <v>161</v>
      </c>
      <c r="E39" s="17" t="s">
        <v>162</v>
      </c>
      <c r="F39" s="17" t="s">
        <v>163</v>
      </c>
      <c r="G39" s="17" t="s">
        <v>164</v>
      </c>
      <c r="H39" s="17">
        <f>CEILING(BoardQty*1.0,1)</f>
        <v>100</v>
      </c>
      <c r="I39" s="18">
        <f>IF(MIN(M39,S39,Y39,AE39,AK39,AQ39,AW39,BC39)&lt;&gt;0,MIN(M39,S39,Y39,AE39,AK39,AQ39,AW39,BC39),"")</f>
        <v>1.38</v>
      </c>
      <c r="J39" s="19">
        <f>IF(AND(ISNUMBER(H39),ISNUMBER(I39)),H39*I39,"")</f>
        <v>138.0</v>
      </c>
      <c r="AI39" s="17">
        <v>52667</v>
      </c>
      <c r="AJ39" s="17"/>
      <c r="AK39" s="18">
        <f>IFERROR(IF(OR(AJ39&gt;=AL39,H39&gt;=AL39),LOOKUP(IF(AJ39="",H39,AJ39),{0,1,10,50,100,1000,10000},{0.0,1.74,1.59,1.59,1.38,1.37,1.2}),"MOQ="&amp;AL39),"")</f>
        <v>1.38</v>
      </c>
      <c r="AL39" s="17">
        <v>1</v>
      </c>
      <c r="AM39" s="19">
        <f>IFERROR(IF(AJ39="",H39,AJ39)*AK39,"")</f>
        <v>138.0</v>
      </c>
      <c r="AN39" s="17" t="s">
        <v>294</v>
      </c>
    </row>
    <row r="40" spans="1:58" ht="30" customHeight="1">
      <c r="A40" s="17" t="s">
        <v>165</v>
      </c>
      <c r="B40" s="17" t="s">
        <v>166</v>
      </c>
      <c r="C40" s="17" t="s">
        <v>167</v>
      </c>
      <c r="D40" s="17" t="s">
        <v>168</v>
      </c>
      <c r="E40" s="17" t="s">
        <v>169</v>
      </c>
      <c r="F40" s="17" t="s">
        <v>170</v>
      </c>
      <c r="G40" s="17" t="s">
        <v>166</v>
      </c>
      <c r="H40" s="17">
        <f>CEILING(BoardQty*1.0,1)</f>
        <v>100</v>
      </c>
      <c r="I40" s="18">
        <f>IF(MIN(M40,S40,Y40,AE40,AK40,AQ40,AW40,BC40)&lt;&gt;0,MIN(M40,S40,Y40,AE40,AK40,AQ40,AW40,BC40),"")</f>
        <v>1.555</v>
      </c>
      <c r="J40" s="19">
        <f>IF(AND(ISNUMBER(H40),ISNUMBER(I40)),H40*I40,"")</f>
        <v>155.5</v>
      </c>
      <c r="K40" s="17">
        <v>43</v>
      </c>
      <c r="L40" s="17"/>
      <c r="M40" s="18">
        <f>IFERROR(IF(OR(L40&gt;=N40,H40&gt;=N40),LOOKUP(IF(L40="",H40,L40),{0,1,10,25,50,100,250,500,1000,5000},{0.0,1.9645,1.7616,1.7344,1.6894,1.555,1.5546,1.4413,1.4151,1.2603}),"MOQ="&amp;N40),"")</f>
        <v>1.555</v>
      </c>
      <c r="N40" s="17">
        <v>1</v>
      </c>
      <c r="O40" s="19">
        <f>IFERROR(IF(L40="",H40,L40)*M40,"")</f>
        <v>155.5</v>
      </c>
      <c r="P40" s="17" t="s">
        <v>166</v>
      </c>
      <c r="Q40" s="17">
        <v>31864</v>
      </c>
      <c r="R40" s="17"/>
      <c r="S40" s="18">
        <f>IFERROR(IF(OR(R40&gt;=T40,H40&gt;=T40),LOOKUP(IF(R40="",H40,R40),{0,1,10,25,50,100,250,500,1000,5000},{0.0,1.97,1.798,1.7496,1.7408,1.556,1.55152,1.5281,1.46322,1.36231}),"MOQ="&amp;T40),"")</f>
        <v>1.556</v>
      </c>
      <c r="T40" s="17">
        <v>1</v>
      </c>
      <c r="U40" s="19">
        <f>IFERROR(IF(R40="",H40,R40)*S40,"")</f>
        <v>155.6</v>
      </c>
      <c r="V40" s="17" t="s">
        <v>220</v>
      </c>
    </row>
    <row r="41" spans="1:58" ht="30" customHeight="1">
      <c r="A41" s="17" t="s">
        <v>171</v>
      </c>
      <c r="B41" s="17" t="s">
        <v>172</v>
      </c>
      <c r="C41" s="17" t="s">
        <v>173</v>
      </c>
      <c r="E41" s="17" t="s">
        <v>174</v>
      </c>
      <c r="F41" s="17" t="s">
        <v>175</v>
      </c>
      <c r="G41" s="17" t="s">
        <v>172</v>
      </c>
      <c r="H41" s="17">
        <f>CEILING(BoardQty*1.0,1)</f>
        <v>100</v>
      </c>
      <c r="I41" s="18">
        <f>IF(MIN(M41,S41,Y41,AE41,AK41,AQ41,AW41,BC41)&lt;&gt;0,MIN(M41,S41,Y41,AE41,AK41,AQ41,AW41,BC41),"")</f>
        <v>5.977965248651888</v>
      </c>
      <c r="J41" s="19">
        <f>IF(AND(ISNUMBER(H41),ISNUMBER(I41)),H41*I41,"")</f>
        <v>597.7965</v>
      </c>
      <c r="Q41" s="20" t="s">
        <v>197</v>
      </c>
      <c r="R41" s="17"/>
      <c r="S41" s="18">
        <f>IFERROR(IF(OR(R41&gt;=T41,H41&gt;=T41),LOOKUP(IF(R41="",H41,R41),{0,1,25,100,2000},{0.0,9.15,7.95,7.67,6.95002}),"MOQ="&amp;T41),"")</f>
        <v>7.67</v>
      </c>
      <c r="T41" s="17">
        <v>1</v>
      </c>
      <c r="U41" s="19">
        <f>IFERROR(IF(R41="",H41,R41)*S41,"")</f>
        <v>767.0</v>
      </c>
      <c r="V41" s="17" t="s">
        <v>221</v>
      </c>
      <c r="W41" s="20" t="s">
        <v>197</v>
      </c>
      <c r="X41" s="17"/>
      <c r="Y41" s="18">
        <f>IFERROR(IF(OR(X41&gt;=Z41,H41&gt;=Z41),USD_GBP*LOOKUP(IF(X41="",H41,X41),{0,1,10,25,50,100},{0.0,5.87,5.27,4.66,4.57,4.57}),"MOQ="&amp;Z41),"")</f>
        <v>5.977965248651888</v>
      </c>
      <c r="Z41" s="17">
        <v>1</v>
      </c>
      <c r="AA41" s="19">
        <f>IFERROR(IF(X41="",H41,X41)*Y41,"")</f>
        <v>597.7965</v>
      </c>
      <c r="AB41" s="17" t="s">
        <v>250</v>
      </c>
      <c r="AI41" s="20" t="s">
        <v>197</v>
      </c>
      <c r="AJ41" s="17"/>
      <c r="AK41" s="18">
        <f>IFERROR(IF(OR(AJ41&gt;=AL41,H41&gt;=AL41),LOOKUP(IF(AJ41="",H41,AJ41),{0,1,10,50,100,1000,10000},{0.0,9.24,9.24,8.03,7.75,7.75,7.74}),"MOQ="&amp;AL41),"")</f>
        <v>7.75</v>
      </c>
      <c r="AL41" s="17">
        <v>1</v>
      </c>
      <c r="AM41" s="19">
        <f>IFERROR(IF(AJ41="",H41,AJ41)*AK41,"")</f>
        <v>775.0</v>
      </c>
      <c r="AN41" s="17" t="s">
        <v>295</v>
      </c>
      <c r="AO41" s="20" t="s">
        <v>197</v>
      </c>
      <c r="AP41" s="17"/>
      <c r="AQ41" s="18">
        <f>IFERROR(IF(OR(AP41&gt;=AR41,H41&gt;=AR41),LOOKUP(IF(AP41="",H41,AP41),{0,1,10,25,2000,4000,8000,12000},{0.0,5.56,6.83,6.54,5.43,5.27,4.95,4.72}),"MOQ="&amp;AR41),"")</f>
        <v>6.54</v>
      </c>
      <c r="AR41" s="17">
        <v>1</v>
      </c>
      <c r="AS41" s="19">
        <f>IFERROR(IF(AP41="",H41,AP41)*AQ41,"")</f>
        <v>654.0</v>
      </c>
      <c r="AT41" s="17" t="s">
        <v>324</v>
      </c>
    </row>
    <row r="42" spans="1:58" ht="30" customHeight="1">
      <c r="A42" s="17" t="s">
        <v>176</v>
      </c>
      <c r="B42" s="17" t="s">
        <v>177</v>
      </c>
      <c r="C42" s="17" t="s">
        <v>178</v>
      </c>
      <c r="D42" s="17" t="s">
        <v>179</v>
      </c>
      <c r="E42" s="17" t="s">
        <v>180</v>
      </c>
      <c r="F42" s="17" t="s">
        <v>181</v>
      </c>
      <c r="G42" s="17" t="s">
        <v>177</v>
      </c>
      <c r="H42" s="17">
        <f>CEILING(BoardQty*1.0,1)</f>
        <v>100</v>
      </c>
      <c r="I42" s="18">
        <f>IF(MIN(M42,S42,Y42,AE42,AK42,AQ42,AW42,BC42)&lt;&gt;0,MIN(M42,S42,Y42,AE42,AK42,AQ42,AW42,BC42),"")</f>
        <v>1.18</v>
      </c>
      <c r="J42" s="19">
        <f>IF(AND(ISNUMBER(H42),ISNUMBER(I42)),H42*I42,"")</f>
        <v>118.0</v>
      </c>
      <c r="K42" s="17">
        <v>3000</v>
      </c>
      <c r="L42" s="17"/>
      <c r="M42" s="18">
        <f>IFERROR(IF(OR(L42&gt;=N42,H42&gt;=N42),LOOKUP(IF(L42="",H42,L42),{0,1,3000},{0.0,1.22,1.22}),"MOQ="&amp;N42),"")</f>
        <v/>
      </c>
      <c r="N42" s="17">
        <v>3000</v>
      </c>
      <c r="O42" s="19">
        <f>IFERROR(IF(L42="",H42,L42)*M42,"")</f>
        <v/>
      </c>
      <c r="P42" s="17" t="s">
        <v>188</v>
      </c>
      <c r="Q42" s="17">
        <v>2502</v>
      </c>
      <c r="R42" s="17"/>
      <c r="S42" s="18">
        <f>IFERROR(IF(OR(R42&gt;=T42,H42&gt;=T42),LOOKUP(IF(R42="",H42,R42),{0,1,10,50,100,500,1000,3000},{0.0,2.06,2.016,1.92,1.68,1.632,1.392,1.296}),"MOQ="&amp;T42),"")</f>
        <v>1.68</v>
      </c>
      <c r="T42" s="17">
        <v>1</v>
      </c>
      <c r="U42" s="19">
        <f>IFERROR(IF(R42="",H42,R42)*S42,"")</f>
        <v>168.0</v>
      </c>
      <c r="V42" s="17" t="s">
        <v>222</v>
      </c>
      <c r="W42" s="17">
        <v>200</v>
      </c>
      <c r="X42" s="17"/>
      <c r="Y42" s="18">
        <f>IFERROR(IF(OR(X42&gt;=Z42,H42&gt;=Z42),USD_GBP*LOOKUP(IF(X42="",H42,X42),{0,1,5,50,100,250,500,3000,15000},{0.0,1.44,1.44,1.21,1.21,1.09,0.965,0.906,0.888}),"MOQ="&amp;Z42),"")</f>
        <v>1.5827872977831035</v>
      </c>
      <c r="Z42" s="17">
        <v>5</v>
      </c>
      <c r="AA42" s="19">
        <f>IFERROR(IF(X42="",H42,X42)*Y42,"")</f>
        <v>158.2787</v>
      </c>
      <c r="AB42" s="17" t="s">
        <v>251</v>
      </c>
      <c r="AI42" s="17">
        <v>2422</v>
      </c>
      <c r="AJ42" s="17"/>
      <c r="AK42" s="18">
        <f>IFERROR(IF(OR(AJ42&gt;=AL42,H42&gt;=AL42),LOOKUP(IF(AJ42="",H42,AJ42),{0,1,10,50,100,1000,10000},{0.0,2.06,2.02,1.92,1.68,1.43,1.43}),"MOQ="&amp;AL42),"")</f>
        <v>1.68</v>
      </c>
      <c r="AL42" s="17">
        <v>1</v>
      </c>
      <c r="AM42" s="19">
        <f>IFERROR(IF(AJ42="",H42,AJ42)*AK42,"")</f>
        <v>168.0</v>
      </c>
      <c r="AN42" s="17" t="s">
        <v>296</v>
      </c>
      <c r="AO42" s="17">
        <v>110</v>
      </c>
      <c r="AP42" s="17"/>
      <c r="AQ42" s="18">
        <f>IFERROR(IF(OR(AP42&gt;=AR42,H42&gt;=AR42),LOOKUP(IF(AP42="",H42,AP42),{0,1,10,25,50,100,1000,2000,3000,4000,6000,10000},{0.0,1.18,1.18,1.18,1.18,1.18,1.34,1.28,1.28,1.17,1.12,1.09}),"MOQ="&amp;AR42),"")</f>
        <v>1.18</v>
      </c>
      <c r="AR42" s="17">
        <v>1</v>
      </c>
      <c r="AS42" s="19">
        <f>IFERROR(IF(AP42="",H42,AP42)*AQ42,"")</f>
        <v>118.0</v>
      </c>
      <c r="AT42" s="17" t="s">
        <v>325</v>
      </c>
      <c r="AU42" s="20" t="s">
        <v>197</v>
      </c>
      <c r="AV42" s="17"/>
      <c r="AW42" s="18">
        <f>IFERROR(IF(OR(AV42&gt;=AX42,H42&gt;=AX42),USD_GBP*LOOKUP(IF(AV42="",H42,AV42),{0,1,5,50,100,250,1000,3000},{0.0,1.596,1.596,1.494,1.302,1.276,1.122,1.1}),"MOQ="&amp;AX42),"")</f>
        <v>1.7031314559616537</v>
      </c>
      <c r="AX42" s="17">
        <v>5</v>
      </c>
      <c r="AY42" s="19">
        <f>IFERROR(IF(AV42="",H42,AV42)*AW42,"")</f>
        <v>170.3131</v>
      </c>
      <c r="AZ42" s="17" t="s">
        <v>340</v>
      </c>
    </row>
    <row r="44" spans="1:58">
      <c r="B44" s="21" t="s">
        <v>346</v>
      </c>
      <c r="I44" s="1" t="s">
        <v>344</v>
      </c>
      <c r="J44" s="5">
        <f>SUM(O44,U44,AA44,AG44,AM44,AS44,AY44,BE44)</f>
        <v>0</v>
      </c>
      <c r="K44" s="22" t="s">
        <v>189</v>
      </c>
      <c r="L44" s="6">
        <f>IFERROR(IF(COUNTIF(L7:L42,"&gt;0")&gt;0,COUNTIF(L7:L42,"&gt;0")&amp;" of "&amp;(ROWS(N7:N42)-COUNTBLANK(N7:N42))&amp;" parts purchased",""),"")</f>
        <v/>
      </c>
      <c r="O44" s="5">
        <f>SUMIF(L7:L42,"&gt;0",O7:O42)</f>
        <v>0</v>
      </c>
      <c r="Q44" s="22" t="s">
        <v>189</v>
      </c>
      <c r="R44" s="6">
        <f>IFERROR(IF(COUNTIF(R7:R42,"&gt;0")&gt;0,COUNTIF(R7:R42,"&gt;0")&amp;" of "&amp;(ROWS(T7:T42)-COUNTBLANK(T7:T42))&amp;" parts purchased",""),"")</f>
        <v/>
      </c>
      <c r="U44" s="5">
        <f>SUMIF(R7:R42,"&gt;0",U7:U42)</f>
        <v>0</v>
      </c>
      <c r="W44" s="22" t="s">
        <v>189</v>
      </c>
      <c r="X44" s="6">
        <f>IFERROR(IF(COUNTIF(X7:X42,"&gt;0")&gt;0,COUNTIF(X7:X42,"&gt;0")&amp;" of "&amp;(ROWS(Z7:Z42)-COUNTBLANK(Z7:Z42))&amp;" parts purchased",""),"")</f>
        <v/>
      </c>
      <c r="AA44" s="5">
        <f>SUMIF(X7:X42,"&gt;0",AA7:AA42)</f>
        <v>0</v>
      </c>
      <c r="AC44" s="22" t="s">
        <v>189</v>
      </c>
      <c r="AD44" s="6">
        <f>IFERROR(IF(COUNTIF(AD7:AD42,"&gt;0")&gt;0,COUNTIF(AD7:AD42,"&gt;0")&amp;" of "&amp;(ROWS(AF7:AF42)-COUNTBLANK(AF7:AF42))&amp;" parts purchased",""),"")</f>
        <v/>
      </c>
      <c r="AG44" s="5">
        <f>SUMIF(AD7:AD42,"&gt;0",AG7:AG42)</f>
        <v>0</v>
      </c>
      <c r="AI44" s="22" t="s">
        <v>189</v>
      </c>
      <c r="AJ44" s="6">
        <f>IFERROR(IF(COUNTIF(AJ7:AJ42,"&gt;0")&gt;0,COUNTIF(AJ7:AJ42,"&gt;0")&amp;" of "&amp;(ROWS(AL7:AL42)-COUNTBLANK(AL7:AL42))&amp;" parts purchased",""),"")</f>
        <v/>
      </c>
      <c r="AM44" s="5">
        <f>SUMIF(AJ7:AJ42,"&gt;0",AM7:AM42)</f>
        <v>0</v>
      </c>
      <c r="AO44" s="22" t="s">
        <v>189</v>
      </c>
      <c r="AP44" s="6">
        <f>IFERROR(IF(COUNTIF(AP7:AP42,"&gt;0")&gt;0,COUNTIF(AP7:AP42,"&gt;0")&amp;" of "&amp;(ROWS(AR7:AR42)-COUNTBLANK(AR7:AR42))&amp;" parts purchased",""),"")</f>
        <v/>
      </c>
      <c r="AS44" s="5">
        <f>SUMIF(AP7:AP42,"&gt;0",AS7:AS42)</f>
        <v>0</v>
      </c>
      <c r="AU44" s="22" t="s">
        <v>189</v>
      </c>
      <c r="AV44" s="6">
        <f>IFERROR(IF(COUNTIF(AV7:AV42,"&gt;0")&gt;0,COUNTIF(AV7:AV42,"&gt;0")&amp;" of "&amp;(ROWS(AX7:AX42)-COUNTBLANK(AX7:AX42))&amp;" parts purchased",""),"")</f>
        <v/>
      </c>
      <c r="AY44" s="5">
        <f>SUMIF(AV7:AV42,"&gt;0",AY7:AY42)</f>
        <v>0</v>
      </c>
      <c r="BA44" s="22" t="s">
        <v>189</v>
      </c>
      <c r="BB44" s="6">
        <f>IFERROR(IF(COUNTIF(BB7:BB42,"&gt;0")&gt;0,COUNTIF(BB7:BB42,"&gt;0")&amp;" of "&amp;(ROWS(BD7:BD42)-COUNTBLANK(BD7:BD42))&amp;" parts purchased",""),"")</f>
        <v/>
      </c>
      <c r="BE44" s="5">
        <f>SUMIF(BB7:BB42,"&gt;0",BE7:BE42)</f>
        <v>0</v>
      </c>
    </row>
    <row r="45" spans="1:58">
      <c r="B45" s="21" t="s">
        <v>347</v>
      </c>
      <c r="C45">
        <v>1.308088675853805</v>
      </c>
      <c r="I45" s="21" t="s">
        <v>345</v>
      </c>
      <c r="L45" s="23">
        <f>CONCATENATE(L82,L83,L84,L85,L86,L87,L88,L89,L90,L91,L92,L93,L94,L95,L96,L97,L98,L99,L100,L101,L102,L103,L104,L105,L106,L107,L108,L109,L110,L111,L112,L113,L114,L115,L116,L117)</f>
        <v/>
      </c>
      <c r="R45" s="23">
        <f>CONCATENATE(R82,R83,R84,R85,R86,R87,R88,R89,R90,R91,R92,R93,R94,R95,R96,R97,R98,R99,R100,R101,R102,R103,R104,R105,R106,R107,R108,R109,R110,R111,R112,R113,R114,R115,R116,R117)</f>
        <v/>
      </c>
      <c r="X45" s="23">
        <f>CONCATENATE(X82,X83,X84,X85,X86,X87,X88,X89,X90,X91,X92,X93,X94,X95,X96,X97,X98,X99,X100,X101,X102,X103,X104,X105,X106,X107,X108,X109,X110,X111,X112,X113,X114,X115,X116,X117)</f>
        <v/>
      </c>
      <c r="AD45" s="23" t="str">
        <f>CONCATENATE(AD118,AD82,AD83,AD84,AD85,AD86,AD87,AD88,AD89,AD90,AD91,AD92,AD93,AD94,AD95,AD96,AD97,AD98,AD99,AD100,AD101,AD102,AD103,AD104,AD105,AD106,AD107,AD108,AD109,AD110,AD111,AD112,AD113,AD114,AD115,AD116,AD117)</f>
        <v>Copy this header and order to a CSV
file and use it for JLCPCB 
manufacturer PCB house.
The multipart components that use
"#" symbol are not allowed by JLCPCB.</v>
      </c>
      <c r="AJ45" s="23">
        <f>CONCATENATE(AJ82,AJ83,AJ84,AJ85,AJ86,AJ87,AJ88,AJ89,AJ90,AJ91,AJ92,AJ93,AJ94,AJ95,AJ96,AJ97,AJ98,AJ99,AJ100,AJ101,AJ102,AJ103,AJ104,AJ105,AJ106,AJ107,AJ108,AJ109,AJ110,AJ111,AJ112,AJ113,AJ114,AJ115,AJ116,AJ117)</f>
        <v/>
      </c>
      <c r="AP45" s="23">
        <f>CONCATENATE(AP82,AP83,AP84,AP85,AP86,AP87,AP88,AP89,AP90,AP91,AP92,AP93,AP94,AP95,AP96,AP97,AP98,AP99,AP100,AP101,AP102,AP103,AP104,AP105,AP106,AP107,AP108,AP109,AP110,AP111,AP112,AP113,AP114,AP115,AP116,AP117)</f>
        <v/>
      </c>
      <c r="AV45" s="23">
        <f>CONCATENATE(AV82,AV83,AV84,AV85,AV86,AV87,AV88,AV89,AV90,AV91,AV92,AV93,AV94,AV95,AV96,AV97,AV98,AV99,AV100,AV101,AV102,AV103,AV104,AV105,AV106,AV107,AV108,AV109,AV110,AV111,AV112,AV113,AV114,AV115,AV116,AV117)</f>
        <v/>
      </c>
      <c r="BB45" s="23">
        <f>CONCATENATE(BB82,BB83,BB84,BB85,BB86,BB87,BB88,BB89,BB90,BB91,BB92,BB93,BB94,BB95,BB96,BB97,BB98,BB99,BB100,BB101,BB102,BB103,BB104,BB105,BB106,BB107,BB108,BB109,BB110,BB111,BB112,BB113,BB114,BB115,BB116,BB117)</f>
        <v/>
      </c>
    </row>
    <row r="47" spans="1:58">
      <c r="A47" s="2" t="s">
        <v>359</v>
      </c>
    </row>
    <row r="82" spans="12:54" ht="30" hidden="1" customHeight="1">
      <c r="L82" t="str">
        <f t="array" ref="L82:L117">IF(ISNUMBER(L7:L42)*(L7:L42&gt;=N7:N42)*(P7:P42&lt;&gt;""),P7:P42&amp;","&amp;TEXT(ROUNDUP(L7:L42/IF(ISNUMBER(N7:N42),N7:N42,1))*N7:N42,"##0")&amp;","&amp;SUBSTITUTE(SUBSTITUTE(IF(PURCHASE_DESCRIPTION&lt;&gt;"",PURCHASE_DESCRIPTION&amp;":","")&amp;A7:A42,",",";"),"
"," ")&amp;CHAR(10),"")</f>
        <v/>
      </c>
      <c r="R82" t="str">
        <f t="array" ref="R82:R117">IF(ISNUMBER(R7:R42)*(R7:R42&gt;=T7:T42)*(V7:V42&lt;&gt;""),TEXT(ROUNDUP(R7:R42/IF(ISNUMBER(T7:T42),T7:T42,1))*T7:T42,"##0")&amp;","&amp;V7:V42&amp;","&amp;SUBSTITUTE(SUBSTITUTE(IF(PURCHASE_DESCRIPTION&lt;&gt;"",PURCHASE_DESCRIPTION&amp;":","")&amp;A7:A42,",",";"),"
"," ")&amp;CHAR(10),"")</f>
        <v/>
      </c>
      <c r="X82" t="str">
        <f t="array" ref="X82:X117">IF(ISNUMBER(X7:X42)*(X7:X42&gt;=Z7:Z42)*(AB7:AB42&lt;&gt;""),AB7:AB42&amp;","&amp;TEXT(ROUNDUP(X7:X42/IF(ISNUMBER(Z7:Z42),Z7:Z42,1))*Z7:Z42,"##0")&amp;","&amp;LEFT(SUBSTITUTE(SUBSTITUTE(IF(PURCHASE_DESCRIPTION&lt;&gt;"",PURCHASE_DESCRIPTION&amp;":","")&amp;C7:C42,",",";"),"
"," "),30)&amp;","&amp;LEFT(SUBSTITUTE(SUBSTITUTE(IF(PURCHASE_DESCRIPTION&lt;&gt;"",PURCHASE_DESCRIPTION&amp;":","")&amp;A7:A42,",",";"),"
"," "),30)&amp;CHAR(10),"")</f>
        <v/>
      </c>
      <c r="AD82" t="str">
        <f t="array" ref="AD82:AD117">IF(ISNUMBER(AD7:AD42)*(AD7:AD42&gt;=AF7:AF42)*(AH7:AH42&lt;&gt;""),TEXT(ROUNDUP(AD7:AD42/IF(ISNUMBER(AF7:AF42),AF7:AF42,1))*AF7:AF42,"##0")&amp;","&amp;SUBSTITUTE(SUBSTITUTE(IF(PURCHASE_DESCRIPTION&lt;&gt;"",PURCHASE_DESCRIPTION&amp;":","")&amp;A7:A42,",",";"),"
"," ")&amp;","&amp;SUBSTITUTE(SUBSTITUTE(IF(PURCHASE_DESCRIPTION&lt;&gt;"",PURCHASE_DESCRIPTION&amp;":","")&amp;E7:E42,",",";"),"
"," ")&amp;","&amp;AH7:AH42&amp;CHAR(10),"")</f>
        <v/>
      </c>
      <c r="AJ82" t="str">
        <f t="array" ref="AJ82:AJ117">IF(ISNUMBER(AJ7:AJ42)*(AJ7:AJ42&gt;=AL7:AL42)*(AN7:AN42&lt;&gt;""),AN7:AN42&amp;"|"&amp;TEXT(ROUNDUP(AJ7:AJ42/IF(ISNUMBER(AL7:AL42),AL7:AL42,1))*AL7:AL42,"##0")&amp;"|"&amp;SUBSTITUTE(SUBSTITUTE(SUBSTITUTE(IF(PURCHASE_DESCRIPTION&lt;&gt;"",PURCHASE_DESCRIPTION&amp;":","")&amp;A7:A42,"|",";")," ","_"),"
","_")&amp;CHAR(10),"")</f>
        <v/>
      </c>
      <c r="AP82" t="str">
        <f t="array" ref="AP82:AP117">IF(ISNUMBER(AP7:AP42)*(AP7:AP42&gt;=AR7:AR42)*(AT7:AT42&lt;&gt;""),AT7:AT42&amp;","&amp;TEXT(ROUNDUP(AP7:AP42/IF(ISNUMBER(AR7:AR42),AR7:AR42,1))*AR7:AR42,"##0")&amp;","&amp;SUBSTITUTE(SUBSTITUTE(IF(PURCHASE_DESCRIPTION&lt;&gt;"",PURCHASE_DESCRIPTION&amp;":","")&amp;A7:A42,",",";"),"
"," ")&amp;","&amp;SUBSTITUTE(SUBSTITUTE(IF(PURCHASE_DESCRIPTION&lt;&gt;"",PURCHASE_DESCRIPTION&amp;":","")&amp;C7:C42,",",";"),"
"," ")&amp;CHAR(10),"")</f>
        <v/>
      </c>
      <c r="AV82" t="str">
        <f t="array" ref="AV82:AV117">IF(ISNUMBER(AV7:AV42)*(AV7:AV42&gt;=AX7:AX42)*(AZ7:AZ42&lt;&gt;""),AZ7:AZ42&amp;","&amp;TEXT(ROUNDUP(AV7:AV42/IF(ISNUMBER(AX7:AX42),AX7:AX42,1))*AX7:AX42,"##0")&amp;","&amp;""&amp;","&amp;""&amp;","&amp;""&amp;","&amp;G7:G42&amp;","&amp;SUBSTITUTE(SUBSTITUTE(IF(PURCHASE_DESCRIPTION&lt;&gt;"",PURCHASE_DESCRIPTION&amp;":","")&amp;A7:A42,",",";"),"
"," ")&amp;CHAR(10),"")</f>
        <v/>
      </c>
      <c r="BB82" t="str">
        <f t="array" ref="BB82:BB117">IF(ISNUMBER(BB7:BB42)*(BB7:BB42&gt;=BD7:BD42)*(BF7:BF42&lt;&gt;""),BF7:BF42&amp;" "&amp;TEXT(ROUNDUP(BB7:BB42/IF(ISNUMBER(BD7:BD42),BD7:BD42,1))*BD7:BD42,"##0")&amp;" "&amp;SUBSTITUTE(SUBSTITUTE(IF(PURCHASE_DESCRIPTION&lt;&gt;"",PURCHASE_DESCRIPTION&amp;":","")&amp;A7:A42," ",";"),"
",";")&amp;CHAR(10),"")</f>
        <v/>
      </c>
    </row>
    <row r="83" spans="12:54" ht="30" hidden="1" customHeight="1">
      <c r="L83">
        <v>0</v>
      </c>
      <c r="R83">
        <v>0</v>
      </c>
      <c r="X83">
        <v>0</v>
      </c>
      <c r="AD83">
        <v>0</v>
      </c>
      <c r="AJ83">
        <v>0</v>
      </c>
      <c r="AP83">
        <v>0</v>
      </c>
      <c r="AV83">
        <v>0</v>
      </c>
      <c r="BB83">
        <v>0</v>
      </c>
    </row>
    <row r="84" spans="12:54" ht="30" hidden="1" customHeight="1">
      <c r="L84">
        <v>0</v>
      </c>
      <c r="R84">
        <v>0</v>
      </c>
      <c r="X84">
        <v>0</v>
      </c>
      <c r="AD84">
        <v>0</v>
      </c>
      <c r="AJ84">
        <v>0</v>
      </c>
      <c r="AP84">
        <v>0</v>
      </c>
      <c r="AV84">
        <v>0</v>
      </c>
      <c r="BB84">
        <v>0</v>
      </c>
    </row>
    <row r="85" spans="12:54" ht="30" hidden="1" customHeight="1">
      <c r="L85">
        <v>0</v>
      </c>
      <c r="R85">
        <v>0</v>
      </c>
      <c r="X85">
        <v>0</v>
      </c>
      <c r="AD85">
        <v>0</v>
      </c>
      <c r="AJ85">
        <v>0</v>
      </c>
      <c r="AP85">
        <v>0</v>
      </c>
      <c r="AV85">
        <v>0</v>
      </c>
      <c r="BB85">
        <v>0</v>
      </c>
    </row>
    <row r="86" spans="12:54" ht="30" hidden="1" customHeight="1">
      <c r="L86">
        <v>0</v>
      </c>
      <c r="R86">
        <v>0</v>
      </c>
      <c r="X86">
        <v>0</v>
      </c>
      <c r="AD86">
        <v>0</v>
      </c>
      <c r="AJ86">
        <v>0</v>
      </c>
      <c r="AP86">
        <v>0</v>
      </c>
      <c r="AV86">
        <v>0</v>
      </c>
      <c r="BB86">
        <v>0</v>
      </c>
    </row>
    <row r="87" spans="12:54" ht="30" hidden="1" customHeight="1">
      <c r="L87">
        <v>0</v>
      </c>
      <c r="R87">
        <v>0</v>
      </c>
      <c r="X87">
        <v>0</v>
      </c>
      <c r="AD87">
        <v>0</v>
      </c>
      <c r="AJ87">
        <v>0</v>
      </c>
      <c r="AP87">
        <v>0</v>
      </c>
      <c r="AV87">
        <v>0</v>
      </c>
      <c r="BB87">
        <v>0</v>
      </c>
    </row>
    <row r="88" spans="12:54" ht="30" hidden="1" customHeight="1">
      <c r="L88">
        <v>0</v>
      </c>
      <c r="R88">
        <v>0</v>
      </c>
      <c r="X88">
        <v>0</v>
      </c>
      <c r="AD88">
        <v>0</v>
      </c>
      <c r="AJ88">
        <v>0</v>
      </c>
      <c r="AP88">
        <v>0</v>
      </c>
      <c r="AV88">
        <v>0</v>
      </c>
      <c r="BB88">
        <v>0</v>
      </c>
    </row>
    <row r="89" spans="12:54" ht="30" hidden="1" customHeight="1">
      <c r="L89">
        <v>0</v>
      </c>
      <c r="R89">
        <v>0</v>
      </c>
      <c r="X89">
        <v>0</v>
      </c>
      <c r="AD89">
        <v>0</v>
      </c>
      <c r="AJ89">
        <v>0</v>
      </c>
      <c r="AP89">
        <v>0</v>
      </c>
      <c r="AV89">
        <v>0</v>
      </c>
      <c r="BB89">
        <v>0</v>
      </c>
    </row>
    <row r="90" spans="12:54" ht="30" hidden="1" customHeight="1">
      <c r="L90">
        <v>0</v>
      </c>
      <c r="R90">
        <v>0</v>
      </c>
      <c r="X90">
        <v>0</v>
      </c>
      <c r="AD90">
        <v>0</v>
      </c>
      <c r="AJ90">
        <v>0</v>
      </c>
      <c r="AP90">
        <v>0</v>
      </c>
      <c r="AV90">
        <v>0</v>
      </c>
      <c r="BB90">
        <v>0</v>
      </c>
    </row>
    <row r="91" spans="12:54" ht="30" hidden="1" customHeight="1">
      <c r="L91">
        <v>0</v>
      </c>
      <c r="R91">
        <v>0</v>
      </c>
      <c r="X91">
        <v>0</v>
      </c>
      <c r="AD91">
        <v>0</v>
      </c>
      <c r="AJ91">
        <v>0</v>
      </c>
      <c r="AP91">
        <v>0</v>
      </c>
      <c r="AV91">
        <v>0</v>
      </c>
      <c r="BB91">
        <v>0</v>
      </c>
    </row>
    <row r="92" spans="12:54" ht="30" hidden="1" customHeight="1">
      <c r="L92">
        <v>0</v>
      </c>
      <c r="R92">
        <v>0</v>
      </c>
      <c r="X92">
        <v>0</v>
      </c>
      <c r="AD92">
        <v>0</v>
      </c>
      <c r="AJ92">
        <v>0</v>
      </c>
      <c r="AP92">
        <v>0</v>
      </c>
      <c r="AV92">
        <v>0</v>
      </c>
      <c r="BB92">
        <v>0</v>
      </c>
    </row>
    <row r="93" spans="12:54" ht="30" hidden="1" customHeight="1">
      <c r="L93">
        <v>0</v>
      </c>
      <c r="R93">
        <v>0</v>
      </c>
      <c r="X93">
        <v>0</v>
      </c>
      <c r="AD93">
        <v>0</v>
      </c>
      <c r="AJ93">
        <v>0</v>
      </c>
      <c r="AP93">
        <v>0</v>
      </c>
      <c r="AV93">
        <v>0</v>
      </c>
      <c r="BB93">
        <v>0</v>
      </c>
    </row>
    <row r="94" spans="12:54" ht="30" hidden="1" customHeight="1">
      <c r="L94">
        <v>0</v>
      </c>
      <c r="R94">
        <v>0</v>
      </c>
      <c r="X94">
        <v>0</v>
      </c>
      <c r="AD94">
        <v>0</v>
      </c>
      <c r="AJ94">
        <v>0</v>
      </c>
      <c r="AP94">
        <v>0</v>
      </c>
      <c r="AV94">
        <v>0</v>
      </c>
      <c r="BB94">
        <v>0</v>
      </c>
    </row>
    <row r="95" spans="12:54" ht="30" hidden="1" customHeight="1">
      <c r="L95">
        <v>0</v>
      </c>
      <c r="R95">
        <v>0</v>
      </c>
      <c r="X95">
        <v>0</v>
      </c>
      <c r="AD95">
        <v>0</v>
      </c>
      <c r="AJ95">
        <v>0</v>
      </c>
      <c r="AP95">
        <v>0</v>
      </c>
      <c r="AV95">
        <v>0</v>
      </c>
      <c r="BB95">
        <v>0</v>
      </c>
    </row>
    <row r="96" spans="12:54" ht="30" hidden="1" customHeight="1">
      <c r="L96">
        <v>0</v>
      </c>
      <c r="R96">
        <v>0</v>
      </c>
      <c r="X96">
        <v>0</v>
      </c>
      <c r="AD96">
        <v>0</v>
      </c>
      <c r="AJ96">
        <v>0</v>
      </c>
      <c r="AP96">
        <v>0</v>
      </c>
      <c r="AV96">
        <v>0</v>
      </c>
      <c r="BB96">
        <v>0</v>
      </c>
    </row>
    <row r="97" spans="12:54" ht="30" hidden="1" customHeight="1">
      <c r="L97">
        <v>0</v>
      </c>
      <c r="R97">
        <v>0</v>
      </c>
      <c r="X97">
        <v>0</v>
      </c>
      <c r="AD97">
        <v>0</v>
      </c>
      <c r="AJ97">
        <v>0</v>
      </c>
      <c r="AP97">
        <v>0</v>
      </c>
      <c r="AV97">
        <v>0</v>
      </c>
      <c r="BB97">
        <v>0</v>
      </c>
    </row>
    <row r="98" spans="12:54" ht="30" hidden="1" customHeight="1">
      <c r="L98">
        <v>0</v>
      </c>
      <c r="R98">
        <v>0</v>
      </c>
      <c r="X98">
        <v>0</v>
      </c>
      <c r="AD98">
        <v>0</v>
      </c>
      <c r="AJ98">
        <v>0</v>
      </c>
      <c r="AP98">
        <v>0</v>
      </c>
      <c r="AV98">
        <v>0</v>
      </c>
      <c r="BB98">
        <v>0</v>
      </c>
    </row>
    <row r="99" spans="12:54" ht="30" hidden="1" customHeight="1">
      <c r="L99">
        <v>0</v>
      </c>
      <c r="R99">
        <v>0</v>
      </c>
      <c r="X99">
        <v>0</v>
      </c>
      <c r="AD99">
        <v>0</v>
      </c>
      <c r="AJ99">
        <v>0</v>
      </c>
      <c r="AP99">
        <v>0</v>
      </c>
      <c r="AV99">
        <v>0</v>
      </c>
      <c r="BB99">
        <v>0</v>
      </c>
    </row>
    <row r="100" spans="12:54" ht="30" hidden="1" customHeight="1">
      <c r="L100">
        <v>0</v>
      </c>
      <c r="R100">
        <v>0</v>
      </c>
      <c r="X100">
        <v>0</v>
      </c>
      <c r="AD100">
        <v>0</v>
      </c>
      <c r="AJ100">
        <v>0</v>
      </c>
      <c r="AP100">
        <v>0</v>
      </c>
      <c r="AV100">
        <v>0</v>
      </c>
      <c r="BB100">
        <v>0</v>
      </c>
    </row>
    <row r="101" spans="12:54" ht="30" hidden="1" customHeight="1">
      <c r="L101">
        <v>0</v>
      </c>
      <c r="R101">
        <v>0</v>
      </c>
      <c r="X101">
        <v>0</v>
      </c>
      <c r="AD101">
        <v>0</v>
      </c>
      <c r="AJ101">
        <v>0</v>
      </c>
      <c r="AP101">
        <v>0</v>
      </c>
      <c r="AV101">
        <v>0</v>
      </c>
      <c r="BB101">
        <v>0</v>
      </c>
    </row>
    <row r="102" spans="12:54" ht="30" hidden="1" customHeight="1">
      <c r="L102">
        <v>0</v>
      </c>
      <c r="R102">
        <v>0</v>
      </c>
      <c r="X102">
        <v>0</v>
      </c>
      <c r="AD102">
        <v>0</v>
      </c>
      <c r="AJ102">
        <v>0</v>
      </c>
      <c r="AP102">
        <v>0</v>
      </c>
      <c r="AV102">
        <v>0</v>
      </c>
      <c r="BB102">
        <v>0</v>
      </c>
    </row>
    <row r="103" spans="12:54" ht="30" hidden="1" customHeight="1">
      <c r="L103">
        <v>0</v>
      </c>
      <c r="R103">
        <v>0</v>
      </c>
      <c r="X103">
        <v>0</v>
      </c>
      <c r="AD103">
        <v>0</v>
      </c>
      <c r="AJ103">
        <v>0</v>
      </c>
      <c r="AP103">
        <v>0</v>
      </c>
      <c r="AV103">
        <v>0</v>
      </c>
      <c r="BB103">
        <v>0</v>
      </c>
    </row>
    <row r="104" spans="12:54" ht="30" hidden="1" customHeight="1">
      <c r="L104">
        <v>0</v>
      </c>
      <c r="R104">
        <v>0</v>
      </c>
      <c r="X104">
        <v>0</v>
      </c>
      <c r="AD104">
        <v>0</v>
      </c>
      <c r="AJ104">
        <v>0</v>
      </c>
      <c r="AP104">
        <v>0</v>
      </c>
      <c r="AV104">
        <v>0</v>
      </c>
      <c r="BB104">
        <v>0</v>
      </c>
    </row>
    <row r="105" spans="12:54" ht="30" hidden="1" customHeight="1">
      <c r="L105">
        <v>0</v>
      </c>
      <c r="R105">
        <v>0</v>
      </c>
      <c r="X105">
        <v>0</v>
      </c>
      <c r="AD105">
        <v>0</v>
      </c>
      <c r="AJ105">
        <v>0</v>
      </c>
      <c r="AP105">
        <v>0</v>
      </c>
      <c r="AV105">
        <v>0</v>
      </c>
      <c r="BB105">
        <v>0</v>
      </c>
    </row>
    <row r="106" spans="12:54" ht="30" hidden="1" customHeight="1">
      <c r="L106">
        <v>0</v>
      </c>
      <c r="R106">
        <v>0</v>
      </c>
      <c r="X106">
        <v>0</v>
      </c>
      <c r="AD106">
        <v>0</v>
      </c>
      <c r="AJ106">
        <v>0</v>
      </c>
      <c r="AP106">
        <v>0</v>
      </c>
      <c r="AV106">
        <v>0</v>
      </c>
      <c r="BB106">
        <v>0</v>
      </c>
    </row>
    <row r="107" spans="12:54" ht="30" hidden="1" customHeight="1">
      <c r="L107">
        <v>0</v>
      </c>
      <c r="R107">
        <v>0</v>
      </c>
      <c r="X107">
        <v>0</v>
      </c>
      <c r="AD107">
        <v>0</v>
      </c>
      <c r="AJ107">
        <v>0</v>
      </c>
      <c r="AP107">
        <v>0</v>
      </c>
      <c r="AV107">
        <v>0</v>
      </c>
      <c r="BB107">
        <v>0</v>
      </c>
    </row>
    <row r="108" spans="12:54" ht="30" hidden="1" customHeight="1">
      <c r="L108">
        <v>0</v>
      </c>
      <c r="R108">
        <v>0</v>
      </c>
      <c r="X108">
        <v>0</v>
      </c>
      <c r="AD108">
        <v>0</v>
      </c>
      <c r="AJ108">
        <v>0</v>
      </c>
      <c r="AP108">
        <v>0</v>
      </c>
      <c r="AV108">
        <v>0</v>
      </c>
      <c r="BB108">
        <v>0</v>
      </c>
    </row>
    <row r="109" spans="12:54" ht="30" hidden="1" customHeight="1">
      <c r="L109">
        <v>0</v>
      </c>
      <c r="R109">
        <v>0</v>
      </c>
      <c r="X109">
        <v>0</v>
      </c>
      <c r="AD109">
        <v>0</v>
      </c>
      <c r="AJ109">
        <v>0</v>
      </c>
      <c r="AP109">
        <v>0</v>
      </c>
      <c r="AV109">
        <v>0</v>
      </c>
      <c r="BB109">
        <v>0</v>
      </c>
    </row>
    <row r="110" spans="12:54" ht="30" hidden="1" customHeight="1">
      <c r="L110">
        <v>0</v>
      </c>
      <c r="R110">
        <v>0</v>
      </c>
      <c r="X110">
        <v>0</v>
      </c>
      <c r="AD110">
        <v>0</v>
      </c>
      <c r="AJ110">
        <v>0</v>
      </c>
      <c r="AP110">
        <v>0</v>
      </c>
      <c r="AV110">
        <v>0</v>
      </c>
      <c r="BB110">
        <v>0</v>
      </c>
    </row>
    <row r="111" spans="12:54" ht="30" hidden="1" customHeight="1">
      <c r="L111">
        <v>0</v>
      </c>
      <c r="R111">
        <v>0</v>
      </c>
      <c r="X111">
        <v>0</v>
      </c>
      <c r="AD111">
        <v>0</v>
      </c>
      <c r="AJ111">
        <v>0</v>
      </c>
      <c r="AP111">
        <v>0</v>
      </c>
      <c r="AV111">
        <v>0</v>
      </c>
      <c r="BB111">
        <v>0</v>
      </c>
    </row>
    <row r="112" spans="12:54" ht="30" hidden="1" customHeight="1">
      <c r="L112">
        <v>0</v>
      </c>
      <c r="R112">
        <v>0</v>
      </c>
      <c r="X112">
        <v>0</v>
      </c>
      <c r="AD112">
        <v>0</v>
      </c>
      <c r="AJ112">
        <v>0</v>
      </c>
      <c r="AP112">
        <v>0</v>
      </c>
      <c r="AV112">
        <v>0</v>
      </c>
      <c r="BB112">
        <v>0</v>
      </c>
    </row>
    <row r="113" spans="12:54" ht="30" hidden="1" customHeight="1">
      <c r="L113">
        <v>0</v>
      </c>
      <c r="R113">
        <v>0</v>
      </c>
      <c r="X113">
        <v>0</v>
      </c>
      <c r="AD113">
        <v>0</v>
      </c>
      <c r="AJ113">
        <v>0</v>
      </c>
      <c r="AP113">
        <v>0</v>
      </c>
      <c r="AV113">
        <v>0</v>
      </c>
      <c r="BB113">
        <v>0</v>
      </c>
    </row>
    <row r="114" spans="12:54" ht="30" hidden="1" customHeight="1">
      <c r="L114">
        <v>0</v>
      </c>
      <c r="R114">
        <v>0</v>
      </c>
      <c r="X114">
        <v>0</v>
      </c>
      <c r="AD114">
        <v>0</v>
      </c>
      <c r="AJ114">
        <v>0</v>
      </c>
      <c r="AP114">
        <v>0</v>
      </c>
      <c r="AV114">
        <v>0</v>
      </c>
      <c r="BB114">
        <v>0</v>
      </c>
    </row>
    <row r="115" spans="12:54" ht="30" hidden="1" customHeight="1">
      <c r="L115">
        <v>0</v>
      </c>
      <c r="R115">
        <v>0</v>
      </c>
      <c r="X115">
        <v>0</v>
      </c>
      <c r="AD115">
        <v>0</v>
      </c>
      <c r="AJ115">
        <v>0</v>
      </c>
      <c r="AP115">
        <v>0</v>
      </c>
      <c r="AV115">
        <v>0</v>
      </c>
      <c r="BB115">
        <v>0</v>
      </c>
    </row>
    <row r="116" spans="12:54" ht="30" hidden="1" customHeight="1">
      <c r="L116">
        <v>0</v>
      </c>
      <c r="R116">
        <v>0</v>
      </c>
      <c r="X116">
        <v>0</v>
      </c>
      <c r="AD116">
        <v>0</v>
      </c>
      <c r="AJ116">
        <v>0</v>
      </c>
      <c r="AP116">
        <v>0</v>
      </c>
      <c r="AV116">
        <v>0</v>
      </c>
      <c r="BB116">
        <v>0</v>
      </c>
    </row>
    <row r="117" spans="12:54" ht="30" hidden="1" customHeight="1">
      <c r="L117">
        <v>0</v>
      </c>
      <c r="R117">
        <v>0</v>
      </c>
      <c r="X117">
        <v>0</v>
      </c>
      <c r="AD117">
        <v>0</v>
      </c>
      <c r="AJ117">
        <v>0</v>
      </c>
      <c r="AP117">
        <v>0</v>
      </c>
      <c r="AV117">
        <v>0</v>
      </c>
      <c r="BB117">
        <v>0</v>
      </c>
    </row>
    <row r="118" spans="12:54" ht="30" hidden="1" customHeight="1">
      <c r="AD118">
        <f>IFERROR(IF(COUNTIFS(AD7:AD42,"&gt;0",AG7:AG42,"&lt;&gt;")&gt;0,"Quantity,Comment,Designator,Footprint,LCSC Part #(optional)"&amp;CHAR(10),""),"")</f>
        <v/>
      </c>
    </row>
  </sheetData>
  <mergeCells count="17">
    <mergeCell ref="A5:J5"/>
    <mergeCell ref="K5:P5"/>
    <mergeCell ref="L45:O81"/>
    <mergeCell ref="Q5:V5"/>
    <mergeCell ref="R45:U81"/>
    <mergeCell ref="W5:AB5"/>
    <mergeCell ref="X45:AA81"/>
    <mergeCell ref="AC5:AH5"/>
    <mergeCell ref="AD45:AG81"/>
    <mergeCell ref="AI5:AN5"/>
    <mergeCell ref="AJ45:AM81"/>
    <mergeCell ref="AO5:AT5"/>
    <mergeCell ref="AP45:AS81"/>
    <mergeCell ref="AU5:AZ5"/>
    <mergeCell ref="AV45:AY81"/>
    <mergeCell ref="BA5:BF5"/>
    <mergeCell ref="BB45:BE81"/>
  </mergeCells>
  <conditionalFormatting sqref="AA10">
    <cfRule type="cellIs" dxfId="2" priority="219" operator="lessThanOrEqual">
      <formula>J10</formula>
    </cfRule>
  </conditionalFormatting>
  <conditionalFormatting sqref="AA11">
    <cfRule type="cellIs" dxfId="2" priority="224" operator="lessThanOrEqual">
      <formula>J11</formula>
    </cfRule>
  </conditionalFormatting>
  <conditionalFormatting sqref="AA12">
    <cfRule type="cellIs" dxfId="2" priority="229" operator="lessThanOrEqual">
      <formula>J12</formula>
    </cfRule>
  </conditionalFormatting>
  <conditionalFormatting sqref="AA13">
    <cfRule type="cellIs" dxfId="2" priority="234" operator="lessThanOrEqual">
      <formula>J13</formula>
    </cfRule>
    <cfRule type="expression" dxfId="3" priority="238">
      <formula>AND(H13&lt;4000,X13&lt;4000)</formula>
    </cfRule>
  </conditionalFormatting>
  <conditionalFormatting sqref="AA14">
    <cfRule type="cellIs" dxfId="2" priority="241" operator="lessThanOrEqual">
      <formula>J14</formula>
    </cfRule>
  </conditionalFormatting>
  <conditionalFormatting sqref="AA19">
    <cfRule type="cellIs" dxfId="2" priority="245" operator="lessThanOrEqual">
      <formula>J19</formula>
    </cfRule>
  </conditionalFormatting>
  <conditionalFormatting sqref="AA20">
    <cfRule type="cellIs" dxfId="2" priority="250" operator="lessThanOrEqual">
      <formula>J20</formula>
    </cfRule>
  </conditionalFormatting>
  <conditionalFormatting sqref="AA21">
    <cfRule type="cellIs" dxfId="2" priority="255" operator="lessThanOrEqual">
      <formula>J21</formula>
    </cfRule>
  </conditionalFormatting>
  <conditionalFormatting sqref="AA22">
    <cfRule type="cellIs" dxfId="2" priority="260" operator="lessThanOrEqual">
      <formula>J22</formula>
    </cfRule>
    <cfRule type="expression" dxfId="3" priority="264">
      <formula>AND(H22&lt;30000,X22&lt;30000)</formula>
    </cfRule>
  </conditionalFormatting>
  <conditionalFormatting sqref="AA23">
    <cfRule type="cellIs" dxfId="2" priority="268" operator="lessThanOrEqual">
      <formula>J23</formula>
    </cfRule>
    <cfRule type="expression" dxfId="3" priority="272">
      <formula>AND(H23&lt;30000,X23&lt;30000)</formula>
    </cfRule>
  </conditionalFormatting>
  <conditionalFormatting sqref="AA24">
    <cfRule type="cellIs" dxfId="2" priority="276" operator="lessThanOrEqual">
      <formula>J24</formula>
    </cfRule>
  </conditionalFormatting>
  <conditionalFormatting sqref="AA25">
    <cfRule type="cellIs" dxfId="2" priority="281" operator="lessThanOrEqual">
      <formula>J25</formula>
    </cfRule>
  </conditionalFormatting>
  <conditionalFormatting sqref="AA26">
    <cfRule type="cellIs" dxfId="2" priority="286" operator="lessThanOrEqual">
      <formula>J26</formula>
    </cfRule>
  </conditionalFormatting>
  <conditionalFormatting sqref="AA27">
    <cfRule type="cellIs" dxfId="2" priority="291" operator="lessThanOrEqual">
      <formula>J27</formula>
    </cfRule>
    <cfRule type="expression" dxfId="3" priority="295">
      <formula>AND(H27&lt;30000,X27&lt;30000)</formula>
    </cfRule>
  </conditionalFormatting>
  <conditionalFormatting sqref="AA28">
    <cfRule type="cellIs" dxfId="2" priority="299" operator="lessThanOrEqual">
      <formula>J28</formula>
    </cfRule>
    <cfRule type="expression" dxfId="3" priority="303">
      <formula>AND(H28&lt;30000,X28&lt;30000)</formula>
    </cfRule>
  </conditionalFormatting>
  <conditionalFormatting sqref="AA29">
    <cfRule type="cellIs" dxfId="2" priority="307" operator="lessThanOrEqual">
      <formula>J29</formula>
    </cfRule>
  </conditionalFormatting>
  <conditionalFormatting sqref="AA30">
    <cfRule type="cellIs" dxfId="2" priority="312" operator="lessThanOrEqual">
      <formula>J30</formula>
    </cfRule>
  </conditionalFormatting>
  <conditionalFormatting sqref="AA31">
    <cfRule type="cellIs" dxfId="2" priority="317" operator="lessThanOrEqual">
      <formula>J31</formula>
    </cfRule>
  </conditionalFormatting>
  <conditionalFormatting sqref="AA32">
    <cfRule type="cellIs" dxfId="2" priority="322" operator="lessThanOrEqual">
      <formula>J32</formula>
    </cfRule>
  </conditionalFormatting>
  <conditionalFormatting sqref="AA33">
    <cfRule type="cellIs" dxfId="2" priority="327" operator="lessThanOrEqual">
      <formula>J33</formula>
    </cfRule>
  </conditionalFormatting>
  <conditionalFormatting sqref="AA36">
    <cfRule type="cellIs" dxfId="2" priority="331" operator="lessThanOrEqual">
      <formula>J36</formula>
    </cfRule>
  </conditionalFormatting>
  <conditionalFormatting sqref="AA37">
    <cfRule type="cellIs" dxfId="2" priority="336" operator="lessThanOrEqual">
      <formula>J37</formula>
    </cfRule>
  </conditionalFormatting>
  <conditionalFormatting sqref="AA38">
    <cfRule type="cellIs" dxfId="2" priority="340" operator="lessThanOrEqual">
      <formula>J38</formula>
    </cfRule>
  </conditionalFormatting>
  <conditionalFormatting sqref="AA41">
    <cfRule type="cellIs" dxfId="2" priority="344" operator="lessThanOrEqual">
      <formula>J41</formula>
    </cfRule>
  </conditionalFormatting>
  <conditionalFormatting sqref="AA42">
    <cfRule type="cellIs" dxfId="2" priority="349" operator="lessThanOrEqual">
      <formula>J42</formula>
    </cfRule>
  </conditionalFormatting>
  <conditionalFormatting sqref="AA7">
    <cfRule type="cellIs" dxfId="2" priority="204" operator="lessThanOrEqual">
      <formula>J7</formula>
    </cfRule>
  </conditionalFormatting>
  <conditionalFormatting sqref="AA8">
    <cfRule type="cellIs" dxfId="2" priority="209" operator="lessThanOrEqual">
      <formula>J8</formula>
    </cfRule>
  </conditionalFormatting>
  <conditionalFormatting sqref="AA9">
    <cfRule type="cellIs" dxfId="2" priority="214" operator="lessThanOrEqual">
      <formula>J9</formula>
    </cfRule>
  </conditionalFormatting>
  <conditionalFormatting sqref="AC10">
    <cfRule type="cellIs" dxfId="0" priority="366" operator="lessThan">
      <formula>H10</formula>
    </cfRule>
  </conditionalFormatting>
  <conditionalFormatting sqref="AC11">
    <cfRule type="cellIs" dxfId="0" priority="371" operator="lessThan">
      <formula>H11</formula>
    </cfRule>
  </conditionalFormatting>
  <conditionalFormatting sqref="AC20">
    <cfRule type="cellIs" dxfId="0" priority="376" operator="lessThan">
      <formula>H20</formula>
    </cfRule>
  </conditionalFormatting>
  <conditionalFormatting sqref="AC24">
    <cfRule type="cellIs" dxfId="0" priority="381" operator="lessThan">
      <formula>H24</formula>
    </cfRule>
  </conditionalFormatting>
  <conditionalFormatting sqref="AC25">
    <cfRule type="cellIs" dxfId="0" priority="386" operator="lessThan">
      <formula>H25</formula>
    </cfRule>
  </conditionalFormatting>
  <conditionalFormatting sqref="AC26">
    <cfRule type="cellIs" dxfId="0" priority="391" operator="lessThan">
      <formula>H26</formula>
    </cfRule>
  </conditionalFormatting>
  <conditionalFormatting sqref="AC28">
    <cfRule type="cellIs" dxfId="0" priority="396" operator="lessThan">
      <formula>H28</formula>
    </cfRule>
  </conditionalFormatting>
  <conditionalFormatting sqref="AC30">
    <cfRule type="cellIs" dxfId="0" priority="401" operator="lessThan">
      <formula>H30</formula>
    </cfRule>
  </conditionalFormatting>
  <conditionalFormatting sqref="AC31">
    <cfRule type="cellIs" dxfId="0" priority="406" operator="lessThan">
      <formula>H31</formula>
    </cfRule>
  </conditionalFormatting>
  <conditionalFormatting sqref="AC7">
    <cfRule type="cellIs" dxfId="0" priority="351" operator="lessThan">
      <formula>H7</formula>
    </cfRule>
  </conditionalFormatting>
  <conditionalFormatting sqref="AC8">
    <cfRule type="cellIs" dxfId="0" priority="356" operator="lessThan">
      <formula>H8</formula>
    </cfRule>
  </conditionalFormatting>
  <conditionalFormatting sqref="AC9">
    <cfRule type="cellIs" dxfId="0" priority="361" operator="lessThan">
      <formula>H9</formula>
    </cfRule>
  </conditionalFormatting>
  <conditionalFormatting sqref="AD10">
    <cfRule type="expression" dxfId="3" priority="367">
      <formula>AND(AD10&gt;0,MOD(AD10,AF10)&lt;&gt;0)</formula>
    </cfRule>
    <cfRule type="expression" dxfId="1" priority="368">
      <formula>AND(NOT(ISBLANK(AD10)),OR(AC10="NonStk",AD10&gt;AC10))</formula>
    </cfRule>
  </conditionalFormatting>
  <conditionalFormatting sqref="AD11">
    <cfRule type="expression" dxfId="3" priority="372">
      <formula>AND(AD11&gt;0,MOD(AD11,AF11)&lt;&gt;0)</formula>
    </cfRule>
    <cfRule type="expression" dxfId="1" priority="373">
      <formula>AND(NOT(ISBLANK(AD11)),OR(AC11="NonStk",AD11&gt;AC11))</formula>
    </cfRule>
  </conditionalFormatting>
  <conditionalFormatting sqref="AD20">
    <cfRule type="expression" dxfId="3" priority="377">
      <formula>AND(AD20&gt;0,MOD(AD20,AF20)&lt;&gt;0)</formula>
    </cfRule>
    <cfRule type="expression" dxfId="1" priority="378">
      <formula>AND(NOT(ISBLANK(AD20)),OR(AC20="NonStk",AD20&gt;AC20))</formula>
    </cfRule>
  </conditionalFormatting>
  <conditionalFormatting sqref="AD24">
    <cfRule type="expression" dxfId="3" priority="382">
      <formula>AND(AD24&gt;0,MOD(AD24,AF24)&lt;&gt;0)</formula>
    </cfRule>
    <cfRule type="expression" dxfId="1" priority="383">
      <formula>AND(NOT(ISBLANK(AD24)),OR(AC24="NonStk",AD24&gt;AC24))</formula>
    </cfRule>
  </conditionalFormatting>
  <conditionalFormatting sqref="AD25">
    <cfRule type="expression" dxfId="3" priority="387">
      <formula>AND(AD25&gt;0,MOD(AD25,AF25)&lt;&gt;0)</formula>
    </cfRule>
    <cfRule type="expression" dxfId="1" priority="388">
      <formula>AND(NOT(ISBLANK(AD25)),OR(AC25="NonStk",AD25&gt;AC25))</formula>
    </cfRule>
  </conditionalFormatting>
  <conditionalFormatting sqref="AD26">
    <cfRule type="expression" dxfId="3" priority="392">
      <formula>AND(AD26&gt;0,MOD(AD26,AF26)&lt;&gt;0)</formula>
    </cfRule>
    <cfRule type="expression" dxfId="1" priority="393">
      <formula>AND(NOT(ISBLANK(AD26)),OR(AC26="NonStk",AD26&gt;AC26))</formula>
    </cfRule>
  </conditionalFormatting>
  <conditionalFormatting sqref="AD28">
    <cfRule type="expression" dxfId="3" priority="397">
      <formula>AND(AD28&gt;0,MOD(AD28,AF28)&lt;&gt;0)</formula>
    </cfRule>
    <cfRule type="expression" dxfId="1" priority="398">
      <formula>AND(NOT(ISBLANK(AD28)),OR(AC28="NonStk",AD28&gt;AC28))</formula>
    </cfRule>
  </conditionalFormatting>
  <conditionalFormatting sqref="AD30">
    <cfRule type="expression" dxfId="3" priority="402">
      <formula>AND(AD30&gt;0,MOD(AD30,AF30)&lt;&gt;0)</formula>
    </cfRule>
    <cfRule type="expression" dxfId="1" priority="403">
      <formula>AND(NOT(ISBLANK(AD30)),OR(AC30="NonStk",AD30&gt;AC30))</formula>
    </cfRule>
  </conditionalFormatting>
  <conditionalFormatting sqref="AD31">
    <cfRule type="expression" dxfId="1" priority="407">
      <formula>AND(NOT(ISBLANK(AD31)),OR(AC31="NonStk",AD31&gt;AC31))</formula>
    </cfRule>
  </conditionalFormatting>
  <conditionalFormatting sqref="AD7">
    <cfRule type="expression" dxfId="3" priority="352">
      <formula>AND(AD7&gt;0,MOD(AD7,AF7)&lt;&gt;0)</formula>
    </cfRule>
    <cfRule type="expression" dxfId="1" priority="353">
      <formula>AND(NOT(ISBLANK(AD7)),OR(AC7="NonStk",AD7&gt;AC7))</formula>
    </cfRule>
  </conditionalFormatting>
  <conditionalFormatting sqref="AD8">
    <cfRule type="expression" dxfId="3" priority="357">
      <formula>AND(AD8&gt;0,MOD(AD8,AF8)&lt;&gt;0)</formula>
    </cfRule>
    <cfRule type="expression" dxfId="1" priority="358">
      <formula>AND(NOT(ISBLANK(AD8)),OR(AC8="NonStk",AD8&gt;AC8))</formula>
    </cfRule>
  </conditionalFormatting>
  <conditionalFormatting sqref="AD9">
    <cfRule type="expression" dxfId="3" priority="362">
      <formula>AND(AD9&gt;0,MOD(AD9,AF9)&lt;&gt;0)</formula>
    </cfRule>
    <cfRule type="expression" dxfId="1" priority="363">
      <formula>AND(NOT(ISBLANK(AD9)),OR(AC9="NonStk",AD9&gt;AC9))</formula>
    </cfRule>
  </conditionalFormatting>
  <conditionalFormatting sqref="AE10">
    <cfRule type="cellIs" dxfId="2" priority="370" operator="lessThanOrEqual">
      <formula>I10</formula>
    </cfRule>
  </conditionalFormatting>
  <conditionalFormatting sqref="AE11">
    <cfRule type="cellIs" dxfId="2" priority="375" operator="lessThanOrEqual">
      <formula>I11</formula>
    </cfRule>
  </conditionalFormatting>
  <conditionalFormatting sqref="AE20">
    <cfRule type="cellIs" dxfId="2" priority="380" operator="lessThanOrEqual">
      <formula>I20</formula>
    </cfRule>
  </conditionalFormatting>
  <conditionalFormatting sqref="AE24">
    <cfRule type="cellIs" dxfId="2" priority="385" operator="lessThanOrEqual">
      <formula>I24</formula>
    </cfRule>
  </conditionalFormatting>
  <conditionalFormatting sqref="AE25">
    <cfRule type="cellIs" dxfId="2" priority="390" operator="lessThanOrEqual">
      <formula>I25</formula>
    </cfRule>
  </conditionalFormatting>
  <conditionalFormatting sqref="AE26">
    <cfRule type="cellIs" dxfId="2" priority="395" operator="lessThanOrEqual">
      <formula>I26</formula>
    </cfRule>
  </conditionalFormatting>
  <conditionalFormatting sqref="AE28">
    <cfRule type="cellIs" dxfId="2" priority="400" operator="lessThanOrEqual">
      <formula>I28</formula>
    </cfRule>
  </conditionalFormatting>
  <conditionalFormatting sqref="AE30">
    <cfRule type="cellIs" dxfId="2" priority="405" operator="lessThanOrEqual">
      <formula>I30</formula>
    </cfRule>
  </conditionalFormatting>
  <conditionalFormatting sqref="AE31">
    <cfRule type="cellIs" dxfId="2" priority="409" operator="lessThanOrEqual">
      <formula>I31</formula>
    </cfRule>
  </conditionalFormatting>
  <conditionalFormatting sqref="AE7">
    <cfRule type="cellIs" dxfId="2" priority="355" operator="lessThanOrEqual">
      <formula>I7</formula>
    </cfRule>
  </conditionalFormatting>
  <conditionalFormatting sqref="AE8">
    <cfRule type="cellIs" dxfId="2" priority="360" operator="lessThanOrEqual">
      <formula>I8</formula>
    </cfRule>
  </conditionalFormatting>
  <conditionalFormatting sqref="AE9">
    <cfRule type="cellIs" dxfId="2" priority="365" operator="lessThanOrEqual">
      <formula>I9</formula>
    </cfRule>
  </conditionalFormatting>
  <conditionalFormatting sqref="AG10">
    <cfRule type="cellIs" dxfId="2" priority="369" operator="lessThanOrEqual">
      <formula>J10</formula>
    </cfRule>
  </conditionalFormatting>
  <conditionalFormatting sqref="AG11">
    <cfRule type="cellIs" dxfId="2" priority="374" operator="lessThanOrEqual">
      <formula>J11</formula>
    </cfRule>
  </conditionalFormatting>
  <conditionalFormatting sqref="AG20">
    <cfRule type="cellIs" dxfId="2" priority="379" operator="lessThanOrEqual">
      <formula>J20</formula>
    </cfRule>
  </conditionalFormatting>
  <conditionalFormatting sqref="AG24">
    <cfRule type="cellIs" dxfId="2" priority="384" operator="lessThanOrEqual">
      <formula>J24</formula>
    </cfRule>
  </conditionalFormatting>
  <conditionalFormatting sqref="AG25">
    <cfRule type="cellIs" dxfId="2" priority="389" operator="lessThanOrEqual">
      <formula>J25</formula>
    </cfRule>
  </conditionalFormatting>
  <conditionalFormatting sqref="AG26">
    <cfRule type="cellIs" dxfId="2" priority="394" operator="lessThanOrEqual">
      <formula>J26</formula>
    </cfRule>
  </conditionalFormatting>
  <conditionalFormatting sqref="AG28">
    <cfRule type="cellIs" dxfId="2" priority="399" operator="lessThanOrEqual">
      <formula>J28</formula>
    </cfRule>
  </conditionalFormatting>
  <conditionalFormatting sqref="AG30">
    <cfRule type="cellIs" dxfId="2" priority="404" operator="lessThanOrEqual">
      <formula>J30</formula>
    </cfRule>
  </conditionalFormatting>
  <conditionalFormatting sqref="AG31">
    <cfRule type="cellIs" dxfId="2" priority="408" operator="lessThanOrEqual">
      <formula>J31</formula>
    </cfRule>
  </conditionalFormatting>
  <conditionalFormatting sqref="AG7">
    <cfRule type="cellIs" dxfId="2" priority="354" operator="lessThanOrEqual">
      <formula>J7</formula>
    </cfRule>
  </conditionalFormatting>
  <conditionalFormatting sqref="AG8">
    <cfRule type="cellIs" dxfId="2" priority="359" operator="lessThanOrEqual">
      <formula>J8</formula>
    </cfRule>
  </conditionalFormatting>
  <conditionalFormatting sqref="AG9">
    <cfRule type="cellIs" dxfId="2" priority="364" operator="lessThanOrEqual">
      <formula>J9</formula>
    </cfRule>
  </conditionalFormatting>
  <conditionalFormatting sqref="AI10">
    <cfRule type="cellIs" dxfId="0" priority="422" operator="lessThan">
      <formula>H10</formula>
    </cfRule>
  </conditionalFormatting>
  <conditionalFormatting sqref="AI11">
    <cfRule type="cellIs" dxfId="0" priority="426" operator="lessThan">
      <formula>H11</formula>
    </cfRule>
  </conditionalFormatting>
  <conditionalFormatting sqref="AI12">
    <cfRule type="cellIs" dxfId="0" priority="430" operator="lessThan">
      <formula>H12</formula>
    </cfRule>
  </conditionalFormatting>
  <conditionalFormatting sqref="AI13">
    <cfRule type="cellIs" dxfId="0" priority="434" operator="lessThan">
      <formula>H13</formula>
    </cfRule>
  </conditionalFormatting>
  <conditionalFormatting sqref="AI14">
    <cfRule type="cellIs" dxfId="0" priority="438" operator="lessThan">
      <formula>H14</formula>
    </cfRule>
  </conditionalFormatting>
  <conditionalFormatting sqref="AI19">
    <cfRule type="cellIs" dxfId="0" priority="442" operator="lessThan">
      <formula>H19</formula>
    </cfRule>
  </conditionalFormatting>
  <conditionalFormatting sqref="AI20">
    <cfRule type="cellIs" dxfId="0" priority="446" operator="lessThan">
      <formula>H20</formula>
    </cfRule>
  </conditionalFormatting>
  <conditionalFormatting sqref="AI21">
    <cfRule type="cellIs" dxfId="0" priority="450" operator="lessThan">
      <formula>H21</formula>
    </cfRule>
  </conditionalFormatting>
  <conditionalFormatting sqref="AI22">
    <cfRule type="cellIs" dxfId="0" priority="454" operator="lessThan">
      <formula>H22</formula>
    </cfRule>
  </conditionalFormatting>
  <conditionalFormatting sqref="AI23">
    <cfRule type="cellIs" dxfId="0" priority="458" operator="lessThan">
      <formula>H23</formula>
    </cfRule>
  </conditionalFormatting>
  <conditionalFormatting sqref="AI24">
    <cfRule type="cellIs" dxfId="0" priority="462" operator="lessThan">
      <formula>H24</formula>
    </cfRule>
  </conditionalFormatting>
  <conditionalFormatting sqref="AI25">
    <cfRule type="cellIs" dxfId="0" priority="466" operator="lessThan">
      <formula>H25</formula>
    </cfRule>
  </conditionalFormatting>
  <conditionalFormatting sqref="AI26">
    <cfRule type="cellIs" dxfId="0" priority="470" operator="lessThan">
      <formula>H26</formula>
    </cfRule>
  </conditionalFormatting>
  <conditionalFormatting sqref="AI27">
    <cfRule type="cellIs" dxfId="0" priority="474" operator="lessThan">
      <formula>H27</formula>
    </cfRule>
  </conditionalFormatting>
  <conditionalFormatting sqref="AI28">
    <cfRule type="cellIs" dxfId="0" priority="478" operator="lessThan">
      <formula>H28</formula>
    </cfRule>
  </conditionalFormatting>
  <conditionalFormatting sqref="AI29">
    <cfRule type="cellIs" dxfId="0" priority="482" operator="lessThan">
      <formula>H29</formula>
    </cfRule>
  </conditionalFormatting>
  <conditionalFormatting sqref="AI30">
    <cfRule type="cellIs" dxfId="0" priority="486" operator="lessThan">
      <formula>H30</formula>
    </cfRule>
  </conditionalFormatting>
  <conditionalFormatting sqref="AI31">
    <cfRule type="cellIs" dxfId="0" priority="490" operator="lessThan">
      <formula>H31</formula>
    </cfRule>
  </conditionalFormatting>
  <conditionalFormatting sqref="AI32">
    <cfRule type="cellIs" dxfId="0" priority="494" operator="lessThan">
      <formula>H32</formula>
    </cfRule>
  </conditionalFormatting>
  <conditionalFormatting sqref="AI33">
    <cfRule type="cellIs" dxfId="0" priority="498" operator="lessThan">
      <formula>H33</formula>
    </cfRule>
  </conditionalFormatting>
  <conditionalFormatting sqref="AI34">
    <cfRule type="cellIs" dxfId="0" priority="502" operator="lessThan">
      <formula>H34</formula>
    </cfRule>
  </conditionalFormatting>
  <conditionalFormatting sqref="AI35">
    <cfRule type="cellIs" dxfId="0" priority="506" operator="lessThan">
      <formula>H35</formula>
    </cfRule>
  </conditionalFormatting>
  <conditionalFormatting sqref="AI36">
    <cfRule type="cellIs" dxfId="0" priority="510" operator="lessThan">
      <formula>H36</formula>
    </cfRule>
  </conditionalFormatting>
  <conditionalFormatting sqref="AI37">
    <cfRule type="cellIs" dxfId="0" priority="514" operator="lessThan">
      <formula>H37</formula>
    </cfRule>
  </conditionalFormatting>
  <conditionalFormatting sqref="AI38">
    <cfRule type="cellIs" dxfId="0" priority="518" operator="lessThan">
      <formula>H38</formula>
    </cfRule>
  </conditionalFormatting>
  <conditionalFormatting sqref="AI39">
    <cfRule type="cellIs" dxfId="0" priority="522" operator="lessThan">
      <formula>H39</formula>
    </cfRule>
  </conditionalFormatting>
  <conditionalFormatting sqref="AI41">
    <cfRule type="cellIs" dxfId="0" priority="526" operator="lessThan">
      <formula>H41</formula>
    </cfRule>
  </conditionalFormatting>
  <conditionalFormatting sqref="AI42">
    <cfRule type="cellIs" dxfId="0" priority="530" operator="lessThan">
      <formula>H42</formula>
    </cfRule>
  </conditionalFormatting>
  <conditionalFormatting sqref="AI7">
    <cfRule type="cellIs" dxfId="0" priority="410" operator="lessThan">
      <formula>H7</formula>
    </cfRule>
  </conditionalFormatting>
  <conditionalFormatting sqref="AI8">
    <cfRule type="cellIs" dxfId="0" priority="414" operator="lessThan">
      <formula>H8</formula>
    </cfRule>
  </conditionalFormatting>
  <conditionalFormatting sqref="AI9">
    <cfRule type="cellIs" dxfId="0" priority="418" operator="lessThan">
      <formula>H9</formula>
    </cfRule>
  </conditionalFormatting>
  <conditionalFormatting sqref="AJ10">
    <cfRule type="expression" dxfId="1" priority="423">
      <formula>AND(NOT(ISBLANK(AJ10)),OR(AI10="NonStk",AJ10&gt;AI10))</formula>
    </cfRule>
  </conditionalFormatting>
  <conditionalFormatting sqref="AJ11">
    <cfRule type="expression" dxfId="1" priority="427">
      <formula>AND(NOT(ISBLANK(AJ11)),OR(AI11="NonStk",AJ11&gt;AI11))</formula>
    </cfRule>
  </conditionalFormatting>
  <conditionalFormatting sqref="AJ12">
    <cfRule type="expression" dxfId="1" priority="431">
      <formula>AND(NOT(ISBLANK(AJ12)),OR(AI12="NonStk",AJ12&gt;AI12))</formula>
    </cfRule>
  </conditionalFormatting>
  <conditionalFormatting sqref="AJ13">
    <cfRule type="expression" dxfId="1" priority="435">
      <formula>AND(NOT(ISBLANK(AJ13)),OR(AI13="NonStk",AJ13&gt;AI13))</formula>
    </cfRule>
  </conditionalFormatting>
  <conditionalFormatting sqref="AJ14">
    <cfRule type="expression" dxfId="1" priority="439">
      <formula>AND(NOT(ISBLANK(AJ14)),OR(AI14="NonStk",AJ14&gt;AI14))</formula>
    </cfRule>
  </conditionalFormatting>
  <conditionalFormatting sqref="AJ19">
    <cfRule type="expression" dxfId="1" priority="443">
      <formula>AND(NOT(ISBLANK(AJ19)),OR(AI19="NonStk",AJ19&gt;AI19))</formula>
    </cfRule>
  </conditionalFormatting>
  <conditionalFormatting sqref="AJ20">
    <cfRule type="expression" dxfId="1" priority="447">
      <formula>AND(NOT(ISBLANK(AJ20)),OR(AI20="NonStk",AJ20&gt;AI20))</formula>
    </cfRule>
  </conditionalFormatting>
  <conditionalFormatting sqref="AJ21">
    <cfRule type="expression" dxfId="1" priority="451">
      <formula>AND(NOT(ISBLANK(AJ21)),OR(AI21="NonStk",AJ21&gt;AI21))</formula>
    </cfRule>
  </conditionalFormatting>
  <conditionalFormatting sqref="AJ22">
    <cfRule type="expression" dxfId="1" priority="455">
      <formula>AND(NOT(ISBLANK(AJ22)),OR(AI22="NonStk",AJ22&gt;AI22))</formula>
    </cfRule>
  </conditionalFormatting>
  <conditionalFormatting sqref="AJ23">
    <cfRule type="expression" dxfId="1" priority="459">
      <formula>AND(NOT(ISBLANK(AJ23)),OR(AI23="NonStk",AJ23&gt;AI23))</formula>
    </cfRule>
  </conditionalFormatting>
  <conditionalFormatting sqref="AJ24">
    <cfRule type="expression" dxfId="1" priority="463">
      <formula>AND(NOT(ISBLANK(AJ24)),OR(AI24="NonStk",AJ24&gt;AI24))</formula>
    </cfRule>
  </conditionalFormatting>
  <conditionalFormatting sqref="AJ25">
    <cfRule type="expression" dxfId="1" priority="467">
      <formula>AND(NOT(ISBLANK(AJ25)),OR(AI25="NonStk",AJ25&gt;AI25))</formula>
    </cfRule>
  </conditionalFormatting>
  <conditionalFormatting sqref="AJ26">
    <cfRule type="expression" dxfId="1" priority="471">
      <formula>AND(NOT(ISBLANK(AJ26)),OR(AI26="NonStk",AJ26&gt;AI26))</formula>
    </cfRule>
  </conditionalFormatting>
  <conditionalFormatting sqref="AJ27">
    <cfRule type="expression" dxfId="1" priority="475">
      <formula>AND(NOT(ISBLANK(AJ27)),OR(AI27="NonStk",AJ27&gt;AI27))</formula>
    </cfRule>
  </conditionalFormatting>
  <conditionalFormatting sqref="AJ28">
    <cfRule type="expression" dxfId="1" priority="479">
      <formula>AND(NOT(ISBLANK(AJ28)),OR(AI28="NonStk",AJ28&gt;AI28))</formula>
    </cfRule>
  </conditionalFormatting>
  <conditionalFormatting sqref="AJ29">
    <cfRule type="expression" dxfId="1" priority="483">
      <formula>AND(NOT(ISBLANK(AJ29)),OR(AI29="NonStk",AJ29&gt;AI29))</formula>
    </cfRule>
  </conditionalFormatting>
  <conditionalFormatting sqref="AJ30">
    <cfRule type="expression" dxfId="1" priority="487">
      <formula>AND(NOT(ISBLANK(AJ30)),OR(AI30="NonStk",AJ30&gt;AI30))</formula>
    </cfRule>
  </conditionalFormatting>
  <conditionalFormatting sqref="AJ31">
    <cfRule type="expression" dxfId="1" priority="491">
      <formula>AND(NOT(ISBLANK(AJ31)),OR(AI31="NonStk",AJ31&gt;AI31))</formula>
    </cfRule>
  </conditionalFormatting>
  <conditionalFormatting sqref="AJ32">
    <cfRule type="expression" dxfId="1" priority="495">
      <formula>AND(NOT(ISBLANK(AJ32)),OR(AI32="NonStk",AJ32&gt;AI32))</formula>
    </cfRule>
  </conditionalFormatting>
  <conditionalFormatting sqref="AJ33">
    <cfRule type="expression" dxfId="1" priority="499">
      <formula>AND(NOT(ISBLANK(AJ33)),OR(AI33="NonStk",AJ33&gt;AI33))</formula>
    </cfRule>
  </conditionalFormatting>
  <conditionalFormatting sqref="AJ34">
    <cfRule type="expression" dxfId="1" priority="503">
      <formula>AND(NOT(ISBLANK(AJ34)),OR(AI34="NonStk",AJ34&gt;AI34))</formula>
    </cfRule>
  </conditionalFormatting>
  <conditionalFormatting sqref="AJ35">
    <cfRule type="expression" dxfId="1" priority="507">
      <formula>AND(NOT(ISBLANK(AJ35)),OR(AI35="NonStk",AJ35&gt;AI35))</formula>
    </cfRule>
  </conditionalFormatting>
  <conditionalFormatting sqref="AJ36">
    <cfRule type="expression" dxfId="1" priority="511">
      <formula>AND(NOT(ISBLANK(AJ36)),OR(AI36="NonStk",AJ36&gt;AI36))</formula>
    </cfRule>
  </conditionalFormatting>
  <conditionalFormatting sqref="AJ37">
    <cfRule type="expression" dxfId="1" priority="515">
      <formula>AND(NOT(ISBLANK(AJ37)),OR(AI37="NonStk",AJ37&gt;AI37))</formula>
    </cfRule>
  </conditionalFormatting>
  <conditionalFormatting sqref="AJ38">
    <cfRule type="expression" dxfId="1" priority="519">
      <formula>AND(NOT(ISBLANK(AJ38)),OR(AI38="NonStk",AJ38&gt;AI38))</formula>
    </cfRule>
  </conditionalFormatting>
  <conditionalFormatting sqref="AJ39">
    <cfRule type="expression" dxfId="1" priority="523">
      <formula>AND(NOT(ISBLANK(AJ39)),OR(AI39="NonStk",AJ39&gt;AI39))</formula>
    </cfRule>
  </conditionalFormatting>
  <conditionalFormatting sqref="AJ41">
    <cfRule type="expression" dxfId="1" priority="527">
      <formula>AND(NOT(ISBLANK(AJ41)),OR(AI41="NonStk",AJ41&gt;AI41))</formula>
    </cfRule>
  </conditionalFormatting>
  <conditionalFormatting sqref="AJ42">
    <cfRule type="expression" dxfId="1" priority="531">
      <formula>AND(NOT(ISBLANK(AJ42)),OR(AI42="NonStk",AJ42&gt;AI42))</formula>
    </cfRule>
  </conditionalFormatting>
  <conditionalFormatting sqref="AJ7">
    <cfRule type="expression" dxfId="1" priority="411">
      <formula>AND(NOT(ISBLANK(AJ7)),OR(AI7="NonStk",AJ7&gt;AI7))</formula>
    </cfRule>
  </conditionalFormatting>
  <conditionalFormatting sqref="AJ8">
    <cfRule type="expression" dxfId="1" priority="415">
      <formula>AND(NOT(ISBLANK(AJ8)),OR(AI8="NonStk",AJ8&gt;AI8))</formula>
    </cfRule>
  </conditionalFormatting>
  <conditionalFormatting sqref="AJ9">
    <cfRule type="expression" dxfId="1" priority="419">
      <formula>AND(NOT(ISBLANK(AJ9)),OR(AI9="NonStk",AJ9&gt;AI9))</formula>
    </cfRule>
  </conditionalFormatting>
  <conditionalFormatting sqref="AK10">
    <cfRule type="cellIs" dxfId="2" priority="425" operator="lessThanOrEqual">
      <formula>I10</formula>
    </cfRule>
  </conditionalFormatting>
  <conditionalFormatting sqref="AK11">
    <cfRule type="cellIs" dxfId="2" priority="429" operator="lessThanOrEqual">
      <formula>I11</formula>
    </cfRule>
  </conditionalFormatting>
  <conditionalFormatting sqref="AK12">
    <cfRule type="cellIs" dxfId="2" priority="433" operator="lessThanOrEqual">
      <formula>I12</formula>
    </cfRule>
  </conditionalFormatting>
  <conditionalFormatting sqref="AK13">
    <cfRule type="cellIs" dxfId="2" priority="437" operator="lessThanOrEqual">
      <formula>I13</formula>
    </cfRule>
  </conditionalFormatting>
  <conditionalFormatting sqref="AK14">
    <cfRule type="cellIs" dxfId="2" priority="441" operator="lessThanOrEqual">
      <formula>I14</formula>
    </cfRule>
  </conditionalFormatting>
  <conditionalFormatting sqref="AK19">
    <cfRule type="cellIs" dxfId="2" priority="445" operator="lessThanOrEqual">
      <formula>I19</formula>
    </cfRule>
  </conditionalFormatting>
  <conditionalFormatting sqref="AK20">
    <cfRule type="cellIs" dxfId="2" priority="449" operator="lessThanOrEqual">
      <formula>I20</formula>
    </cfRule>
  </conditionalFormatting>
  <conditionalFormatting sqref="AK21">
    <cfRule type="cellIs" dxfId="2" priority="453" operator="lessThanOrEqual">
      <formula>I21</formula>
    </cfRule>
  </conditionalFormatting>
  <conditionalFormatting sqref="AK22">
    <cfRule type="cellIs" dxfId="2" priority="457" operator="lessThanOrEqual">
      <formula>I22</formula>
    </cfRule>
  </conditionalFormatting>
  <conditionalFormatting sqref="AK23">
    <cfRule type="cellIs" dxfId="2" priority="461" operator="lessThanOrEqual">
      <formula>I23</formula>
    </cfRule>
  </conditionalFormatting>
  <conditionalFormatting sqref="AK24">
    <cfRule type="cellIs" dxfId="2" priority="465" operator="lessThanOrEqual">
      <formula>I24</formula>
    </cfRule>
  </conditionalFormatting>
  <conditionalFormatting sqref="AK25">
    <cfRule type="cellIs" dxfId="2" priority="469" operator="lessThanOrEqual">
      <formula>I25</formula>
    </cfRule>
  </conditionalFormatting>
  <conditionalFormatting sqref="AK26">
    <cfRule type="cellIs" dxfId="2" priority="473" operator="lessThanOrEqual">
      <formula>I26</formula>
    </cfRule>
  </conditionalFormatting>
  <conditionalFormatting sqref="AK27">
    <cfRule type="cellIs" dxfId="2" priority="477" operator="lessThanOrEqual">
      <formula>I27</formula>
    </cfRule>
  </conditionalFormatting>
  <conditionalFormatting sqref="AK28">
    <cfRule type="cellIs" dxfId="2" priority="481" operator="lessThanOrEqual">
      <formula>I28</formula>
    </cfRule>
  </conditionalFormatting>
  <conditionalFormatting sqref="AK29">
    <cfRule type="cellIs" dxfId="2" priority="485" operator="lessThanOrEqual">
      <formula>I29</formula>
    </cfRule>
  </conditionalFormatting>
  <conditionalFormatting sqref="AK30">
    <cfRule type="cellIs" dxfId="2" priority="489" operator="lessThanOrEqual">
      <formula>I30</formula>
    </cfRule>
  </conditionalFormatting>
  <conditionalFormatting sqref="AK31">
    <cfRule type="cellIs" dxfId="2" priority="493" operator="lessThanOrEqual">
      <formula>I31</formula>
    </cfRule>
  </conditionalFormatting>
  <conditionalFormatting sqref="AK32">
    <cfRule type="cellIs" dxfId="2" priority="497" operator="lessThanOrEqual">
      <formula>I32</formula>
    </cfRule>
  </conditionalFormatting>
  <conditionalFormatting sqref="AK33">
    <cfRule type="cellIs" dxfId="2" priority="501" operator="lessThanOrEqual">
      <formula>I33</formula>
    </cfRule>
  </conditionalFormatting>
  <conditionalFormatting sqref="AK34">
    <cfRule type="cellIs" dxfId="2" priority="505" operator="lessThanOrEqual">
      <formula>I34</formula>
    </cfRule>
  </conditionalFormatting>
  <conditionalFormatting sqref="AK35">
    <cfRule type="cellIs" dxfId="2" priority="509" operator="lessThanOrEqual">
      <formula>I35</formula>
    </cfRule>
  </conditionalFormatting>
  <conditionalFormatting sqref="AK36">
    <cfRule type="cellIs" dxfId="2" priority="513" operator="lessThanOrEqual">
      <formula>I36</formula>
    </cfRule>
  </conditionalFormatting>
  <conditionalFormatting sqref="AK37">
    <cfRule type="cellIs" dxfId="2" priority="517" operator="lessThanOrEqual">
      <formula>I37</formula>
    </cfRule>
  </conditionalFormatting>
  <conditionalFormatting sqref="AK38">
    <cfRule type="cellIs" dxfId="2" priority="521" operator="lessThanOrEqual">
      <formula>I38</formula>
    </cfRule>
  </conditionalFormatting>
  <conditionalFormatting sqref="AK39">
    <cfRule type="cellIs" dxfId="2" priority="525" operator="lessThanOrEqual">
      <formula>I39</formula>
    </cfRule>
  </conditionalFormatting>
  <conditionalFormatting sqref="AK41">
    <cfRule type="cellIs" dxfId="2" priority="529" operator="lessThanOrEqual">
      <formula>I41</formula>
    </cfRule>
  </conditionalFormatting>
  <conditionalFormatting sqref="AK42">
    <cfRule type="cellIs" dxfId="2" priority="533" operator="lessThanOrEqual">
      <formula>I42</formula>
    </cfRule>
  </conditionalFormatting>
  <conditionalFormatting sqref="AK7">
    <cfRule type="cellIs" dxfId="2" priority="413" operator="lessThanOrEqual">
      <formula>I7</formula>
    </cfRule>
  </conditionalFormatting>
  <conditionalFormatting sqref="AK8">
    <cfRule type="cellIs" dxfId="2" priority="417" operator="lessThanOrEqual">
      <formula>I8</formula>
    </cfRule>
  </conditionalFormatting>
  <conditionalFormatting sqref="AK9">
    <cfRule type="cellIs" dxfId="2" priority="421" operator="lessThanOrEqual">
      <formula>I9</formula>
    </cfRule>
  </conditionalFormatting>
  <conditionalFormatting sqref="AM10">
    <cfRule type="cellIs" dxfId="2" priority="424" operator="lessThanOrEqual">
      <formula>J10</formula>
    </cfRule>
  </conditionalFormatting>
  <conditionalFormatting sqref="AM11">
    <cfRule type="cellIs" dxfId="2" priority="428" operator="lessThanOrEqual">
      <formula>J11</formula>
    </cfRule>
  </conditionalFormatting>
  <conditionalFormatting sqref="AM12">
    <cfRule type="cellIs" dxfId="2" priority="432" operator="lessThanOrEqual">
      <formula>J12</formula>
    </cfRule>
  </conditionalFormatting>
  <conditionalFormatting sqref="AM13">
    <cfRule type="cellIs" dxfId="2" priority="436" operator="lessThanOrEqual">
      <formula>J13</formula>
    </cfRule>
  </conditionalFormatting>
  <conditionalFormatting sqref="AM14">
    <cfRule type="cellIs" dxfId="2" priority="440" operator="lessThanOrEqual">
      <formula>J14</formula>
    </cfRule>
  </conditionalFormatting>
  <conditionalFormatting sqref="AM19">
    <cfRule type="cellIs" dxfId="2" priority="444" operator="lessThanOrEqual">
      <formula>J19</formula>
    </cfRule>
  </conditionalFormatting>
  <conditionalFormatting sqref="AM20">
    <cfRule type="cellIs" dxfId="2" priority="448" operator="lessThanOrEqual">
      <formula>J20</formula>
    </cfRule>
  </conditionalFormatting>
  <conditionalFormatting sqref="AM21">
    <cfRule type="cellIs" dxfId="2" priority="452" operator="lessThanOrEqual">
      <formula>J21</formula>
    </cfRule>
  </conditionalFormatting>
  <conditionalFormatting sqref="AM22">
    <cfRule type="cellIs" dxfId="2" priority="456" operator="lessThanOrEqual">
      <formula>J22</formula>
    </cfRule>
  </conditionalFormatting>
  <conditionalFormatting sqref="AM23">
    <cfRule type="cellIs" dxfId="2" priority="460" operator="lessThanOrEqual">
      <formula>J23</formula>
    </cfRule>
  </conditionalFormatting>
  <conditionalFormatting sqref="AM24">
    <cfRule type="cellIs" dxfId="2" priority="464" operator="lessThanOrEqual">
      <formula>J24</formula>
    </cfRule>
  </conditionalFormatting>
  <conditionalFormatting sqref="AM25">
    <cfRule type="cellIs" dxfId="2" priority="468" operator="lessThanOrEqual">
      <formula>J25</formula>
    </cfRule>
  </conditionalFormatting>
  <conditionalFormatting sqref="AM26">
    <cfRule type="cellIs" dxfId="2" priority="472" operator="lessThanOrEqual">
      <formula>J26</formula>
    </cfRule>
  </conditionalFormatting>
  <conditionalFormatting sqref="AM27">
    <cfRule type="cellIs" dxfId="2" priority="476" operator="lessThanOrEqual">
      <formula>J27</formula>
    </cfRule>
  </conditionalFormatting>
  <conditionalFormatting sqref="AM28">
    <cfRule type="cellIs" dxfId="2" priority="480" operator="lessThanOrEqual">
      <formula>J28</formula>
    </cfRule>
  </conditionalFormatting>
  <conditionalFormatting sqref="AM29">
    <cfRule type="cellIs" dxfId="2" priority="484" operator="lessThanOrEqual">
      <formula>J29</formula>
    </cfRule>
  </conditionalFormatting>
  <conditionalFormatting sqref="AM30">
    <cfRule type="cellIs" dxfId="2" priority="488" operator="lessThanOrEqual">
      <formula>J30</formula>
    </cfRule>
  </conditionalFormatting>
  <conditionalFormatting sqref="AM31">
    <cfRule type="cellIs" dxfId="2" priority="492" operator="lessThanOrEqual">
      <formula>J31</formula>
    </cfRule>
  </conditionalFormatting>
  <conditionalFormatting sqref="AM32">
    <cfRule type="cellIs" dxfId="2" priority="496" operator="lessThanOrEqual">
      <formula>J32</formula>
    </cfRule>
  </conditionalFormatting>
  <conditionalFormatting sqref="AM33">
    <cfRule type="cellIs" dxfId="2" priority="500" operator="lessThanOrEqual">
      <formula>J33</formula>
    </cfRule>
  </conditionalFormatting>
  <conditionalFormatting sqref="AM34">
    <cfRule type="cellIs" dxfId="2" priority="504" operator="lessThanOrEqual">
      <formula>J34</formula>
    </cfRule>
  </conditionalFormatting>
  <conditionalFormatting sqref="AM35">
    <cfRule type="cellIs" dxfId="2" priority="508" operator="lessThanOrEqual">
      <formula>J35</formula>
    </cfRule>
  </conditionalFormatting>
  <conditionalFormatting sqref="AM36">
    <cfRule type="cellIs" dxfId="2" priority="512" operator="lessThanOrEqual">
      <formula>J36</formula>
    </cfRule>
  </conditionalFormatting>
  <conditionalFormatting sqref="AM37">
    <cfRule type="cellIs" dxfId="2" priority="516" operator="lessThanOrEqual">
      <formula>J37</formula>
    </cfRule>
  </conditionalFormatting>
  <conditionalFormatting sqref="AM38">
    <cfRule type="cellIs" dxfId="2" priority="520" operator="lessThanOrEqual">
      <formula>J38</formula>
    </cfRule>
  </conditionalFormatting>
  <conditionalFormatting sqref="AM39">
    <cfRule type="cellIs" dxfId="2" priority="524" operator="lessThanOrEqual">
      <formula>J39</formula>
    </cfRule>
  </conditionalFormatting>
  <conditionalFormatting sqref="AM41">
    <cfRule type="cellIs" dxfId="2" priority="528" operator="lessThanOrEqual">
      <formula>J41</formula>
    </cfRule>
  </conditionalFormatting>
  <conditionalFormatting sqref="AM42">
    <cfRule type="cellIs" dxfId="2" priority="532" operator="lessThanOrEqual">
      <formula>J42</formula>
    </cfRule>
  </conditionalFormatting>
  <conditionalFormatting sqref="AM7">
    <cfRule type="cellIs" dxfId="2" priority="412" operator="lessThanOrEqual">
      <formula>J7</formula>
    </cfRule>
  </conditionalFormatting>
  <conditionalFormatting sqref="AM8">
    <cfRule type="cellIs" dxfId="2" priority="416" operator="lessThanOrEqual">
      <formula>J8</formula>
    </cfRule>
  </conditionalFormatting>
  <conditionalFormatting sqref="AM9">
    <cfRule type="cellIs" dxfId="2" priority="420" operator="lessThanOrEqual">
      <formula>J9</formula>
    </cfRule>
  </conditionalFormatting>
  <conditionalFormatting sqref="AO10">
    <cfRule type="cellIs" dxfId="0" priority="546" operator="lessThan">
      <formula>H10</formula>
    </cfRule>
  </conditionalFormatting>
  <conditionalFormatting sqref="AO11">
    <cfRule type="cellIs" dxfId="0" priority="550" operator="lessThan">
      <formula>H11</formula>
    </cfRule>
  </conditionalFormatting>
  <conditionalFormatting sqref="AO12">
    <cfRule type="cellIs" dxfId="0" priority="554" operator="lessThan">
      <formula>H12</formula>
    </cfRule>
  </conditionalFormatting>
  <conditionalFormatting sqref="AO13">
    <cfRule type="cellIs" dxfId="0" priority="559" operator="lessThan">
      <formula>H13</formula>
    </cfRule>
  </conditionalFormatting>
  <conditionalFormatting sqref="AO14">
    <cfRule type="cellIs" dxfId="0" priority="563" operator="lessThan">
      <formula>H14</formula>
    </cfRule>
  </conditionalFormatting>
  <conditionalFormatting sqref="AO19">
    <cfRule type="cellIs" dxfId="0" priority="567" operator="lessThan">
      <formula>H19</formula>
    </cfRule>
  </conditionalFormatting>
  <conditionalFormatting sqref="AO20">
    <cfRule type="cellIs" dxfId="0" priority="571" operator="lessThan">
      <formula>H20</formula>
    </cfRule>
  </conditionalFormatting>
  <conditionalFormatting sqref="AO21">
    <cfRule type="cellIs" dxfId="0" priority="575" operator="lessThan">
      <formula>H21</formula>
    </cfRule>
  </conditionalFormatting>
  <conditionalFormatting sqref="AO22">
    <cfRule type="cellIs" dxfId="0" priority="579" operator="lessThan">
      <formula>H22</formula>
    </cfRule>
  </conditionalFormatting>
  <conditionalFormatting sqref="AO23">
    <cfRule type="cellIs" dxfId="0" priority="587" operator="lessThan">
      <formula>H23</formula>
    </cfRule>
  </conditionalFormatting>
  <conditionalFormatting sqref="AO24">
    <cfRule type="cellIs" dxfId="0" priority="595" operator="lessThan">
      <formula>H24</formula>
    </cfRule>
  </conditionalFormatting>
  <conditionalFormatting sqref="AO25">
    <cfRule type="cellIs" dxfId="0" priority="599" operator="lessThan">
      <formula>H25</formula>
    </cfRule>
  </conditionalFormatting>
  <conditionalFormatting sqref="AO26">
    <cfRule type="cellIs" dxfId="0" priority="603" operator="lessThan">
      <formula>H26</formula>
    </cfRule>
  </conditionalFormatting>
  <conditionalFormatting sqref="AO27">
    <cfRule type="cellIs" dxfId="0" priority="607" operator="lessThan">
      <formula>H27</formula>
    </cfRule>
  </conditionalFormatting>
  <conditionalFormatting sqref="AO28">
    <cfRule type="cellIs" dxfId="0" priority="615" operator="lessThan">
      <formula>H28</formula>
    </cfRule>
  </conditionalFormatting>
  <conditionalFormatting sqref="AO29">
    <cfRule type="cellIs" dxfId="0" priority="619" operator="lessThan">
      <formula>H29</formula>
    </cfRule>
  </conditionalFormatting>
  <conditionalFormatting sqref="AO30">
    <cfRule type="cellIs" dxfId="0" priority="623" operator="lessThan">
      <formula>H30</formula>
    </cfRule>
  </conditionalFormatting>
  <conditionalFormatting sqref="AO31">
    <cfRule type="cellIs" dxfId="0" priority="627" operator="lessThan">
      <formula>H31</formula>
    </cfRule>
  </conditionalFormatting>
  <conditionalFormatting sqref="AO32">
    <cfRule type="cellIs" dxfId="0" priority="631" operator="lessThan">
      <formula>H32</formula>
    </cfRule>
  </conditionalFormatting>
  <conditionalFormatting sqref="AO33">
    <cfRule type="cellIs" dxfId="0" priority="636" operator="lessThan">
      <formula>H33</formula>
    </cfRule>
  </conditionalFormatting>
  <conditionalFormatting sqref="AO36">
    <cfRule type="cellIs" dxfId="0" priority="640" operator="lessThan">
      <formula>H36</formula>
    </cfRule>
  </conditionalFormatting>
  <conditionalFormatting sqref="AO37">
    <cfRule type="cellIs" dxfId="0" priority="644" operator="lessThan">
      <formula>H37</formula>
    </cfRule>
  </conditionalFormatting>
  <conditionalFormatting sqref="AO38">
    <cfRule type="cellIs" dxfId="0" priority="648" operator="lessThan">
      <formula>H38</formula>
    </cfRule>
  </conditionalFormatting>
  <conditionalFormatting sqref="AO41">
    <cfRule type="cellIs" dxfId="0" priority="652" operator="lessThan">
      <formula>H41</formula>
    </cfRule>
  </conditionalFormatting>
  <conditionalFormatting sqref="AO42">
    <cfRule type="cellIs" dxfId="0" priority="656" operator="lessThan">
      <formula>H42</formula>
    </cfRule>
  </conditionalFormatting>
  <conditionalFormatting sqref="AO7">
    <cfRule type="cellIs" dxfId="0" priority="534" operator="lessThan">
      <formula>H7</formula>
    </cfRule>
  </conditionalFormatting>
  <conditionalFormatting sqref="AO8">
    <cfRule type="cellIs" dxfId="0" priority="538" operator="lessThan">
      <formula>H8</formula>
    </cfRule>
  </conditionalFormatting>
  <conditionalFormatting sqref="AO9">
    <cfRule type="cellIs" dxfId="0" priority="542" operator="lessThan">
      <formula>H9</formula>
    </cfRule>
  </conditionalFormatting>
  <conditionalFormatting sqref="AP10">
    <cfRule type="expression" dxfId="1" priority="547">
      <formula>AND(NOT(ISBLANK(AP10)),OR(AO10="NonStk",AP10&gt;AO10))</formula>
    </cfRule>
  </conditionalFormatting>
  <conditionalFormatting sqref="AP11">
    <cfRule type="expression" dxfId="1" priority="551">
      <formula>AND(NOT(ISBLANK(AP11)),OR(AO11="NonStk",AP11&gt;AO11))</formula>
    </cfRule>
  </conditionalFormatting>
  <conditionalFormatting sqref="AP12">
    <cfRule type="expression" dxfId="3" priority="555">
      <formula>AND(AP12&gt;0,MOD(AP12,AR12)&lt;&gt;0)</formula>
    </cfRule>
    <cfRule type="expression" dxfId="1" priority="556">
      <formula>AND(NOT(ISBLANK(AP12)),OR(AO12="NonStk",AP12&gt;AO12))</formula>
    </cfRule>
  </conditionalFormatting>
  <conditionalFormatting sqref="AP13">
    <cfRule type="expression" dxfId="1" priority="560">
      <formula>AND(NOT(ISBLANK(AP13)),OR(AO13="NonStk",AP13&gt;AO13))</formula>
    </cfRule>
  </conditionalFormatting>
  <conditionalFormatting sqref="AP14">
    <cfRule type="expression" dxfId="1" priority="564">
      <formula>AND(NOT(ISBLANK(AP14)),OR(AO14="NonStk",AP14&gt;AO14))</formula>
    </cfRule>
  </conditionalFormatting>
  <conditionalFormatting sqref="AP19">
    <cfRule type="expression" dxfId="1" priority="568">
      <formula>AND(NOT(ISBLANK(AP19)),OR(AO19="NonStk",AP19&gt;AO19))</formula>
    </cfRule>
  </conditionalFormatting>
  <conditionalFormatting sqref="AP20">
    <cfRule type="expression" dxfId="1" priority="572">
      <formula>AND(NOT(ISBLANK(AP20)),OR(AO20="NonStk",AP20&gt;AO20))</formula>
    </cfRule>
  </conditionalFormatting>
  <conditionalFormatting sqref="AP21">
    <cfRule type="expression" dxfId="1" priority="576">
      <formula>AND(NOT(ISBLANK(AP21)),OR(AO21="NonStk",AP21&gt;AO21))</formula>
    </cfRule>
  </conditionalFormatting>
  <conditionalFormatting sqref="AP22">
    <cfRule type="expression" dxfId="3" priority="580">
      <formula>AND(AP22&gt;0,MOD(AP22,AR22)&lt;&gt;0)</formula>
    </cfRule>
    <cfRule type="expression" dxfId="1" priority="581">
      <formula>AND(NOT(ISBLANK(AP22)),OR(AO22="NonStk",AP22&gt;AO22))</formula>
    </cfRule>
  </conditionalFormatting>
  <conditionalFormatting sqref="AP23">
    <cfRule type="expression" dxfId="3" priority="588">
      <formula>AND(AP23&gt;0,MOD(AP23,AR23)&lt;&gt;0)</formula>
    </cfRule>
    <cfRule type="expression" dxfId="1" priority="589">
      <formula>AND(NOT(ISBLANK(AP23)),OR(AO23="NonStk",AP23&gt;AO23))</formula>
    </cfRule>
  </conditionalFormatting>
  <conditionalFormatting sqref="AP24">
    <cfRule type="expression" dxfId="1" priority="596">
      <formula>AND(NOT(ISBLANK(AP24)),OR(AO24="NonStk",AP24&gt;AO24))</formula>
    </cfRule>
  </conditionalFormatting>
  <conditionalFormatting sqref="AP25">
    <cfRule type="expression" dxfId="1" priority="600">
      <formula>AND(NOT(ISBLANK(AP25)),OR(AO25="NonStk",AP25&gt;AO25))</formula>
    </cfRule>
  </conditionalFormatting>
  <conditionalFormatting sqref="AP26">
    <cfRule type="expression" dxfId="1" priority="604">
      <formula>AND(NOT(ISBLANK(AP26)),OR(AO26="NonStk",AP26&gt;AO26))</formula>
    </cfRule>
  </conditionalFormatting>
  <conditionalFormatting sqref="AP27">
    <cfRule type="expression" dxfId="3" priority="608">
      <formula>AND(AP27&gt;0,MOD(AP27,AR27)&lt;&gt;0)</formula>
    </cfRule>
    <cfRule type="expression" dxfId="1" priority="609">
      <formula>AND(NOT(ISBLANK(AP27)),OR(AO27="NonStk",AP27&gt;AO27))</formula>
    </cfRule>
  </conditionalFormatting>
  <conditionalFormatting sqref="AP28">
    <cfRule type="expression" dxfId="1" priority="616">
      <formula>AND(NOT(ISBLANK(AP28)),OR(AO28="NonStk",AP28&gt;AO28))</formula>
    </cfRule>
  </conditionalFormatting>
  <conditionalFormatting sqref="AP29">
    <cfRule type="expression" dxfId="1" priority="620">
      <formula>AND(NOT(ISBLANK(AP29)),OR(AO29="NonStk",AP29&gt;AO29))</formula>
    </cfRule>
  </conditionalFormatting>
  <conditionalFormatting sqref="AP30">
    <cfRule type="expression" dxfId="1" priority="624">
      <formula>AND(NOT(ISBLANK(AP30)),OR(AO30="NonStk",AP30&gt;AO30))</formula>
    </cfRule>
  </conditionalFormatting>
  <conditionalFormatting sqref="AP31">
    <cfRule type="expression" dxfId="1" priority="628">
      <formula>AND(NOT(ISBLANK(AP31)),OR(AO31="NonStk",AP31&gt;AO31))</formula>
    </cfRule>
  </conditionalFormatting>
  <conditionalFormatting sqref="AP32">
    <cfRule type="expression" dxfId="3" priority="632">
      <formula>AND(AP32&gt;0,MOD(AP32,AR32)&lt;&gt;0)</formula>
    </cfRule>
    <cfRule type="expression" dxfId="1" priority="633">
      <formula>AND(NOT(ISBLANK(AP32)),OR(AO32="NonStk",AP32&gt;AO32))</formula>
    </cfRule>
  </conditionalFormatting>
  <conditionalFormatting sqref="AP33">
    <cfRule type="expression" dxfId="1" priority="637">
      <formula>AND(NOT(ISBLANK(AP33)),OR(AO33="NonStk",AP33&gt;AO33))</formula>
    </cfRule>
  </conditionalFormatting>
  <conditionalFormatting sqref="AP36">
    <cfRule type="expression" dxfId="1" priority="641">
      <formula>AND(NOT(ISBLANK(AP36)),OR(AO36="NonStk",AP36&gt;AO36))</formula>
    </cfRule>
  </conditionalFormatting>
  <conditionalFormatting sqref="AP37">
    <cfRule type="expression" dxfId="1" priority="645">
      <formula>AND(NOT(ISBLANK(AP37)),OR(AO37="NonStk",AP37&gt;AO37))</formula>
    </cfRule>
  </conditionalFormatting>
  <conditionalFormatting sqref="AP38">
    <cfRule type="expression" dxfId="1" priority="649">
      <formula>AND(NOT(ISBLANK(AP38)),OR(AO38="NonStk",AP38&gt;AO38))</formula>
    </cfRule>
  </conditionalFormatting>
  <conditionalFormatting sqref="AP41">
    <cfRule type="expression" dxfId="1" priority="653">
      <formula>AND(NOT(ISBLANK(AP41)),OR(AO41="NonStk",AP41&gt;AO41))</formula>
    </cfRule>
  </conditionalFormatting>
  <conditionalFormatting sqref="AP42">
    <cfRule type="expression" dxfId="1" priority="657">
      <formula>AND(NOT(ISBLANK(AP42)),OR(AO42="NonStk",AP42&gt;AO42))</formula>
    </cfRule>
  </conditionalFormatting>
  <conditionalFormatting sqref="AP7">
    <cfRule type="expression" dxfId="1" priority="535">
      <formula>AND(NOT(ISBLANK(AP7)),OR(AO7="NonStk",AP7&gt;AO7))</formula>
    </cfRule>
  </conditionalFormatting>
  <conditionalFormatting sqref="AP8">
    <cfRule type="expression" dxfId="1" priority="539">
      <formula>AND(NOT(ISBLANK(AP8)),OR(AO8="NonStk",AP8&gt;AO8))</formula>
    </cfRule>
  </conditionalFormatting>
  <conditionalFormatting sqref="AP9">
    <cfRule type="expression" dxfId="1" priority="543">
      <formula>AND(NOT(ISBLANK(AP9)),OR(AO9="NonStk",AP9&gt;AO9))</formula>
    </cfRule>
  </conditionalFormatting>
  <conditionalFormatting sqref="AQ10">
    <cfRule type="cellIs" dxfId="2" priority="549" operator="lessThanOrEqual">
      <formula>I10</formula>
    </cfRule>
  </conditionalFormatting>
  <conditionalFormatting sqref="AQ11">
    <cfRule type="cellIs" dxfId="2" priority="553" operator="lessThanOrEqual">
      <formula>I11</formula>
    </cfRule>
  </conditionalFormatting>
  <conditionalFormatting sqref="AQ12">
    <cfRule type="cellIs" dxfId="2" priority="558" operator="lessThanOrEqual">
      <formula>I12</formula>
    </cfRule>
  </conditionalFormatting>
  <conditionalFormatting sqref="AQ13">
    <cfRule type="cellIs" dxfId="2" priority="562" operator="lessThanOrEqual">
      <formula>I13</formula>
    </cfRule>
  </conditionalFormatting>
  <conditionalFormatting sqref="AQ14">
    <cfRule type="cellIs" dxfId="2" priority="566" operator="lessThanOrEqual">
      <formula>I14</formula>
    </cfRule>
  </conditionalFormatting>
  <conditionalFormatting sqref="AQ19">
    <cfRule type="cellIs" dxfId="2" priority="570" operator="lessThanOrEqual">
      <formula>I19</formula>
    </cfRule>
  </conditionalFormatting>
  <conditionalFormatting sqref="AQ20">
    <cfRule type="cellIs" dxfId="2" priority="574" operator="lessThanOrEqual">
      <formula>I20</formula>
    </cfRule>
  </conditionalFormatting>
  <conditionalFormatting sqref="AQ21">
    <cfRule type="cellIs" dxfId="2" priority="578" operator="lessThanOrEqual">
      <formula>I21</formula>
    </cfRule>
  </conditionalFormatting>
  <conditionalFormatting sqref="AQ22">
    <cfRule type="cellIs" dxfId="2" priority="583" operator="lessThanOrEqual">
      <formula>I22</formula>
    </cfRule>
    <cfRule type="expression" dxfId="3" priority="584">
      <formula>AND(H22&lt;15000,AP22&lt;15000)</formula>
    </cfRule>
  </conditionalFormatting>
  <conditionalFormatting sqref="AQ23">
    <cfRule type="cellIs" dxfId="2" priority="591" operator="lessThanOrEqual">
      <formula>I23</formula>
    </cfRule>
    <cfRule type="expression" dxfId="3" priority="592">
      <formula>AND(H23&lt;15000,AP23&lt;15000)</formula>
    </cfRule>
  </conditionalFormatting>
  <conditionalFormatting sqref="AQ24">
    <cfRule type="cellIs" dxfId="2" priority="598" operator="lessThanOrEqual">
      <formula>I24</formula>
    </cfRule>
  </conditionalFormatting>
  <conditionalFormatting sqref="AQ25">
    <cfRule type="cellIs" dxfId="2" priority="602" operator="lessThanOrEqual">
      <formula>I25</formula>
    </cfRule>
  </conditionalFormatting>
  <conditionalFormatting sqref="AQ26">
    <cfRule type="cellIs" dxfId="2" priority="606" operator="lessThanOrEqual">
      <formula>I26</formula>
    </cfRule>
  </conditionalFormatting>
  <conditionalFormatting sqref="AQ27">
    <cfRule type="cellIs" dxfId="2" priority="611" operator="lessThanOrEqual">
      <formula>I27</formula>
    </cfRule>
    <cfRule type="expression" dxfId="3" priority="612">
      <formula>AND(H27&lt;15000,AP27&lt;15000)</formula>
    </cfRule>
  </conditionalFormatting>
  <conditionalFormatting sqref="AQ28">
    <cfRule type="cellIs" dxfId="2" priority="618" operator="lessThanOrEqual">
      <formula>I28</formula>
    </cfRule>
  </conditionalFormatting>
  <conditionalFormatting sqref="AQ29">
    <cfRule type="cellIs" dxfId="2" priority="622" operator="lessThanOrEqual">
      <formula>I29</formula>
    </cfRule>
  </conditionalFormatting>
  <conditionalFormatting sqref="AQ30">
    <cfRule type="cellIs" dxfId="2" priority="626" operator="lessThanOrEqual">
      <formula>I30</formula>
    </cfRule>
  </conditionalFormatting>
  <conditionalFormatting sqref="AQ31">
    <cfRule type="cellIs" dxfId="2" priority="630" operator="lessThanOrEqual">
      <formula>I31</formula>
    </cfRule>
  </conditionalFormatting>
  <conditionalFormatting sqref="AQ32">
    <cfRule type="cellIs" dxfId="2" priority="635" operator="lessThanOrEqual">
      <formula>I32</formula>
    </cfRule>
  </conditionalFormatting>
  <conditionalFormatting sqref="AQ33">
    <cfRule type="cellIs" dxfId="2" priority="639" operator="lessThanOrEqual">
      <formula>I33</formula>
    </cfRule>
  </conditionalFormatting>
  <conditionalFormatting sqref="AQ36">
    <cfRule type="cellIs" dxfId="2" priority="643" operator="lessThanOrEqual">
      <formula>I36</formula>
    </cfRule>
  </conditionalFormatting>
  <conditionalFormatting sqref="AQ37">
    <cfRule type="cellIs" dxfId="2" priority="647" operator="lessThanOrEqual">
      <formula>I37</formula>
    </cfRule>
  </conditionalFormatting>
  <conditionalFormatting sqref="AQ38">
    <cfRule type="cellIs" dxfId="2" priority="651" operator="lessThanOrEqual">
      <formula>I38</formula>
    </cfRule>
  </conditionalFormatting>
  <conditionalFormatting sqref="AQ41">
    <cfRule type="cellIs" dxfId="2" priority="655" operator="lessThanOrEqual">
      <formula>I41</formula>
    </cfRule>
  </conditionalFormatting>
  <conditionalFormatting sqref="AQ42">
    <cfRule type="cellIs" dxfId="2" priority="659" operator="lessThanOrEqual">
      <formula>I42</formula>
    </cfRule>
  </conditionalFormatting>
  <conditionalFormatting sqref="AQ7">
    <cfRule type="cellIs" dxfId="2" priority="537" operator="lessThanOrEqual">
      <formula>I7</formula>
    </cfRule>
  </conditionalFormatting>
  <conditionalFormatting sqref="AQ8">
    <cfRule type="cellIs" dxfId="2" priority="541" operator="lessThanOrEqual">
      <formula>I8</formula>
    </cfRule>
  </conditionalFormatting>
  <conditionalFormatting sqref="AQ9">
    <cfRule type="cellIs" dxfId="2" priority="545" operator="lessThanOrEqual">
      <formula>I9</formula>
    </cfRule>
  </conditionalFormatting>
  <conditionalFormatting sqref="AR22">
    <cfRule type="expression" dxfId="3" priority="585">
      <formula>AND(H22&lt;15000,AP22&lt;15000)</formula>
    </cfRule>
  </conditionalFormatting>
  <conditionalFormatting sqref="AR23">
    <cfRule type="expression" dxfId="3" priority="593">
      <formula>AND(H23&lt;15000,AP23&lt;15000)</formula>
    </cfRule>
  </conditionalFormatting>
  <conditionalFormatting sqref="AR27">
    <cfRule type="expression" dxfId="3" priority="613">
      <formula>AND(H27&lt;15000,AP27&lt;15000)</formula>
    </cfRule>
  </conditionalFormatting>
  <conditionalFormatting sqref="AS10">
    <cfRule type="cellIs" dxfId="2" priority="548" operator="lessThanOrEqual">
      <formula>J10</formula>
    </cfRule>
  </conditionalFormatting>
  <conditionalFormatting sqref="AS11">
    <cfRule type="cellIs" dxfId="2" priority="552" operator="lessThanOrEqual">
      <formula>J11</formula>
    </cfRule>
  </conditionalFormatting>
  <conditionalFormatting sqref="AS12">
    <cfRule type="cellIs" dxfId="2" priority="557" operator="lessThanOrEqual">
      <formula>J12</formula>
    </cfRule>
  </conditionalFormatting>
  <conditionalFormatting sqref="AS13">
    <cfRule type="cellIs" dxfId="2" priority="561" operator="lessThanOrEqual">
      <formula>J13</formula>
    </cfRule>
  </conditionalFormatting>
  <conditionalFormatting sqref="AS14">
    <cfRule type="cellIs" dxfId="2" priority="565" operator="lessThanOrEqual">
      <formula>J14</formula>
    </cfRule>
  </conditionalFormatting>
  <conditionalFormatting sqref="AS19">
    <cfRule type="cellIs" dxfId="2" priority="569" operator="lessThanOrEqual">
      <formula>J19</formula>
    </cfRule>
  </conditionalFormatting>
  <conditionalFormatting sqref="AS20">
    <cfRule type="cellIs" dxfId="2" priority="573" operator="lessThanOrEqual">
      <formula>J20</formula>
    </cfRule>
  </conditionalFormatting>
  <conditionalFormatting sqref="AS21">
    <cfRule type="cellIs" dxfId="2" priority="577" operator="lessThanOrEqual">
      <formula>J21</formula>
    </cfRule>
  </conditionalFormatting>
  <conditionalFormatting sqref="AS22">
    <cfRule type="cellIs" dxfId="2" priority="582" operator="lessThanOrEqual">
      <formula>J22</formula>
    </cfRule>
    <cfRule type="expression" dxfId="3" priority="586">
      <formula>AND(H22&lt;15000,AP22&lt;15000)</formula>
    </cfRule>
  </conditionalFormatting>
  <conditionalFormatting sqref="AS23">
    <cfRule type="cellIs" dxfId="2" priority="590" operator="lessThanOrEqual">
      <formula>J23</formula>
    </cfRule>
    <cfRule type="expression" dxfId="3" priority="594">
      <formula>AND(H23&lt;15000,AP23&lt;15000)</formula>
    </cfRule>
  </conditionalFormatting>
  <conditionalFormatting sqref="AS24">
    <cfRule type="cellIs" dxfId="2" priority="597" operator="lessThanOrEqual">
      <formula>J24</formula>
    </cfRule>
  </conditionalFormatting>
  <conditionalFormatting sqref="AS25">
    <cfRule type="cellIs" dxfId="2" priority="601" operator="lessThanOrEqual">
      <formula>J25</formula>
    </cfRule>
  </conditionalFormatting>
  <conditionalFormatting sqref="AS26">
    <cfRule type="cellIs" dxfId="2" priority="605" operator="lessThanOrEqual">
      <formula>J26</formula>
    </cfRule>
  </conditionalFormatting>
  <conditionalFormatting sqref="AS27">
    <cfRule type="cellIs" dxfId="2" priority="610" operator="lessThanOrEqual">
      <formula>J27</formula>
    </cfRule>
    <cfRule type="expression" dxfId="3" priority="614">
      <formula>AND(H27&lt;15000,AP27&lt;15000)</formula>
    </cfRule>
  </conditionalFormatting>
  <conditionalFormatting sqref="AS28">
    <cfRule type="cellIs" dxfId="2" priority="617" operator="lessThanOrEqual">
      <formula>J28</formula>
    </cfRule>
  </conditionalFormatting>
  <conditionalFormatting sqref="AS29">
    <cfRule type="cellIs" dxfId="2" priority="621" operator="lessThanOrEqual">
      <formula>J29</formula>
    </cfRule>
  </conditionalFormatting>
  <conditionalFormatting sqref="AS30">
    <cfRule type="cellIs" dxfId="2" priority="625" operator="lessThanOrEqual">
      <formula>J30</formula>
    </cfRule>
  </conditionalFormatting>
  <conditionalFormatting sqref="AS31">
    <cfRule type="cellIs" dxfId="2" priority="629" operator="lessThanOrEqual">
      <formula>J31</formula>
    </cfRule>
  </conditionalFormatting>
  <conditionalFormatting sqref="AS32">
    <cfRule type="cellIs" dxfId="2" priority="634" operator="lessThanOrEqual">
      <formula>J32</formula>
    </cfRule>
  </conditionalFormatting>
  <conditionalFormatting sqref="AS33">
    <cfRule type="cellIs" dxfId="2" priority="638" operator="lessThanOrEqual">
      <formula>J33</formula>
    </cfRule>
  </conditionalFormatting>
  <conditionalFormatting sqref="AS36">
    <cfRule type="cellIs" dxfId="2" priority="642" operator="lessThanOrEqual">
      <formula>J36</formula>
    </cfRule>
  </conditionalFormatting>
  <conditionalFormatting sqref="AS37">
    <cfRule type="cellIs" dxfId="2" priority="646" operator="lessThanOrEqual">
      <formula>J37</formula>
    </cfRule>
  </conditionalFormatting>
  <conditionalFormatting sqref="AS38">
    <cfRule type="cellIs" dxfId="2" priority="650" operator="lessThanOrEqual">
      <formula>J38</formula>
    </cfRule>
  </conditionalFormatting>
  <conditionalFormatting sqref="AS41">
    <cfRule type="cellIs" dxfId="2" priority="654" operator="lessThanOrEqual">
      <formula>J41</formula>
    </cfRule>
  </conditionalFormatting>
  <conditionalFormatting sqref="AS42">
    <cfRule type="cellIs" dxfId="2" priority="658" operator="lessThanOrEqual">
      <formula>J42</formula>
    </cfRule>
  </conditionalFormatting>
  <conditionalFormatting sqref="AS7">
    <cfRule type="cellIs" dxfId="2" priority="536" operator="lessThanOrEqual">
      <formula>J7</formula>
    </cfRule>
  </conditionalFormatting>
  <conditionalFormatting sqref="AS8">
    <cfRule type="cellIs" dxfId="2" priority="540" operator="lessThanOrEqual">
      <formula>J8</formula>
    </cfRule>
  </conditionalFormatting>
  <conditionalFormatting sqref="AS9">
    <cfRule type="cellIs" dxfId="2" priority="544" operator="lessThanOrEqual">
      <formula>J9</formula>
    </cfRule>
  </conditionalFormatting>
  <conditionalFormatting sqref="AU10">
    <cfRule type="cellIs" dxfId="0" priority="660" operator="lessThan">
      <formula>H10</formula>
    </cfRule>
  </conditionalFormatting>
  <conditionalFormatting sqref="AU12">
    <cfRule type="cellIs" dxfId="0" priority="665" operator="lessThan">
      <formula>H12</formula>
    </cfRule>
  </conditionalFormatting>
  <conditionalFormatting sqref="AU20">
    <cfRule type="cellIs" dxfId="0" priority="670" operator="lessThan">
      <formula>H20</formula>
    </cfRule>
  </conditionalFormatting>
  <conditionalFormatting sqref="AU22">
    <cfRule type="cellIs" dxfId="0" priority="678" operator="lessThan">
      <formula>H22</formula>
    </cfRule>
  </conditionalFormatting>
  <conditionalFormatting sqref="AU23">
    <cfRule type="cellIs" dxfId="0" priority="686" operator="lessThan">
      <formula>H23</formula>
    </cfRule>
  </conditionalFormatting>
  <conditionalFormatting sqref="AU24">
    <cfRule type="cellIs" dxfId="0" priority="694" operator="lessThan">
      <formula>H24</formula>
    </cfRule>
  </conditionalFormatting>
  <conditionalFormatting sqref="AU26">
    <cfRule type="cellIs" dxfId="0" priority="702" operator="lessThan">
      <formula>H26</formula>
    </cfRule>
  </conditionalFormatting>
  <conditionalFormatting sqref="AU28">
    <cfRule type="cellIs" dxfId="0" priority="710" operator="lessThan">
      <formula>H28</formula>
    </cfRule>
  </conditionalFormatting>
  <conditionalFormatting sqref="AU29">
    <cfRule type="cellIs" dxfId="0" priority="718" operator="lessThan">
      <formula>H29</formula>
    </cfRule>
  </conditionalFormatting>
  <conditionalFormatting sqref="AU30">
    <cfRule type="cellIs" dxfId="0" priority="726" operator="lessThan">
      <formula>H30</formula>
    </cfRule>
  </conditionalFormatting>
  <conditionalFormatting sqref="AU33">
    <cfRule type="cellIs" dxfId="0" priority="734" operator="lessThan">
      <formula>H33</formula>
    </cfRule>
  </conditionalFormatting>
  <conditionalFormatting sqref="AU37">
    <cfRule type="cellIs" dxfId="0" priority="739" operator="lessThan">
      <formula>H37</formula>
    </cfRule>
  </conditionalFormatting>
  <conditionalFormatting sqref="AU38">
    <cfRule type="cellIs" dxfId="0" priority="744" operator="lessThan">
      <formula>H38</formula>
    </cfRule>
  </conditionalFormatting>
  <conditionalFormatting sqref="AU42">
    <cfRule type="cellIs" dxfId="0" priority="749" operator="lessThan">
      <formula>H42</formula>
    </cfRule>
  </conditionalFormatting>
  <conditionalFormatting sqref="AV10">
    <cfRule type="expression" dxfId="3" priority="661">
      <formula>AND(AV10&gt;0,MOD(AV10,AX10)&lt;&gt;0)</formula>
    </cfRule>
    <cfRule type="expression" dxfId="1" priority="662">
      <formula>AND(NOT(ISBLANK(AV10)),OR(AU10="NonStk",AV10&gt;AU10))</formula>
    </cfRule>
  </conditionalFormatting>
  <conditionalFormatting sqref="AV12">
    <cfRule type="expression" dxfId="3" priority="666">
      <formula>AND(AV12&gt;0,MOD(AV12,AX12)&lt;&gt;0)</formula>
    </cfRule>
    <cfRule type="expression" dxfId="1" priority="667">
      <formula>AND(NOT(ISBLANK(AV12)),OR(AU12="NonStk",AV12&gt;AU12))</formula>
    </cfRule>
  </conditionalFormatting>
  <conditionalFormatting sqref="AV20">
    <cfRule type="expression" dxfId="3" priority="671">
      <formula>AND(AV20&gt;0,MOD(AV20,AX20)&lt;&gt;0)</formula>
    </cfRule>
    <cfRule type="expression" dxfId="1" priority="672">
      <formula>AND(NOT(ISBLANK(AV20)),OR(AU20="NonStk",AV20&gt;AU20))</formula>
    </cfRule>
  </conditionalFormatting>
  <conditionalFormatting sqref="AV22">
    <cfRule type="expression" dxfId="3" priority="679">
      <formula>AND(AV22&gt;0,MOD(AV22,AX22)&lt;&gt;0)</formula>
    </cfRule>
    <cfRule type="expression" dxfId="1" priority="680">
      <formula>AND(NOT(ISBLANK(AV22)),OR(AU22="NonStk",AV22&gt;AU22))</formula>
    </cfRule>
  </conditionalFormatting>
  <conditionalFormatting sqref="AV23">
    <cfRule type="expression" dxfId="3" priority="687">
      <formula>AND(AV23&gt;0,MOD(AV23,AX23)&lt;&gt;0)</formula>
    </cfRule>
    <cfRule type="expression" dxfId="1" priority="688">
      <formula>AND(NOT(ISBLANK(AV23)),OR(AU23="NonStk",AV23&gt;AU23))</formula>
    </cfRule>
  </conditionalFormatting>
  <conditionalFormatting sqref="AV24">
    <cfRule type="expression" dxfId="3" priority="695">
      <formula>AND(AV24&gt;0,MOD(AV24,AX24)&lt;&gt;0)</formula>
    </cfRule>
    <cfRule type="expression" dxfId="1" priority="696">
      <formula>AND(NOT(ISBLANK(AV24)),OR(AU24="NonStk",AV24&gt;AU24))</formula>
    </cfRule>
  </conditionalFormatting>
  <conditionalFormatting sqref="AV26">
    <cfRule type="expression" dxfId="3" priority="703">
      <formula>AND(AV26&gt;0,MOD(AV26,AX26)&lt;&gt;0)</formula>
    </cfRule>
    <cfRule type="expression" dxfId="1" priority="704">
      <formula>AND(NOT(ISBLANK(AV26)),OR(AU26="NonStk",AV26&gt;AU26))</formula>
    </cfRule>
  </conditionalFormatting>
  <conditionalFormatting sqref="AV28">
    <cfRule type="expression" dxfId="3" priority="711">
      <formula>AND(AV28&gt;0,MOD(AV28,AX28)&lt;&gt;0)</formula>
    </cfRule>
    <cfRule type="expression" dxfId="1" priority="712">
      <formula>AND(NOT(ISBLANK(AV28)),OR(AU28="NonStk",AV28&gt;AU28))</formula>
    </cfRule>
  </conditionalFormatting>
  <conditionalFormatting sqref="AV29">
    <cfRule type="expression" dxfId="3" priority="719">
      <formula>AND(AV29&gt;0,MOD(AV29,AX29)&lt;&gt;0)</formula>
    </cfRule>
    <cfRule type="expression" dxfId="1" priority="720">
      <formula>AND(NOT(ISBLANK(AV29)),OR(AU29="NonStk",AV29&gt;AU29))</formula>
    </cfRule>
  </conditionalFormatting>
  <conditionalFormatting sqref="AV30">
    <cfRule type="expression" dxfId="3" priority="727">
      <formula>AND(AV30&gt;0,MOD(AV30,AX30)&lt;&gt;0)</formula>
    </cfRule>
    <cfRule type="expression" dxfId="1" priority="728">
      <formula>AND(NOT(ISBLANK(AV30)),OR(AU30="NonStk",AV30&gt;AU30))</formula>
    </cfRule>
  </conditionalFormatting>
  <conditionalFormatting sqref="AV33">
    <cfRule type="expression" dxfId="3" priority="735">
      <formula>AND(AV33&gt;0,MOD(AV33,AX33)&lt;&gt;0)</formula>
    </cfRule>
    <cfRule type="expression" dxfId="1" priority="736">
      <formula>AND(NOT(ISBLANK(AV33)),OR(AU33="NonStk",AV33&gt;AU33))</formula>
    </cfRule>
  </conditionalFormatting>
  <conditionalFormatting sqref="AV37">
    <cfRule type="expression" dxfId="3" priority="740">
      <formula>AND(AV37&gt;0,MOD(AV37,AX37)&lt;&gt;0)</formula>
    </cfRule>
    <cfRule type="expression" dxfId="1" priority="741">
      <formula>AND(NOT(ISBLANK(AV37)),OR(AU37="NonStk",AV37&gt;AU37))</formula>
    </cfRule>
  </conditionalFormatting>
  <conditionalFormatting sqref="AV38">
    <cfRule type="expression" dxfId="3" priority="745">
      <formula>AND(AV38&gt;0,MOD(AV38,AX38)&lt;&gt;0)</formula>
    </cfRule>
    <cfRule type="expression" dxfId="1" priority="746">
      <formula>AND(NOT(ISBLANK(AV38)),OR(AU38="NonStk",AV38&gt;AU38))</formula>
    </cfRule>
  </conditionalFormatting>
  <conditionalFormatting sqref="AV42">
    <cfRule type="expression" dxfId="3" priority="750">
      <formula>AND(AV42&gt;0,MOD(AV42,AX42)&lt;&gt;0)</formula>
    </cfRule>
    <cfRule type="expression" dxfId="1" priority="751">
      <formula>AND(NOT(ISBLANK(AV42)),OR(AU42="NonStk",AV42&gt;AU42))</formula>
    </cfRule>
  </conditionalFormatting>
  <conditionalFormatting sqref="AW10">
    <cfRule type="cellIs" dxfId="2" priority="664" operator="lessThanOrEqual">
      <formula>I10</formula>
    </cfRule>
  </conditionalFormatting>
  <conditionalFormatting sqref="AW12">
    <cfRule type="cellIs" dxfId="2" priority="669" operator="lessThanOrEqual">
      <formula>I12</formula>
    </cfRule>
  </conditionalFormatting>
  <conditionalFormatting sqref="AW20">
    <cfRule type="cellIs" dxfId="2" priority="674" operator="lessThanOrEqual">
      <formula>I20</formula>
    </cfRule>
    <cfRule type="expression" dxfId="3" priority="675">
      <formula>AND(H20&lt;1000,AV20&lt;1000)</formula>
    </cfRule>
  </conditionalFormatting>
  <conditionalFormatting sqref="AW22">
    <cfRule type="cellIs" dxfId="2" priority="682" operator="lessThanOrEqual">
      <formula>I22</formula>
    </cfRule>
    <cfRule type="expression" dxfId="3" priority="683">
      <formula>AND(H22&lt;1000,AV22&lt;1000)</formula>
    </cfRule>
  </conditionalFormatting>
  <conditionalFormatting sqref="AW23">
    <cfRule type="cellIs" dxfId="2" priority="690" operator="lessThanOrEqual">
      <formula>I23</formula>
    </cfRule>
    <cfRule type="expression" dxfId="3" priority="691">
      <formula>AND(H23&lt;1000,AV23&lt;1000)</formula>
    </cfRule>
  </conditionalFormatting>
  <conditionalFormatting sqref="AW24">
    <cfRule type="cellIs" dxfId="2" priority="698" operator="lessThanOrEqual">
      <formula>I24</formula>
    </cfRule>
    <cfRule type="expression" dxfId="3" priority="699">
      <formula>AND(H24&lt;1000,AV24&lt;1000)</formula>
    </cfRule>
  </conditionalFormatting>
  <conditionalFormatting sqref="AW26">
    <cfRule type="cellIs" dxfId="2" priority="706" operator="lessThanOrEqual">
      <formula>I26</formula>
    </cfRule>
    <cfRule type="expression" dxfId="3" priority="707">
      <formula>AND(H26&lt;1000,AV26&lt;1000)</formula>
    </cfRule>
  </conditionalFormatting>
  <conditionalFormatting sqref="AW28">
    <cfRule type="cellIs" dxfId="2" priority="714" operator="lessThanOrEqual">
      <formula>I28</formula>
    </cfRule>
    <cfRule type="expression" dxfId="3" priority="715">
      <formula>AND(H28&lt;1000,AV28&lt;1000)</formula>
    </cfRule>
  </conditionalFormatting>
  <conditionalFormatting sqref="AW29">
    <cfRule type="cellIs" dxfId="2" priority="722" operator="lessThanOrEqual">
      <formula>I29</formula>
    </cfRule>
    <cfRule type="expression" dxfId="3" priority="723">
      <formula>AND(H29&lt;1000,AV29&lt;1000)</formula>
    </cfRule>
  </conditionalFormatting>
  <conditionalFormatting sqref="AW30">
    <cfRule type="cellIs" dxfId="2" priority="730" operator="lessThanOrEqual">
      <formula>I30</formula>
    </cfRule>
    <cfRule type="expression" dxfId="3" priority="731">
      <formula>AND(H30&lt;1000,AV30&lt;1000)</formula>
    </cfRule>
  </conditionalFormatting>
  <conditionalFormatting sqref="AW33">
    <cfRule type="cellIs" dxfId="2" priority="738" operator="lessThanOrEqual">
      <formula>I33</formula>
    </cfRule>
  </conditionalFormatting>
  <conditionalFormatting sqref="AW37">
    <cfRule type="cellIs" dxfId="2" priority="743" operator="lessThanOrEqual">
      <formula>I37</formula>
    </cfRule>
  </conditionalFormatting>
  <conditionalFormatting sqref="AW38">
    <cfRule type="cellIs" dxfId="2" priority="748" operator="lessThanOrEqual">
      <formula>I38</formula>
    </cfRule>
  </conditionalFormatting>
  <conditionalFormatting sqref="AW42">
    <cfRule type="cellIs" dxfId="2" priority="753" operator="lessThanOrEqual">
      <formula>I42</formula>
    </cfRule>
  </conditionalFormatting>
  <conditionalFormatting sqref="AX20">
    <cfRule type="expression" dxfId="3" priority="676">
      <formula>AND(H20&lt;1000,AV20&lt;1000)</formula>
    </cfRule>
  </conditionalFormatting>
  <conditionalFormatting sqref="AX22">
    <cfRule type="expression" dxfId="3" priority="684">
      <formula>AND(H22&lt;1000,AV22&lt;1000)</formula>
    </cfRule>
  </conditionalFormatting>
  <conditionalFormatting sqref="AX23">
    <cfRule type="expression" dxfId="3" priority="692">
      <formula>AND(H23&lt;1000,AV23&lt;1000)</formula>
    </cfRule>
  </conditionalFormatting>
  <conditionalFormatting sqref="AX24">
    <cfRule type="expression" dxfId="3" priority="700">
      <formula>AND(H24&lt;1000,AV24&lt;1000)</formula>
    </cfRule>
  </conditionalFormatting>
  <conditionalFormatting sqref="AX26">
    <cfRule type="expression" dxfId="3" priority="708">
      <formula>AND(H26&lt;1000,AV26&lt;1000)</formula>
    </cfRule>
  </conditionalFormatting>
  <conditionalFormatting sqref="AX28">
    <cfRule type="expression" dxfId="3" priority="716">
      <formula>AND(H28&lt;1000,AV28&lt;1000)</formula>
    </cfRule>
  </conditionalFormatting>
  <conditionalFormatting sqref="AX29">
    <cfRule type="expression" dxfId="3" priority="724">
      <formula>AND(H29&lt;1000,AV29&lt;1000)</formula>
    </cfRule>
  </conditionalFormatting>
  <conditionalFormatting sqref="AX30">
    <cfRule type="expression" dxfId="3" priority="732">
      <formula>AND(H30&lt;1000,AV30&lt;1000)</formula>
    </cfRule>
  </conditionalFormatting>
  <conditionalFormatting sqref="AY10">
    <cfRule type="cellIs" dxfId="2" priority="663" operator="lessThanOrEqual">
      <formula>J10</formula>
    </cfRule>
  </conditionalFormatting>
  <conditionalFormatting sqref="AY12">
    <cfRule type="cellIs" dxfId="2" priority="668" operator="lessThanOrEqual">
      <formula>J12</formula>
    </cfRule>
  </conditionalFormatting>
  <conditionalFormatting sqref="AY20">
    <cfRule type="cellIs" dxfId="2" priority="673" operator="lessThanOrEqual">
      <formula>J20</formula>
    </cfRule>
    <cfRule type="expression" dxfId="3" priority="677">
      <formula>AND(H20&lt;1000,AV20&lt;1000)</formula>
    </cfRule>
  </conditionalFormatting>
  <conditionalFormatting sqref="AY22">
    <cfRule type="cellIs" dxfId="2" priority="681" operator="lessThanOrEqual">
      <formula>J22</formula>
    </cfRule>
    <cfRule type="expression" dxfId="3" priority="685">
      <formula>AND(H22&lt;1000,AV22&lt;1000)</formula>
    </cfRule>
  </conditionalFormatting>
  <conditionalFormatting sqref="AY23">
    <cfRule type="cellIs" dxfId="2" priority="689" operator="lessThanOrEqual">
      <formula>J23</formula>
    </cfRule>
    <cfRule type="expression" dxfId="3" priority="693">
      <formula>AND(H23&lt;1000,AV23&lt;1000)</formula>
    </cfRule>
  </conditionalFormatting>
  <conditionalFormatting sqref="AY24">
    <cfRule type="cellIs" dxfId="2" priority="697" operator="lessThanOrEqual">
      <formula>J24</formula>
    </cfRule>
    <cfRule type="expression" dxfId="3" priority="701">
      <formula>AND(H24&lt;1000,AV24&lt;1000)</formula>
    </cfRule>
  </conditionalFormatting>
  <conditionalFormatting sqref="AY26">
    <cfRule type="cellIs" dxfId="2" priority="705" operator="lessThanOrEqual">
      <formula>J26</formula>
    </cfRule>
    <cfRule type="expression" dxfId="3" priority="709">
      <formula>AND(H26&lt;1000,AV26&lt;1000)</formula>
    </cfRule>
  </conditionalFormatting>
  <conditionalFormatting sqref="AY28">
    <cfRule type="cellIs" dxfId="2" priority="713" operator="lessThanOrEqual">
      <formula>J28</formula>
    </cfRule>
    <cfRule type="expression" dxfId="3" priority="717">
      <formula>AND(H28&lt;1000,AV28&lt;1000)</formula>
    </cfRule>
  </conditionalFormatting>
  <conditionalFormatting sqref="AY29">
    <cfRule type="cellIs" dxfId="2" priority="721" operator="lessThanOrEqual">
      <formula>J29</formula>
    </cfRule>
    <cfRule type="expression" dxfId="3" priority="725">
      <formula>AND(H29&lt;1000,AV29&lt;1000)</formula>
    </cfRule>
  </conditionalFormatting>
  <conditionalFormatting sqref="AY30">
    <cfRule type="cellIs" dxfId="2" priority="729" operator="lessThanOrEqual">
      <formula>J30</formula>
    </cfRule>
    <cfRule type="expression" dxfId="3" priority="733">
      <formula>AND(H30&lt;1000,AV30&lt;1000)</formula>
    </cfRule>
  </conditionalFormatting>
  <conditionalFormatting sqref="AY33">
    <cfRule type="cellIs" dxfId="2" priority="737" operator="lessThanOrEqual">
      <formula>J33</formula>
    </cfRule>
  </conditionalFormatting>
  <conditionalFormatting sqref="AY37">
    <cfRule type="cellIs" dxfId="2" priority="742" operator="lessThanOrEqual">
      <formula>J37</formula>
    </cfRule>
  </conditionalFormatting>
  <conditionalFormatting sqref="AY38">
    <cfRule type="cellIs" dxfId="2" priority="747" operator="lessThanOrEqual">
      <formula>J38</formula>
    </cfRule>
  </conditionalFormatting>
  <conditionalFormatting sqref="AY42">
    <cfRule type="cellIs" dxfId="2" priority="752" operator="lessThanOrEqual">
      <formula>J42</formula>
    </cfRule>
  </conditionalFormatting>
  <conditionalFormatting sqref="BA13">
    <cfRule type="cellIs" dxfId="0" priority="754" operator="lessThan">
      <formula>H13</formula>
    </cfRule>
  </conditionalFormatting>
  <conditionalFormatting sqref="BA14">
    <cfRule type="cellIs" dxfId="0" priority="759" operator="lessThan">
      <formula>H14</formula>
    </cfRule>
  </conditionalFormatting>
  <conditionalFormatting sqref="BA32">
    <cfRule type="cellIs" dxfId="0" priority="764" operator="lessThan">
      <formula>H32</formula>
    </cfRule>
  </conditionalFormatting>
  <conditionalFormatting sqref="BA37">
    <cfRule type="cellIs" dxfId="0" priority="769" operator="lessThan">
      <formula>H37</formula>
    </cfRule>
  </conditionalFormatting>
  <conditionalFormatting sqref="BA38">
    <cfRule type="cellIs" dxfId="0" priority="774" operator="lessThan">
      <formula>H38</formula>
    </cfRule>
  </conditionalFormatting>
  <conditionalFormatting sqref="BB13">
    <cfRule type="expression" dxfId="3" priority="755">
      <formula>AND(BB13&gt;0,MOD(BB13,BD13)&lt;&gt;0)</formula>
    </cfRule>
    <cfRule type="expression" dxfId="1" priority="756">
      <formula>AND(NOT(ISBLANK(BB13)),OR(BA13="NonStk",BB13&gt;BA13))</formula>
    </cfRule>
  </conditionalFormatting>
  <conditionalFormatting sqref="BB14">
    <cfRule type="expression" dxfId="3" priority="760">
      <formula>AND(BB14&gt;0,MOD(BB14,BD14)&lt;&gt;0)</formula>
    </cfRule>
    <cfRule type="expression" dxfId="1" priority="761">
      <formula>AND(NOT(ISBLANK(BB14)),OR(BA14="NonStk",BB14&gt;BA14))</formula>
    </cfRule>
  </conditionalFormatting>
  <conditionalFormatting sqref="BB32">
    <cfRule type="expression" dxfId="3" priority="765">
      <formula>AND(BB32&gt;0,MOD(BB32,BD32)&lt;&gt;0)</formula>
    </cfRule>
    <cfRule type="expression" dxfId="1" priority="766">
      <formula>AND(NOT(ISBLANK(BB32)),OR(BA32="NonStk",BB32&gt;BA32))</formula>
    </cfRule>
  </conditionalFormatting>
  <conditionalFormatting sqref="BB37">
    <cfRule type="expression" dxfId="3" priority="770">
      <formula>AND(BB37&gt;0,MOD(BB37,BD37)&lt;&gt;0)</formula>
    </cfRule>
    <cfRule type="expression" dxfId="1" priority="771">
      <formula>AND(NOT(ISBLANK(BB37)),OR(BA37="NonStk",BB37&gt;BA37))</formula>
    </cfRule>
  </conditionalFormatting>
  <conditionalFormatting sqref="BB38">
    <cfRule type="expression" dxfId="1" priority="775">
      <formula>AND(NOT(ISBLANK(BB38)),OR(BA38="NonStk",BB38&gt;BA38))</formula>
    </cfRule>
  </conditionalFormatting>
  <conditionalFormatting sqref="BC13">
    <cfRule type="cellIs" dxfId="2" priority="758" operator="lessThanOrEqual">
      <formula>I13</formula>
    </cfRule>
  </conditionalFormatting>
  <conditionalFormatting sqref="BC14">
    <cfRule type="cellIs" dxfId="2" priority="763" operator="lessThanOrEqual">
      <formula>I14</formula>
    </cfRule>
  </conditionalFormatting>
  <conditionalFormatting sqref="BC32">
    <cfRule type="cellIs" dxfId="2" priority="768" operator="lessThanOrEqual">
      <formula>I32</formula>
    </cfRule>
  </conditionalFormatting>
  <conditionalFormatting sqref="BC37">
    <cfRule type="cellIs" dxfId="2" priority="773" operator="lessThanOrEqual">
      <formula>I37</formula>
    </cfRule>
  </conditionalFormatting>
  <conditionalFormatting sqref="BC38">
    <cfRule type="cellIs" dxfId="2" priority="777" operator="lessThanOrEqual">
      <formula>I38</formula>
    </cfRule>
  </conditionalFormatting>
  <conditionalFormatting sqref="BE13">
    <cfRule type="cellIs" dxfId="2" priority="757" operator="lessThanOrEqual">
      <formula>J13</formula>
    </cfRule>
  </conditionalFormatting>
  <conditionalFormatting sqref="BE14">
    <cfRule type="cellIs" dxfId="2" priority="762" operator="lessThanOrEqual">
      <formula>J14</formula>
    </cfRule>
  </conditionalFormatting>
  <conditionalFormatting sqref="BE32">
    <cfRule type="cellIs" dxfId="2" priority="767" operator="lessThanOrEqual">
      <formula>J32</formula>
    </cfRule>
  </conditionalFormatting>
  <conditionalFormatting sqref="BE37">
    <cfRule type="cellIs" dxfId="2" priority="772" operator="lessThanOrEqual">
      <formula>J37</formula>
    </cfRule>
  </conditionalFormatting>
  <conditionalFormatting sqref="BE38">
    <cfRule type="cellIs" dxfId="2" priority="776" operator="lessThanOrEqual">
      <formula>J38</formula>
    </cfRule>
  </conditionalFormatting>
  <conditionalFormatting sqref="H10">
    <cfRule type="expression" dxfId="4" priority="790">
      <formula>AND(ISBLANK(G10),ISBLANK(O10),ISBLANK(U10),ISBLANK(AA10),ISBLANK(AG10),ISBLANK(AM10),ISBLANK(AS10),ISBLANK(AY10),ISBLANK(BE10))</formula>
    </cfRule>
    <cfRule type="expression" dxfId="1" priority="791">
      <formula>IF(SUM(K10,Q10,W10,AC10,AI10,AO10,AU10,BA10)=0,1,0)</formula>
    </cfRule>
    <cfRule type="cellIs" dxfId="0" priority="792" operator="greaterThan">
      <formula>SUM(K10,Q10,W10,AC10,AI10,AO10,AU10,BA10)</formula>
    </cfRule>
    <cfRule type="cellIs" dxfId="3" priority="793" operator="greaterThan">
      <formula>SUM(IF(ISNUMBER(M10),L10,0),IF(ISNUMBER(S10),R10,0),IF(ISNUMBER(Y10),X10,0),IF(ISNUMBER(AE10),AD10,0),IF(ISNUMBER(AK10),AJ10,0),IF(ISNUMBER(AQ10),AP10,0),IF(ISNUMBER(AW10),AV10,0),IF(ISNUMBER(BC10),BB10,0))</formula>
    </cfRule>
  </conditionalFormatting>
  <conditionalFormatting sqref="H11">
    <cfRule type="expression" dxfId="4" priority="794">
      <formula>AND(ISBLANK(G11),ISBLANK(O11),ISBLANK(U11),ISBLANK(AA11),ISBLANK(AG11),ISBLANK(AM11),ISBLANK(AS11),ISBLANK(AY11),ISBLANK(BE11))</formula>
    </cfRule>
    <cfRule type="expression" dxfId="1" priority="795">
      <formula>IF(SUM(K11,Q11,W11,AC11,AI11,AO11,AU11,BA11)=0,1,0)</formula>
    </cfRule>
    <cfRule type="cellIs" dxfId="0" priority="796" operator="greaterThan">
      <formula>SUM(K11,Q11,W11,AC11,AI11,AO11,AU11,BA11)</formula>
    </cfRule>
    <cfRule type="cellIs" dxfId="3" priority="797" operator="greaterThan">
      <formula>SUM(IF(ISNUMBER(M11),L11,0),IF(ISNUMBER(S11),R11,0),IF(ISNUMBER(Y11),X11,0),IF(ISNUMBER(AE11),AD11,0),IF(ISNUMBER(AK11),AJ11,0),IF(ISNUMBER(AQ11),AP11,0),IF(ISNUMBER(AW11),AV11,0),IF(ISNUMBER(BC11),BB11,0))</formula>
    </cfRule>
  </conditionalFormatting>
  <conditionalFormatting sqref="H12">
    <cfRule type="expression" dxfId="4" priority="798">
      <formula>AND(ISBLANK(G12),ISBLANK(O12),ISBLANK(U12),ISBLANK(AA12),ISBLANK(AG12),ISBLANK(AM12),ISBLANK(AS12),ISBLANK(AY12),ISBLANK(BE12))</formula>
    </cfRule>
    <cfRule type="expression" dxfId="1" priority="799">
      <formula>IF(SUM(K12,Q12,W12,AC12,AI12,AO12,AU12,BA12)=0,1,0)</formula>
    </cfRule>
    <cfRule type="cellIs" dxfId="0" priority="800" operator="greaterThan">
      <formula>SUM(K12,Q12,W12,AC12,AI12,AO12,AU12,BA12)</formula>
    </cfRule>
    <cfRule type="cellIs" dxfId="3" priority="801" operator="greaterThan">
      <formula>SUM(IF(ISNUMBER(M12),L12,0),IF(ISNUMBER(S12),R12,0),IF(ISNUMBER(Y12),X12,0),IF(ISNUMBER(AE12),AD12,0),IF(ISNUMBER(AK12),AJ12,0),IF(ISNUMBER(AQ12),AP12,0),IF(ISNUMBER(AW12),AV12,0),IF(ISNUMBER(BC12),BB12,0))</formula>
    </cfRule>
  </conditionalFormatting>
  <conditionalFormatting sqref="H13">
    <cfRule type="expression" dxfId="4" priority="802">
      <formula>AND(ISBLANK(G13),ISBLANK(O13),ISBLANK(U13),ISBLANK(AA13),ISBLANK(AG13),ISBLANK(AM13),ISBLANK(AS13),ISBLANK(AY13),ISBLANK(BE13))</formula>
    </cfRule>
    <cfRule type="expression" dxfId="1" priority="803">
      <formula>IF(SUM(K13,Q13,W13,AC13,AI13,AO13,AU13,BA13)=0,1,0)</formula>
    </cfRule>
    <cfRule type="cellIs" dxfId="0" priority="804" operator="greaterThan">
      <formula>SUM(K13,Q13,W13,AC13,AI13,AO13,AU13,BA13)</formula>
    </cfRule>
    <cfRule type="cellIs" dxfId="3" priority="805" operator="greaterThan">
      <formula>SUM(IF(ISNUMBER(M13),L13,0),IF(ISNUMBER(S13),R13,0),IF(ISNUMBER(Y13),X13,0),IF(ISNUMBER(AE13),AD13,0),IF(ISNUMBER(AK13),AJ13,0),IF(ISNUMBER(AQ13),AP13,0),IF(ISNUMBER(AW13),AV13,0),IF(ISNUMBER(BC13),BB13,0))</formula>
    </cfRule>
  </conditionalFormatting>
  <conditionalFormatting sqref="H14">
    <cfRule type="expression" dxfId="4" priority="806">
      <formula>AND(ISBLANK(G14),ISBLANK(O14),ISBLANK(U14),ISBLANK(AA14),ISBLANK(AG14),ISBLANK(AM14),ISBLANK(AS14),ISBLANK(AY14),ISBLANK(BE14))</formula>
    </cfRule>
    <cfRule type="expression" dxfId="1" priority="807">
      <formula>IF(SUM(K14,Q14,W14,AC14,AI14,AO14,AU14,BA14)=0,1,0)</formula>
    </cfRule>
    <cfRule type="cellIs" dxfId="0" priority="808" operator="greaterThan">
      <formula>SUM(K14,Q14,W14,AC14,AI14,AO14,AU14,BA14)</formula>
    </cfRule>
    <cfRule type="cellIs" dxfId="3" priority="809" operator="greaterThan">
      <formula>SUM(IF(ISNUMBER(M14),L14,0),IF(ISNUMBER(S14),R14,0),IF(ISNUMBER(Y14),X14,0),IF(ISNUMBER(AE14),AD14,0),IF(ISNUMBER(AK14),AJ14,0),IF(ISNUMBER(AQ14),AP14,0),IF(ISNUMBER(AW14),AV14,0),IF(ISNUMBER(BC14),BB14,0))</formula>
    </cfRule>
  </conditionalFormatting>
  <conditionalFormatting sqref="H15">
    <cfRule type="expression" dxfId="4" priority="810">
      <formula>AND(ISBLANK(G15),ISBLANK(O15),ISBLANK(U15),ISBLANK(AA15),ISBLANK(AG15),ISBLANK(AM15),ISBLANK(AS15),ISBLANK(AY15),ISBLANK(BE15))</formula>
    </cfRule>
    <cfRule type="expression" dxfId="1" priority="811">
      <formula>IF(SUM(K15,Q15,W15,AC15,AI15,AO15,AU15,BA15)=0,1,0)</formula>
    </cfRule>
    <cfRule type="cellIs" dxfId="0" priority="812" operator="greaterThan">
      <formula>SUM(K15,Q15,W15,AC15,AI15,AO15,AU15,BA15)</formula>
    </cfRule>
    <cfRule type="cellIs" dxfId="3" priority="813" operator="greaterThan">
      <formula>SUM(IF(ISNUMBER(M15),L15,0),IF(ISNUMBER(S15),R15,0),IF(ISNUMBER(Y15),X15,0),IF(ISNUMBER(AE15),AD15,0),IF(ISNUMBER(AK15),AJ15,0),IF(ISNUMBER(AQ15),AP15,0),IF(ISNUMBER(AW15),AV15,0),IF(ISNUMBER(BC15),BB15,0))</formula>
    </cfRule>
  </conditionalFormatting>
  <conditionalFormatting sqref="H16">
    <cfRule type="expression" dxfId="4" priority="814">
      <formula>AND(ISBLANK(G16),ISBLANK(O16),ISBLANK(U16),ISBLANK(AA16),ISBLANK(AG16),ISBLANK(AM16),ISBLANK(AS16),ISBLANK(AY16),ISBLANK(BE16))</formula>
    </cfRule>
    <cfRule type="expression" dxfId="1" priority="815">
      <formula>IF(SUM(K16,Q16,W16,AC16,AI16,AO16,AU16,BA16)=0,1,0)</formula>
    </cfRule>
    <cfRule type="cellIs" dxfId="0" priority="816" operator="greaterThan">
      <formula>SUM(K16,Q16,W16,AC16,AI16,AO16,AU16,BA16)</formula>
    </cfRule>
    <cfRule type="cellIs" dxfId="3" priority="817" operator="greaterThan">
      <formula>SUM(IF(ISNUMBER(M16),L16,0),IF(ISNUMBER(S16),R16,0),IF(ISNUMBER(Y16),X16,0),IF(ISNUMBER(AE16),AD16,0),IF(ISNUMBER(AK16),AJ16,0),IF(ISNUMBER(AQ16),AP16,0),IF(ISNUMBER(AW16),AV16,0),IF(ISNUMBER(BC16),BB16,0))</formula>
    </cfRule>
  </conditionalFormatting>
  <conditionalFormatting sqref="H17">
    <cfRule type="expression" dxfId="4" priority="818">
      <formula>AND(ISBLANK(G17),ISBLANK(O17),ISBLANK(U17),ISBLANK(AA17),ISBLANK(AG17),ISBLANK(AM17),ISBLANK(AS17),ISBLANK(AY17),ISBLANK(BE17))</formula>
    </cfRule>
    <cfRule type="expression" dxfId="1" priority="819">
      <formula>IF(SUM(K17,Q17,W17,AC17,AI17,AO17,AU17,BA17)=0,1,0)</formula>
    </cfRule>
    <cfRule type="cellIs" dxfId="0" priority="820" operator="greaterThan">
      <formula>SUM(K17,Q17,W17,AC17,AI17,AO17,AU17,BA17)</formula>
    </cfRule>
    <cfRule type="cellIs" dxfId="3" priority="821" operator="greaterThan">
      <formula>SUM(IF(ISNUMBER(M17),L17,0),IF(ISNUMBER(S17),R17,0),IF(ISNUMBER(Y17),X17,0),IF(ISNUMBER(AE17),AD17,0),IF(ISNUMBER(AK17),AJ17,0),IF(ISNUMBER(AQ17),AP17,0),IF(ISNUMBER(AW17),AV17,0),IF(ISNUMBER(BC17),BB17,0))</formula>
    </cfRule>
  </conditionalFormatting>
  <conditionalFormatting sqref="H18">
    <cfRule type="expression" dxfId="4" priority="822">
      <formula>AND(ISBLANK(G18),ISBLANK(O18),ISBLANK(U18),ISBLANK(AA18),ISBLANK(AG18),ISBLANK(AM18),ISBLANK(AS18),ISBLANK(AY18),ISBLANK(BE18))</formula>
    </cfRule>
    <cfRule type="expression" dxfId="1" priority="823">
      <formula>IF(SUM(K18,Q18,W18,AC18,AI18,AO18,AU18,BA18)=0,1,0)</formula>
    </cfRule>
    <cfRule type="cellIs" dxfId="0" priority="824" operator="greaterThan">
      <formula>SUM(K18,Q18,W18,AC18,AI18,AO18,AU18,BA18)</formula>
    </cfRule>
    <cfRule type="cellIs" dxfId="3" priority="825" operator="greaterThan">
      <formula>SUM(IF(ISNUMBER(M18),L18,0),IF(ISNUMBER(S18),R18,0),IF(ISNUMBER(Y18),X18,0),IF(ISNUMBER(AE18),AD18,0),IF(ISNUMBER(AK18),AJ18,0),IF(ISNUMBER(AQ18),AP18,0),IF(ISNUMBER(AW18),AV18,0),IF(ISNUMBER(BC18),BB18,0))</formula>
    </cfRule>
  </conditionalFormatting>
  <conditionalFormatting sqref="H19">
    <cfRule type="expression" dxfId="4" priority="826">
      <formula>AND(ISBLANK(G19),ISBLANK(O19),ISBLANK(U19),ISBLANK(AA19),ISBLANK(AG19),ISBLANK(AM19),ISBLANK(AS19),ISBLANK(AY19),ISBLANK(BE19))</formula>
    </cfRule>
    <cfRule type="expression" dxfId="1" priority="827">
      <formula>IF(SUM(K19,Q19,W19,AC19,AI19,AO19,AU19,BA19)=0,1,0)</formula>
    </cfRule>
    <cfRule type="cellIs" dxfId="0" priority="828" operator="greaterThan">
      <formula>SUM(K19,Q19,W19,AC19,AI19,AO19,AU19,BA19)</formula>
    </cfRule>
    <cfRule type="cellIs" dxfId="3" priority="829" operator="greaterThan">
      <formula>SUM(IF(ISNUMBER(M19),L19,0),IF(ISNUMBER(S19),R19,0),IF(ISNUMBER(Y19),X19,0),IF(ISNUMBER(AE19),AD19,0),IF(ISNUMBER(AK19),AJ19,0),IF(ISNUMBER(AQ19),AP19,0),IF(ISNUMBER(AW19),AV19,0),IF(ISNUMBER(BC19),BB19,0))</formula>
    </cfRule>
  </conditionalFormatting>
  <conditionalFormatting sqref="H20">
    <cfRule type="expression" dxfId="4" priority="830">
      <formula>AND(ISBLANK(G20),ISBLANK(O20),ISBLANK(U20),ISBLANK(AA20),ISBLANK(AG20),ISBLANK(AM20),ISBLANK(AS20),ISBLANK(AY20),ISBLANK(BE20))</formula>
    </cfRule>
    <cfRule type="expression" dxfId="1" priority="831">
      <formula>IF(SUM(K20,Q20,W20,AC20,AI20,AO20,AU20,BA20)=0,1,0)</formula>
    </cfRule>
    <cfRule type="cellIs" dxfId="0" priority="832" operator="greaterThan">
      <formula>SUM(K20,Q20,W20,AC20,AI20,AO20,AU20,BA20)</formula>
    </cfRule>
    <cfRule type="cellIs" dxfId="3" priority="833" operator="greaterThan">
      <formula>SUM(IF(ISNUMBER(M20),L20,0),IF(ISNUMBER(S20),R20,0),IF(ISNUMBER(Y20),X20,0),IF(ISNUMBER(AE20),AD20,0),IF(ISNUMBER(AK20),AJ20,0),IF(ISNUMBER(AQ20),AP20,0),IF(ISNUMBER(AW20),AV20,0),IF(ISNUMBER(BC20),BB20,0))</formula>
    </cfRule>
  </conditionalFormatting>
  <conditionalFormatting sqref="H21">
    <cfRule type="expression" dxfId="4" priority="834">
      <formula>AND(ISBLANK(G21),ISBLANK(O21),ISBLANK(U21),ISBLANK(AA21),ISBLANK(AG21),ISBLANK(AM21),ISBLANK(AS21),ISBLANK(AY21),ISBLANK(BE21))</formula>
    </cfRule>
    <cfRule type="expression" dxfId="1" priority="835">
      <formula>IF(SUM(K21,Q21,W21,AC21,AI21,AO21,AU21,BA21)=0,1,0)</formula>
    </cfRule>
    <cfRule type="cellIs" dxfId="0" priority="836" operator="greaterThan">
      <formula>SUM(K21,Q21,W21,AC21,AI21,AO21,AU21,BA21)</formula>
    </cfRule>
    <cfRule type="cellIs" dxfId="3" priority="837" operator="greaterThan">
      <formula>SUM(IF(ISNUMBER(M21),L21,0),IF(ISNUMBER(S21),R21,0),IF(ISNUMBER(Y21),X21,0),IF(ISNUMBER(AE21),AD21,0),IF(ISNUMBER(AK21),AJ21,0),IF(ISNUMBER(AQ21),AP21,0),IF(ISNUMBER(AW21),AV21,0),IF(ISNUMBER(BC21),BB21,0))</formula>
    </cfRule>
  </conditionalFormatting>
  <conditionalFormatting sqref="H22">
    <cfRule type="expression" dxfId="4" priority="838">
      <formula>AND(ISBLANK(G22),ISBLANK(O22),ISBLANK(U22),ISBLANK(AA22),ISBLANK(AG22),ISBLANK(AM22),ISBLANK(AS22),ISBLANK(AY22),ISBLANK(BE22))</formula>
    </cfRule>
    <cfRule type="expression" dxfId="1" priority="839">
      <formula>IF(SUM(K22,Q22,W22,AC22,AI22,AO22,AU22,BA22)=0,1,0)</formula>
    </cfRule>
    <cfRule type="cellIs" dxfId="0" priority="840" operator="greaterThan">
      <formula>SUM(K22,Q22,W22,AC22,AI22,AO22,AU22,BA22)</formula>
    </cfRule>
    <cfRule type="cellIs" dxfId="3" priority="841" operator="greaterThan">
      <formula>SUM(IF(ISNUMBER(M22),L22,0),IF(ISNUMBER(S22),R22,0),IF(ISNUMBER(Y22),X22,0),IF(ISNUMBER(AE22),AD22,0),IF(ISNUMBER(AK22),AJ22,0),IF(ISNUMBER(AQ22),AP22,0),IF(ISNUMBER(AW22),AV22,0),IF(ISNUMBER(BC22),BB22,0))</formula>
    </cfRule>
  </conditionalFormatting>
  <conditionalFormatting sqref="H23">
    <cfRule type="expression" dxfId="4" priority="842">
      <formula>AND(ISBLANK(G23),ISBLANK(O23),ISBLANK(U23),ISBLANK(AA23),ISBLANK(AG23),ISBLANK(AM23),ISBLANK(AS23),ISBLANK(AY23),ISBLANK(BE23))</formula>
    </cfRule>
    <cfRule type="expression" dxfId="1" priority="843">
      <formula>IF(SUM(K23,Q23,W23,AC23,AI23,AO23,AU23,BA23)=0,1,0)</formula>
    </cfRule>
    <cfRule type="cellIs" dxfId="0" priority="844" operator="greaterThan">
      <formula>SUM(K23,Q23,W23,AC23,AI23,AO23,AU23,BA23)</formula>
    </cfRule>
    <cfRule type="cellIs" dxfId="3" priority="845" operator="greaterThan">
      <formula>SUM(IF(ISNUMBER(M23),L23,0),IF(ISNUMBER(S23),R23,0),IF(ISNUMBER(Y23),X23,0),IF(ISNUMBER(AE23),AD23,0),IF(ISNUMBER(AK23),AJ23,0),IF(ISNUMBER(AQ23),AP23,0),IF(ISNUMBER(AW23),AV23,0),IF(ISNUMBER(BC23),BB23,0))</formula>
    </cfRule>
  </conditionalFormatting>
  <conditionalFormatting sqref="H24">
    <cfRule type="expression" dxfId="4" priority="846">
      <formula>AND(ISBLANK(G24),ISBLANK(O24),ISBLANK(U24),ISBLANK(AA24),ISBLANK(AG24),ISBLANK(AM24),ISBLANK(AS24),ISBLANK(AY24),ISBLANK(BE24))</formula>
    </cfRule>
    <cfRule type="expression" dxfId="1" priority="847">
      <formula>IF(SUM(K24,Q24,W24,AC24,AI24,AO24,AU24,BA24)=0,1,0)</formula>
    </cfRule>
    <cfRule type="cellIs" dxfId="0" priority="848" operator="greaterThan">
      <formula>SUM(K24,Q24,W24,AC24,AI24,AO24,AU24,BA24)</formula>
    </cfRule>
    <cfRule type="cellIs" dxfId="3" priority="849" operator="greaterThan">
      <formula>SUM(IF(ISNUMBER(M24),L24,0),IF(ISNUMBER(S24),R24,0),IF(ISNUMBER(Y24),X24,0),IF(ISNUMBER(AE24),AD24,0),IF(ISNUMBER(AK24),AJ24,0),IF(ISNUMBER(AQ24),AP24,0),IF(ISNUMBER(AW24),AV24,0),IF(ISNUMBER(BC24),BB24,0))</formula>
    </cfRule>
  </conditionalFormatting>
  <conditionalFormatting sqref="H25">
    <cfRule type="expression" dxfId="4" priority="850">
      <formula>AND(ISBLANK(G25),ISBLANK(O25),ISBLANK(U25),ISBLANK(AA25),ISBLANK(AG25),ISBLANK(AM25),ISBLANK(AS25),ISBLANK(AY25),ISBLANK(BE25))</formula>
    </cfRule>
    <cfRule type="expression" dxfId="1" priority="851">
      <formula>IF(SUM(K25,Q25,W25,AC25,AI25,AO25,AU25,BA25)=0,1,0)</formula>
    </cfRule>
    <cfRule type="cellIs" dxfId="0" priority="852" operator="greaterThan">
      <formula>SUM(K25,Q25,W25,AC25,AI25,AO25,AU25,BA25)</formula>
    </cfRule>
    <cfRule type="cellIs" dxfId="3" priority="853" operator="greaterThan">
      <formula>SUM(IF(ISNUMBER(M25),L25,0),IF(ISNUMBER(S25),R25,0),IF(ISNUMBER(Y25),X25,0),IF(ISNUMBER(AE25),AD25,0),IF(ISNUMBER(AK25),AJ25,0),IF(ISNUMBER(AQ25),AP25,0),IF(ISNUMBER(AW25),AV25,0),IF(ISNUMBER(BC25),BB25,0))</formula>
    </cfRule>
  </conditionalFormatting>
  <conditionalFormatting sqref="H26">
    <cfRule type="expression" dxfId="4" priority="854">
      <formula>AND(ISBLANK(G26),ISBLANK(O26),ISBLANK(U26),ISBLANK(AA26),ISBLANK(AG26),ISBLANK(AM26),ISBLANK(AS26),ISBLANK(AY26),ISBLANK(BE26))</formula>
    </cfRule>
    <cfRule type="expression" dxfId="1" priority="855">
      <formula>IF(SUM(K26,Q26,W26,AC26,AI26,AO26,AU26,BA26)=0,1,0)</formula>
    </cfRule>
    <cfRule type="cellIs" dxfId="0" priority="856" operator="greaterThan">
      <formula>SUM(K26,Q26,W26,AC26,AI26,AO26,AU26,BA26)</formula>
    </cfRule>
    <cfRule type="cellIs" dxfId="3" priority="857" operator="greaterThan">
      <formula>SUM(IF(ISNUMBER(M26),L26,0),IF(ISNUMBER(S26),R26,0),IF(ISNUMBER(Y26),X26,0),IF(ISNUMBER(AE26),AD26,0),IF(ISNUMBER(AK26),AJ26,0),IF(ISNUMBER(AQ26),AP26,0),IF(ISNUMBER(AW26),AV26,0),IF(ISNUMBER(BC26),BB26,0))</formula>
    </cfRule>
  </conditionalFormatting>
  <conditionalFormatting sqref="H27">
    <cfRule type="expression" dxfId="4" priority="858">
      <formula>AND(ISBLANK(G27),ISBLANK(O27),ISBLANK(U27),ISBLANK(AA27),ISBLANK(AG27),ISBLANK(AM27),ISBLANK(AS27),ISBLANK(AY27),ISBLANK(BE27))</formula>
    </cfRule>
    <cfRule type="expression" dxfId="1" priority="859">
      <formula>IF(SUM(K27,Q27,W27,AC27,AI27,AO27,AU27,BA27)=0,1,0)</formula>
    </cfRule>
    <cfRule type="cellIs" dxfId="0" priority="860" operator="greaterThan">
      <formula>SUM(K27,Q27,W27,AC27,AI27,AO27,AU27,BA27)</formula>
    </cfRule>
    <cfRule type="cellIs" dxfId="3" priority="861" operator="greaterThan">
      <formula>SUM(IF(ISNUMBER(M27),L27,0),IF(ISNUMBER(S27),R27,0),IF(ISNUMBER(Y27),X27,0),IF(ISNUMBER(AE27),AD27,0),IF(ISNUMBER(AK27),AJ27,0),IF(ISNUMBER(AQ27),AP27,0),IF(ISNUMBER(AW27),AV27,0),IF(ISNUMBER(BC27),BB27,0))</formula>
    </cfRule>
  </conditionalFormatting>
  <conditionalFormatting sqref="H28">
    <cfRule type="expression" dxfId="4" priority="862">
      <formula>AND(ISBLANK(G28),ISBLANK(O28),ISBLANK(U28),ISBLANK(AA28),ISBLANK(AG28),ISBLANK(AM28),ISBLANK(AS28),ISBLANK(AY28),ISBLANK(BE28))</formula>
    </cfRule>
    <cfRule type="expression" dxfId="1" priority="863">
      <formula>IF(SUM(K28,Q28,W28,AC28,AI28,AO28,AU28,BA28)=0,1,0)</formula>
    </cfRule>
    <cfRule type="cellIs" dxfId="0" priority="864" operator="greaterThan">
      <formula>SUM(K28,Q28,W28,AC28,AI28,AO28,AU28,BA28)</formula>
    </cfRule>
    <cfRule type="cellIs" dxfId="3" priority="865" operator="greaterThan">
      <formula>SUM(IF(ISNUMBER(M28),L28,0),IF(ISNUMBER(S28),R28,0),IF(ISNUMBER(Y28),X28,0),IF(ISNUMBER(AE28),AD28,0),IF(ISNUMBER(AK28),AJ28,0),IF(ISNUMBER(AQ28),AP28,0),IF(ISNUMBER(AW28),AV28,0),IF(ISNUMBER(BC28),BB28,0))</formula>
    </cfRule>
  </conditionalFormatting>
  <conditionalFormatting sqref="H29">
    <cfRule type="expression" dxfId="4" priority="866">
      <formula>AND(ISBLANK(G29),ISBLANK(O29),ISBLANK(U29),ISBLANK(AA29),ISBLANK(AG29),ISBLANK(AM29),ISBLANK(AS29),ISBLANK(AY29),ISBLANK(BE29))</formula>
    </cfRule>
    <cfRule type="expression" dxfId="1" priority="867">
      <formula>IF(SUM(K29,Q29,W29,AC29,AI29,AO29,AU29,BA29)=0,1,0)</formula>
    </cfRule>
    <cfRule type="cellIs" dxfId="0" priority="868" operator="greaterThan">
      <formula>SUM(K29,Q29,W29,AC29,AI29,AO29,AU29,BA29)</formula>
    </cfRule>
    <cfRule type="cellIs" dxfId="3" priority="869" operator="greaterThan">
      <formula>SUM(IF(ISNUMBER(M29),L29,0),IF(ISNUMBER(S29),R29,0),IF(ISNUMBER(Y29),X29,0),IF(ISNUMBER(AE29),AD29,0),IF(ISNUMBER(AK29),AJ29,0),IF(ISNUMBER(AQ29),AP29,0),IF(ISNUMBER(AW29),AV29,0),IF(ISNUMBER(BC29),BB29,0))</formula>
    </cfRule>
  </conditionalFormatting>
  <conditionalFormatting sqref="H30">
    <cfRule type="expression" dxfId="4" priority="870">
      <formula>AND(ISBLANK(G30),ISBLANK(O30),ISBLANK(U30),ISBLANK(AA30),ISBLANK(AG30),ISBLANK(AM30),ISBLANK(AS30),ISBLANK(AY30),ISBLANK(BE30))</formula>
    </cfRule>
    <cfRule type="expression" dxfId="1" priority="871">
      <formula>IF(SUM(K30,Q30,W30,AC30,AI30,AO30,AU30,BA30)=0,1,0)</formula>
    </cfRule>
    <cfRule type="cellIs" dxfId="0" priority="872" operator="greaterThan">
      <formula>SUM(K30,Q30,W30,AC30,AI30,AO30,AU30,BA30)</formula>
    </cfRule>
    <cfRule type="cellIs" dxfId="3" priority="873" operator="greaterThan">
      <formula>SUM(IF(ISNUMBER(M30),L30,0),IF(ISNUMBER(S30),R30,0),IF(ISNUMBER(Y30),X30,0),IF(ISNUMBER(AE30),AD30,0),IF(ISNUMBER(AK30),AJ30,0),IF(ISNUMBER(AQ30),AP30,0),IF(ISNUMBER(AW30),AV30,0),IF(ISNUMBER(BC30),BB30,0))</formula>
    </cfRule>
  </conditionalFormatting>
  <conditionalFormatting sqref="H31">
    <cfRule type="expression" dxfId="4" priority="874">
      <formula>AND(ISBLANK(G31),ISBLANK(O31),ISBLANK(U31),ISBLANK(AA31),ISBLANK(AG31),ISBLANK(AM31),ISBLANK(AS31),ISBLANK(AY31),ISBLANK(BE31))</formula>
    </cfRule>
    <cfRule type="expression" dxfId="1" priority="875">
      <formula>IF(SUM(K31,Q31,W31,AC31,AI31,AO31,AU31,BA31)=0,1,0)</formula>
    </cfRule>
    <cfRule type="cellIs" dxfId="0" priority="876" operator="greaterThan">
      <formula>SUM(K31,Q31,W31,AC31,AI31,AO31,AU31,BA31)</formula>
    </cfRule>
    <cfRule type="cellIs" dxfId="3" priority="877" operator="greaterThan">
      <formula>SUM(IF(ISNUMBER(M31),L31,0),IF(ISNUMBER(S31),R31,0),IF(ISNUMBER(Y31),X31,0),IF(ISNUMBER(AE31),AD31,0),IF(ISNUMBER(AK31),AJ31,0),IF(ISNUMBER(AQ31),AP31,0),IF(ISNUMBER(AW31),AV31,0),IF(ISNUMBER(BC31),BB31,0))</formula>
    </cfRule>
  </conditionalFormatting>
  <conditionalFormatting sqref="H32">
    <cfRule type="expression" dxfId="4" priority="878">
      <formula>AND(ISBLANK(G32),ISBLANK(O32),ISBLANK(U32),ISBLANK(AA32),ISBLANK(AG32),ISBLANK(AM32),ISBLANK(AS32),ISBLANK(AY32),ISBLANK(BE32))</formula>
    </cfRule>
    <cfRule type="expression" dxfId="1" priority="879">
      <formula>IF(SUM(K32,Q32,W32,AC32,AI32,AO32,AU32,BA32)=0,1,0)</formula>
    </cfRule>
    <cfRule type="cellIs" dxfId="0" priority="880" operator="greaterThan">
      <formula>SUM(K32,Q32,W32,AC32,AI32,AO32,AU32,BA32)</formula>
    </cfRule>
    <cfRule type="cellIs" dxfId="3" priority="881" operator="greaterThan">
      <formula>SUM(IF(ISNUMBER(M32),L32,0),IF(ISNUMBER(S32),R32,0),IF(ISNUMBER(Y32),X32,0),IF(ISNUMBER(AE32),AD32,0),IF(ISNUMBER(AK32),AJ32,0),IF(ISNUMBER(AQ32),AP32,0),IF(ISNUMBER(AW32),AV32,0),IF(ISNUMBER(BC32),BB32,0))</formula>
    </cfRule>
  </conditionalFormatting>
  <conditionalFormatting sqref="H33">
    <cfRule type="expression" dxfId="4" priority="882">
      <formula>AND(ISBLANK(G33),ISBLANK(O33),ISBLANK(U33),ISBLANK(AA33),ISBLANK(AG33),ISBLANK(AM33),ISBLANK(AS33),ISBLANK(AY33),ISBLANK(BE33))</formula>
    </cfRule>
    <cfRule type="expression" dxfId="1" priority="883">
      <formula>IF(SUM(K33,Q33,W33,AC33,AI33,AO33,AU33,BA33)=0,1,0)</formula>
    </cfRule>
    <cfRule type="cellIs" dxfId="0" priority="884" operator="greaterThan">
      <formula>SUM(K33,Q33,W33,AC33,AI33,AO33,AU33,BA33)</formula>
    </cfRule>
    <cfRule type="cellIs" dxfId="3" priority="885" operator="greaterThan">
      <formula>SUM(IF(ISNUMBER(M33),L33,0),IF(ISNUMBER(S33),R33,0),IF(ISNUMBER(Y33),X33,0),IF(ISNUMBER(AE33),AD33,0),IF(ISNUMBER(AK33),AJ33,0),IF(ISNUMBER(AQ33),AP33,0),IF(ISNUMBER(AW33),AV33,0),IF(ISNUMBER(BC33),BB33,0))</formula>
    </cfRule>
  </conditionalFormatting>
  <conditionalFormatting sqref="H34">
    <cfRule type="expression" dxfId="4" priority="886">
      <formula>AND(ISBLANK(G34),ISBLANK(O34),ISBLANK(U34),ISBLANK(AA34),ISBLANK(AG34),ISBLANK(AM34),ISBLANK(AS34),ISBLANK(AY34),ISBLANK(BE34))</formula>
    </cfRule>
    <cfRule type="expression" dxfId="1" priority="887">
      <formula>IF(SUM(K34,Q34,W34,AC34,AI34,AO34,AU34,BA34)=0,1,0)</formula>
    </cfRule>
    <cfRule type="cellIs" dxfId="0" priority="888" operator="greaterThan">
      <formula>SUM(K34,Q34,W34,AC34,AI34,AO34,AU34,BA34)</formula>
    </cfRule>
    <cfRule type="cellIs" dxfId="3" priority="889" operator="greaterThan">
      <formula>SUM(IF(ISNUMBER(M34),L34,0),IF(ISNUMBER(S34),R34,0),IF(ISNUMBER(Y34),X34,0),IF(ISNUMBER(AE34),AD34,0),IF(ISNUMBER(AK34),AJ34,0),IF(ISNUMBER(AQ34),AP34,0),IF(ISNUMBER(AW34),AV34,0),IF(ISNUMBER(BC34),BB34,0))</formula>
    </cfRule>
  </conditionalFormatting>
  <conditionalFormatting sqref="H35">
    <cfRule type="expression" dxfId="4" priority="890">
      <formula>AND(ISBLANK(G35),ISBLANK(O35),ISBLANK(U35),ISBLANK(AA35),ISBLANK(AG35),ISBLANK(AM35),ISBLANK(AS35),ISBLANK(AY35),ISBLANK(BE35))</formula>
    </cfRule>
    <cfRule type="expression" dxfId="1" priority="891">
      <formula>IF(SUM(K35,Q35,W35,AC35,AI35,AO35,AU35,BA35)=0,1,0)</formula>
    </cfRule>
    <cfRule type="cellIs" dxfId="0" priority="892" operator="greaterThan">
      <formula>SUM(K35,Q35,W35,AC35,AI35,AO35,AU35,BA35)</formula>
    </cfRule>
    <cfRule type="cellIs" dxfId="3" priority="893" operator="greaterThan">
      <formula>SUM(IF(ISNUMBER(M35),L35,0),IF(ISNUMBER(S35),R35,0),IF(ISNUMBER(Y35),X35,0),IF(ISNUMBER(AE35),AD35,0),IF(ISNUMBER(AK35),AJ35,0),IF(ISNUMBER(AQ35),AP35,0),IF(ISNUMBER(AW35),AV35,0),IF(ISNUMBER(BC35),BB35,0))</formula>
    </cfRule>
  </conditionalFormatting>
  <conditionalFormatting sqref="H36">
    <cfRule type="expression" dxfId="4" priority="894">
      <formula>AND(ISBLANK(G36),ISBLANK(O36),ISBLANK(U36),ISBLANK(AA36),ISBLANK(AG36),ISBLANK(AM36),ISBLANK(AS36),ISBLANK(AY36),ISBLANK(BE36))</formula>
    </cfRule>
    <cfRule type="expression" dxfId="1" priority="895">
      <formula>IF(SUM(K36,Q36,W36,AC36,AI36,AO36,AU36,BA36)=0,1,0)</formula>
    </cfRule>
    <cfRule type="cellIs" dxfId="0" priority="896" operator="greaterThan">
      <formula>SUM(K36,Q36,W36,AC36,AI36,AO36,AU36,BA36)</formula>
    </cfRule>
    <cfRule type="cellIs" dxfId="3" priority="897" operator="greaterThan">
      <formula>SUM(IF(ISNUMBER(M36),L36,0),IF(ISNUMBER(S36),R36,0),IF(ISNUMBER(Y36),X36,0),IF(ISNUMBER(AE36),AD36,0),IF(ISNUMBER(AK36),AJ36,0),IF(ISNUMBER(AQ36),AP36,0),IF(ISNUMBER(AW36),AV36,0),IF(ISNUMBER(BC36),BB36,0))</formula>
    </cfRule>
  </conditionalFormatting>
  <conditionalFormatting sqref="H37">
    <cfRule type="expression" dxfId="4" priority="898">
      <formula>AND(ISBLANK(G37),ISBLANK(O37),ISBLANK(U37),ISBLANK(AA37),ISBLANK(AG37),ISBLANK(AM37),ISBLANK(AS37),ISBLANK(AY37),ISBLANK(BE37))</formula>
    </cfRule>
    <cfRule type="expression" dxfId="1" priority="899">
      <formula>IF(SUM(K37,Q37,W37,AC37,AI37,AO37,AU37,BA37)=0,1,0)</formula>
    </cfRule>
    <cfRule type="cellIs" dxfId="0" priority="900" operator="greaterThan">
      <formula>SUM(K37,Q37,W37,AC37,AI37,AO37,AU37,BA37)</formula>
    </cfRule>
    <cfRule type="cellIs" dxfId="3" priority="901" operator="greaterThan">
      <formula>SUM(IF(ISNUMBER(M37),L37,0),IF(ISNUMBER(S37),R37,0),IF(ISNUMBER(Y37),X37,0),IF(ISNUMBER(AE37),AD37,0),IF(ISNUMBER(AK37),AJ37,0),IF(ISNUMBER(AQ37),AP37,0),IF(ISNUMBER(AW37),AV37,0),IF(ISNUMBER(BC37),BB37,0))</formula>
    </cfRule>
  </conditionalFormatting>
  <conditionalFormatting sqref="H38">
    <cfRule type="expression" dxfId="4" priority="902">
      <formula>AND(ISBLANK(G38),ISBLANK(O38),ISBLANK(U38),ISBLANK(AA38),ISBLANK(AG38),ISBLANK(AM38),ISBLANK(AS38),ISBLANK(AY38),ISBLANK(BE38))</formula>
    </cfRule>
    <cfRule type="expression" dxfId="1" priority="903">
      <formula>IF(SUM(K38,Q38,W38,AC38,AI38,AO38,AU38,BA38)=0,1,0)</formula>
    </cfRule>
    <cfRule type="cellIs" dxfId="0" priority="904" operator="greaterThan">
      <formula>SUM(K38,Q38,W38,AC38,AI38,AO38,AU38,BA38)</formula>
    </cfRule>
    <cfRule type="cellIs" dxfId="3" priority="905" operator="greaterThan">
      <formula>SUM(IF(ISNUMBER(M38),L38,0),IF(ISNUMBER(S38),R38,0),IF(ISNUMBER(Y38),X38,0),IF(ISNUMBER(AE38),AD38,0),IF(ISNUMBER(AK38),AJ38,0),IF(ISNUMBER(AQ38),AP38,0),IF(ISNUMBER(AW38),AV38,0),IF(ISNUMBER(BC38),BB38,0))</formula>
    </cfRule>
  </conditionalFormatting>
  <conditionalFormatting sqref="H39">
    <cfRule type="expression" dxfId="4" priority="906">
      <formula>AND(ISBLANK(G39),ISBLANK(O39),ISBLANK(U39),ISBLANK(AA39),ISBLANK(AG39),ISBLANK(AM39),ISBLANK(AS39),ISBLANK(AY39),ISBLANK(BE39))</formula>
    </cfRule>
    <cfRule type="expression" dxfId="1" priority="907">
      <formula>IF(SUM(K39,Q39,W39,AC39,AI39,AO39,AU39,BA39)=0,1,0)</formula>
    </cfRule>
    <cfRule type="cellIs" dxfId="0" priority="908" operator="greaterThan">
      <formula>SUM(K39,Q39,W39,AC39,AI39,AO39,AU39,BA39)</formula>
    </cfRule>
    <cfRule type="cellIs" dxfId="3" priority="909" operator="greaterThan">
      <formula>SUM(IF(ISNUMBER(M39),L39,0),IF(ISNUMBER(S39),R39,0),IF(ISNUMBER(Y39),X39,0),IF(ISNUMBER(AE39),AD39,0),IF(ISNUMBER(AK39),AJ39,0),IF(ISNUMBER(AQ39),AP39,0),IF(ISNUMBER(AW39),AV39,0),IF(ISNUMBER(BC39),BB39,0))</formula>
    </cfRule>
  </conditionalFormatting>
  <conditionalFormatting sqref="H40">
    <cfRule type="expression" dxfId="4" priority="910">
      <formula>AND(ISBLANK(G40),ISBLANK(O40),ISBLANK(U40),ISBLANK(AA40),ISBLANK(AG40),ISBLANK(AM40),ISBLANK(AS40),ISBLANK(AY40),ISBLANK(BE40))</formula>
    </cfRule>
    <cfRule type="expression" dxfId="1" priority="911">
      <formula>IF(SUM(K40,Q40,W40,AC40,AI40,AO40,AU40,BA40)=0,1,0)</formula>
    </cfRule>
    <cfRule type="cellIs" dxfId="0" priority="912" operator="greaterThan">
      <formula>SUM(K40,Q40,W40,AC40,AI40,AO40,AU40,BA40)</formula>
    </cfRule>
    <cfRule type="cellIs" dxfId="3" priority="913" operator="greaterThan">
      <formula>SUM(IF(ISNUMBER(M40),L40,0),IF(ISNUMBER(S40),R40,0),IF(ISNUMBER(Y40),X40,0),IF(ISNUMBER(AE40),AD40,0),IF(ISNUMBER(AK40),AJ40,0),IF(ISNUMBER(AQ40),AP40,0),IF(ISNUMBER(AW40),AV40,0),IF(ISNUMBER(BC40),BB40,0))</formula>
    </cfRule>
  </conditionalFormatting>
  <conditionalFormatting sqref="H41">
    <cfRule type="expression" dxfId="4" priority="914">
      <formula>AND(ISBLANK(G41),ISBLANK(O41),ISBLANK(U41),ISBLANK(AA41),ISBLANK(AG41),ISBLANK(AM41),ISBLANK(AS41),ISBLANK(AY41),ISBLANK(BE41))</formula>
    </cfRule>
    <cfRule type="expression" dxfId="1" priority="915">
      <formula>IF(SUM(K41,Q41,W41,AC41,AI41,AO41,AU41,BA41)=0,1,0)</formula>
    </cfRule>
    <cfRule type="cellIs" dxfId="0" priority="916" operator="greaterThan">
      <formula>SUM(K41,Q41,W41,AC41,AI41,AO41,AU41,BA41)</formula>
    </cfRule>
    <cfRule type="cellIs" dxfId="3" priority="917" operator="greaterThan">
      <formula>SUM(IF(ISNUMBER(M41),L41,0),IF(ISNUMBER(S41),R41,0),IF(ISNUMBER(Y41),X41,0),IF(ISNUMBER(AE41),AD41,0),IF(ISNUMBER(AK41),AJ41,0),IF(ISNUMBER(AQ41),AP41,0),IF(ISNUMBER(AW41),AV41,0),IF(ISNUMBER(BC41),BB41,0))</formula>
    </cfRule>
  </conditionalFormatting>
  <conditionalFormatting sqref="H42">
    <cfRule type="expression" dxfId="4" priority="918">
      <formula>AND(ISBLANK(G42),ISBLANK(O42),ISBLANK(U42),ISBLANK(AA42),ISBLANK(AG42),ISBLANK(AM42),ISBLANK(AS42),ISBLANK(AY42),ISBLANK(BE42))</formula>
    </cfRule>
    <cfRule type="expression" dxfId="1" priority="919">
      <formula>IF(SUM(K42,Q42,W42,AC42,AI42,AO42,AU42,BA42)=0,1,0)</formula>
    </cfRule>
    <cfRule type="cellIs" dxfId="0" priority="920" operator="greaterThan">
      <formula>SUM(K42,Q42,W42,AC42,AI42,AO42,AU42,BA42)</formula>
    </cfRule>
    <cfRule type="cellIs" dxfId="3" priority="921" operator="greaterThan">
      <formula>SUM(IF(ISNUMBER(M42),L42,0),IF(ISNUMBER(S42),R42,0),IF(ISNUMBER(Y42),X42,0),IF(ISNUMBER(AE42),AD42,0),IF(ISNUMBER(AK42),AJ42,0),IF(ISNUMBER(AQ42),AP42,0),IF(ISNUMBER(AW42),AV42,0),IF(ISNUMBER(BC42),BB42,0))</formula>
    </cfRule>
  </conditionalFormatting>
  <conditionalFormatting sqref="H7">
    <cfRule type="expression" dxfId="4" priority="778">
      <formula>AND(ISBLANK(G7),ISBLANK(O7),ISBLANK(U7),ISBLANK(AA7),ISBLANK(AG7),ISBLANK(AM7),ISBLANK(AS7),ISBLANK(AY7),ISBLANK(BE7))</formula>
    </cfRule>
    <cfRule type="expression" dxfId="1" priority="779">
      <formula>IF(SUM(K7,Q7,W7,AC7,AI7,AO7,AU7,BA7)=0,1,0)</formula>
    </cfRule>
    <cfRule type="cellIs" dxfId="0" priority="780" operator="greaterThan">
      <formula>SUM(K7,Q7,W7,AC7,AI7,AO7,AU7,BA7)</formula>
    </cfRule>
    <cfRule type="cellIs" dxfId="3" priority="781" operator="greaterThan">
      <formula>SUM(IF(ISNUMBER(M7),L7,0),IF(ISNUMBER(S7),R7,0),IF(ISNUMBER(Y7),X7,0),IF(ISNUMBER(AE7),AD7,0),IF(ISNUMBER(AK7),AJ7,0),IF(ISNUMBER(AQ7),AP7,0),IF(ISNUMBER(AW7),AV7,0),IF(ISNUMBER(BC7),BB7,0))</formula>
    </cfRule>
  </conditionalFormatting>
  <conditionalFormatting sqref="H8">
    <cfRule type="expression" dxfId="4" priority="782">
      <formula>AND(ISBLANK(G8),ISBLANK(O8),ISBLANK(U8),ISBLANK(AA8),ISBLANK(AG8),ISBLANK(AM8),ISBLANK(AS8),ISBLANK(AY8),ISBLANK(BE8))</formula>
    </cfRule>
    <cfRule type="expression" dxfId="1" priority="783">
      <formula>IF(SUM(K8,Q8,W8,AC8,AI8,AO8,AU8,BA8)=0,1,0)</formula>
    </cfRule>
    <cfRule type="cellIs" dxfId="0" priority="784" operator="greaterThan">
      <formula>SUM(K8,Q8,W8,AC8,AI8,AO8,AU8,BA8)</formula>
    </cfRule>
    <cfRule type="cellIs" dxfId="3" priority="785" operator="greaterThan">
      <formula>SUM(IF(ISNUMBER(M8),L8,0),IF(ISNUMBER(S8),R8,0),IF(ISNUMBER(Y8),X8,0),IF(ISNUMBER(AE8),AD8,0),IF(ISNUMBER(AK8),AJ8,0),IF(ISNUMBER(AQ8),AP8,0),IF(ISNUMBER(AW8),AV8,0),IF(ISNUMBER(BC8),BB8,0))</formula>
    </cfRule>
  </conditionalFormatting>
  <conditionalFormatting sqref="H9">
    <cfRule type="expression" dxfId="4" priority="786">
      <formula>AND(ISBLANK(G9),ISBLANK(O9),ISBLANK(U9),ISBLANK(AA9),ISBLANK(AG9),ISBLANK(AM9),ISBLANK(AS9),ISBLANK(AY9),ISBLANK(BE9))</formula>
    </cfRule>
    <cfRule type="expression" dxfId="1" priority="787">
      <formula>IF(SUM(K9,Q9,W9,AC9,AI9,AO9,AU9,BA9)=0,1,0)</formula>
    </cfRule>
    <cfRule type="cellIs" dxfId="0" priority="788" operator="greaterThan">
      <formula>SUM(K9,Q9,W9,AC9,AI9,AO9,AU9,BA9)</formula>
    </cfRule>
    <cfRule type="cellIs" dxfId="3" priority="789" operator="greaterThan">
      <formula>SUM(IF(ISNUMBER(M9),L9,0),IF(ISNUMBER(S9),R9,0),IF(ISNUMBER(Y9),X9,0),IF(ISNUMBER(AE9),AD9,0),IF(ISNUMBER(AK9),AJ9,0),IF(ISNUMBER(AQ9),AP9,0),IF(ISNUMBER(AW9),AV9,0),IF(ISNUMBER(BC9),BB9,0))</formula>
    </cfRule>
  </conditionalFormatting>
  <conditionalFormatting sqref="K10">
    <cfRule type="cellIs" dxfId="0" priority="17" operator="lessThan">
      <formula>H10</formula>
    </cfRule>
  </conditionalFormatting>
  <conditionalFormatting sqref="K11">
    <cfRule type="cellIs" dxfId="0" priority="25" operator="lessThan">
      <formula>H11</formula>
    </cfRule>
  </conditionalFormatting>
  <conditionalFormatting sqref="K13">
    <cfRule type="cellIs" dxfId="0" priority="29" operator="lessThan">
      <formula>H13</formula>
    </cfRule>
  </conditionalFormatting>
  <conditionalFormatting sqref="K22">
    <cfRule type="cellIs" dxfId="0" priority="33" operator="lessThan">
      <formula>H22</formula>
    </cfRule>
  </conditionalFormatting>
  <conditionalFormatting sqref="K23">
    <cfRule type="cellIs" dxfId="0" priority="37" operator="lessThan">
      <formula>H23</formula>
    </cfRule>
  </conditionalFormatting>
  <conditionalFormatting sqref="K24">
    <cfRule type="cellIs" dxfId="0" priority="41" operator="lessThan">
      <formula>H24</formula>
    </cfRule>
  </conditionalFormatting>
  <conditionalFormatting sqref="K25">
    <cfRule type="cellIs" dxfId="0" priority="45" operator="lessThan">
      <formula>H25</formula>
    </cfRule>
  </conditionalFormatting>
  <conditionalFormatting sqref="K26">
    <cfRule type="cellIs" dxfId="0" priority="53" operator="lessThan">
      <formula>H26</formula>
    </cfRule>
  </conditionalFormatting>
  <conditionalFormatting sqref="K28">
    <cfRule type="cellIs" dxfId="0" priority="57" operator="lessThan">
      <formula>H28</formula>
    </cfRule>
  </conditionalFormatting>
  <conditionalFormatting sqref="K40">
    <cfRule type="cellIs" dxfId="0" priority="61" operator="lessThan">
      <formula>H40</formula>
    </cfRule>
  </conditionalFormatting>
  <conditionalFormatting sqref="K42">
    <cfRule type="cellIs" dxfId="0" priority="65" operator="lessThan">
      <formula>H42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K9">
    <cfRule type="cellIs" dxfId="0" priority="13" operator="lessThan">
      <formula>H9</formula>
    </cfRule>
  </conditionalFormatting>
  <conditionalFormatting sqref="L10">
    <cfRule type="expression" dxfId="3" priority="18">
      <formula>AND(L10&gt;0,MOD(L10,N10)&lt;&gt;0)</formula>
    </cfRule>
    <cfRule type="expression" dxfId="1" priority="19">
      <formula>AND(NOT(ISBLANK(L10)),OR(K10="NonStk",L10&gt;K10))</formula>
    </cfRule>
  </conditionalFormatting>
  <conditionalFormatting sqref="L11">
    <cfRule type="expression" dxfId="1" priority="26">
      <formula>AND(NOT(ISBLANK(L11)),OR(K11="NonStk",L11&gt;K11))</formula>
    </cfRule>
  </conditionalFormatting>
  <conditionalFormatting sqref="L13">
    <cfRule type="expression" dxfId="1" priority="30">
      <formula>AND(NOT(ISBLANK(L13)),OR(K13="NonStk",L13&gt;K13))</formula>
    </cfRule>
  </conditionalFormatting>
  <conditionalFormatting sqref="L22">
    <cfRule type="expression" dxfId="1" priority="34">
      <formula>AND(NOT(ISBLANK(L22)),OR(K22="NonStk",L22&gt;K22))</formula>
    </cfRule>
  </conditionalFormatting>
  <conditionalFormatting sqref="L23">
    <cfRule type="expression" dxfId="1" priority="38">
      <formula>AND(NOT(ISBLANK(L23)),OR(K23="NonStk",L23&gt;K23))</formula>
    </cfRule>
  </conditionalFormatting>
  <conditionalFormatting sqref="L24">
    <cfRule type="expression" dxfId="1" priority="42">
      <formula>AND(NOT(ISBLANK(L24)),OR(K24="NonStk",L24&gt;K24))</formula>
    </cfRule>
  </conditionalFormatting>
  <conditionalFormatting sqref="L25">
    <cfRule type="expression" dxfId="3" priority="46">
      <formula>AND(L25&gt;0,MOD(L25,N25)&lt;&gt;0)</formula>
    </cfRule>
    <cfRule type="expression" dxfId="1" priority="47">
      <formula>AND(NOT(ISBLANK(L25)),OR(K25="NonStk",L25&gt;K25))</formula>
    </cfRule>
  </conditionalFormatting>
  <conditionalFormatting sqref="L26">
    <cfRule type="expression" dxfId="1" priority="54">
      <formula>AND(NOT(ISBLANK(L26)),OR(K26="NonStk",L26&gt;K26))</formula>
    </cfRule>
  </conditionalFormatting>
  <conditionalFormatting sqref="L28">
    <cfRule type="expression" dxfId="1" priority="58">
      <formula>AND(NOT(ISBLANK(L28)),OR(K28="NonStk",L28&gt;K28))</formula>
    </cfRule>
  </conditionalFormatting>
  <conditionalFormatting sqref="L40">
    <cfRule type="expression" dxfId="1" priority="62">
      <formula>AND(NOT(ISBLANK(L40)),OR(K40="NonStk",L40&gt;K40))</formula>
    </cfRule>
  </conditionalFormatting>
  <conditionalFormatting sqref="L42">
    <cfRule type="expression" dxfId="3" priority="66">
      <formula>AND(L42&gt;0,MOD(L42,N42)&lt;&gt;0)</formula>
    </cfRule>
    <cfRule type="expression" dxfId="1" priority="67">
      <formula>AND(NOT(ISBLANK(L42)),OR(K42="NonStk",L42&gt;K42))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3" priority="6">
      <formula>AND(L8&gt;0,MOD(L8,N8)&lt;&gt;0)</formula>
    </cfRule>
    <cfRule type="expression" dxfId="1" priority="7">
      <formula>AND(NOT(ISBLANK(L8)),OR(K8="NonStk",L8&gt;K8))</formula>
    </cfRule>
  </conditionalFormatting>
  <conditionalFormatting sqref="L9">
    <cfRule type="expression" dxfId="1" priority="14">
      <formula>AND(NOT(ISBLANK(L9)),OR(K9="NonStk",L9&gt;K9))</formula>
    </cfRule>
  </conditionalFormatting>
  <conditionalFormatting sqref="M10">
    <cfRule type="cellIs" dxfId="2" priority="21" operator="lessThanOrEqual">
      <formula>I10</formula>
    </cfRule>
    <cfRule type="expression" dxfId="3" priority="22">
      <formula>AND(H10&lt;15000,L10&lt;15000)</formula>
    </cfRule>
  </conditionalFormatting>
  <conditionalFormatting sqref="M11">
    <cfRule type="cellIs" dxfId="2" priority="28" operator="lessThanOrEqual">
      <formula>I11</formula>
    </cfRule>
  </conditionalFormatting>
  <conditionalFormatting sqref="M13">
    <cfRule type="cellIs" dxfId="2" priority="32" operator="lessThanOrEqual">
      <formula>I13</formula>
    </cfRule>
  </conditionalFormatting>
  <conditionalFormatting sqref="M22">
    <cfRule type="cellIs" dxfId="2" priority="36" operator="lessThanOrEqual">
      <formula>I22</formula>
    </cfRule>
  </conditionalFormatting>
  <conditionalFormatting sqref="M23">
    <cfRule type="cellIs" dxfId="2" priority="40" operator="lessThanOrEqual">
      <formula>I23</formula>
    </cfRule>
  </conditionalFormatting>
  <conditionalFormatting sqref="M24">
    <cfRule type="cellIs" dxfId="2" priority="44" operator="lessThanOrEqual">
      <formula>I24</formula>
    </cfRule>
  </conditionalFormatting>
  <conditionalFormatting sqref="M25">
    <cfRule type="cellIs" dxfId="2" priority="49" operator="lessThanOrEqual">
      <formula>I25</formula>
    </cfRule>
    <cfRule type="expression" dxfId="3" priority="50">
      <formula>AND(H25&lt;15000,L25&lt;15000)</formula>
    </cfRule>
  </conditionalFormatting>
  <conditionalFormatting sqref="M26">
    <cfRule type="cellIs" dxfId="2" priority="56" operator="lessThanOrEqual">
      <formula>I26</formula>
    </cfRule>
  </conditionalFormatting>
  <conditionalFormatting sqref="M28">
    <cfRule type="cellIs" dxfId="2" priority="60" operator="lessThanOrEqual">
      <formula>I28</formula>
    </cfRule>
  </conditionalFormatting>
  <conditionalFormatting sqref="M40">
    <cfRule type="cellIs" dxfId="2" priority="64" operator="lessThanOrEqual">
      <formula>I40</formula>
    </cfRule>
  </conditionalFormatting>
  <conditionalFormatting sqref="M42">
    <cfRule type="cellIs" dxfId="2" priority="69" operator="lessThanOrEqual">
      <formula>I42</formula>
    </cfRule>
    <cfRule type="expression" dxfId="3" priority="70">
      <formula>AND(H42&lt;3000,L42&lt;3000)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9" operator="lessThanOrEqual">
      <formula>I8</formula>
    </cfRule>
    <cfRule type="expression" dxfId="3" priority="10">
      <formula>AND(H8&lt;15000,L8&lt;15000)</formula>
    </cfRule>
  </conditionalFormatting>
  <conditionalFormatting sqref="M9">
    <cfRule type="cellIs" dxfId="2" priority="16" operator="lessThanOrEqual">
      <formula>I9</formula>
    </cfRule>
  </conditionalFormatting>
  <conditionalFormatting sqref="N10">
    <cfRule type="expression" dxfId="3" priority="23">
      <formula>AND(H10&lt;15000,L10&lt;15000)</formula>
    </cfRule>
  </conditionalFormatting>
  <conditionalFormatting sqref="N25">
    <cfRule type="expression" dxfId="3" priority="51">
      <formula>AND(H25&lt;15000,L25&lt;15000)</formula>
    </cfRule>
  </conditionalFormatting>
  <conditionalFormatting sqref="N42">
    <cfRule type="expression" dxfId="3" priority="71">
      <formula>AND(H42&lt;3000,L42&lt;3000)</formula>
    </cfRule>
  </conditionalFormatting>
  <conditionalFormatting sqref="N8">
    <cfRule type="expression" dxfId="3" priority="11">
      <formula>AND(H8&lt;15000,L8&lt;15000)</formula>
    </cfRule>
  </conditionalFormatting>
  <conditionalFormatting sqref="O10">
    <cfRule type="cellIs" dxfId="2" priority="20" operator="lessThanOrEqual">
      <formula>J10</formula>
    </cfRule>
    <cfRule type="expression" dxfId="3" priority="24">
      <formula>AND(H10&lt;15000,L10&lt;15000)</formula>
    </cfRule>
  </conditionalFormatting>
  <conditionalFormatting sqref="O11">
    <cfRule type="cellIs" dxfId="2" priority="27" operator="lessThanOrEqual">
      <formula>J11</formula>
    </cfRule>
  </conditionalFormatting>
  <conditionalFormatting sqref="O13">
    <cfRule type="cellIs" dxfId="2" priority="31" operator="lessThanOrEqual">
      <formula>J13</formula>
    </cfRule>
  </conditionalFormatting>
  <conditionalFormatting sqref="O22">
    <cfRule type="cellIs" dxfId="2" priority="35" operator="lessThanOrEqual">
      <formula>J22</formula>
    </cfRule>
  </conditionalFormatting>
  <conditionalFormatting sqref="O23">
    <cfRule type="cellIs" dxfId="2" priority="39" operator="lessThanOrEqual">
      <formula>J23</formula>
    </cfRule>
  </conditionalFormatting>
  <conditionalFormatting sqref="O24">
    <cfRule type="cellIs" dxfId="2" priority="43" operator="lessThanOrEqual">
      <formula>J24</formula>
    </cfRule>
  </conditionalFormatting>
  <conditionalFormatting sqref="O25">
    <cfRule type="cellIs" dxfId="2" priority="48" operator="lessThanOrEqual">
      <formula>J25</formula>
    </cfRule>
    <cfRule type="expression" dxfId="3" priority="52">
      <formula>AND(H25&lt;15000,L25&lt;15000)</formula>
    </cfRule>
  </conditionalFormatting>
  <conditionalFormatting sqref="O26">
    <cfRule type="cellIs" dxfId="2" priority="55" operator="lessThanOrEqual">
      <formula>J26</formula>
    </cfRule>
  </conditionalFormatting>
  <conditionalFormatting sqref="O28">
    <cfRule type="cellIs" dxfId="2" priority="59" operator="lessThanOrEqual">
      <formula>J28</formula>
    </cfRule>
  </conditionalFormatting>
  <conditionalFormatting sqref="O40">
    <cfRule type="cellIs" dxfId="2" priority="63" operator="lessThanOrEqual">
      <formula>J40</formula>
    </cfRule>
  </conditionalFormatting>
  <conditionalFormatting sqref="O42">
    <cfRule type="cellIs" dxfId="2" priority="68" operator="lessThanOrEqual">
      <formula>J42</formula>
    </cfRule>
    <cfRule type="expression" dxfId="3" priority="72">
      <formula>AND(H42&lt;3000,L42&lt;3000)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8" operator="lessThanOrEqual">
      <formula>J8</formula>
    </cfRule>
    <cfRule type="expression" dxfId="3" priority="12">
      <formula>AND(H8&lt;15000,L8&lt;15000)</formula>
    </cfRule>
  </conditionalFormatting>
  <conditionalFormatting sqref="O9">
    <cfRule type="cellIs" dxfId="2" priority="15" operator="lessThanOrEqual">
      <formula>J9</formula>
    </cfRule>
  </conditionalFormatting>
  <conditionalFormatting sqref="Q10">
    <cfRule type="cellIs" dxfId="0" priority="85" operator="lessThan">
      <formula>H10</formula>
    </cfRule>
  </conditionalFormatting>
  <conditionalFormatting sqref="Q11">
    <cfRule type="cellIs" dxfId="0" priority="89" operator="lessThan">
      <formula>H11</formula>
    </cfRule>
  </conditionalFormatting>
  <conditionalFormatting sqref="Q12">
    <cfRule type="cellIs" dxfId="0" priority="93" operator="lessThan">
      <formula>H12</formula>
    </cfRule>
  </conditionalFormatting>
  <conditionalFormatting sqref="Q13">
    <cfRule type="cellIs" dxfId="0" priority="97" operator="lessThan">
      <formula>H13</formula>
    </cfRule>
  </conditionalFormatting>
  <conditionalFormatting sqref="Q14">
    <cfRule type="cellIs" dxfId="0" priority="101" operator="lessThan">
      <formula>H14</formula>
    </cfRule>
  </conditionalFormatting>
  <conditionalFormatting sqref="Q19">
    <cfRule type="cellIs" dxfId="0" priority="105" operator="lessThan">
      <formula>H19</formula>
    </cfRule>
  </conditionalFormatting>
  <conditionalFormatting sqref="Q20">
    <cfRule type="cellIs" dxfId="0" priority="109" operator="lessThan">
      <formula>H20</formula>
    </cfRule>
  </conditionalFormatting>
  <conditionalFormatting sqref="Q21">
    <cfRule type="cellIs" dxfId="0" priority="113" operator="lessThan">
      <formula>H21</formula>
    </cfRule>
  </conditionalFormatting>
  <conditionalFormatting sqref="Q22">
    <cfRule type="cellIs" dxfId="0" priority="117" operator="lessThan">
      <formula>H22</formula>
    </cfRule>
  </conditionalFormatting>
  <conditionalFormatting sqref="Q23">
    <cfRule type="cellIs" dxfId="0" priority="121" operator="lessThan">
      <formula>H23</formula>
    </cfRule>
  </conditionalFormatting>
  <conditionalFormatting sqref="Q24">
    <cfRule type="cellIs" dxfId="0" priority="125" operator="lessThan">
      <formula>H24</formula>
    </cfRule>
  </conditionalFormatting>
  <conditionalFormatting sqref="Q25">
    <cfRule type="cellIs" dxfId="0" priority="129" operator="lessThan">
      <formula>H25</formula>
    </cfRule>
  </conditionalFormatting>
  <conditionalFormatting sqref="Q26">
    <cfRule type="cellIs" dxfId="0" priority="133" operator="lessThan">
      <formula>H26</formula>
    </cfRule>
  </conditionalFormatting>
  <conditionalFormatting sqref="Q27">
    <cfRule type="cellIs" dxfId="0" priority="137" operator="lessThan">
      <formula>H27</formula>
    </cfRule>
  </conditionalFormatting>
  <conditionalFormatting sqref="Q28">
    <cfRule type="cellIs" dxfId="0" priority="141" operator="lessThan">
      <formula>H28</formula>
    </cfRule>
  </conditionalFormatting>
  <conditionalFormatting sqref="Q29">
    <cfRule type="cellIs" dxfId="0" priority="145" operator="lessThan">
      <formula>H29</formula>
    </cfRule>
  </conditionalFormatting>
  <conditionalFormatting sqref="Q30">
    <cfRule type="cellIs" dxfId="0" priority="149" operator="lessThan">
      <formula>H30</formula>
    </cfRule>
  </conditionalFormatting>
  <conditionalFormatting sqref="Q31">
    <cfRule type="cellIs" dxfId="0" priority="153" operator="lessThan">
      <formula>H31</formula>
    </cfRule>
  </conditionalFormatting>
  <conditionalFormatting sqref="Q32">
    <cfRule type="cellIs" dxfId="0" priority="157" operator="lessThan">
      <formula>H32</formula>
    </cfRule>
  </conditionalFormatting>
  <conditionalFormatting sqref="Q33">
    <cfRule type="cellIs" dxfId="0" priority="161" operator="lessThan">
      <formula>H33</formula>
    </cfRule>
  </conditionalFormatting>
  <conditionalFormatting sqref="Q34">
    <cfRule type="cellIs" dxfId="0" priority="165" operator="lessThan">
      <formula>H34</formula>
    </cfRule>
  </conditionalFormatting>
  <conditionalFormatting sqref="Q35">
    <cfRule type="cellIs" dxfId="0" priority="173" operator="lessThan">
      <formula>H35</formula>
    </cfRule>
  </conditionalFormatting>
  <conditionalFormatting sqref="Q36">
    <cfRule type="cellIs" dxfId="0" priority="177" operator="lessThan">
      <formula>H36</formula>
    </cfRule>
  </conditionalFormatting>
  <conditionalFormatting sqref="Q37">
    <cfRule type="cellIs" dxfId="0" priority="181" operator="lessThan">
      <formula>H37</formula>
    </cfRule>
  </conditionalFormatting>
  <conditionalFormatting sqref="Q38">
    <cfRule type="cellIs" dxfId="0" priority="185" operator="lessThan">
      <formula>H38</formula>
    </cfRule>
  </conditionalFormatting>
  <conditionalFormatting sqref="Q40">
    <cfRule type="cellIs" dxfId="0" priority="189" operator="lessThan">
      <formula>H40</formula>
    </cfRule>
  </conditionalFormatting>
  <conditionalFormatting sqref="Q41">
    <cfRule type="cellIs" dxfId="0" priority="193" operator="lessThan">
      <formula>H41</formula>
    </cfRule>
  </conditionalFormatting>
  <conditionalFormatting sqref="Q42">
    <cfRule type="cellIs" dxfId="0" priority="197" operator="lessThan">
      <formula>H42</formula>
    </cfRule>
  </conditionalFormatting>
  <conditionalFormatting sqref="Q7">
    <cfRule type="cellIs" dxfId="0" priority="73" operator="lessThan">
      <formula>H7</formula>
    </cfRule>
  </conditionalFormatting>
  <conditionalFormatting sqref="Q8">
    <cfRule type="cellIs" dxfId="0" priority="77" operator="lessThan">
      <formula>H8</formula>
    </cfRule>
  </conditionalFormatting>
  <conditionalFormatting sqref="Q9">
    <cfRule type="cellIs" dxfId="0" priority="81" operator="lessThan">
      <formula>H9</formula>
    </cfRule>
  </conditionalFormatting>
  <conditionalFormatting sqref="R10">
    <cfRule type="expression" dxfId="1" priority="86">
      <formula>AND(NOT(ISBLANK(R10)),OR(Q10="NonStk",R10&gt;Q10))</formula>
    </cfRule>
  </conditionalFormatting>
  <conditionalFormatting sqref="R11">
    <cfRule type="expression" dxfId="1" priority="90">
      <formula>AND(NOT(ISBLANK(R11)),OR(Q11="NonStk",R11&gt;Q11))</formula>
    </cfRule>
  </conditionalFormatting>
  <conditionalFormatting sqref="R12">
    <cfRule type="expression" dxfId="1" priority="94">
      <formula>AND(NOT(ISBLANK(R12)),OR(Q12="NonStk",R12&gt;Q12))</formula>
    </cfRule>
  </conditionalFormatting>
  <conditionalFormatting sqref="R13">
    <cfRule type="expression" dxfId="1" priority="98">
      <formula>AND(NOT(ISBLANK(R13)),OR(Q13="NonStk",R13&gt;Q13))</formula>
    </cfRule>
  </conditionalFormatting>
  <conditionalFormatting sqref="R14">
    <cfRule type="expression" dxfId="1" priority="102">
      <formula>AND(NOT(ISBLANK(R14)),OR(Q14="NonStk",R14&gt;Q14))</formula>
    </cfRule>
  </conditionalFormatting>
  <conditionalFormatting sqref="R19">
    <cfRule type="expression" dxfId="1" priority="106">
      <formula>AND(NOT(ISBLANK(R19)),OR(Q19="NonStk",R19&gt;Q19))</formula>
    </cfRule>
  </conditionalFormatting>
  <conditionalFormatting sqref="R20">
    <cfRule type="expression" dxfId="1" priority="110">
      <formula>AND(NOT(ISBLANK(R20)),OR(Q20="NonStk",R20&gt;Q20))</formula>
    </cfRule>
  </conditionalFormatting>
  <conditionalFormatting sqref="R21">
    <cfRule type="expression" dxfId="1" priority="114">
      <formula>AND(NOT(ISBLANK(R21)),OR(Q21="NonStk",R21&gt;Q21))</formula>
    </cfRule>
  </conditionalFormatting>
  <conditionalFormatting sqref="R22">
    <cfRule type="expression" dxfId="1" priority="118">
      <formula>AND(NOT(ISBLANK(R22)),OR(Q22="NonStk",R22&gt;Q22))</formula>
    </cfRule>
  </conditionalFormatting>
  <conditionalFormatting sqref="R23">
    <cfRule type="expression" dxfId="1" priority="122">
      <formula>AND(NOT(ISBLANK(R23)),OR(Q23="NonStk",R23&gt;Q23))</formula>
    </cfRule>
  </conditionalFormatting>
  <conditionalFormatting sqref="R24">
    <cfRule type="expression" dxfId="1" priority="126">
      <formula>AND(NOT(ISBLANK(R24)),OR(Q24="NonStk",R24&gt;Q24))</formula>
    </cfRule>
  </conditionalFormatting>
  <conditionalFormatting sqref="R25">
    <cfRule type="expression" dxfId="1" priority="130">
      <formula>AND(NOT(ISBLANK(R25)),OR(Q25="NonStk",R25&gt;Q25))</formula>
    </cfRule>
  </conditionalFormatting>
  <conditionalFormatting sqref="R26">
    <cfRule type="expression" dxfId="1" priority="134">
      <formula>AND(NOT(ISBLANK(R26)),OR(Q26="NonStk",R26&gt;Q26))</formula>
    </cfRule>
  </conditionalFormatting>
  <conditionalFormatting sqref="R27">
    <cfRule type="expression" dxfId="1" priority="138">
      <formula>AND(NOT(ISBLANK(R27)),OR(Q27="NonStk",R27&gt;Q27))</formula>
    </cfRule>
  </conditionalFormatting>
  <conditionalFormatting sqref="R28">
    <cfRule type="expression" dxfId="1" priority="142">
      <formula>AND(NOT(ISBLANK(R28)),OR(Q28="NonStk",R28&gt;Q28))</formula>
    </cfRule>
  </conditionalFormatting>
  <conditionalFormatting sqref="R29">
    <cfRule type="expression" dxfId="1" priority="146">
      <formula>AND(NOT(ISBLANK(R29)),OR(Q29="NonStk",R29&gt;Q29))</formula>
    </cfRule>
  </conditionalFormatting>
  <conditionalFormatting sqref="R30">
    <cfRule type="expression" dxfId="1" priority="150">
      <formula>AND(NOT(ISBLANK(R30)),OR(Q30="NonStk",R30&gt;Q30))</formula>
    </cfRule>
  </conditionalFormatting>
  <conditionalFormatting sqref="R31">
    <cfRule type="expression" dxfId="1" priority="154">
      <formula>AND(NOT(ISBLANK(R31)),OR(Q31="NonStk",R31&gt;Q31))</formula>
    </cfRule>
  </conditionalFormatting>
  <conditionalFormatting sqref="R32">
    <cfRule type="expression" dxfId="1" priority="158">
      <formula>AND(NOT(ISBLANK(R32)),OR(Q32="NonStk",R32&gt;Q32))</formula>
    </cfRule>
  </conditionalFormatting>
  <conditionalFormatting sqref="R33">
    <cfRule type="expression" dxfId="1" priority="162">
      <formula>AND(NOT(ISBLANK(R33)),OR(Q33="NonStk",R33&gt;Q33))</formula>
    </cfRule>
  </conditionalFormatting>
  <conditionalFormatting sqref="R34">
    <cfRule type="expression" dxfId="3" priority="166">
      <formula>AND(R34&gt;0,MOD(R34,T34)&lt;&gt;0)</formula>
    </cfRule>
    <cfRule type="expression" dxfId="1" priority="167">
      <formula>AND(NOT(ISBLANK(R34)),OR(Q34="NonStk",R34&gt;Q34))</formula>
    </cfRule>
  </conditionalFormatting>
  <conditionalFormatting sqref="R35">
    <cfRule type="expression" dxfId="1" priority="174">
      <formula>AND(NOT(ISBLANK(R35)),OR(Q35="NonStk",R35&gt;Q35))</formula>
    </cfRule>
  </conditionalFormatting>
  <conditionalFormatting sqref="R36">
    <cfRule type="expression" dxfId="1" priority="178">
      <formula>AND(NOT(ISBLANK(R36)),OR(Q36="NonStk",R36&gt;Q36))</formula>
    </cfRule>
  </conditionalFormatting>
  <conditionalFormatting sqref="R37">
    <cfRule type="expression" dxfId="1" priority="182">
      <formula>AND(NOT(ISBLANK(R37)),OR(Q37="NonStk",R37&gt;Q37))</formula>
    </cfRule>
  </conditionalFormatting>
  <conditionalFormatting sqref="R38">
    <cfRule type="expression" dxfId="1" priority="186">
      <formula>AND(NOT(ISBLANK(R38)),OR(Q38="NonStk",R38&gt;Q38))</formula>
    </cfRule>
  </conditionalFormatting>
  <conditionalFormatting sqref="R40">
    <cfRule type="expression" dxfId="1" priority="190">
      <formula>AND(NOT(ISBLANK(R40)),OR(Q40="NonStk",R40&gt;Q40))</formula>
    </cfRule>
  </conditionalFormatting>
  <conditionalFormatting sqref="R41">
    <cfRule type="expression" dxfId="1" priority="194">
      <formula>AND(NOT(ISBLANK(R41)),OR(Q41="NonStk",R41&gt;Q41))</formula>
    </cfRule>
  </conditionalFormatting>
  <conditionalFormatting sqref="R42">
    <cfRule type="expression" dxfId="1" priority="198">
      <formula>AND(NOT(ISBLANK(R42)),OR(Q42="NonStk",R42&gt;Q42))</formula>
    </cfRule>
  </conditionalFormatting>
  <conditionalFormatting sqref="R7">
    <cfRule type="expression" dxfId="1" priority="74">
      <formula>AND(NOT(ISBLANK(R7)),OR(Q7="NonStk",R7&gt;Q7))</formula>
    </cfRule>
  </conditionalFormatting>
  <conditionalFormatting sqref="R8">
    <cfRule type="expression" dxfId="1" priority="78">
      <formula>AND(NOT(ISBLANK(R8)),OR(Q8="NonStk",R8&gt;Q8))</formula>
    </cfRule>
  </conditionalFormatting>
  <conditionalFormatting sqref="R9">
    <cfRule type="expression" dxfId="1" priority="82">
      <formula>AND(NOT(ISBLANK(R9)),OR(Q9="NonStk",R9&gt;Q9))</formula>
    </cfRule>
  </conditionalFormatting>
  <conditionalFormatting sqref="S10">
    <cfRule type="cellIs" dxfId="2" priority="88" operator="lessThanOrEqual">
      <formula>I10</formula>
    </cfRule>
  </conditionalFormatting>
  <conditionalFormatting sqref="S11">
    <cfRule type="cellIs" dxfId="2" priority="92" operator="lessThanOrEqual">
      <formula>I11</formula>
    </cfRule>
  </conditionalFormatting>
  <conditionalFormatting sqref="S12">
    <cfRule type="cellIs" dxfId="2" priority="96" operator="lessThanOrEqual">
      <formula>I12</formula>
    </cfRule>
  </conditionalFormatting>
  <conditionalFormatting sqref="S13">
    <cfRule type="cellIs" dxfId="2" priority="100" operator="lessThanOrEqual">
      <formula>I13</formula>
    </cfRule>
  </conditionalFormatting>
  <conditionalFormatting sqref="S14">
    <cfRule type="cellIs" dxfId="2" priority="104" operator="lessThanOrEqual">
      <formula>I14</formula>
    </cfRule>
  </conditionalFormatting>
  <conditionalFormatting sqref="S19">
    <cfRule type="cellIs" dxfId="2" priority="108" operator="lessThanOrEqual">
      <formula>I19</formula>
    </cfRule>
  </conditionalFormatting>
  <conditionalFormatting sqref="S20">
    <cfRule type="cellIs" dxfId="2" priority="112" operator="lessThanOrEqual">
      <formula>I20</formula>
    </cfRule>
  </conditionalFormatting>
  <conditionalFormatting sqref="S21">
    <cfRule type="cellIs" dxfId="2" priority="116" operator="lessThanOrEqual">
      <formula>I21</formula>
    </cfRule>
  </conditionalFormatting>
  <conditionalFormatting sqref="S22">
    <cfRule type="cellIs" dxfId="2" priority="120" operator="lessThanOrEqual">
      <formula>I22</formula>
    </cfRule>
  </conditionalFormatting>
  <conditionalFormatting sqref="S23">
    <cfRule type="cellIs" dxfId="2" priority="124" operator="lessThanOrEqual">
      <formula>I23</formula>
    </cfRule>
  </conditionalFormatting>
  <conditionalFormatting sqref="S24">
    <cfRule type="cellIs" dxfId="2" priority="128" operator="lessThanOrEqual">
      <formula>I24</formula>
    </cfRule>
  </conditionalFormatting>
  <conditionalFormatting sqref="S25">
    <cfRule type="cellIs" dxfId="2" priority="132" operator="lessThanOrEqual">
      <formula>I25</formula>
    </cfRule>
  </conditionalFormatting>
  <conditionalFormatting sqref="S26">
    <cfRule type="cellIs" dxfId="2" priority="136" operator="lessThanOrEqual">
      <formula>I26</formula>
    </cfRule>
  </conditionalFormatting>
  <conditionalFormatting sqref="S27">
    <cfRule type="cellIs" dxfId="2" priority="140" operator="lessThanOrEqual">
      <formula>I27</formula>
    </cfRule>
  </conditionalFormatting>
  <conditionalFormatting sqref="S28">
    <cfRule type="cellIs" dxfId="2" priority="144" operator="lessThanOrEqual">
      <formula>I28</formula>
    </cfRule>
  </conditionalFormatting>
  <conditionalFormatting sqref="S29">
    <cfRule type="cellIs" dxfId="2" priority="148" operator="lessThanOrEqual">
      <formula>I29</formula>
    </cfRule>
  </conditionalFormatting>
  <conditionalFormatting sqref="S30">
    <cfRule type="cellIs" dxfId="2" priority="152" operator="lessThanOrEqual">
      <formula>I30</formula>
    </cfRule>
  </conditionalFormatting>
  <conditionalFormatting sqref="S31">
    <cfRule type="cellIs" dxfId="2" priority="156" operator="lessThanOrEqual">
      <formula>I31</formula>
    </cfRule>
  </conditionalFormatting>
  <conditionalFormatting sqref="S32">
    <cfRule type="cellIs" dxfId="2" priority="160" operator="lessThanOrEqual">
      <formula>I32</formula>
    </cfRule>
  </conditionalFormatting>
  <conditionalFormatting sqref="S33">
    <cfRule type="cellIs" dxfId="2" priority="164" operator="lessThanOrEqual">
      <formula>I33</formula>
    </cfRule>
  </conditionalFormatting>
  <conditionalFormatting sqref="S34">
    <cfRule type="cellIs" dxfId="2" priority="169" operator="lessThanOrEqual">
      <formula>I34</formula>
    </cfRule>
    <cfRule type="expression" dxfId="3" priority="170">
      <formula>AND(H34&lt;4000,R34&lt;4000)</formula>
    </cfRule>
  </conditionalFormatting>
  <conditionalFormatting sqref="S35">
    <cfRule type="cellIs" dxfId="2" priority="176" operator="lessThanOrEqual">
      <formula>I35</formula>
    </cfRule>
  </conditionalFormatting>
  <conditionalFormatting sqref="S36">
    <cfRule type="cellIs" dxfId="2" priority="180" operator="lessThanOrEqual">
      <formula>I36</formula>
    </cfRule>
  </conditionalFormatting>
  <conditionalFormatting sqref="S37">
    <cfRule type="cellIs" dxfId="2" priority="184" operator="lessThanOrEqual">
      <formula>I37</formula>
    </cfRule>
  </conditionalFormatting>
  <conditionalFormatting sqref="S38">
    <cfRule type="cellIs" dxfId="2" priority="188" operator="lessThanOrEqual">
      <formula>I38</formula>
    </cfRule>
  </conditionalFormatting>
  <conditionalFormatting sqref="S40">
    <cfRule type="cellIs" dxfId="2" priority="192" operator="lessThanOrEqual">
      <formula>I40</formula>
    </cfRule>
  </conditionalFormatting>
  <conditionalFormatting sqref="S41">
    <cfRule type="cellIs" dxfId="2" priority="196" operator="lessThanOrEqual">
      <formula>I41</formula>
    </cfRule>
  </conditionalFormatting>
  <conditionalFormatting sqref="S42">
    <cfRule type="cellIs" dxfId="2" priority="200" operator="lessThanOrEqual">
      <formula>I42</formula>
    </cfRule>
  </conditionalFormatting>
  <conditionalFormatting sqref="S7">
    <cfRule type="cellIs" dxfId="2" priority="76" operator="lessThanOrEqual">
      <formula>I7</formula>
    </cfRule>
  </conditionalFormatting>
  <conditionalFormatting sqref="S8">
    <cfRule type="cellIs" dxfId="2" priority="80" operator="lessThanOrEqual">
      <formula>I8</formula>
    </cfRule>
  </conditionalFormatting>
  <conditionalFormatting sqref="S9">
    <cfRule type="cellIs" dxfId="2" priority="84" operator="lessThanOrEqual">
      <formula>I9</formula>
    </cfRule>
  </conditionalFormatting>
  <conditionalFormatting sqref="T34">
    <cfRule type="expression" dxfId="3" priority="171">
      <formula>AND(H34&lt;4000,R34&lt;4000)</formula>
    </cfRule>
  </conditionalFormatting>
  <conditionalFormatting sqref="U10">
    <cfRule type="cellIs" dxfId="2" priority="87" operator="lessThanOrEqual">
      <formula>J10</formula>
    </cfRule>
  </conditionalFormatting>
  <conditionalFormatting sqref="U11">
    <cfRule type="cellIs" dxfId="2" priority="91" operator="lessThanOrEqual">
      <formula>J11</formula>
    </cfRule>
  </conditionalFormatting>
  <conditionalFormatting sqref="U12">
    <cfRule type="cellIs" dxfId="2" priority="95" operator="lessThanOrEqual">
      <formula>J12</formula>
    </cfRule>
  </conditionalFormatting>
  <conditionalFormatting sqref="U13">
    <cfRule type="cellIs" dxfId="2" priority="99" operator="lessThanOrEqual">
      <formula>J13</formula>
    </cfRule>
  </conditionalFormatting>
  <conditionalFormatting sqref="U14">
    <cfRule type="cellIs" dxfId="2" priority="103" operator="lessThanOrEqual">
      <formula>J14</formula>
    </cfRule>
  </conditionalFormatting>
  <conditionalFormatting sqref="U19">
    <cfRule type="cellIs" dxfId="2" priority="107" operator="lessThanOrEqual">
      <formula>J19</formula>
    </cfRule>
  </conditionalFormatting>
  <conditionalFormatting sqref="U20">
    <cfRule type="cellIs" dxfId="2" priority="111" operator="lessThanOrEqual">
      <formula>J20</formula>
    </cfRule>
  </conditionalFormatting>
  <conditionalFormatting sqref="U21">
    <cfRule type="cellIs" dxfId="2" priority="115" operator="lessThanOrEqual">
      <formula>J21</formula>
    </cfRule>
  </conditionalFormatting>
  <conditionalFormatting sqref="U22">
    <cfRule type="cellIs" dxfId="2" priority="119" operator="lessThanOrEqual">
      <formula>J22</formula>
    </cfRule>
  </conditionalFormatting>
  <conditionalFormatting sqref="U23">
    <cfRule type="cellIs" dxfId="2" priority="123" operator="lessThanOrEqual">
      <formula>J23</formula>
    </cfRule>
  </conditionalFormatting>
  <conditionalFormatting sqref="U24">
    <cfRule type="cellIs" dxfId="2" priority="127" operator="lessThanOrEqual">
      <formula>J24</formula>
    </cfRule>
  </conditionalFormatting>
  <conditionalFormatting sqref="U25">
    <cfRule type="cellIs" dxfId="2" priority="131" operator="lessThanOrEqual">
      <formula>J25</formula>
    </cfRule>
  </conditionalFormatting>
  <conditionalFormatting sqref="U26">
    <cfRule type="cellIs" dxfId="2" priority="135" operator="lessThanOrEqual">
      <formula>J26</formula>
    </cfRule>
  </conditionalFormatting>
  <conditionalFormatting sqref="U27">
    <cfRule type="cellIs" dxfId="2" priority="139" operator="lessThanOrEqual">
      <formula>J27</formula>
    </cfRule>
  </conditionalFormatting>
  <conditionalFormatting sqref="U28">
    <cfRule type="cellIs" dxfId="2" priority="143" operator="lessThanOrEqual">
      <formula>J28</formula>
    </cfRule>
  </conditionalFormatting>
  <conditionalFormatting sqref="U29">
    <cfRule type="cellIs" dxfId="2" priority="147" operator="lessThanOrEqual">
      <formula>J29</formula>
    </cfRule>
  </conditionalFormatting>
  <conditionalFormatting sqref="U30">
    <cfRule type="cellIs" dxfId="2" priority="151" operator="lessThanOrEqual">
      <formula>J30</formula>
    </cfRule>
  </conditionalFormatting>
  <conditionalFormatting sqref="U31">
    <cfRule type="cellIs" dxfId="2" priority="155" operator="lessThanOrEqual">
      <formula>J31</formula>
    </cfRule>
  </conditionalFormatting>
  <conditionalFormatting sqref="U32">
    <cfRule type="cellIs" dxfId="2" priority="159" operator="lessThanOrEqual">
      <formula>J32</formula>
    </cfRule>
  </conditionalFormatting>
  <conditionalFormatting sqref="U33">
    <cfRule type="cellIs" dxfId="2" priority="163" operator="lessThanOrEqual">
      <formula>J33</formula>
    </cfRule>
  </conditionalFormatting>
  <conditionalFormatting sqref="U34">
    <cfRule type="cellIs" dxfId="2" priority="168" operator="lessThanOrEqual">
      <formula>J34</formula>
    </cfRule>
    <cfRule type="expression" dxfId="3" priority="172">
      <formula>AND(H34&lt;4000,R34&lt;4000)</formula>
    </cfRule>
  </conditionalFormatting>
  <conditionalFormatting sqref="U35">
    <cfRule type="cellIs" dxfId="2" priority="175" operator="lessThanOrEqual">
      <formula>J35</formula>
    </cfRule>
  </conditionalFormatting>
  <conditionalFormatting sqref="U36">
    <cfRule type="cellIs" dxfId="2" priority="179" operator="lessThanOrEqual">
      <formula>J36</formula>
    </cfRule>
  </conditionalFormatting>
  <conditionalFormatting sqref="U37">
    <cfRule type="cellIs" dxfId="2" priority="183" operator="lessThanOrEqual">
      <formula>J37</formula>
    </cfRule>
  </conditionalFormatting>
  <conditionalFormatting sqref="U38">
    <cfRule type="cellIs" dxfId="2" priority="187" operator="lessThanOrEqual">
      <formula>J38</formula>
    </cfRule>
  </conditionalFormatting>
  <conditionalFormatting sqref="U40">
    <cfRule type="cellIs" dxfId="2" priority="191" operator="lessThanOrEqual">
      <formula>J40</formula>
    </cfRule>
  </conditionalFormatting>
  <conditionalFormatting sqref="U41">
    <cfRule type="cellIs" dxfId="2" priority="195" operator="lessThanOrEqual">
      <formula>J41</formula>
    </cfRule>
  </conditionalFormatting>
  <conditionalFormatting sqref="U42">
    <cfRule type="cellIs" dxfId="2" priority="199" operator="lessThanOrEqual">
      <formula>J42</formula>
    </cfRule>
  </conditionalFormatting>
  <conditionalFormatting sqref="U7">
    <cfRule type="cellIs" dxfId="2" priority="75" operator="lessThanOrEqual">
      <formula>J7</formula>
    </cfRule>
  </conditionalFormatting>
  <conditionalFormatting sqref="U8">
    <cfRule type="cellIs" dxfId="2" priority="79" operator="lessThanOrEqual">
      <formula>J8</formula>
    </cfRule>
  </conditionalFormatting>
  <conditionalFormatting sqref="U9">
    <cfRule type="cellIs" dxfId="2" priority="83" operator="lessThanOrEqual">
      <formula>J9</formula>
    </cfRule>
  </conditionalFormatting>
  <conditionalFormatting sqref="W10">
    <cfRule type="cellIs" dxfId="0" priority="216" operator="lessThan">
      <formula>H10</formula>
    </cfRule>
  </conditionalFormatting>
  <conditionalFormatting sqref="W11">
    <cfRule type="cellIs" dxfId="0" priority="221" operator="lessThan">
      <formula>H11</formula>
    </cfRule>
  </conditionalFormatting>
  <conditionalFormatting sqref="W12">
    <cfRule type="cellIs" dxfId="0" priority="226" operator="lessThan">
      <formula>H12</formula>
    </cfRule>
  </conditionalFormatting>
  <conditionalFormatting sqref="W13">
    <cfRule type="cellIs" dxfId="0" priority="231" operator="lessThan">
      <formula>H13</formula>
    </cfRule>
  </conditionalFormatting>
  <conditionalFormatting sqref="W14">
    <cfRule type="cellIs" dxfId="0" priority="239" operator="lessThan">
      <formula>H14</formula>
    </cfRule>
  </conditionalFormatting>
  <conditionalFormatting sqref="W19">
    <cfRule type="cellIs" dxfId="0" priority="243" operator="lessThan">
      <formula>H19</formula>
    </cfRule>
  </conditionalFormatting>
  <conditionalFormatting sqref="W20">
    <cfRule type="cellIs" dxfId="0" priority="247" operator="lessThan">
      <formula>H20</formula>
    </cfRule>
  </conditionalFormatting>
  <conditionalFormatting sqref="W21">
    <cfRule type="cellIs" dxfId="0" priority="252" operator="lessThan">
      <formula>H21</formula>
    </cfRule>
  </conditionalFormatting>
  <conditionalFormatting sqref="W22">
    <cfRule type="cellIs" dxfId="0" priority="257" operator="lessThan">
      <formula>H22</formula>
    </cfRule>
  </conditionalFormatting>
  <conditionalFormatting sqref="W23">
    <cfRule type="cellIs" dxfId="0" priority="265" operator="lessThan">
      <formula>H23</formula>
    </cfRule>
  </conditionalFormatting>
  <conditionalFormatting sqref="W24">
    <cfRule type="cellIs" dxfId="0" priority="273" operator="lessThan">
      <formula>H24</formula>
    </cfRule>
  </conditionalFormatting>
  <conditionalFormatting sqref="W25">
    <cfRule type="cellIs" dxfId="0" priority="278" operator="lessThan">
      <formula>H25</formula>
    </cfRule>
  </conditionalFormatting>
  <conditionalFormatting sqref="W26">
    <cfRule type="cellIs" dxfId="0" priority="283" operator="lessThan">
      <formula>H26</formula>
    </cfRule>
  </conditionalFormatting>
  <conditionalFormatting sqref="W27">
    <cfRule type="cellIs" dxfId="0" priority="288" operator="lessThan">
      <formula>H27</formula>
    </cfRule>
  </conditionalFormatting>
  <conditionalFormatting sqref="W28">
    <cfRule type="cellIs" dxfId="0" priority="296" operator="lessThan">
      <formula>H28</formula>
    </cfRule>
  </conditionalFormatting>
  <conditionalFormatting sqref="W29">
    <cfRule type="cellIs" dxfId="0" priority="304" operator="lessThan">
      <formula>H29</formula>
    </cfRule>
  </conditionalFormatting>
  <conditionalFormatting sqref="W30">
    <cfRule type="cellIs" dxfId="0" priority="309" operator="lessThan">
      <formula>H30</formula>
    </cfRule>
  </conditionalFormatting>
  <conditionalFormatting sqref="W31">
    <cfRule type="cellIs" dxfId="0" priority="314" operator="lessThan">
      <formula>H31</formula>
    </cfRule>
  </conditionalFormatting>
  <conditionalFormatting sqref="W32">
    <cfRule type="cellIs" dxfId="0" priority="319" operator="lessThan">
      <formula>H32</formula>
    </cfRule>
  </conditionalFormatting>
  <conditionalFormatting sqref="W33">
    <cfRule type="cellIs" dxfId="0" priority="324" operator="lessThan">
      <formula>H33</formula>
    </cfRule>
  </conditionalFormatting>
  <conditionalFormatting sqref="W36">
    <cfRule type="cellIs" dxfId="0" priority="329" operator="lessThan">
      <formula>H36</formula>
    </cfRule>
  </conditionalFormatting>
  <conditionalFormatting sqref="W37">
    <cfRule type="cellIs" dxfId="0" priority="333" operator="lessThan">
      <formula>H37</formula>
    </cfRule>
  </conditionalFormatting>
  <conditionalFormatting sqref="W38">
    <cfRule type="cellIs" dxfId="0" priority="338" operator="lessThan">
      <formula>H38</formula>
    </cfRule>
  </conditionalFormatting>
  <conditionalFormatting sqref="W41">
    <cfRule type="cellIs" dxfId="0" priority="342" operator="lessThan">
      <formula>H41</formula>
    </cfRule>
  </conditionalFormatting>
  <conditionalFormatting sqref="W42">
    <cfRule type="cellIs" dxfId="0" priority="346" operator="lessThan">
      <formula>H42</formula>
    </cfRule>
  </conditionalFormatting>
  <conditionalFormatting sqref="W7">
    <cfRule type="cellIs" dxfId="0" priority="201" operator="lessThan">
      <formula>H7</formula>
    </cfRule>
  </conditionalFormatting>
  <conditionalFormatting sqref="W8">
    <cfRule type="cellIs" dxfId="0" priority="206" operator="lessThan">
      <formula>H8</formula>
    </cfRule>
  </conditionalFormatting>
  <conditionalFormatting sqref="W9">
    <cfRule type="cellIs" dxfId="0" priority="211" operator="lessThan">
      <formula>H9</formula>
    </cfRule>
  </conditionalFormatting>
  <conditionalFormatting sqref="X10">
    <cfRule type="expression" dxfId="3" priority="217">
      <formula>AND(X10&gt;0,MOD(X10,Z10)&lt;&gt;0)</formula>
    </cfRule>
    <cfRule type="expression" dxfId="1" priority="218">
      <formula>AND(NOT(ISBLANK(X10)),OR(W10="NonStk",X10&gt;W10))</formula>
    </cfRule>
  </conditionalFormatting>
  <conditionalFormatting sqref="X11">
    <cfRule type="expression" dxfId="3" priority="222">
      <formula>AND(X11&gt;0,MOD(X11,Z11)&lt;&gt;0)</formula>
    </cfRule>
    <cfRule type="expression" dxfId="1" priority="223">
      <formula>AND(NOT(ISBLANK(X11)),OR(W11="NonStk",X11&gt;W11))</formula>
    </cfRule>
  </conditionalFormatting>
  <conditionalFormatting sqref="X12">
    <cfRule type="expression" dxfId="3" priority="227">
      <formula>AND(X12&gt;0,MOD(X12,Z12)&lt;&gt;0)</formula>
    </cfRule>
    <cfRule type="expression" dxfId="1" priority="228">
      <formula>AND(NOT(ISBLANK(X12)),OR(W12="NonStk",X12&gt;W12))</formula>
    </cfRule>
  </conditionalFormatting>
  <conditionalFormatting sqref="X13">
    <cfRule type="expression" dxfId="3" priority="232">
      <formula>AND(X13&gt;0,MOD(X13,Z13)&lt;&gt;0)</formula>
    </cfRule>
    <cfRule type="expression" dxfId="1" priority="233">
      <formula>AND(NOT(ISBLANK(X13)),OR(W13="NonStk",X13&gt;W13))</formula>
    </cfRule>
  </conditionalFormatting>
  <conditionalFormatting sqref="X14">
    <cfRule type="expression" dxfId="1" priority="240">
      <formula>AND(NOT(ISBLANK(X14)),OR(W14="NonStk",X14&gt;W14))</formula>
    </cfRule>
  </conditionalFormatting>
  <conditionalFormatting sqref="X19">
    <cfRule type="expression" dxfId="1" priority="244">
      <formula>AND(NOT(ISBLANK(X19)),OR(W19="NonStk",X19&gt;W19))</formula>
    </cfRule>
  </conditionalFormatting>
  <conditionalFormatting sqref="X20">
    <cfRule type="expression" dxfId="3" priority="248">
      <formula>AND(X20&gt;0,MOD(X20,Z20)&lt;&gt;0)</formula>
    </cfRule>
    <cfRule type="expression" dxfId="1" priority="249">
      <formula>AND(NOT(ISBLANK(X20)),OR(W20="NonStk",X20&gt;W20))</formula>
    </cfRule>
  </conditionalFormatting>
  <conditionalFormatting sqref="X21">
    <cfRule type="expression" dxfId="3" priority="253">
      <formula>AND(X21&gt;0,MOD(X21,Z21)&lt;&gt;0)</formula>
    </cfRule>
    <cfRule type="expression" dxfId="1" priority="254">
      <formula>AND(NOT(ISBLANK(X21)),OR(W21="NonStk",X21&gt;W21))</formula>
    </cfRule>
  </conditionalFormatting>
  <conditionalFormatting sqref="X22">
    <cfRule type="expression" dxfId="3" priority="258">
      <formula>AND(X22&gt;0,MOD(X22,Z22)&lt;&gt;0)</formula>
    </cfRule>
    <cfRule type="expression" dxfId="1" priority="259">
      <formula>AND(NOT(ISBLANK(X22)),OR(W22="NonStk",X22&gt;W22))</formula>
    </cfRule>
  </conditionalFormatting>
  <conditionalFormatting sqref="X23">
    <cfRule type="expression" dxfId="3" priority="266">
      <formula>AND(X23&gt;0,MOD(X23,Z23)&lt;&gt;0)</formula>
    </cfRule>
    <cfRule type="expression" dxfId="1" priority="267">
      <formula>AND(NOT(ISBLANK(X23)),OR(W23="NonStk",X23&gt;W23))</formula>
    </cfRule>
  </conditionalFormatting>
  <conditionalFormatting sqref="X24">
    <cfRule type="expression" dxfId="3" priority="274">
      <formula>AND(X24&gt;0,MOD(X24,Z24)&lt;&gt;0)</formula>
    </cfRule>
    <cfRule type="expression" dxfId="1" priority="275">
      <formula>AND(NOT(ISBLANK(X24)),OR(W24="NonStk",X24&gt;W24))</formula>
    </cfRule>
  </conditionalFormatting>
  <conditionalFormatting sqref="X25">
    <cfRule type="expression" dxfId="3" priority="279">
      <formula>AND(X25&gt;0,MOD(X25,Z25)&lt;&gt;0)</formula>
    </cfRule>
    <cfRule type="expression" dxfId="1" priority="280">
      <formula>AND(NOT(ISBLANK(X25)),OR(W25="NonStk",X25&gt;W25))</formula>
    </cfRule>
  </conditionalFormatting>
  <conditionalFormatting sqref="X26">
    <cfRule type="expression" dxfId="3" priority="284">
      <formula>AND(X26&gt;0,MOD(X26,Z26)&lt;&gt;0)</formula>
    </cfRule>
    <cfRule type="expression" dxfId="1" priority="285">
      <formula>AND(NOT(ISBLANK(X26)),OR(W26="NonStk",X26&gt;W26))</formula>
    </cfRule>
  </conditionalFormatting>
  <conditionalFormatting sqref="X27">
    <cfRule type="expression" dxfId="3" priority="289">
      <formula>AND(X27&gt;0,MOD(X27,Z27)&lt;&gt;0)</formula>
    </cfRule>
    <cfRule type="expression" dxfId="1" priority="290">
      <formula>AND(NOT(ISBLANK(X27)),OR(W27="NonStk",X27&gt;W27))</formula>
    </cfRule>
  </conditionalFormatting>
  <conditionalFormatting sqref="X28">
    <cfRule type="expression" dxfId="3" priority="297">
      <formula>AND(X28&gt;0,MOD(X28,Z28)&lt;&gt;0)</formula>
    </cfRule>
    <cfRule type="expression" dxfId="1" priority="298">
      <formula>AND(NOT(ISBLANK(X28)),OR(W28="NonStk",X28&gt;W28))</formula>
    </cfRule>
  </conditionalFormatting>
  <conditionalFormatting sqref="X29">
    <cfRule type="expression" dxfId="3" priority="305">
      <formula>AND(X29&gt;0,MOD(X29,Z29)&lt;&gt;0)</formula>
    </cfRule>
    <cfRule type="expression" dxfId="1" priority="306">
      <formula>AND(NOT(ISBLANK(X29)),OR(W29="NonStk",X29&gt;W29))</formula>
    </cfRule>
  </conditionalFormatting>
  <conditionalFormatting sqref="X30">
    <cfRule type="expression" dxfId="3" priority="310">
      <formula>AND(X30&gt;0,MOD(X30,Z30)&lt;&gt;0)</formula>
    </cfRule>
    <cfRule type="expression" dxfId="1" priority="311">
      <formula>AND(NOT(ISBLANK(X30)),OR(W30="NonStk",X30&gt;W30))</formula>
    </cfRule>
  </conditionalFormatting>
  <conditionalFormatting sqref="X31">
    <cfRule type="expression" dxfId="3" priority="315">
      <formula>AND(X31&gt;0,MOD(X31,Z31)&lt;&gt;0)</formula>
    </cfRule>
    <cfRule type="expression" dxfId="1" priority="316">
      <formula>AND(NOT(ISBLANK(X31)),OR(W31="NonStk",X31&gt;W31))</formula>
    </cfRule>
  </conditionalFormatting>
  <conditionalFormatting sqref="X32">
    <cfRule type="expression" dxfId="3" priority="320">
      <formula>AND(X32&gt;0,MOD(X32,Z32)&lt;&gt;0)</formula>
    </cfRule>
    <cfRule type="expression" dxfId="1" priority="321">
      <formula>AND(NOT(ISBLANK(X32)),OR(W32="NonStk",X32&gt;W32))</formula>
    </cfRule>
  </conditionalFormatting>
  <conditionalFormatting sqref="X33">
    <cfRule type="expression" dxfId="3" priority="325">
      <formula>AND(X33&gt;0,MOD(X33,Z33)&lt;&gt;0)</formula>
    </cfRule>
    <cfRule type="expression" dxfId="1" priority="326">
      <formula>AND(NOT(ISBLANK(X33)),OR(W33="NonStk",X33&gt;W33))</formula>
    </cfRule>
  </conditionalFormatting>
  <conditionalFormatting sqref="X36">
    <cfRule type="expression" dxfId="1" priority="330">
      <formula>AND(NOT(ISBLANK(X36)),OR(W36="NonStk",X36&gt;W36))</formula>
    </cfRule>
  </conditionalFormatting>
  <conditionalFormatting sqref="X37">
    <cfRule type="expression" dxfId="3" priority="334">
      <formula>AND(X37&gt;0,MOD(X37,Z37)&lt;&gt;0)</formula>
    </cfRule>
    <cfRule type="expression" dxfId="1" priority="335">
      <formula>AND(NOT(ISBLANK(X37)),OR(W37="NonStk",X37&gt;W37))</formula>
    </cfRule>
  </conditionalFormatting>
  <conditionalFormatting sqref="X38">
    <cfRule type="expression" dxfId="1" priority="339">
      <formula>AND(NOT(ISBLANK(X38)),OR(W38="NonStk",X38&gt;W38))</formula>
    </cfRule>
  </conditionalFormatting>
  <conditionalFormatting sqref="X41">
    <cfRule type="expression" dxfId="1" priority="343">
      <formula>AND(NOT(ISBLANK(X41)),OR(W41="NonStk",X41&gt;W41))</formula>
    </cfRule>
  </conditionalFormatting>
  <conditionalFormatting sqref="X42">
    <cfRule type="expression" dxfId="3" priority="347">
      <formula>AND(X42&gt;0,MOD(X42,Z42)&lt;&gt;0)</formula>
    </cfRule>
    <cfRule type="expression" dxfId="1" priority="348">
      <formula>AND(NOT(ISBLANK(X42)),OR(W42="NonStk",X42&gt;W42))</formula>
    </cfRule>
  </conditionalFormatting>
  <conditionalFormatting sqref="X7">
    <cfRule type="expression" dxfId="3" priority="202">
      <formula>AND(X7&gt;0,MOD(X7,Z7)&lt;&gt;0)</formula>
    </cfRule>
    <cfRule type="expression" dxfId="1" priority="203">
      <formula>AND(NOT(ISBLANK(X7)),OR(W7="NonStk",X7&gt;W7))</formula>
    </cfRule>
  </conditionalFormatting>
  <conditionalFormatting sqref="X8">
    <cfRule type="expression" dxfId="3" priority="207">
      <formula>AND(X8&gt;0,MOD(X8,Z8)&lt;&gt;0)</formula>
    </cfRule>
    <cfRule type="expression" dxfId="1" priority="208">
      <formula>AND(NOT(ISBLANK(X8)),OR(W8="NonStk",X8&gt;W8))</formula>
    </cfRule>
  </conditionalFormatting>
  <conditionalFormatting sqref="X9">
    <cfRule type="expression" dxfId="3" priority="212">
      <formula>AND(X9&gt;0,MOD(X9,Z9)&lt;&gt;0)</formula>
    </cfRule>
    <cfRule type="expression" dxfId="1" priority="213">
      <formula>AND(NOT(ISBLANK(X9)),OR(W9="NonStk",X9&gt;W9))</formula>
    </cfRule>
  </conditionalFormatting>
  <conditionalFormatting sqref="Y10">
    <cfRule type="cellIs" dxfId="2" priority="220" operator="lessThanOrEqual">
      <formula>I10</formula>
    </cfRule>
  </conditionalFormatting>
  <conditionalFormatting sqref="Y11">
    <cfRule type="cellIs" dxfId="2" priority="225" operator="lessThanOrEqual">
      <formula>I11</formula>
    </cfRule>
  </conditionalFormatting>
  <conditionalFormatting sqref="Y12">
    <cfRule type="cellIs" dxfId="2" priority="230" operator="lessThanOrEqual">
      <formula>I12</formula>
    </cfRule>
  </conditionalFormatting>
  <conditionalFormatting sqref="Y13">
    <cfRule type="cellIs" dxfId="2" priority="235" operator="lessThanOrEqual">
      <formula>I13</formula>
    </cfRule>
    <cfRule type="expression" dxfId="3" priority="236">
      <formula>AND(H13&lt;4000,X13&lt;4000)</formula>
    </cfRule>
  </conditionalFormatting>
  <conditionalFormatting sqref="Y14">
    <cfRule type="cellIs" dxfId="2" priority="242" operator="lessThanOrEqual">
      <formula>I14</formula>
    </cfRule>
  </conditionalFormatting>
  <conditionalFormatting sqref="Y19">
    <cfRule type="cellIs" dxfId="2" priority="246" operator="lessThanOrEqual">
      <formula>I19</formula>
    </cfRule>
  </conditionalFormatting>
  <conditionalFormatting sqref="Y20">
    <cfRule type="cellIs" dxfId="2" priority="251" operator="lessThanOrEqual">
      <formula>I20</formula>
    </cfRule>
  </conditionalFormatting>
  <conditionalFormatting sqref="Y21">
    <cfRule type="cellIs" dxfId="2" priority="256" operator="lessThanOrEqual">
      <formula>I21</formula>
    </cfRule>
  </conditionalFormatting>
  <conditionalFormatting sqref="Y22">
    <cfRule type="cellIs" dxfId="2" priority="261" operator="lessThanOrEqual">
      <formula>I22</formula>
    </cfRule>
    <cfRule type="expression" dxfId="3" priority="262">
      <formula>AND(H22&lt;30000,X22&lt;30000)</formula>
    </cfRule>
  </conditionalFormatting>
  <conditionalFormatting sqref="Y23">
    <cfRule type="cellIs" dxfId="2" priority="269" operator="lessThanOrEqual">
      <formula>I23</formula>
    </cfRule>
    <cfRule type="expression" dxfId="3" priority="270">
      <formula>AND(H23&lt;30000,X23&lt;30000)</formula>
    </cfRule>
  </conditionalFormatting>
  <conditionalFormatting sqref="Y24">
    <cfRule type="cellIs" dxfId="2" priority="277" operator="lessThanOrEqual">
      <formula>I24</formula>
    </cfRule>
  </conditionalFormatting>
  <conditionalFormatting sqref="Y25">
    <cfRule type="cellIs" dxfId="2" priority="282" operator="lessThanOrEqual">
      <formula>I25</formula>
    </cfRule>
  </conditionalFormatting>
  <conditionalFormatting sqref="Y26">
    <cfRule type="cellIs" dxfId="2" priority="287" operator="lessThanOrEqual">
      <formula>I26</formula>
    </cfRule>
  </conditionalFormatting>
  <conditionalFormatting sqref="Y27">
    <cfRule type="cellIs" dxfId="2" priority="292" operator="lessThanOrEqual">
      <formula>I27</formula>
    </cfRule>
    <cfRule type="expression" dxfId="3" priority="293">
      <formula>AND(H27&lt;30000,X27&lt;30000)</formula>
    </cfRule>
  </conditionalFormatting>
  <conditionalFormatting sqref="Y28">
    <cfRule type="cellIs" dxfId="2" priority="300" operator="lessThanOrEqual">
      <formula>I28</formula>
    </cfRule>
    <cfRule type="expression" dxfId="3" priority="301">
      <formula>AND(H28&lt;30000,X28&lt;30000)</formula>
    </cfRule>
  </conditionalFormatting>
  <conditionalFormatting sqref="Y29">
    <cfRule type="cellIs" dxfId="2" priority="308" operator="lessThanOrEqual">
      <formula>I29</formula>
    </cfRule>
  </conditionalFormatting>
  <conditionalFormatting sqref="Y30">
    <cfRule type="cellIs" dxfId="2" priority="313" operator="lessThanOrEqual">
      <formula>I30</formula>
    </cfRule>
  </conditionalFormatting>
  <conditionalFormatting sqref="Y31">
    <cfRule type="cellIs" dxfId="2" priority="318" operator="lessThanOrEqual">
      <formula>I31</formula>
    </cfRule>
  </conditionalFormatting>
  <conditionalFormatting sqref="Y32">
    <cfRule type="cellIs" dxfId="2" priority="323" operator="lessThanOrEqual">
      <formula>I32</formula>
    </cfRule>
  </conditionalFormatting>
  <conditionalFormatting sqref="Y33">
    <cfRule type="cellIs" dxfId="2" priority="328" operator="lessThanOrEqual">
      <formula>I33</formula>
    </cfRule>
  </conditionalFormatting>
  <conditionalFormatting sqref="Y36">
    <cfRule type="cellIs" dxfId="2" priority="332" operator="lessThanOrEqual">
      <formula>I36</formula>
    </cfRule>
  </conditionalFormatting>
  <conditionalFormatting sqref="Y37">
    <cfRule type="cellIs" dxfId="2" priority="337" operator="lessThanOrEqual">
      <formula>I37</formula>
    </cfRule>
  </conditionalFormatting>
  <conditionalFormatting sqref="Y38">
    <cfRule type="cellIs" dxfId="2" priority="341" operator="lessThanOrEqual">
      <formula>I38</formula>
    </cfRule>
  </conditionalFormatting>
  <conditionalFormatting sqref="Y41">
    <cfRule type="cellIs" dxfId="2" priority="345" operator="lessThanOrEqual">
      <formula>I41</formula>
    </cfRule>
  </conditionalFormatting>
  <conditionalFormatting sqref="Y42">
    <cfRule type="cellIs" dxfId="2" priority="350" operator="lessThanOrEqual">
      <formula>I42</formula>
    </cfRule>
  </conditionalFormatting>
  <conditionalFormatting sqref="Y7">
    <cfRule type="cellIs" dxfId="2" priority="205" operator="lessThanOrEqual">
      <formula>I7</formula>
    </cfRule>
  </conditionalFormatting>
  <conditionalFormatting sqref="Y8">
    <cfRule type="cellIs" dxfId="2" priority="210" operator="lessThanOrEqual">
      <formula>I8</formula>
    </cfRule>
  </conditionalFormatting>
  <conditionalFormatting sqref="Y9">
    <cfRule type="cellIs" dxfId="2" priority="215" operator="lessThanOrEqual">
      <formula>I9</formula>
    </cfRule>
  </conditionalFormatting>
  <conditionalFormatting sqref="Z13">
    <cfRule type="expression" dxfId="3" priority="237">
      <formula>AND(H13&lt;4000,X13&lt;4000)</formula>
    </cfRule>
  </conditionalFormatting>
  <conditionalFormatting sqref="Z22">
    <cfRule type="expression" dxfId="3" priority="263">
      <formula>AND(H22&lt;30000,X22&lt;30000)</formula>
    </cfRule>
  </conditionalFormatting>
  <conditionalFormatting sqref="Z23">
    <cfRule type="expression" dxfId="3" priority="271">
      <formula>AND(H23&lt;30000,X23&lt;30000)</formula>
    </cfRule>
  </conditionalFormatting>
  <conditionalFormatting sqref="Z27">
    <cfRule type="expression" dxfId="3" priority="294">
      <formula>AND(H27&lt;30000,X27&lt;30000)</formula>
    </cfRule>
  </conditionalFormatting>
  <conditionalFormatting sqref="Z28">
    <cfRule type="expression" dxfId="3" priority="302">
      <formula>AND(H28&lt;30000,X28&lt;30000)</formula>
    </cfRule>
  </conditionalFormatting>
  <hyperlinks>
    <hyperlink ref="G7" r:id="rId1"/>
    <hyperlink ref="P7" r:id="rId2"/>
    <hyperlink ref="V7" r:id="rId3"/>
    <hyperlink ref="AB7" r:id="rId4"/>
    <hyperlink ref="AH7" r:id="rId5"/>
    <hyperlink ref="AN7" r:id="rId6"/>
    <hyperlink ref="AT7" r:id="rId7"/>
    <hyperlink ref="G8" r:id="rId8"/>
    <hyperlink ref="P8" r:id="rId9"/>
    <hyperlink ref="V8" r:id="rId10"/>
    <hyperlink ref="AB8" r:id="rId11"/>
    <hyperlink ref="AH8" r:id="rId12"/>
    <hyperlink ref="AN8" r:id="rId13"/>
    <hyperlink ref="AT8" r:id="rId14"/>
    <hyperlink ref="G9" r:id="rId15"/>
    <hyperlink ref="P9" r:id="rId16"/>
    <hyperlink ref="V9" r:id="rId17"/>
    <hyperlink ref="AB9" r:id="rId18"/>
    <hyperlink ref="AH9" r:id="rId19"/>
    <hyperlink ref="AN9" r:id="rId20"/>
    <hyperlink ref="AT9" r:id="rId21"/>
    <hyperlink ref="G10" r:id="rId22"/>
    <hyperlink ref="P10" r:id="rId23"/>
    <hyperlink ref="V10" r:id="rId24"/>
    <hyperlink ref="AB10" r:id="rId25"/>
    <hyperlink ref="AH10" r:id="rId26"/>
    <hyperlink ref="AN10" r:id="rId27"/>
    <hyperlink ref="AT10" r:id="rId28"/>
    <hyperlink ref="AZ10" r:id="rId29"/>
    <hyperlink ref="G11" r:id="rId30"/>
    <hyperlink ref="P11" r:id="rId31"/>
    <hyperlink ref="V11" r:id="rId32"/>
    <hyperlink ref="AB11" r:id="rId33"/>
    <hyperlink ref="AH11" r:id="rId34"/>
    <hyperlink ref="AN11" r:id="rId35"/>
    <hyperlink ref="AT11" r:id="rId36"/>
    <hyperlink ref="G12" r:id="rId37"/>
    <hyperlink ref="V12" r:id="rId38"/>
    <hyperlink ref="AB12" r:id="rId39"/>
    <hyperlink ref="AN12" r:id="rId40"/>
    <hyperlink ref="AT12" r:id="rId41"/>
    <hyperlink ref="AZ12" r:id="rId42"/>
    <hyperlink ref="G13" r:id="rId43"/>
    <hyperlink ref="P13" r:id="rId44"/>
    <hyperlink ref="V13" r:id="rId45"/>
    <hyperlink ref="AB13" r:id="rId46"/>
    <hyperlink ref="AN13" r:id="rId47"/>
    <hyperlink ref="AT13" r:id="rId48"/>
    <hyperlink ref="BF13" r:id="rId49"/>
    <hyperlink ref="G14" r:id="rId50"/>
    <hyperlink ref="V14" r:id="rId51"/>
    <hyperlink ref="AB14" r:id="rId52"/>
    <hyperlink ref="AN14" r:id="rId53"/>
    <hyperlink ref="AT14" r:id="rId54"/>
    <hyperlink ref="BF14" r:id="rId55"/>
    <hyperlink ref="G19" r:id="rId56"/>
    <hyperlink ref="V19" r:id="rId57"/>
    <hyperlink ref="AB19" r:id="rId58"/>
    <hyperlink ref="AN19" r:id="rId59"/>
    <hyperlink ref="AT19" r:id="rId60"/>
    <hyperlink ref="G20" r:id="rId61"/>
    <hyperlink ref="V20" r:id="rId62"/>
    <hyperlink ref="AB20" r:id="rId63"/>
    <hyperlink ref="AH20" r:id="rId64"/>
    <hyperlink ref="AN20" r:id="rId65"/>
    <hyperlink ref="AT20" r:id="rId66"/>
    <hyperlink ref="AZ20" r:id="rId67"/>
    <hyperlink ref="G21" r:id="rId68"/>
    <hyperlink ref="V21" r:id="rId69"/>
    <hyperlink ref="AB21" r:id="rId70"/>
    <hyperlink ref="AN21" r:id="rId71"/>
    <hyperlink ref="AT21" r:id="rId72"/>
    <hyperlink ref="G22" r:id="rId73"/>
    <hyperlink ref="P22" r:id="rId74"/>
    <hyperlink ref="V22" r:id="rId75"/>
    <hyperlink ref="AB22" r:id="rId76"/>
    <hyperlink ref="AN22" r:id="rId77"/>
    <hyperlink ref="AT22" r:id="rId78"/>
    <hyperlink ref="AZ22" r:id="rId79"/>
    <hyperlink ref="G23" r:id="rId80"/>
    <hyperlink ref="P23" r:id="rId81"/>
    <hyperlink ref="V23" r:id="rId82"/>
    <hyperlink ref="AB23" r:id="rId83"/>
    <hyperlink ref="AN23" r:id="rId84"/>
    <hyperlink ref="AT23" r:id="rId85"/>
    <hyperlink ref="AZ23" r:id="rId86"/>
    <hyperlink ref="G24" r:id="rId87"/>
    <hyperlink ref="P24" r:id="rId88"/>
    <hyperlink ref="V24" r:id="rId89"/>
    <hyperlink ref="AB24" r:id="rId90"/>
    <hyperlink ref="AH24" r:id="rId91"/>
    <hyperlink ref="AN24" r:id="rId92"/>
    <hyperlink ref="AT24" r:id="rId93"/>
    <hyperlink ref="AZ24" r:id="rId94"/>
    <hyperlink ref="G25" r:id="rId95"/>
    <hyperlink ref="P25" r:id="rId96"/>
    <hyperlink ref="V25" r:id="rId97"/>
    <hyperlink ref="AB25" r:id="rId98"/>
    <hyperlink ref="AH25" r:id="rId99"/>
    <hyperlink ref="AN25" r:id="rId100"/>
    <hyperlink ref="AT25" r:id="rId101"/>
    <hyperlink ref="G26" r:id="rId102"/>
    <hyperlink ref="P26" r:id="rId103"/>
    <hyperlink ref="V26" r:id="rId104"/>
    <hyperlink ref="AB26" r:id="rId105"/>
    <hyperlink ref="AH26" r:id="rId106"/>
    <hyperlink ref="AN26" r:id="rId107"/>
    <hyperlink ref="AT26" r:id="rId108"/>
    <hyperlink ref="AZ26" r:id="rId109"/>
    <hyperlink ref="G27" r:id="rId110"/>
    <hyperlink ref="V27" r:id="rId111"/>
    <hyperlink ref="AB27" r:id="rId112"/>
    <hyperlink ref="AN27" r:id="rId113"/>
    <hyperlink ref="AT27" r:id="rId114"/>
    <hyperlink ref="G28" r:id="rId115"/>
    <hyperlink ref="P28" r:id="rId116"/>
    <hyperlink ref="V28" r:id="rId117"/>
    <hyperlink ref="AB28" r:id="rId118"/>
    <hyperlink ref="AH28" r:id="rId119"/>
    <hyperlink ref="AN28" r:id="rId120"/>
    <hyperlink ref="AT28" r:id="rId121"/>
    <hyperlink ref="AZ28" r:id="rId122"/>
    <hyperlink ref="G29" r:id="rId123"/>
    <hyperlink ref="V29" r:id="rId124"/>
    <hyperlink ref="AB29" r:id="rId125"/>
    <hyperlink ref="AN29" r:id="rId126"/>
    <hyperlink ref="AT29" r:id="rId127"/>
    <hyperlink ref="AZ29" r:id="rId128"/>
    <hyperlink ref="G30" r:id="rId129"/>
    <hyperlink ref="V30" r:id="rId130"/>
    <hyperlink ref="AB30" r:id="rId131"/>
    <hyperlink ref="AH30" r:id="rId132"/>
    <hyperlink ref="AN30" r:id="rId133"/>
    <hyperlink ref="AT30" r:id="rId134"/>
    <hyperlink ref="AZ30" r:id="rId135"/>
    <hyperlink ref="G31" r:id="rId136"/>
    <hyperlink ref="V31" r:id="rId137"/>
    <hyperlink ref="AB31" r:id="rId138"/>
    <hyperlink ref="AH31" r:id="rId139"/>
    <hyperlink ref="AN31" r:id="rId140"/>
    <hyperlink ref="AT31" r:id="rId141"/>
    <hyperlink ref="G32" r:id="rId142"/>
    <hyperlink ref="V32" r:id="rId143"/>
    <hyperlink ref="AB32" r:id="rId144"/>
    <hyperlink ref="AN32" r:id="rId145"/>
    <hyperlink ref="AT32" r:id="rId146"/>
    <hyperlink ref="BF32" r:id="rId147"/>
    <hyperlink ref="G33" r:id="rId148"/>
    <hyperlink ref="V33" r:id="rId149"/>
    <hyperlink ref="AB33" r:id="rId150"/>
    <hyperlink ref="AN33" r:id="rId151"/>
    <hyperlink ref="AT33" r:id="rId152"/>
    <hyperlink ref="AZ33" r:id="rId153"/>
    <hyperlink ref="G34" r:id="rId154"/>
    <hyperlink ref="V34" r:id="rId155"/>
    <hyperlink ref="AN34" r:id="rId156"/>
    <hyperlink ref="G35" r:id="rId157"/>
    <hyperlink ref="V35" r:id="rId158"/>
    <hyperlink ref="AN35" r:id="rId159"/>
    <hyperlink ref="G36" r:id="rId160"/>
    <hyperlink ref="V36" r:id="rId161"/>
    <hyperlink ref="AB36" r:id="rId162"/>
    <hyperlink ref="AN36" r:id="rId163"/>
    <hyperlink ref="AT36" r:id="rId164"/>
    <hyperlink ref="G37" r:id="rId165"/>
    <hyperlink ref="V37" r:id="rId166"/>
    <hyperlink ref="AB37" r:id="rId167"/>
    <hyperlink ref="AN37" r:id="rId168"/>
    <hyperlink ref="AT37" r:id="rId169"/>
    <hyperlink ref="AZ37" r:id="rId170"/>
    <hyperlink ref="BF37" r:id="rId171"/>
    <hyperlink ref="G38" r:id="rId172"/>
    <hyperlink ref="V38" r:id="rId173"/>
    <hyperlink ref="AB38" r:id="rId174"/>
    <hyperlink ref="AN38" r:id="rId175"/>
    <hyperlink ref="AT38" r:id="rId176"/>
    <hyperlink ref="AZ38" r:id="rId177"/>
    <hyperlink ref="BF38" r:id="rId178"/>
    <hyperlink ref="G39" r:id="rId179"/>
    <hyperlink ref="AN39" r:id="rId180"/>
    <hyperlink ref="G40" r:id="rId181"/>
    <hyperlink ref="P40" r:id="rId182"/>
    <hyperlink ref="V40" r:id="rId183"/>
    <hyperlink ref="G41" r:id="rId184"/>
    <hyperlink ref="V41" r:id="rId185"/>
    <hyperlink ref="AB41" r:id="rId186"/>
    <hyperlink ref="AN41" r:id="rId187"/>
    <hyperlink ref="AT41" r:id="rId188"/>
    <hyperlink ref="G42" r:id="rId189"/>
    <hyperlink ref="P42" r:id="rId190"/>
    <hyperlink ref="V42" r:id="rId191"/>
    <hyperlink ref="AB42" r:id="rId192"/>
    <hyperlink ref="AN42" r:id="rId193"/>
    <hyperlink ref="AT42" r:id="rId194"/>
    <hyperlink ref="AZ42" r:id="rId195"/>
    <hyperlink ref="K44" r:id="rId196"/>
    <hyperlink ref="Q44" r:id="rId197"/>
    <hyperlink ref="W44" r:id="rId198"/>
    <hyperlink ref="AC44" r:id="rId199"/>
    <hyperlink ref="AI44" r:id="rId200"/>
    <hyperlink ref="AO44" r:id="rId201"/>
    <hyperlink ref="AU44" r:id="rId202"/>
    <hyperlink ref="BA44" r:id="rId203"/>
  </hyperlinks>
  <pageMargins left="0.7" right="0.7" top="0.75" bottom="0.75" header="0.3" footer="0.3"/>
  <legacyDrawing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reDIP-SID-BOM</vt:lpstr>
      <vt:lpstr>'reDIP-SID-BOM'!BoardQty</vt:lpstr>
      <vt:lpstr>'reDIP-SID-BOM'!PURCHASE_DESCRIPTION</vt:lpstr>
      <vt:lpstr>'reDIP-SID-BOM'!TotalCost</vt:lpstr>
      <vt:lpstr>'reDIP-SID-BOM'!USD_GBP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2022-04-08T10:00:56Z</dcterms:created>
  <dcterms:modified xsi:type="dcterms:W3CDTF">2022-04-08T10:00:56Z</dcterms:modified>
</cp:coreProperties>
</file>