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IP-SID-BOM. " sheetId="1" state="visible" r:id="rId2"/>
  </sheets>
  <definedNames>
    <definedName function="false" hidden="false" name="arrow_part_data" vbProcedure="false">'reDIP-SID-BOM. '!$K$5:$O$41</definedName>
    <definedName function="false" hidden="false" name="BoardQty" vbProcedure="false">'reDIP-SID-BOM. '!$J$1</definedName>
    <definedName function="false" hidden="false" name="digikey_part_data" vbProcedure="false">'reDIP-SID-BOM. '!$P$5:$T$41</definedName>
    <definedName function="false" hidden="false" name="farnell_part_data" vbProcedure="false">'reDIP-SID-BOM. '!$U$5:$Y$41</definedName>
    <definedName function="false" hidden="false" name="global_part_data" vbProcedure="false">'reDIP-SID-BOM. '!$A$5:$J$41</definedName>
    <definedName function="false" hidden="false" name="lcsc_part_data" vbProcedure="false">'reDIP-SID-BOM. '!$Z$5:$AD$41</definedName>
    <definedName function="false" hidden="false" name="mouser_part_data" vbProcedure="false">'reDIP-SID-BOM. '!$AE$5:$AI$41</definedName>
    <definedName function="false" hidden="false" name="newark_part_data" vbProcedure="false">'reDIP-SID-BOM. '!$AJ$5:$AN$41</definedName>
    <definedName function="false" hidden="false" name="PURCHASE_DESCRIPTION" vbProcedure="false">'reDIP-SID-BOM. '!$J$44</definedName>
    <definedName function="false" hidden="false" name="rs_part_data" vbProcedure="false">'reDIP-SID-BOM. '!$AO$5:$AS$41</definedName>
    <definedName function="false" hidden="false" name="tme_part_data" vbProcedure="false">'reDIP-SID-BOM. '!$AT$5:$AX$41</definedName>
    <definedName function="false" hidden="false" name="TotalCost" vbProcedure="false">'reDIP-SID-BOM. '!$J$3</definedName>
    <definedName function="false" hidden="false" name="USD_GBP" vbProcedure="false">'reDIP-SID-BOM. '!$C$44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User-defined field.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needed.
Gray -&gt; No manf# provided.
Red -&gt; No parts available.
Orange -&gt; Not enough parts available.
Yellow -&gt; Parts available, but haven't purchased enough.</t>
        </r>
      </text>
    </comment>
    <comment ref="I3" authorId="0">
      <text>
        <r>
          <rPr>
            <sz val="8"/>
            <color rgb="FF000000"/>
            <rFont val="Tahoma"/>
            <family val="2"/>
            <charset val="1"/>
          </rPr>
          <t xml:space="preserve">Use the minimum extend price across distributors not taking account available quantities.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43" authorId="0">
      <text>
        <r>
          <rPr>
            <sz val="8"/>
            <color rgb="FF000000"/>
            <rFont val="Tahoma"/>
            <family val="2"/>
            <charset val="1"/>
          </rPr>
          <t xml:space="preserve">This is the total of your cart across all distributors.</t>
        </r>
      </text>
    </comment>
    <comment ref="I44" authorId="0">
      <text>
        <r>
          <rPr>
            <sz val="8"/>
            <color rgb="FF000000"/>
            <rFont val="Tahoma"/>
            <family val="2"/>
            <charset val="1"/>
          </rPr>
          <t xml:space="preserve">This description will be added to all purchased parts label and may be used to distinguish the component of different projects.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L43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O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P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P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P2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P2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P3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P3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P36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P3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P3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Q43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R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$0.37      $0.37
    10   $0.26      $2.58
    50   $0.18      $9.04
   100   $0.15     $15.49
   500   $0.12     $58.09
  1000   $0.10     $98.11
  4000   $0.08    $305.32</t>
        </r>
      </text>
    </comment>
    <comment ref="R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$0.37      $0.37
    10   $0.26      $2.58
    50   $0.18      $9.03
   100   $0.15     $15.48
   500   $0.12     $58.04
  1000   $0.10     $98.02
  4000   $0.09    $350.80</t>
        </r>
      </text>
    </comment>
    <comment ref="R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R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R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R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R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$0.18      $0.18
    10   $0.17      $1.66
   100   $0.09      $9.04
   500   $0.06     $27.83
  1000   $0.04     $37.95
  3000   $0.03     $96.78
  6000   $0.03    $174.60
 15000   $0.03    $379.50
 30000   $0.02    $683.10
 75000   $0.02  $1,518.00</t>
        </r>
      </text>
    </comment>
    <comment ref="R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R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$0.33      $0.33
    10   $0.26      $2.63
   100   $0.12     $11.83
   500   $0.11     $53.42
  1000   $0.09     $87.77
  2000   $0.08    $152.64
  4000   $0.08    $305.28
  8000   $0.07    $549.52
 12000   $0.06    $732.72
 28000   $0.06  $1,602.72
100000   $0.05  $5,400.00</t>
        </r>
      </text>
    </comment>
    <comment ref="R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R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R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R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$173.25</t>
        </r>
      </text>
    </comment>
    <comment ref="R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R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R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R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R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R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$0.22      $0.22
    10   $0.21      $2.11
    25   $0.20      $5.00
   100   $0.18     $18.19
   250   $0.17     $42.75
   500   $0.16     $78.22
  1000   $0.13    $130.97
  2500   $0.13    $318.32
  8500   $0.12  $1,020.43
 17000   $0.11  $1,917.26</t>
        </r>
      </text>
    </comment>
    <comment ref="R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$0.46      $0.46
    10   $0.34      $3.43
    25   $0.30      $7.51
   100   $0.19     $19.45
   250   $0.16     $40.25
   500   $0.13     $64.40
  1000   $0.10     $98.74
  3000   $0.09    $257.58
  6000   $0.08    $463.62
 15000   $0.07  $1,063.05</t>
        </r>
      </text>
    </comment>
    <comment ref="R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$1.97      $1.97
    10   $1.80     $17.98
    25   $1.75     $43.74
    50   $1.74     $87.04
   100   $1.56    $155.60
   250   $1.55    $387.88
   500   $1.53    $764.05
  1000   $1.46  $1,463.22
  5000   $1.36  $6,811.55</t>
        </r>
      </text>
    </comment>
    <comment ref="R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$6.00      $6.00
    25   $5.25    $131.25
   100   $5.00    $500.50
  2000   $5.00 $10,010.00</t>
        </r>
      </text>
    </comment>
    <comment ref="R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$0.47      $0.47
    10   $0.40      $4.02
    25   $0.38      $9.39
   100   $0.30     $30.04
   250   $0.28     $69.73
   500   $0.24    $118.00
  1000   $0.18    $182.36
  3000   $0.18    $531.30</t>
        </r>
      </text>
    </comment>
    <comment ref="R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$1.06      $1.06
    10   $0.95      $9.50
    25   $0.90     $22.53
   100   $0.74     $74.04
   250   $0.69    $173.03
   500   $0.61    $305.83
  1000   $0.53    $531.48
  3000   $0.53  $1,594.41</t>
        </r>
      </text>
    </comment>
    <comment ref="R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2000   $1.61  $3,220.00</t>
        </r>
      </text>
    </comment>
    <comment ref="R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$3.90      $3.90
    10   $3.85     $38.50</t>
        </r>
      </text>
    </comment>
    <comment ref="R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$0.26      $0.26
    10   $0.24      $2.39
    25   $0.23      $5.70
    50   $0.22     $11.04
   100   $0.21     $21.34
   250   $0.20     $50.60
   500   $0.17     $84.64
  1000   $0.13    $131.38
  4000   $0.13    $500.48
  8000   $0.12    $942.08
 12000   $0.11  $1,324.80
 28000   $0.10  $2,885.12</t>
        </r>
      </text>
    </comment>
    <comment ref="R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$0.66      $0.66
    25   $0.56     $14.00
   100   $0.54     $54.00
  3000   $0.54  $1,620.00</t>
        </r>
      </text>
    </comment>
    <comment ref="R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$1.62      $1.62
    10   $1.55     $15.48
    50   $1.51     $75.60
   100   $1.30    $129.60
   500   $1.26    $630.00
  1000   $1.06  $1,062.00
  3000   $1.01  $3,024.00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T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U2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U2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U2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U2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U3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U3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U3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V43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W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£0.30      £3.01
   100   £0.16     £16.20
   150   £0.16     £24.30
   500   £0.11     £53.00
  1000   £0.09     £90.00
  2000   £0.08    £165.60
  4000   £0.08    £302.40
 20000   £0.07  £1,482.00</t>
        </r>
      </text>
    </comment>
    <comment ref="W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£0.19      £1.87
   100   £0.14     £13.90
   150   £0.14     £20.85
   500   £0.09     £44.95
  1000   £0.08     £75.90
  2000   £0.07    £148.60
  4000   £0.07    £291.20
 20000   £0.06  £1,206.00</t>
        </r>
      </text>
    </comment>
    <comment ref="W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£0.15      £1.52
   100   £0.11     £10.60
   150   £0.11     £15.90
   500   £0.08     £41.85
  2500   £0.06    £159.00
  7500   £0.05    £397.50
 15000   £0.05    £780.00
 75000   £0.04  £3,337.50</t>
        </r>
      </text>
    </comment>
    <comment ref="W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£0.23      £2.27
   100   £0.18     £18.40
   150   £0.18     £27.60
   500   £0.10     £51.00
  2500   £0.10    £242.25
  5000   £0.09    £426.50
 10000   £0.08    £836.00
 50000   £0.07  £3,580.00</t>
        </r>
      </text>
    </comment>
    <comment ref="W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£0.13      £1.27
   100   £0.10     £10.50
   150   £0.10     £15.75
   500   £0.05     £26.15
  2500   £0.05    £125.00
  5000   £0.05    £228.00
 10000   £0.04    £432.00
 50000   £0.04  £1,930.00</t>
        </r>
      </text>
    </comment>
    <comment ref="W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£0.02      £0.21
   100   £0.02      £1.68
   150   £0.02      £2.52
   500   £0.01      £4.50
  2500   £0.01     £15.00
  7500   £0.01     £44.25
 15000   £0.01     £81.00
 75000   £0.00    £352.50</t>
        </r>
      </text>
    </comment>
    <comment ref="W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£0.16      £0.79
    50   £0.12      £6.15
   100   £0.09      £8.83
   150   £0.09     £13.25
   500   £0.04     £18.25
  3000   £0.03     £85.20</t>
        </r>
      </text>
    </comment>
    <comment ref="W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4000   £0.08    £330.80</t>
        </r>
      </text>
    </comment>
    <comment ref="W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£0.26      £0.26
    25   £0.20      £5.00
    50   £0.14      £7.25
   100   £0.09      £8.92
   250   £0.08     £21.22
   500   £0.08     £40.65</t>
        </r>
      </text>
    </comment>
    <comment ref="W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£0.03      £0.26
   100   £0.01      £1.41
   150   £0.01      £2.11
   500   £0.01      £4.35
  2500   £0.00     £11.50
  7500   £0.00     £30.75
 15000   £0.00     £43.50</t>
        </r>
      </text>
    </comment>
    <comment ref="W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30000   £0.01    £156.00</t>
        </r>
      </text>
    </comment>
    <comment ref="W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30000   £0.01    £156.00</t>
        </r>
      </text>
    </comment>
    <comment ref="W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£0.04      £0.40
   100   £0.02      £2.40
   150   £0.02      £3.60
   500   £0.02      £9.00
  2500   £0.01     £30.00
  7500   £0.01     £67.50
 15000   £0.01    £105.00
 75000   £0.01    £382.50</t>
        </r>
      </text>
    </comment>
    <comment ref="W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30000   £0.01    £165.00</t>
        </r>
      </text>
    </comment>
    <comment ref="W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£0.04      £0.40
   100   £0.02      £1.73
   150   £0.02      £2.59
   500   £0.01      £4.10
  2500   £0.01     £17.00
  7500   £0.01     £45.75
 15000   £0.01     £84.00
 75000   £0.01    £405.00</t>
        </r>
      </text>
    </comment>
    <comment ref="W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30000   £0.01    £210.00</t>
        </r>
      </text>
    </comment>
    <comment ref="W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£0.05      £0.49
   100   £0.02      £1.95
   150   £0.02      £2.92
   500   £0.01      £4.10
  2500   £0.01     £17.00
  7500   £0.01     £45.00
 15000   £0.01     £84.00
 75000   £0.01    £405.00</t>
        </r>
      </text>
    </comment>
    <comment ref="W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£0.06      £0.56
   100   £0.02      £2.27
   150   £0.02      £3.41
   500   £0.01      £4.85
  2500   £0.01     £20.25
  7500   £0.01     £54.00
 15000   £0.01     £84.00
 75000   £0.01    £405.00</t>
        </r>
      </text>
    </comment>
    <comment ref="W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£0.15      £1.51
    50   £0.14      £7.15
   100   £0.13     £13.00
   500   £0.11     £56.00</t>
        </r>
      </text>
    </comment>
    <comment ref="W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£0.54      £2.72
    10   £0.40      £3.97
   100   £0.18     £18.00
   500   £0.10     £51.50</t>
        </r>
      </text>
    </comment>
    <comment ref="W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£4.86      £4.86
    25   £4.26    £106.50
   100   £4.06    £406.00
   150   £4.06    £609.00</t>
        </r>
      </text>
    </comment>
    <comment ref="W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£0.55      £2.77
    10   £0.46      £4.64
   100   £0.29     £28.60
   150   £0.29     £42.90
   500   £0.19     £94.50</t>
        </r>
      </text>
    </comment>
    <comment ref="W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£1.25      £6.25
    10   £0.93      £9.29
   100   £0.71     £71.30
   500   £0.50    £248.50</t>
        </r>
      </text>
    </comment>
    <comment ref="W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£3.86      £3.86
    10   £3.11     £31.10
    25   £2.93     £73.25
    50   £2.87    £143.50</t>
        </r>
      </text>
    </comment>
    <comment ref="W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£0.53      £2.66
    10   £0.42      £4.24
   100   £0.26     £25.80
   150   £0.26     £38.70
   500   £0.14     £72.00</t>
        </r>
      </text>
    </comment>
    <comment ref="W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£0.81      £0.81
    25   £0.62     £15.58
   100   £0.54     £53.50
   150   £0.54     £80.25</t>
        </r>
      </text>
    </comment>
    <comment ref="W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£1.28      £6.40
    10   £1.28     £12.80
    50   £1.07     £53.50
   250   £0.97    £242.00
   500   £0.94    £472.50
  1500   £0.92  £1,383.00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Y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A43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A44" authorId="0">
      <text>
        <r>
          <rPr>
            <sz val="8"/>
            <color rgb="FF000000"/>
            <rFont val="Tahoma"/>
            <family val="2"/>
            <charset val="1"/>
          </rPr>
          <t xml:space="preserve">Copy this header and order to CSV file and use for JLCPCB manufacture PCB housing. The multipart components that use "#" symbol is not allowed at JLCPCB.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AB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5   $0.62      $3.10
    50   $0.45     $22.62
   150   $0.42     $63.22
   500   $0.39    $195.30
  2500   $0.38    $942.20
  5000   $0.37  $1,850.50</t>
        </r>
      </text>
    </comment>
    <comment ref="AB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5   $0.67      $3.35
    50   $0.49     $24.43
   150   $0.46     $68.28
   500   $0.42    $210.94
  2500   $0.41  $1,017.60
  5000   $0.40  $1,998.60</t>
        </r>
      </text>
    </comment>
    <comment ref="AB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100   $0.02      $1.73
  1000   $0.01     $12.59
  3000   $0.01     $35.19
 10000   $0.01    $108.70
 50000   $0.01    $524.50
100000   $0.01  $1,030.00</t>
        </r>
      </text>
    </comment>
    <comment ref="AB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$1.77      $1.77
    10   $1.36     $13.60
    30   $1.26     $37.80
   100   $1.13    $113.00
   500   $1.07    $535.00
  1000   $1.06  $1,060.00</t>
        </r>
      </text>
    </comment>
    <comment ref="AB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50   $0.06      $2.96
   500   $0.04     $22.20
  1500   $0.04     $62.49
  5000   $0.04    $194.65
 25000   $0.04    $943.00
 50000   $0.04  $1,856.00</t>
        </r>
      </text>
    </comment>
    <comment ref="AB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50   $0.03      $1.75
   500   $0.03     $13.09
  1500   $0.02     $36.86
  5000   $0.02    $114.80
 25000   $0.02    $556.25
 50000   $0.02  $1,094.50</t>
        </r>
      </text>
    </comment>
    <comment ref="AB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50   $0.06      $2.93
   500   $0.04     $21.90
  1500   $0.04     $61.61
  5000   $0.04    $191.70
 25000   $0.04    $928.25
 50000   $0.04  $1,826.50</t>
        </r>
      </text>
    </comment>
    <comment ref="AB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50   $0.06      $2.95
   500   $0.04     $22.12
  1500   $0.04     $62.31
  5000   $0.04    $194.20
 25000   $0.04    $941.00
 50000   $0.04  $1,852.50</t>
        </r>
      </text>
    </comment>
    <comment ref="AB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$1.26      $1.26
    10   $0.96      $9.62
    30   $0.91     $27.21
   100   $0.85     $85.17
   500   $0.83    $413.55
  1000   $0.81    $814.90</t>
        </r>
      </text>
    </comment>
    <comment ref="AB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$5.12      $5.12
    10   $3.80     $38.00
    30   $3.55    $106.50
   100   $3.31    $331.00
   500   $3.20  $1,600.00
  1000   $3.15  $3,150.00</t>
        </r>
      </text>
    </comment>
    <comment ref="AB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$7.58      $7.58
    10   $5.55     $55.50
    30   $5.18    $155.40
   100   $4.80    $480.00
   500   $4.64  $2,320.00
  1000   $4.56  $4,560.00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D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E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E2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E3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E3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E3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F43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AG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$0.37      $0.37
    10   $0.26      $2.58
    50   $0.26     $12.90
   100   $0.15     $15.40
  1000   $0.10     $98.00
 10000   $0.08    $830.00</t>
        </r>
      </text>
    </comment>
    <comment ref="AG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$0.36      $0.36
    10   $0.27      $2.70
    50   $0.27     $13.50
   100   $0.16     $16.10
  1000   $0.10    $102.00
 10000   $0.08    $750.00</t>
        </r>
      </text>
    </comment>
    <comment ref="AG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$0.25      $0.25
    10   $0.17      $1.71
    50   $0.17      $8.55
   100   $0.10      $9.70
  1000   $0.06     $60.00
 10000   $0.05    $510.00</t>
        </r>
      </text>
    </comment>
    <comment ref="AG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$0.43      $0.43
    10   $0.22      $2.15
    50   $0.22     $10.75
   100   $0.18     $18.50
  1000   $0.12    $117.00
 10000   $0.10    $980.00</t>
        </r>
      </text>
    </comment>
    <comment ref="AG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$0.29      $0.29
    10   $0.20      $1.98
    50   $0.20      $9.90
   100   $0.10     $10.10
  1000   $0.06     $61.00
 10000   $0.05    $500.00</t>
        </r>
      </text>
    </comment>
    <comment ref="AG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$0.34
    50   $0.03      $1.70
   100   $0.02      $1.50
  1000   $0.01      $9.00
 10000   $0.01     $70.00</t>
        </r>
      </text>
    </comment>
    <comment ref="AG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$0.18      $0.18
    10   $0.17      $1.66
    50   $0.17      $8.30
   100   $0.09      $9.10
  1000   $0.04     $41.00
 10000   $0.03    $300.00</t>
        </r>
      </text>
    </comment>
    <comment ref="AG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$0.48      $0.48
    10   $0.27      $2.66
    50   $0.27     $13.30
   100   $0.11     $10.80
  1000   $0.09     $89.00
 10000   $0.06    $560.00</t>
        </r>
      </text>
    </comment>
    <comment ref="AG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$0.49      $0.49
    10   $0.27      $2.74
    50   $0.27     $13.70
   100   $0.11     $11.10
  1000   $0.09     $92.00
 10000   $0.06    $570.00</t>
        </r>
      </text>
    </comment>
    <comment ref="AG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$0.06      $0.56
    50   $0.06      $2.80
   100   $0.02      $2.40
  1000   $0.01     $12.00
 10000   $0.01     $90.00</t>
        </r>
      </text>
    </comment>
    <comment ref="AG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G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$0.29
    50   $0.03      $1.45
   100   $0.01      $1.20
  1000   $0.01      $6.00
 10000   $0.00     $50.00</t>
        </r>
      </text>
    </comment>
    <comment ref="AG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G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G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$0.05      $0.53
    50   $0.05      $2.65
   100   $0.02      $2.20
  1000   $0.01     $10.00
 10000   $0.01     $90.00</t>
        </r>
      </text>
    </comment>
    <comment ref="AG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G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$0.05      $0.53
    50   $0.05      $2.65
   100   $0.02      $2.20
  1000   $0.02     $21.00
 10000   $0.02    $190.00</t>
        </r>
      </text>
    </comment>
    <comment ref="AG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$0.05      $0.53
    50   $0.05      $2.65
   100   $0.02      $2.20
  1000   $0.01     $10.00
 10000   $0.01     $70.00</t>
        </r>
      </text>
    </comment>
    <comment ref="AG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$0.23      $0.23
    10   $0.22      $2.18
    50   $0.20     $10.05
   100   $0.19     $18.90
  1000   $0.15    $154.00
 10000   $0.15  $1,540.00</t>
        </r>
      </text>
    </comment>
    <comment ref="AG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$0.46      $0.46
    10   $0.30      $3.01
    50   $0.30     $15.05
   100   $0.16     $16.10
  1000   $0.10    $102.00
 10000   $0.07    $680.00</t>
        </r>
      </text>
    </comment>
    <comment ref="AG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AG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$0.47      $0.47
    10   $0.38      $3.76
    50   $0.38     $18.80
   100   $0.28     $27.90
  1000   $0.18    $183.00
 10000   $0.17  $1,660.00</t>
        </r>
      </text>
    </comment>
    <comment ref="AG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$1.06      $1.06
    10   $0.95      $9.50
    50   $0.90     $45.10
   100   $0.74     $74.10
  1000   $0.49    $486.00
 10000   $0.47  $4,700.00</t>
        </r>
      </text>
    </comment>
    <comment ref="AG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$2.87      $2.87
    10   $2.59     $25.90
    50   $2.44    $122.00
   100   $2.08    $208.00
  1000   $1.42  $1,420.00
 10000   $1.41 $14,100.00</t>
        </r>
      </text>
    </comment>
    <comment ref="AG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$3.93      $3.93
    10   $3.54     $35.40
    50   $3.34    $167.00
   100   $2.90    $290.00
  1000   $2.80  $2,800.00
 10000   $2.79 $27,900.00</t>
        </r>
      </text>
    </comment>
    <comment ref="AG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$0.45      $0.45
    10   $0.37      $3.67
    50   $0.37     $18.35
   100   $0.25     $25.00
  1000   $0.14    $141.00
 10000   $0.12  $1,170.00</t>
        </r>
      </text>
    </comment>
    <comment ref="AG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$0.71      $0.71
    10   $0.71      $7.10
    50   $0.60     $30.00
   100   $0.57     $56.60
  1000   $0.57    $566.00
 10000   $0.57  $5,660.00</t>
        </r>
      </text>
    </comment>
    <comment ref="AG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$1.80      $1.80
    10   $1.72     $17.20
    50   $1.68     $84.00
   100   $1.44    $144.00
  1000   $1.15  $1,150.00
 10000   $1.08 $10,800.00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I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J2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J2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J2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J2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J3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J3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K43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AL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10   $0.31      $3.10
    25   $0.27      $6.70
    50   $0.23     $11.30
   100   $0.18     $18.50</t>
        </r>
      </text>
    </comment>
    <comment ref="AL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$0.36      $0.36
    10   $0.27      $2.70
    25   $0.23      $5.85
    50   $0.20      $9.85
   100   $0.16     $16.10
  4000   $0.08    $324.00
  8000   $0.08    $600.00</t>
        </r>
      </text>
    </comment>
    <comment ref="AL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$0.06      $0.06
    10   $0.20      $2.05
    25   $0.18      $4.40
    50   $0.15      $7.30
   100   $0.12     $11.60
 15000   $0.06    $960.00</t>
        </r>
      </text>
    </comment>
    <comment ref="AL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$0.11      $0.11
    10   $0.37      $3.67
    25   $0.32      $7.95
    50   $0.27     $13.50
   100   $0.22     $22.10
 10000   $0.11  $1,130.00</t>
        </r>
      </text>
    </comment>
    <comment ref="AL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$0.35      $0.35
    10   $0.24      $2.38
    25   $0.20      $4.98
    50   $0.16      $8.00
   100   $0.12     $12.10</t>
        </r>
      </text>
    </comment>
    <comment ref="AL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$0.12      $0.12
    10   $0.04      $0.41
    25   $0.03      $0.83
    50   $0.03      $1.30
   100   $0.02      $1.80
 15000   $0.01    $120.00</t>
        </r>
      </text>
    </comment>
    <comment ref="AL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$0.04      $0.04
    10   $0.23      $2.29
    25   $0.19      $4.85
    50   $0.16      $7.95
   100   $0.12     $11.90
  3000   $0.04    $129.00
  6000   $0.04    $246.00
 12000   $0.02    $276.00</t>
        </r>
      </text>
    </comment>
    <comment ref="AL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$0.32      $0.32
    25   $0.26      $6.40
    50   $0.19      $9.30
   100   $0.12     $11.50
   250   $0.11     $27.25
   500   $0.10     $51.50</t>
        </r>
      </text>
    </comment>
    <comment ref="AL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$0.04      $0.04
    25   $0.04      $0.98
    50   $0.04      $1.95
   100   $0.04      $3.90
   250   $0.04      $9.75
   500   $0.04     $19.50</t>
        </r>
      </text>
    </comment>
    <comment ref="AL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$0.01      $0.01
    10   $0.06      $0.62
    25   $0.05      $1.25
    50   $0.04      $1.90
   100   $0.03      $2.60
 15000   $0.01    $135.00
 90000   $0.01    $810.00</t>
        </r>
      </text>
    </comment>
    <comment ref="AL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15000   $0.00     $75.00
 30000   $0.00    $120.00</t>
        </r>
      </text>
    </comment>
    <comment ref="AL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$0.01      $0.01
  5000   $0.01     $35.00
 10000   $0.01     $60.00
 15000   $0.01     $90.00</t>
        </r>
      </text>
    </comment>
    <comment ref="AL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$0.01      $0.01
    25   $0.02      $0.52
   100   $0.01      $0.90
   250   $0.01      $2.00
   500   $0.01      $3.50
  1000   $0.01      $6.00
  2500   $0.00     $12.50
  5000   $0.00     $20.00
 15000   $0.01     $90.00</t>
        </r>
      </text>
    </comment>
    <comment ref="AL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$0.00      $0.00
 15000   $0.00     $75.00
 30000   $0.00    $120.00</t>
        </r>
      </text>
    </comment>
    <comment ref="AL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$0.11      $0.11
    10   $0.05      $0.47
    25   $0.04      $0.95
    50   $0.03      $1.45
   100   $0.02      $2.00
   250   $0.02      $5.50
   500   $0.02      $8.50
  1000   $0.01     $14.00
  2500   $0.01     $25.00
  5000   $0.02    $110.00
 10000   $0.02    $170.00
 15000   $0.02    $255.00</t>
        </r>
      </text>
    </comment>
    <comment ref="AL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15000   $0.00     $75.00
 30000   $0.00    $120.00</t>
        </r>
      </text>
    </comment>
    <comment ref="AL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$0.06      $0.58
    25   $0.06      $1.47
    50   $0.04      $1.80
   100   $0.02      $2.40
   250   $0.02      $5.00
   500   $0.02      $7.50
  1000   $0.01     $11.00
  2500   $0.01     $20.00
 10000   $0.01    $130.00
 15000   $0.01    $195.00
 20000   $0.01    $180.00</t>
        </r>
      </text>
    </comment>
    <comment ref="AL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$0.11      $0.11
    10   $0.06      $0.57
    25   $0.07      $1.65
    50   $0.04      $1.75
   100   $0.03      $2.70
   250   $0.02      $5.50
   500   $0.02      $8.00
  1000   $0.01     $11.00
  2500   $0.01     $25.00
  5000   $0.01     $45.00
 10000   $0.01    $130.00
 15000   $0.01    $195.00
 20000   $0.01    $180.00</t>
        </r>
      </text>
    </comment>
    <comment ref="AL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$0.16      $0.16
  8500   $0.17  $1,462.00
100000   $0.14 $14,400.00</t>
        </r>
      </text>
    </comment>
    <comment ref="AL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5   $0.40      $2.00
    10   $0.33      $3.26
   100   $0.15     $15.10
  6000   $0.06    $390.00
 18000   $0.06  $1,098.00
 48000   $0.06  $2,688.00
 90000   $0.05  $4,770.00</t>
        </r>
      </text>
    </comment>
    <comment ref="AL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$5.56      $5.56
    10   $6.03     $60.30
    25   $5.77    $144.25
  2000   $5.43 $10,860.00
  4000   $5.27 $21,080.00
  8000   $4.95 $39,600.00
 12000   $4.72 $56,640.00</t>
        </r>
      </text>
    </comment>
    <comment ref="AL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5   $0.65      $3.23
    10   $0.54      $5.38
   100   $0.38     $38.40</t>
        </r>
      </text>
    </comment>
    <comment ref="AL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$0.44      $0.44
     5   $1.33      $6.65
    10   $1.18     $11.80
   100   $0.86     $85.60
  3000   $0.44  $1,308.00
  9000   $0.42  $3,762.00
 24000   $0.39  $9,312.00</t>
        </r>
      </text>
    </comment>
    <comment ref="AL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$4.49      $4.49
    10   $4.43     $44.30</t>
        </r>
      </text>
    </comment>
    <comment ref="AL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$0.14      $0.14
    10   $0.25      $2.47
   100   $0.22     $22.20
  3000   $0.13    $393.00
  4000   $0.13    $524.00
  6000   $0.12    $702.00
 12000   $0.11  $1,272.00
 18000   $0.10  $1,764.00
 30000   $0.09  $2,730.00</t>
        </r>
      </text>
    </comment>
    <comment ref="AL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$0.87      $0.87
    10   $0.80      $7.98
    25   $0.73     $18.22
  3000   $0.53  $1,584.00</t>
        </r>
      </text>
    </comment>
    <comment ref="AL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$2.48      $2.48
     5   $2.48     $12.40
    10   $2.36     $23.60
    25   $2.34     $58.50
    50   $2.31    $115.50
   100   $1.98    $198.00
  1000   $1.34  $1,340.00
  2000   $1.28  $2,560.00
  3000   $1.28  $3,840.00
  4000   $1.17  $4,680.00
  6000   $1.12  $6,720.00
 10000   $1.09 $10,900.00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N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P43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Q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AQ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20   £0.21      £4.12
   100   £0.11     £11.40
   500   £0.09     £46.50
  1000   £0.08     £82.00
  2000   £0.08    £160.00
  4000   £0.06    £240.00
 16000   £0.06    £928.00</t>
        </r>
      </text>
    </comment>
    <comment ref="AQ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1000   £0.01      £7.00
  5000   £0.01     £30.00
 10000   £0.01     £60.00
 15000   £0.00     £60.00
 60000   £0.00    £240.00</t>
        </r>
      </text>
    </comment>
    <comment ref="AQ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50   £0.16      £7.90
   250   £0.13     £33.50
  1000   £0.12    £118.00
  2500   £0.10    £255.00
  3000   £0.03     £81.00</t>
        </r>
      </text>
    </comment>
    <comment ref="AQ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1000   £0.00      £4.00
  5000   £0.00     £20.00
 10000   £0.00     £40.00
 15000   £0.00     £60.00</t>
        </r>
      </text>
    </comment>
    <comment ref="AQ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1000   £0.00      £4.00
 15000   £0.00     £75.00</t>
        </r>
      </text>
    </comment>
    <comment ref="AQ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1000   £0.00      £5.00
  5000   £0.00     £25.00
 10000   £0.00     £50.00
 15000   £0.00     £75.00</t>
        </r>
      </text>
    </comment>
    <comment ref="AQ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1000   £0.01      £7.00
  5000   £0.01     £30.00
 10000   £0.01     £60.00
 15000   £0.00     £75.00</t>
        </r>
      </text>
    </comment>
    <comment ref="AQ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1000   £0.00      £5.00
  5000   £0.00     £25.00
 10000   £0.00     £50.00
 15000   £0.00     £60.00</t>
        </r>
      </text>
    </comment>
    <comment ref="AQ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1000   £0.01      £7.00
  5000   £0.01     £30.00
 10000   £0.01     £60.00
 15000   £0.01     £90.00</t>
        </r>
      </text>
    </comment>
    <comment ref="AQ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1000   £0.01      £7.00
 15000   £0.01     £90.00</t>
        </r>
      </text>
    </comment>
    <comment ref="AQ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30   £0.04      £1.05
   120   £0.03      £3.84
  1020   £0.03     £30.60
  3000   £0.03     £87.00
  9000   £0.03    £252.00
 24000   £0.03    £720.00
 45000   £0.03  £1,305.00
 99000   £0.03  £2,772.00</t>
        </r>
      </text>
    </comment>
    <comment ref="AQ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18   £0.31      £5.53
   108   £0.16     £16.96
  1008   £0.12    £118.94
  3000   £0.14    £426.00
  3006   £0.10    £291.58
  9000   £0.15  £1,323.00</t>
        </r>
      </text>
    </comment>
    <comment ref="AQ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50   £0.29     £14.40
   100   £0.22     £22.20
  1000   £0.21    £214.00
  4000   £0.10    £380.00
  8000   £0.08    £680.00
 24000   £0.08  £1,944.00
 48000   £0.07  £3,552.00
100000   £0.07  £7,200.00</t>
        </r>
      </text>
    </comment>
    <comment ref="AQ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20   £0.48      £9.62
    40   £0.46     £18.40
   100   £0.42     £41.50
  3000   £0.38  £1,152.00</t>
        </r>
      </text>
    </comment>
    <comment ref="AR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S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S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T3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T3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U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U43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V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AV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£0.14      £0.71
    25   £0.12      £3.07
   100   £0.08      £7.58
   500   £0.06     £28.85
  4000   £0.04    £173.20</t>
        </r>
      </text>
    </comment>
    <comment ref="AV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£0.14      £0.71
    25   £0.11      £2.68
   100   £0.08      £7.58
   500   £0.05     £27.35
  4000   £0.04    £157.60</t>
        </r>
      </text>
    </comment>
    <comment ref="AV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£0.17      £0.87
    25   £0.15      £3.82
   100   £0.13     £13.25
   500   £0.12     £57.88
  2000   £0.11    £216.10</t>
        </r>
      </text>
    </comment>
    <comment ref="AV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£0.61      £0.61
    10   £0.57      £5.70
    25   £0.52     £13.00
   100   £0.47     £47.00</t>
        </r>
      </text>
    </comment>
    <comment ref="AW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X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X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</commentList>
</comments>
</file>

<file path=xl/sharedStrings.xml><?xml version="1.0" encoding="utf-8"?>
<sst xmlns="http://schemas.openxmlformats.org/spreadsheetml/2006/main" count="466" uniqueCount="348">
  <si>
    <t xml:space="preserve">Prj:</t>
  </si>
  <si>
    <t xml:space="preserve">reDIP SID</t>
  </si>
  <si>
    <t xml:space="preserve">Board Qty:</t>
  </si>
  <si>
    <t xml:space="preserve">Co.:</t>
  </si>
  <si>
    <t xml:space="preserve">Nimrod</t>
  </si>
  <si>
    <t xml:space="preserve">Unit Cost:</t>
  </si>
  <si>
    <t xml:space="preserve">Prj date:</t>
  </si>
  <si>
    <t xml:space="preserve">to. 02. sep. 2021 kl. 20.28 +0200</t>
  </si>
  <si>
    <t xml:space="preserve">Total Cost:</t>
  </si>
  <si>
    <t xml:space="preserve">$ date:</t>
  </si>
  <si>
    <t xml:space="preserve">2021-09-02 20:28:58</t>
  </si>
  <si>
    <t xml:space="preserve">Global Part Info</t>
  </si>
  <si>
    <t xml:space="preserve">Arrow</t>
  </si>
  <si>
    <t xml:space="preserve">Digi-Key</t>
  </si>
  <si>
    <t xml:space="preserve">Farnell</t>
  </si>
  <si>
    <t xml:space="preserve">LCSC</t>
  </si>
  <si>
    <t xml:space="preserve">Mouser</t>
  </si>
  <si>
    <t xml:space="preserve">Newark</t>
  </si>
  <si>
    <t xml:space="preserve">RS Components</t>
  </si>
  <si>
    <t xml:space="preserve">TME</t>
  </si>
  <si>
    <t xml:space="preserve">Refs</t>
  </si>
  <si>
    <t xml:space="preserve">Value</t>
  </si>
  <si>
    <t xml:space="preserve">Desc</t>
  </si>
  <si>
    <t xml:space="preserve">Notes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</si>
  <si>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</si>
  <si>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</si>
  <si>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</si>
  <si>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</si>
  <si>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</si>
  <si>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</si>
  <si>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</si>
  <si>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</si>
  <si>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</si>
  <si>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C13</t>
  </si>
  <si>
    <t xml:space="preserve">1uF</t>
  </si>
  <si>
    <t xml:space="preserve">CAP CER 4.7uF 16V 20% X5R 0603</t>
  </si>
  <si>
    <t xml:space="preserve">9V/12V DC DERATED TO 1uF</t>
  </si>
  <si>
    <t xml:space="preserve">C_0603_1608Metric</t>
  </si>
  <si>
    <t xml:space="preserve">Murata</t>
  </si>
  <si>
    <t xml:space="preserve">GRM188R61C475ME11D</t>
  </si>
  <si>
    <t xml:space="preserve">NonStk</t>
  </si>
  <si>
    <t xml:space="preserve">490-14638-1-ND</t>
  </si>
  <si>
    <t xml:space="preserve">3581379</t>
  </si>
  <si>
    <t xml:space="preserve">C415373</t>
  </si>
  <si>
    <t xml:space="preserve">81GRM188R61C475ME1D</t>
  </si>
  <si>
    <t xml:space="preserve">92AH5109</t>
  </si>
  <si>
    <t xml:space="preserve">C14,C15</t>
  </si>
  <si>
    <t xml:space="preserve">10uF</t>
  </si>
  <si>
    <t xml:space="preserve">CAP TANT 10uF 6.3V 20% 0603</t>
  </si>
  <si>
    <t xml:space="preserve">1.65V DC 1.5V AC AUDIO</t>
  </si>
  <si>
    <t xml:space="preserve">CP_EIA-1608-08_AVX-J</t>
  </si>
  <si>
    <t xml:space="preserve">Vishay</t>
  </si>
  <si>
    <t xml:space="preserve">TMCJ0J106MTRF</t>
  </si>
  <si>
    <t xml:space="preserve">718-2355-1-ND</t>
  </si>
  <si>
    <t xml:space="preserve">2491414</t>
  </si>
  <si>
    <t xml:space="preserve">74TMCJ0J106MTRF</t>
  </si>
  <si>
    <t xml:space="preserve">56Y0084</t>
  </si>
  <si>
    <t xml:space="preserve">1882240</t>
  </si>
  <si>
    <t xml:space="preserve">C4,C8,C23</t>
  </si>
  <si>
    <t xml:space="preserve">CAP CER 1uF 6.3V 20% X6S 0201</t>
  </si>
  <si>
    <t xml:space="preserve">1.2V DC</t>
  </si>
  <si>
    <t xml:space="preserve">C_0201_0603Metric</t>
  </si>
  <si>
    <t xml:space="preserve">GRM033C80J105ME05D</t>
  </si>
  <si>
    <t xml:space="preserve">490-13218-1-ND</t>
  </si>
  <si>
    <t xml:space="preserve">3582762</t>
  </si>
  <si>
    <t xml:space="preserve">81GRM033C80J105ME5D</t>
  </si>
  <si>
    <t xml:space="preserve">03AJ1531</t>
  </si>
  <si>
    <t xml:space="preserve">C6,C7,C16</t>
  </si>
  <si>
    <t xml:space="preserve">CAP CER 4.7uF 6.3V 20% X5R 0201</t>
  </si>
  <si>
    <t xml:space="preserve">3.3V DC DERATED TO 1uF</t>
  </si>
  <si>
    <t xml:space="preserve">GRM035R60J475ME15D</t>
  </si>
  <si>
    <t xml:space="preserve">490-13230-1-ND</t>
  </si>
  <si>
    <t xml:space="preserve">3238402</t>
  </si>
  <si>
    <t xml:space="preserve">C335103</t>
  </si>
  <si>
    <t xml:space="preserve">81GRM035R60J475ME5D</t>
  </si>
  <si>
    <t xml:space="preserve">34AH0743</t>
  </si>
  <si>
    <t xml:space="preserve">C1-C3,C5</t>
  </si>
  <si>
    <t xml:space="preserve">CAP CER 2.2uF 16V 10% X6S 0402</t>
  </si>
  <si>
    <t xml:space="preserve">5V DC DERATED TO 1uF</t>
  </si>
  <si>
    <t xml:space="preserve">C_0402_1005Metric</t>
  </si>
  <si>
    <t xml:space="preserve">GRM155C81C225KE11D</t>
  </si>
  <si>
    <t xml:space="preserve">490-14595-1-ND</t>
  </si>
  <si>
    <t xml:space="preserve">3581345</t>
  </si>
  <si>
    <t xml:space="preserve">81GRM155C81C225KE1D</t>
  </si>
  <si>
    <t xml:space="preserve">92AH5000</t>
  </si>
  <si>
    <t xml:space="preserve">C9-C12,C17-C22,C24,C25</t>
  </si>
  <si>
    <t xml:space="preserve">0.1uF</t>
  </si>
  <si>
    <t xml:space="preserve">CAP CER 0.22uF 6.3V 20% X5R 0201</t>
  </si>
  <si>
    <t xml:space="preserve">C12: 1.65V DC VAG DERATED TO 0.1uF
C10,C11,C17-C19,C21,C22,C24,C25: 3.3V DC DERATED TO 0.1uF
C9,C20: 1.2V DC DERATED TO 0.1uF</t>
  </si>
  <si>
    <t xml:space="preserve">GRM033R60J224KE15D</t>
  </si>
  <si>
    <t xml:space="preserve">490-10406-1-ND</t>
  </si>
  <si>
    <t xml:space="preserve">2990684</t>
  </si>
  <si>
    <t xml:space="preserve">C76931</t>
  </si>
  <si>
    <t xml:space="preserve">81GRM33R60J224KE15D</t>
  </si>
  <si>
    <t xml:space="preserve">94AC8892</t>
  </si>
  <si>
    <t xml:space="preserve">1852023</t>
  </si>
  <si>
    <t xml:space="preserve">D1</t>
  </si>
  <si>
    <t xml:space="preserve">BAV70W</t>
  </si>
  <si>
    <t xml:space="preserve">DIODE DUAL COMMON CATHODE VR=100V SOT-323-3</t>
  </si>
  <si>
    <t xml:space="preserve">REPLACEMENT PARTS: onsemi BAV70WT1G, Panjit BAV70W_R1_00001, Diodes BAV70W-7-F, MCC BAV70WT-TP</t>
  </si>
  <si>
    <t xml:space="preserve">SOT-323_SC-70</t>
  </si>
  <si>
    <t xml:space="preserve">Nexperia</t>
  </si>
  <si>
    <t xml:space="preserve">BAV70W,115</t>
  </si>
  <si>
    <t xml:space="preserve">1727-4831-1-ND</t>
  </si>
  <si>
    <t xml:space="preserve">1081209</t>
  </si>
  <si>
    <t xml:space="preserve">771BAV70WT/R</t>
  </si>
  <si>
    <t xml:space="preserve">96K6775</t>
  </si>
  <si>
    <t xml:space="preserve">4367852</t>
  </si>
  <si>
    <t xml:space="preserve">D2</t>
  </si>
  <si>
    <t xml:space="preserve">SML-LX0201USBC-TR</t>
  </si>
  <si>
    <t xml:space="preserve">LED BLUE Vf=2.6V If=2mA 15mcd 0201</t>
  </si>
  <si>
    <t xml:space="preserve">SML-LX0201</t>
  </si>
  <si>
    <t xml:space="preserve">Lumex</t>
  </si>
  <si>
    <t xml:space="preserve">67-2283-1-ND</t>
  </si>
  <si>
    <t xml:space="preserve">2775247</t>
  </si>
  <si>
    <t xml:space="preserve">696SMLLX0201USBCTR</t>
  </si>
  <si>
    <t xml:space="preserve">30AC6125</t>
  </si>
  <si>
    <t xml:space="preserve">SMLLX0201USBCTR</t>
  </si>
  <si>
    <t xml:space="preserve">D3</t>
  </si>
  <si>
    <t xml:space="preserve">SML-LX0201UPGC-TR</t>
  </si>
  <si>
    <t xml:space="preserve">LED GREEN Vf=2.5V If=2mA 100mcd 0201</t>
  </si>
  <si>
    <t xml:space="preserve">67-2282-1-ND</t>
  </si>
  <si>
    <t xml:space="preserve">2775246</t>
  </si>
  <si>
    <t xml:space="preserve">696SMLLX0201UPGCTR</t>
  </si>
  <si>
    <t xml:space="preserve">30AC6124</t>
  </si>
  <si>
    <t xml:space="preserve">SMLLX0201UPGCTR</t>
  </si>
  <si>
    <t xml:space="preserve">J1</t>
  </si>
  <si>
    <t xml:space="preserve">Conn_01x01</t>
  </si>
  <si>
    <t xml:space="preserve">CONN HDR SQ PIN 0.64mm 1 POS .100" GOLD MATING 6mm TAIL 3mm</t>
  </si>
  <si>
    <t xml:space="preserve">PinHeader_1x01_P2.54mm_Vertical</t>
  </si>
  <si>
    <t xml:space="preserve">J2</t>
  </si>
  <si>
    <t xml:space="preserve">Conn_01x05</t>
  </si>
  <si>
    <t xml:space="preserve">CONN HDR SQ PIN 0.64mm 5 POS .100" GOLD MATING 6mm TAIL 3mm</t>
  </si>
  <si>
    <t xml:space="preserve">PinHeader_1x05_P2.54mm_Vertical</t>
  </si>
  <si>
    <t xml:space="preserve">J3</t>
  </si>
  <si>
    <t xml:space="preserve">Conn_01x14</t>
  </si>
  <si>
    <t xml:space="preserve">CONN HDR ROUND PIN 0.5mm 14 POS .100" GOLD MATING 3.5mm TAIL 3mm</t>
  </si>
  <si>
    <t xml:space="preserve">PinHeader_1x14_P2.54mm_Vertical_Machined</t>
  </si>
  <si>
    <t xml:space="preserve">J4</t>
  </si>
  <si>
    <t xml:space="preserve">Conn_01x10</t>
  </si>
  <si>
    <t xml:space="preserve">CONN HDR ROUND PIN 0.5mm 10 POS .100" GOLD MATING 3.5mm TAIL 3mm</t>
  </si>
  <si>
    <t xml:space="preserve">PinHeader_1x10_P2.54mm_Vertical_Machined</t>
  </si>
  <si>
    <t xml:space="preserve">J5</t>
  </si>
  <si>
    <t xml:space="preserve">TYPE-C-31-M-12</t>
  </si>
  <si>
    <t xml:space="preserve">CONN USB-C</t>
  </si>
  <si>
    <t xml:space="preserve">REPLACEMENT PARTS: GCT USB4105</t>
  </si>
  <si>
    <t xml:space="preserve">USB_C_Receptacle_HRO_TYPE-C-31-M-12</t>
  </si>
  <si>
    <t xml:space="preserve">HRO</t>
  </si>
  <si>
    <t xml:space="preserve">C165948</t>
  </si>
  <si>
    <t xml:space="preserve">R1,R6,R7,R8</t>
  </si>
  <si>
    <t xml:space="preserve">20k</t>
  </si>
  <si>
    <t xml:space="preserve">RES 20kΩ 50mW 1% 0201</t>
  </si>
  <si>
    <t xml:space="preserve">R_0201_0603Metric</t>
  </si>
  <si>
    <t xml:space="preserve">Panasonic</t>
  </si>
  <si>
    <t xml:space="preserve">ERJ-1GNF2002C</t>
  </si>
  <si>
    <t xml:space="preserve">P122813CT-ND</t>
  </si>
  <si>
    <t xml:space="preserve">2302370</t>
  </si>
  <si>
    <t xml:space="preserve">C713490</t>
  </si>
  <si>
    <t xml:space="preserve">667ERJ1GNF2002C</t>
  </si>
  <si>
    <t xml:space="preserve">36AJ9148</t>
  </si>
  <si>
    <t xml:space="preserve">R10,R11</t>
  </si>
  <si>
    <t xml:space="preserve">5.1k</t>
  </si>
  <si>
    <t xml:space="preserve">RES 5.1kΩ 50mW 5% 0201</t>
  </si>
  <si>
    <t xml:space="preserve">ERJ-1GNJ512C</t>
  </si>
  <si>
    <t xml:space="preserve">P123340CT-ND</t>
  </si>
  <si>
    <t xml:space="preserve">3303281</t>
  </si>
  <si>
    <t xml:space="preserve">667ERJ1GNJ512C</t>
  </si>
  <si>
    <t xml:space="preserve">51W5889</t>
  </si>
  <si>
    <t xml:space="preserve">R12</t>
  </si>
  <si>
    <t xml:space="preserve">100</t>
  </si>
  <si>
    <t xml:space="preserve">RES 100Ω 50mW 5% 0201</t>
  </si>
  <si>
    <t xml:space="preserve">ERJ-1GNJ101C</t>
  </si>
  <si>
    <t xml:space="preserve">P123220CT-ND</t>
  </si>
  <si>
    <t xml:space="preserve">3303148</t>
  </si>
  <si>
    <t xml:space="preserve">C713500</t>
  </si>
  <si>
    <t xml:space="preserve">667ERJ1GNJ101C</t>
  </si>
  <si>
    <t xml:space="preserve">51W5773</t>
  </si>
  <si>
    <t xml:space="preserve">1797129</t>
  </si>
  <si>
    <t xml:space="preserve">R18,R19</t>
  </si>
  <si>
    <t xml:space="preserve">0</t>
  </si>
  <si>
    <t xml:space="preserve">RES 0Ω 50mW 1% 0201</t>
  </si>
  <si>
    <t xml:space="preserve">ERJ-1GN0R00C</t>
  </si>
  <si>
    <t xml:space="preserve">P15979CT-ND</t>
  </si>
  <si>
    <t xml:space="preserve">2799511</t>
  </si>
  <si>
    <t xml:space="preserve">667ERJ1GN0R00C</t>
  </si>
  <si>
    <t xml:space="preserve">51W5934</t>
  </si>
  <si>
    <t xml:space="preserve">1763574</t>
  </si>
  <si>
    <t xml:space="preserve">R2,R3,R14,R15</t>
  </si>
  <si>
    <t xml:space="preserve">2.2k</t>
  </si>
  <si>
    <t xml:space="preserve">RES 2.2kΩ 50mW 5% 0201</t>
  </si>
  <si>
    <t xml:space="preserve">ERJ-1GNJ222C</t>
  </si>
  <si>
    <t xml:space="preserve">P123277CT-ND</t>
  </si>
  <si>
    <t xml:space="preserve">3303211</t>
  </si>
  <si>
    <t xml:space="preserve">667ERJ1GNJ222C</t>
  </si>
  <si>
    <t xml:space="preserve">51W5827</t>
  </si>
  <si>
    <t xml:space="preserve">1797128</t>
  </si>
  <si>
    <t xml:space="preserve">R20</t>
  </si>
  <si>
    <t xml:space="preserve">22</t>
  </si>
  <si>
    <t xml:space="preserve">RES 22Ω 50mW 1% 0201</t>
  </si>
  <si>
    <t xml:space="preserve">ERJ-1GNF22R0C</t>
  </si>
  <si>
    <t xml:space="preserve">P122843CT-ND</t>
  </si>
  <si>
    <t xml:space="preserve">2302291</t>
  </si>
  <si>
    <t xml:space="preserve">667ERJ1GNF22R0C</t>
  </si>
  <si>
    <t xml:space="preserve">85Y7497</t>
  </si>
  <si>
    <t xml:space="preserve">1797146</t>
  </si>
  <si>
    <t xml:space="preserve">R4</t>
  </si>
  <si>
    <t xml:space="preserve">1.5k</t>
  </si>
  <si>
    <t xml:space="preserve">RES 1.5kΩ 50mW 5% 0201</t>
  </si>
  <si>
    <t xml:space="preserve">ERJ-1GNJ152C</t>
  </si>
  <si>
    <t xml:space="preserve">P123246CT-ND</t>
  </si>
  <si>
    <t xml:space="preserve">3303177</t>
  </si>
  <si>
    <t xml:space="preserve">667ERJ1GNJ152C</t>
  </si>
  <si>
    <t xml:space="preserve">51W5799</t>
  </si>
  <si>
    <t xml:space="preserve">1797145</t>
  </si>
  <si>
    <t xml:space="preserve">R5</t>
  </si>
  <si>
    <t xml:space="preserve">100k</t>
  </si>
  <si>
    <t xml:space="preserve">RES 100kΩ 50mW 1% 0201</t>
  </si>
  <si>
    <t xml:space="preserve">ERJ-1GNF1003C</t>
  </si>
  <si>
    <t xml:space="preserve">P122655CT-ND</t>
  </si>
  <si>
    <t xml:space="preserve">2302389</t>
  </si>
  <si>
    <t xml:space="preserve">C717003</t>
  </si>
  <si>
    <t xml:space="preserve">667ERJ1GNF1003C</t>
  </si>
  <si>
    <t xml:space="preserve">85Y7485</t>
  </si>
  <si>
    <t xml:space="preserve">1797130</t>
  </si>
  <si>
    <t xml:space="preserve">R9,R13,R16,R17</t>
  </si>
  <si>
    <t xml:space="preserve">10k</t>
  </si>
  <si>
    <t xml:space="preserve">RES 10kΩ 50mW 1% 0201</t>
  </si>
  <si>
    <t xml:space="preserve">ERJ-1GNF1002C</t>
  </si>
  <si>
    <t xml:space="preserve">P122414CT-ND</t>
  </si>
  <si>
    <t xml:space="preserve">2302362</t>
  </si>
  <si>
    <t xml:space="preserve">C717002</t>
  </si>
  <si>
    <t xml:space="preserve">667ERJ1GNF1002C</t>
  </si>
  <si>
    <t xml:space="preserve">05X8796</t>
  </si>
  <si>
    <t xml:space="preserve">1763597</t>
  </si>
  <si>
    <t xml:space="preserve">SW1</t>
  </si>
  <si>
    <t xml:space="preserve">KXT311LHS</t>
  </si>
  <si>
    <t xml:space="preserve">SW TACT 100gf 3.0x2.0 mm</t>
  </si>
  <si>
    <t xml:space="preserve">SW_SPST_CK_KXT3</t>
  </si>
  <si>
    <t xml:space="preserve">C&amp;K</t>
  </si>
  <si>
    <t xml:space="preserve">CKN10777CT-ND</t>
  </si>
  <si>
    <t xml:space="preserve">3023197</t>
  </si>
  <si>
    <t xml:space="preserve">C221820</t>
  </si>
  <si>
    <t xml:space="preserve">611KXT311LHS</t>
  </si>
  <si>
    <t xml:space="preserve">35AH1367</t>
  </si>
  <si>
    <t xml:space="preserve">U1,U3</t>
  </si>
  <si>
    <t xml:space="preserve">NCP115AMX120TCG</t>
  </si>
  <si>
    <t xml:space="preserve">IC REG LDO 1.2V 300mA XDFN4</t>
  </si>
  <si>
    <t xml:space="preserve">CASE_711AJ_1.0x1.0mm_P0.65mm</t>
  </si>
  <si>
    <t xml:space="preserve">onsemi</t>
  </si>
  <si>
    <t xml:space="preserve">NCP115AMX120TCGOSCT-ND</t>
  </si>
  <si>
    <t xml:space="preserve">3010452</t>
  </si>
  <si>
    <t xml:space="preserve">863NCP115AMX120TCG</t>
  </si>
  <si>
    <t xml:space="preserve">97AC7838</t>
  </si>
  <si>
    <t xml:space="preserve">1861527</t>
  </si>
  <si>
    <t xml:space="preserve">U10</t>
  </si>
  <si>
    <t xml:space="preserve">W25Q128JVPIM</t>
  </si>
  <si>
    <t xml:space="preserve">IC FLASH 128Mbit WSON-8</t>
  </si>
  <si>
    <t xml:space="preserve">ALTERNATIVE PART #: W25Q128JVPIM TR</t>
  </si>
  <si>
    <t xml:space="preserve">WSON-8-1EP_6x5mm_P1.27mm_EP3.4x4.3mm</t>
  </si>
  <si>
    <t xml:space="preserve">Winbond</t>
  </si>
  <si>
    <t xml:space="preserve">W25Q128JVPIM-ND</t>
  </si>
  <si>
    <t xml:space="preserve">U11</t>
  </si>
  <si>
    <t xml:space="preserve">ICE40UP5K-SG48I</t>
  </si>
  <si>
    <t xml:space="preserve">IC FPGA QFN-48</t>
  </si>
  <si>
    <t xml:space="preserve">QFN-48-1EP_7x7mm_P0.5mm_EP5.6x5.6mm</t>
  </si>
  <si>
    <t xml:space="preserve">Lattice</t>
  </si>
  <si>
    <t xml:space="preserve">220-2212-1-ND</t>
  </si>
  <si>
    <t xml:space="preserve">3768741</t>
  </si>
  <si>
    <t xml:space="preserve">842ICE40UP5KSG48I</t>
  </si>
  <si>
    <t xml:space="preserve">50AJ3298</t>
  </si>
  <si>
    <t xml:space="preserve">U2</t>
  </si>
  <si>
    <t xml:space="preserve">NCP167AMX330TBG</t>
  </si>
  <si>
    <t xml:space="preserve">IC REG LDO 3.3V 700mA XDFN4</t>
  </si>
  <si>
    <t xml:space="preserve">NCP167AMX330TBGOSCT-ND</t>
  </si>
  <si>
    <t xml:space="preserve">2981158</t>
  </si>
  <si>
    <t xml:space="preserve">863NCP167AMX330TBG</t>
  </si>
  <si>
    <t xml:space="preserve">84AC7230</t>
  </si>
  <si>
    <t xml:space="preserve">1859325</t>
  </si>
  <si>
    <t xml:space="preserve">U4</t>
  </si>
  <si>
    <t xml:space="preserve">FPF1321UCX</t>
  </si>
  <si>
    <t xml:space="preserve">IC PWR SWITCH 1.5A WLCSP-6</t>
  </si>
  <si>
    <t xml:space="preserve">CASE567RM_1.46x0.96mm_P0.5mm</t>
  </si>
  <si>
    <t xml:space="preserve">FPF1321UCXCT-ND</t>
  </si>
  <si>
    <t xml:space="preserve">2825044</t>
  </si>
  <si>
    <t xml:space="preserve">C891222</t>
  </si>
  <si>
    <t xml:space="preserve">512FPF1321UCX</t>
  </si>
  <si>
    <t xml:space="preserve">46AC0851</t>
  </si>
  <si>
    <t xml:space="preserve">U5</t>
  </si>
  <si>
    <t xml:space="preserve">SN74CBTD16211DGVR</t>
  </si>
  <si>
    <t xml:space="preserve">IC BUS SWITCH WITH LEVEL SHIFTER TVSOP-56</t>
  </si>
  <si>
    <t xml:space="preserve">Texas_TVSOP-56_4.4x11.3mm_P0.4mm</t>
  </si>
  <si>
    <t xml:space="preserve">TI</t>
  </si>
  <si>
    <t xml:space="preserve">296-6475-2-ND</t>
  </si>
  <si>
    <t xml:space="preserve">C2683750</t>
  </si>
  <si>
    <t xml:space="preserve">59574CBTD16211DGVR</t>
  </si>
  <si>
    <t xml:space="preserve">U6</t>
  </si>
  <si>
    <t xml:space="preserve">SGTL5000XNLA3</t>
  </si>
  <si>
    <t xml:space="preserve">IC AUDIO CODEC UQFN-20</t>
  </si>
  <si>
    <t xml:space="preserve">ALTERNATIVE PART #: SGTL5000XNLA3R2</t>
  </si>
  <si>
    <t xml:space="preserve">QFN-20-1EP_3x3mm_P0.4mm_EP1.65x1.65mm</t>
  </si>
  <si>
    <t xml:space="preserve">NXP</t>
  </si>
  <si>
    <t xml:space="preserve">SGTL5000XNLA3-ND</t>
  </si>
  <si>
    <t xml:space="preserve">2308050</t>
  </si>
  <si>
    <t xml:space="preserve">841SGTL5000XNLA3</t>
  </si>
  <si>
    <t xml:space="preserve">14R9111</t>
  </si>
  <si>
    <t xml:space="preserve">U7</t>
  </si>
  <si>
    <t xml:space="preserve">NUF2042XV6</t>
  </si>
  <si>
    <t xml:space="preserve">IC USB TERMINATOR ESD PROTECTION SOT-563</t>
  </si>
  <si>
    <t xml:space="preserve">CASE_463A_1.6x1.2mm_P0.5mm</t>
  </si>
  <si>
    <t xml:space="preserve">NUF2042XV6T1G</t>
  </si>
  <si>
    <t xml:space="preserve">NUF2042XV6T1GOSCT-ND</t>
  </si>
  <si>
    <t xml:space="preserve">2824959</t>
  </si>
  <si>
    <t xml:space="preserve">863NUF2042XV6T1G</t>
  </si>
  <si>
    <t xml:space="preserve">46AC1428</t>
  </si>
  <si>
    <t xml:space="preserve">8051879</t>
  </si>
  <si>
    <t xml:space="preserve">U8</t>
  </si>
  <si>
    <t xml:space="preserve">MCP6H01T-E/OT</t>
  </si>
  <si>
    <t xml:space="preserve">IC OPAMP SOT-23-5</t>
  </si>
  <si>
    <t xml:space="preserve">SOT-23-5</t>
  </si>
  <si>
    <t xml:space="preserve">Microchip</t>
  </si>
  <si>
    <t xml:space="preserve">MCP6H01T-E/OTCT-ND</t>
  </si>
  <si>
    <t xml:space="preserve">2851675</t>
  </si>
  <si>
    <t xml:space="preserve">579MCP6H01TE/OT</t>
  </si>
  <si>
    <t xml:space="preserve">55AC2730</t>
  </si>
  <si>
    <t xml:space="preserve">1773191</t>
  </si>
  <si>
    <t xml:space="preserve">MCP6H01TE/OT</t>
  </si>
  <si>
    <t xml:space="preserve">U9</t>
  </si>
  <si>
    <t xml:space="preserve">LY68L6400SLIT</t>
  </si>
  <si>
    <t xml:space="preserve">IC PSRAM 64Mbit SOP-8</t>
  </si>
  <si>
    <t xml:space="preserve">REPLACEMENT PARTS: AP Memory APS6404L-3SQR-SN, Espressif ESP-PSRAM64H, IPUS IPS6404L-SQ</t>
  </si>
  <si>
    <t xml:space="preserve">SOP-8_3.9x4.9mm_P1.27mm</t>
  </si>
  <si>
    <t xml:space="preserve">Lyontek</t>
  </si>
  <si>
    <t xml:space="preserve">X1</t>
  </si>
  <si>
    <t xml:space="preserve">ASCO-24.000MHZ-EK-T3</t>
  </si>
  <si>
    <t xml:space="preserve">OSC 24 MHz 30 ppm 1.6x1.2 mm</t>
  </si>
  <si>
    <t xml:space="preserve">REPLACEMENT PARTS: ECS ECS-1612MV-240-CN-TR</t>
  </si>
  <si>
    <t xml:space="preserve">Oscillator_SMD-4Pin_1.6x1.2mm</t>
  </si>
  <si>
    <t xml:space="preserve">Abracon</t>
  </si>
  <si>
    <t xml:space="preserve">535-12073-1-ND</t>
  </si>
  <si>
    <t xml:space="preserve">3573055RL</t>
  </si>
  <si>
    <t xml:space="preserve">815ASCO24EKT3</t>
  </si>
  <si>
    <t xml:space="preserve">89AH0815</t>
  </si>
  <si>
    <t xml:space="preserve">Used currency rates:</t>
  </si>
  <si>
    <t xml:space="preserve">Total Purchase:</t>
  </si>
  <si>
    <t xml:space="preserve">Buy here</t>
  </si>
  <si>
    <t xml:space="preserve">USD($)/GBP(£):</t>
  </si>
  <si>
    <t xml:space="preserve">Purchase description:</t>
  </si>
  <si>
    <t xml:space="preserve">KiCost® v.1.1.5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</si>
</sst>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90909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000000"/>
        <bgColor rgb="FF00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1166DD"/>
        <bgColor rgb="FF3366FF"/>
      </patternFill>
    </fill>
    <fill>
      <patternFill patternType="solid">
        <fgColor rgb="FF004A85"/>
        <bgColor rgb="FF0C4DA1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0C4DA1"/>
        <bgColor rgb="FF004A8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AAAAA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1166D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0C4DA1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murata.com/products/productdetail.aspx?partno=GRM188R61C475ME11D" TargetMode="External"/><Relationship Id="rId3" Type="http://schemas.openxmlformats.org/officeDocument/2006/relationships/hyperlink" Target="https://octopart.com/click/track?c=1&amp;ai=8078&amp;sig=0445c4b&amp;sid=459&amp;ppid=46693351&amp;vpid=410305374&amp;ct=offers" TargetMode="External"/><Relationship Id="rId4" Type="http://schemas.openxmlformats.org/officeDocument/2006/relationships/hyperlink" Target="https://octopart.com/click/track?ai=8078&amp;sig=0e88e51&amp;sid=11744&amp;ppid=46693351&amp;vpid=667012264&amp;ct=offers" TargetMode="External"/><Relationship Id="rId5" Type="http://schemas.openxmlformats.org/officeDocument/2006/relationships/hyperlink" Target="https://octopart.com/click/track?ai=8078&amp;sig=09b8947&amp;sid=27971&amp;ppid=46693351&amp;vpid=583025469&amp;ct=offers" TargetMode="External"/><Relationship Id="rId6" Type="http://schemas.openxmlformats.org/officeDocument/2006/relationships/hyperlink" Target="https://octopart.com/click/track?c=1&amp;ai=8078&amp;sig=0b11af4&amp;sid=2401&amp;ppid=46693351&amp;vpid=238592031&amp;ct=offers" TargetMode="External"/><Relationship Id="rId7" Type="http://schemas.openxmlformats.org/officeDocument/2006/relationships/hyperlink" Target="https://octopart.com/click/track?ai=8078&amp;sig=07b4992&amp;sid=2402&amp;ppid=46693351&amp;vpid=669036411&amp;ct=offers" TargetMode="External"/><Relationship Id="rId8" Type="http://schemas.openxmlformats.org/officeDocument/2006/relationships/hyperlink" Target="https://www.vishay.com/docs/40176/tmcj.pdf" TargetMode="External"/><Relationship Id="rId9" Type="http://schemas.openxmlformats.org/officeDocument/2006/relationships/hyperlink" Target="https://octopart.com/click/track?c=1&amp;ai=8078&amp;sig=0f93a07&amp;sid=459&amp;ppid=51468669&amp;vpid=542012103&amp;ct=offers" TargetMode="External"/><Relationship Id="rId10" Type="http://schemas.openxmlformats.org/officeDocument/2006/relationships/hyperlink" Target="https://octopart.com/click/track?ai=8078&amp;sig=0539ea4&amp;sid=11744&amp;ppid=51468669&amp;vpid=237184951&amp;ct=offers" TargetMode="External"/><Relationship Id="rId11" Type="http://schemas.openxmlformats.org/officeDocument/2006/relationships/hyperlink" Target="https://octopart.com/click/track?ai=8078&amp;sig=043ec4f&amp;sid=2401&amp;ppid=51468669&amp;vpid=222364962&amp;ct=offers" TargetMode="External"/><Relationship Id="rId12" Type="http://schemas.openxmlformats.org/officeDocument/2006/relationships/hyperlink" Target="https://octopart.com/click/track?ai=8078&amp;sig=0b52c47&amp;sid=2402&amp;ppid=51468669&amp;vpid=228374112&amp;ct=offers" TargetMode="External"/><Relationship Id="rId13" Type="http://schemas.openxmlformats.org/officeDocument/2006/relationships/hyperlink" Target="https://octopart.com/click/track?ai=8078&amp;sig=074f439&amp;sid=10022&amp;ppid=51468669&amp;vpid=562995447&amp;ct=offers" TargetMode="External"/><Relationship Id="rId14" Type="http://schemas.openxmlformats.org/officeDocument/2006/relationships/hyperlink" Target="https://www.murata.com/products/productdetail.aspx?partno=GRM033C80J105ME05D" TargetMode="External"/><Relationship Id="rId15" Type="http://schemas.openxmlformats.org/officeDocument/2006/relationships/hyperlink" Target="https://octopart.com/click/track?ai=8078&amp;sig=0dd2dd5&amp;sid=459&amp;ppid=71220979&amp;vpid=252726184&amp;ct=offers" TargetMode="External"/><Relationship Id="rId16" Type="http://schemas.openxmlformats.org/officeDocument/2006/relationships/hyperlink" Target="https://octopart.com/click/track?c=1&amp;ai=8078&amp;sig=013a2f0&amp;sid=819&amp;ppid=71220979&amp;vpid=670691828&amp;ct=offers" TargetMode="External"/><Relationship Id="rId17" Type="http://schemas.openxmlformats.org/officeDocument/2006/relationships/hyperlink" Target="https://octopart.com/click/track?ai=8078&amp;sig=0e387aa&amp;sid=2401&amp;ppid=71220979&amp;vpid=262231651&amp;ct=offers" TargetMode="External"/><Relationship Id="rId18" Type="http://schemas.openxmlformats.org/officeDocument/2006/relationships/hyperlink" Target="https://octopart.com/click/track?c=1&amp;ai=8078&amp;sig=0e14f17&amp;sid=2402&amp;ppid=71220979&amp;vpid=671481163&amp;ct=offers" TargetMode="External"/><Relationship Id="rId19" Type="http://schemas.openxmlformats.org/officeDocument/2006/relationships/hyperlink" Target="https://www.murata.com/products/productdetail.aspx?partno=GRM035R60J475ME15D" TargetMode="External"/><Relationship Id="rId20" Type="http://schemas.openxmlformats.org/officeDocument/2006/relationships/hyperlink" Target="https://octopart.com/click/track?ai=8078&amp;sig=02d1bd9&amp;sid=459&amp;ppid=67141176&amp;vpid=252726416&amp;ct=offers" TargetMode="External"/><Relationship Id="rId21" Type="http://schemas.openxmlformats.org/officeDocument/2006/relationships/hyperlink" Target="https://octopart.com/click/track?ai=8078&amp;sig=0d5a122&amp;sid=819&amp;ppid=67141176&amp;vpid=585785201&amp;ct=offers" TargetMode="External"/><Relationship Id="rId22" Type="http://schemas.openxmlformats.org/officeDocument/2006/relationships/hyperlink" Target="https://octopart.com/click/track?ai=8078&amp;sig=0ec1763&amp;sid=27971&amp;ppid=67141176&amp;vpid=510777411&amp;ct=offers" TargetMode="External"/><Relationship Id="rId23" Type="http://schemas.openxmlformats.org/officeDocument/2006/relationships/hyperlink" Target="https://octopart.com/click/track?ai=8078&amp;sig=0e8e022&amp;sid=2401&amp;ppid=67141176&amp;vpid=262254328&amp;ct=offers" TargetMode="External"/><Relationship Id="rId24" Type="http://schemas.openxmlformats.org/officeDocument/2006/relationships/hyperlink" Target="https://octopart.com/click/track?ai=8078&amp;sig=02cfcbc&amp;sid=2402&amp;ppid=67141176&amp;vpid=587966703&amp;ct=offers" TargetMode="External"/><Relationship Id="rId25" Type="http://schemas.openxmlformats.org/officeDocument/2006/relationships/hyperlink" Target="https://www.murata.com/products/productdetail.aspx?partno=GRM155C81C225KE11D" TargetMode="External"/><Relationship Id="rId26" Type="http://schemas.openxmlformats.org/officeDocument/2006/relationships/hyperlink" Target="https://octopart.com/click/track?ai=8078&amp;sig=0b165bb&amp;sid=459&amp;ppid=46692789&amp;vpid=410305221&amp;ct=offers" TargetMode="External"/><Relationship Id="rId27" Type="http://schemas.openxmlformats.org/officeDocument/2006/relationships/hyperlink" Target="https://octopart.com/click/track?ai=8078&amp;sig=0d8f33b&amp;sid=11744&amp;ppid=46692789&amp;vpid=667012154&amp;ct=offers" TargetMode="External"/><Relationship Id="rId28" Type="http://schemas.openxmlformats.org/officeDocument/2006/relationships/hyperlink" Target="https://octopart.com/click/track?ai=8078&amp;sig=0cdb919&amp;sid=2401&amp;ppid=46692789&amp;vpid=230758256&amp;ct=offers" TargetMode="External"/><Relationship Id="rId29" Type="http://schemas.openxmlformats.org/officeDocument/2006/relationships/hyperlink" Target="https://octopart.com/click/track?ai=8078&amp;sig=0849c23&amp;sid=2402&amp;ppid=46692789&amp;vpid=669036303&amp;ct=offers" TargetMode="External"/><Relationship Id="rId30" Type="http://schemas.openxmlformats.org/officeDocument/2006/relationships/hyperlink" Target="https://www.murata.com/products/productdetail.aspx?partno=GRM033R60J224KE15D" TargetMode="External"/><Relationship Id="rId31" Type="http://schemas.openxmlformats.org/officeDocument/2006/relationships/hyperlink" Target="https://octopart.com/click/track?ai=8078&amp;sig=0492ec2&amp;sid=459&amp;ppid=51454422&amp;vpid=172161550&amp;ct=offers" TargetMode="External"/><Relationship Id="rId32" Type="http://schemas.openxmlformats.org/officeDocument/2006/relationships/hyperlink" Target="https://octopart.com/click/track?ai=8078&amp;sig=0efc20f&amp;sid=819&amp;ppid=51454422&amp;vpid=528007216&amp;ct=offers" TargetMode="External"/><Relationship Id="rId33" Type="http://schemas.openxmlformats.org/officeDocument/2006/relationships/hyperlink" Target="https://octopart.com/click/track?ai=8078&amp;sig=0f2788c&amp;sid=27971&amp;ppid=51454422&amp;vpid=445986847&amp;ct=offers" TargetMode="External"/><Relationship Id="rId34" Type="http://schemas.openxmlformats.org/officeDocument/2006/relationships/hyperlink" Target="https://octopart.com/click/track?ai=8078&amp;sig=0207666&amp;sid=2401&amp;ppid=51454422&amp;vpid=178169497&amp;ct=offers" TargetMode="External"/><Relationship Id="rId35" Type="http://schemas.openxmlformats.org/officeDocument/2006/relationships/hyperlink" Target="https://octopart.com/click/track?ai=8078&amp;sig=0d37eed&amp;sid=2402&amp;ppid=51454422&amp;vpid=529126546&amp;ct=offers" TargetMode="External"/><Relationship Id="rId36" Type="http://schemas.openxmlformats.org/officeDocument/2006/relationships/hyperlink" Target="https://octopart.com/click/track?ai=8078&amp;sig=0fe5791&amp;sid=10022&amp;ppid=51454422&amp;vpid=562632809&amp;ct=offers" TargetMode="External"/><Relationship Id="rId37" Type="http://schemas.openxmlformats.org/officeDocument/2006/relationships/hyperlink" Target="https://assets.nexperia.com/documents/data-sheet/BAV70_SER.pdf" TargetMode="External"/><Relationship Id="rId38" Type="http://schemas.openxmlformats.org/officeDocument/2006/relationships/hyperlink" Target="https://octopart.com/click/track?ai=8078&amp;sig=0128b3a&amp;sid=459&amp;ppid=78739000&amp;vpid=417198466&amp;ct=offers" TargetMode="External"/><Relationship Id="rId39" Type="http://schemas.openxmlformats.org/officeDocument/2006/relationships/hyperlink" Target="https://octopart.com/click/track?ai=8078&amp;sig=05421f8&amp;sid=819&amp;ppid=78739000&amp;vpid=414851195&amp;ct=offers" TargetMode="External"/><Relationship Id="rId40" Type="http://schemas.openxmlformats.org/officeDocument/2006/relationships/hyperlink" Target="https://octopart.com/click/track?ai=8078&amp;sig=01ca3f2&amp;sid=2401&amp;ppid=78739000&amp;vpid=416179413&amp;ct=offers" TargetMode="External"/><Relationship Id="rId41" Type="http://schemas.openxmlformats.org/officeDocument/2006/relationships/hyperlink" Target="https://octopart.com/click/track?ai=8078&amp;sig=0d99ee6&amp;sid=2402&amp;ppid=78739000&amp;vpid=520596720&amp;ct=offers" TargetMode="External"/><Relationship Id="rId42" Type="http://schemas.openxmlformats.org/officeDocument/2006/relationships/hyperlink" Target="https://octopart.com/click/track?ai=8078&amp;sig=0d25eb3&amp;sid=10022&amp;ppid=78739000&amp;vpid=501179661&amp;ct=offers" TargetMode="External"/><Relationship Id="rId43" Type="http://schemas.openxmlformats.org/officeDocument/2006/relationships/hyperlink" Target="https://www.lumex.com/datasheet/SML-LX0201USBC-TR" TargetMode="External"/><Relationship Id="rId44" Type="http://schemas.openxmlformats.org/officeDocument/2006/relationships/hyperlink" Target="https://octopart.com/click/track?ai=8078&amp;sig=034beed&amp;sid=459&amp;ppid=84788744&amp;vpid=439727366&amp;ct=offers" TargetMode="External"/><Relationship Id="rId45" Type="http://schemas.openxmlformats.org/officeDocument/2006/relationships/hyperlink" Target="https://octopart.com/click/track?ai=8078&amp;sig=0ff9f3f&amp;sid=11744&amp;ppid=84788744&amp;vpid=441493967&amp;ct=offers" TargetMode="External"/><Relationship Id="rId46" Type="http://schemas.openxmlformats.org/officeDocument/2006/relationships/hyperlink" Target="https://octopart.com/click/track?ai=8078&amp;sig=0210f61&amp;sid=2401&amp;ppid=84788744&amp;vpid=440311376&amp;ct=offers" TargetMode="External"/><Relationship Id="rId47" Type="http://schemas.openxmlformats.org/officeDocument/2006/relationships/hyperlink" Target="https://octopart.com/click/track?ai=8078&amp;sig=0a83003&amp;sid=2402&amp;ppid=84788744&amp;vpid=441141495&amp;ct=offers" TargetMode="External"/><Relationship Id="rId48" Type="http://schemas.openxmlformats.org/officeDocument/2006/relationships/hyperlink" Target="https://octopart.com/click/track?ai=8078&amp;sig=0d0b0e0&amp;sid=1532&amp;ppid=84788744&amp;vpid=709065381&amp;ct=offers" TargetMode="External"/><Relationship Id="rId49" Type="http://schemas.openxmlformats.org/officeDocument/2006/relationships/hyperlink" Target="https://www.lumex.com/datasheet/SML-LX0201UPGC-TR" TargetMode="External"/><Relationship Id="rId50" Type="http://schemas.openxmlformats.org/officeDocument/2006/relationships/hyperlink" Target="https://octopart.com/click/track?ai=8078&amp;sig=055564d&amp;sid=459&amp;ppid=84788743&amp;vpid=439727363&amp;ct=offers" TargetMode="External"/><Relationship Id="rId51" Type="http://schemas.openxmlformats.org/officeDocument/2006/relationships/hyperlink" Target="https://octopart.com/click/track?ai=8078&amp;sig=0fcbf2b&amp;sid=819&amp;ppid=84788743&amp;vpid=441301075&amp;ct=offers" TargetMode="External"/><Relationship Id="rId52" Type="http://schemas.openxmlformats.org/officeDocument/2006/relationships/hyperlink" Target="https://octopart.com/click/track?ai=8078&amp;sig=0bea5b7&amp;sid=2401&amp;ppid=84788743&amp;vpid=440311375&amp;ct=offers" TargetMode="External"/><Relationship Id="rId53" Type="http://schemas.openxmlformats.org/officeDocument/2006/relationships/hyperlink" Target="https://octopart.com/click/track?ai=8078&amp;sig=00c45d4&amp;sid=2402&amp;ppid=84788743&amp;vpid=441141494&amp;ct=offers" TargetMode="External"/><Relationship Id="rId54" Type="http://schemas.openxmlformats.org/officeDocument/2006/relationships/hyperlink" Target="https://octopart.com/click/track?ai=8078&amp;sig=0371ed3&amp;sid=1532&amp;ppid=84788743&amp;vpid=709065379&amp;ct=offers" TargetMode="External"/><Relationship Id="rId55" Type="http://schemas.openxmlformats.org/officeDocument/2006/relationships/hyperlink" Target="http://www.krhro.com/uploads/soft/180320/1-1P320120243.pdf" TargetMode="External"/><Relationship Id="rId56" Type="http://schemas.openxmlformats.org/officeDocument/2006/relationships/hyperlink" Target="https://octopart.com/click/track?ai=8078&amp;sig=0bf3cd2&amp;sid=27971&amp;ppid=99357592&amp;vpid=531406307&amp;ct=offers" TargetMode="External"/><Relationship Id="rId57" Type="http://schemas.openxmlformats.org/officeDocument/2006/relationships/hyperlink" Target="https://industrial.panasonic.com/ww/products/pt/general-purpose-chip-resistors/models/ERJ1GNF2002C" TargetMode="External"/><Relationship Id="rId58" Type="http://schemas.openxmlformats.org/officeDocument/2006/relationships/hyperlink" Target="https://octopart.com/click/track?c=1&amp;ai=8078&amp;sig=0a2fed8&amp;sid=459&amp;ppid=55419770&amp;vpid=465234364&amp;ct=offers" TargetMode="External"/><Relationship Id="rId59" Type="http://schemas.openxmlformats.org/officeDocument/2006/relationships/hyperlink" Target="https://octopart.com/click/track?c=1&amp;ai=8078&amp;sig=02957f8&amp;sid=819&amp;ppid=55419770&amp;vpid=139309800&amp;ct=offers" TargetMode="External"/><Relationship Id="rId60" Type="http://schemas.openxmlformats.org/officeDocument/2006/relationships/hyperlink" Target="https://octopart.com/click/track?ai=8078&amp;sig=035d3a2&amp;sid=27971&amp;ppid=55419770&amp;vpid=669037562&amp;ct=offers" TargetMode="External"/><Relationship Id="rId61" Type="http://schemas.openxmlformats.org/officeDocument/2006/relationships/hyperlink" Target="https://octopart.com/click/track?ai=8078&amp;sig=05e6940&amp;sid=2401&amp;ppid=55419770&amp;vpid=193534025&amp;ct=offers" TargetMode="External"/><Relationship Id="rId62" Type="http://schemas.openxmlformats.org/officeDocument/2006/relationships/hyperlink" Target="https://octopart.com/click/track?c=1&amp;ai=8078&amp;sig=04e76a3&amp;sid=2402&amp;ppid=55419770&amp;vpid=708013514&amp;ct=offers" TargetMode="External"/><Relationship Id="rId63" Type="http://schemas.openxmlformats.org/officeDocument/2006/relationships/hyperlink" Target="https://industrial.panasonic.com/ww/products/pt/general-purpose-chip-resistors/models/ERJ1GNJ512C" TargetMode="External"/><Relationship Id="rId64" Type="http://schemas.openxmlformats.org/officeDocument/2006/relationships/hyperlink" Target="https://octopart.com/click/track?ai=8078&amp;sig=0dd36dc&amp;sid=459&amp;ppid=66942597&amp;vpid=465235418&amp;ct=offers" TargetMode="External"/><Relationship Id="rId65" Type="http://schemas.openxmlformats.org/officeDocument/2006/relationships/hyperlink" Target="https://octopart.com/click/track?c=1&amp;ai=8078&amp;sig=01b939b&amp;sid=819&amp;ppid=66942597&amp;vpid=603690950&amp;ct=offers" TargetMode="External"/><Relationship Id="rId66" Type="http://schemas.openxmlformats.org/officeDocument/2006/relationships/hyperlink" Target="https://octopart.com/click/track?ai=8078&amp;sig=07a33f5&amp;sid=2401&amp;ppid=66942597&amp;vpid=265943161&amp;ct=offers" TargetMode="External"/><Relationship Id="rId67" Type="http://schemas.openxmlformats.org/officeDocument/2006/relationships/hyperlink" Target="https://octopart.com/click/track?c=1&amp;ai=8078&amp;sig=0cb0675&amp;sid=2402&amp;ppid=66942597&amp;vpid=669843420&amp;ct=offers" TargetMode="External"/><Relationship Id="rId68" Type="http://schemas.openxmlformats.org/officeDocument/2006/relationships/hyperlink" Target="https://industrial.panasonic.com/ww/products/pt/general-purpose-chip-resistors/models/ERJ1GNJ101C" TargetMode="External"/><Relationship Id="rId69" Type="http://schemas.openxmlformats.org/officeDocument/2006/relationships/hyperlink" Target="https://octopart.com/click/track?ai=8078&amp;sig=080fecf&amp;sid=459&amp;ppid=44403300&amp;vpid=465235178&amp;ct=offers" TargetMode="External"/><Relationship Id="rId70" Type="http://schemas.openxmlformats.org/officeDocument/2006/relationships/hyperlink" Target="https://octopart.com/click/track?c=1&amp;ai=8078&amp;sig=0b30f5a&amp;sid=819&amp;ppid=44403300&amp;vpid=603690830&amp;ct=offers" TargetMode="External"/><Relationship Id="rId71" Type="http://schemas.openxmlformats.org/officeDocument/2006/relationships/hyperlink" Target="https://octopart.com/click/track?ai=8078&amp;sig=08d00b1&amp;sid=27971&amp;ppid=44403300&amp;vpid=669037577&amp;ct=offers" TargetMode="External"/><Relationship Id="rId72" Type="http://schemas.openxmlformats.org/officeDocument/2006/relationships/hyperlink" Target="https://octopart.com/click/track?ai=8078&amp;sig=0e9f721&amp;sid=2401&amp;ppid=44403300&amp;vpid=165486549&amp;ct=offers" TargetMode="External"/><Relationship Id="rId73" Type="http://schemas.openxmlformats.org/officeDocument/2006/relationships/hyperlink" Target="https://octopart.com/click/track?c=1&amp;ai=8078&amp;sig=0f3777c&amp;sid=2402&amp;ppid=44403300&amp;vpid=166626673&amp;ct=offers" TargetMode="External"/><Relationship Id="rId74" Type="http://schemas.openxmlformats.org/officeDocument/2006/relationships/hyperlink" Target="https://octopart.com/click/track?ai=8078&amp;sig=0e76548&amp;sid=10022&amp;ppid=44403300&amp;vpid=577025029&amp;ct=offers" TargetMode="External"/><Relationship Id="rId75" Type="http://schemas.openxmlformats.org/officeDocument/2006/relationships/hyperlink" Target="https://industrial.panasonic.com/ww/products/pt/general-purpose-chip-resistors/models/ERJ1GN0R00C" TargetMode="External"/><Relationship Id="rId76" Type="http://schemas.openxmlformats.org/officeDocument/2006/relationships/hyperlink" Target="https://octopart.com/click/track?c=1&amp;ai=8078&amp;sig=0d55330&amp;sid=459&amp;ppid=16432844&amp;vpid=73994004&amp;ct=offers" TargetMode="External"/><Relationship Id="rId77" Type="http://schemas.openxmlformats.org/officeDocument/2006/relationships/hyperlink" Target="https://octopart.com/click/track?c=1&amp;ai=8078&amp;sig=0993eba&amp;sid=11744&amp;ppid=16432844&amp;vpid=709673718&amp;ct=offers" TargetMode="External"/><Relationship Id="rId78" Type="http://schemas.openxmlformats.org/officeDocument/2006/relationships/hyperlink" Target="https://octopart.com/click/track?c=1&amp;ai=8078&amp;sig=09308bd&amp;sid=2401&amp;ppid=16432844&amp;vpid=41840075&amp;ct=offers" TargetMode="External"/><Relationship Id="rId79" Type="http://schemas.openxmlformats.org/officeDocument/2006/relationships/hyperlink" Target="https://octopart.com/click/track?ai=8078&amp;sig=03714c0&amp;sid=2402&amp;ppid=16432844&amp;vpid=87993748&amp;ct=offers" TargetMode="External"/><Relationship Id="rId80" Type="http://schemas.openxmlformats.org/officeDocument/2006/relationships/hyperlink" Target="https://octopart.com/click/track?ai=8078&amp;sig=0514af3&amp;sid=10022&amp;ppid=16432844&amp;vpid=501237969&amp;ct=offers" TargetMode="External"/><Relationship Id="rId81" Type="http://schemas.openxmlformats.org/officeDocument/2006/relationships/hyperlink" Target="https://industrial.panasonic.com/ww/products/pt/general-purpose-chip-resistors/models/ERJ1GNJ222C" TargetMode="External"/><Relationship Id="rId82" Type="http://schemas.openxmlformats.org/officeDocument/2006/relationships/hyperlink" Target="https://octopart.com/click/track?ai=8078&amp;sig=0fe0904&amp;sid=459&amp;ppid=44403350&amp;vpid=465235292&amp;ct=offers" TargetMode="External"/><Relationship Id="rId83" Type="http://schemas.openxmlformats.org/officeDocument/2006/relationships/hyperlink" Target="https://octopart.com/click/track?c=1&amp;ai=8078&amp;sig=098df08&amp;sid=819&amp;ppid=44403350&amp;vpid=603690887&amp;ct=offers" TargetMode="External"/><Relationship Id="rId84" Type="http://schemas.openxmlformats.org/officeDocument/2006/relationships/hyperlink" Target="https://octopart.com/click/track?ai=8078&amp;sig=07d1d1b&amp;sid=2401&amp;ppid=44403350&amp;vpid=248150297&amp;ct=offers" TargetMode="External"/><Relationship Id="rId85" Type="http://schemas.openxmlformats.org/officeDocument/2006/relationships/hyperlink" Target="https://octopart.com/click/track?c=1&amp;ai=8078&amp;sig=01bc52e&amp;sid=2402&amp;ppid=44403350&amp;vpid=632042349&amp;ct=offers" TargetMode="External"/><Relationship Id="rId86" Type="http://schemas.openxmlformats.org/officeDocument/2006/relationships/hyperlink" Target="https://octopart.com/click/track?ai=8078&amp;sig=0a098df&amp;sid=10022&amp;ppid=44403350&amp;vpid=577025041&amp;ct=offers" TargetMode="External"/><Relationship Id="rId87" Type="http://schemas.openxmlformats.org/officeDocument/2006/relationships/hyperlink" Target="https://industrial.panasonic.com/ww/products/pt/general-purpose-chip-resistors/models/ERJ1GNF22R0C" TargetMode="External"/><Relationship Id="rId88" Type="http://schemas.openxmlformats.org/officeDocument/2006/relationships/hyperlink" Target="https://octopart.com/click/track?ai=8078&amp;sig=08ee572&amp;sid=459&amp;ppid=55559998&amp;vpid=465234424&amp;ct=offers" TargetMode="External"/><Relationship Id="rId89" Type="http://schemas.openxmlformats.org/officeDocument/2006/relationships/hyperlink" Target="https://octopart.com/click/track?ai=8078&amp;sig=0f5afc1&amp;sid=819&amp;ppid=55559998&amp;vpid=139309833&amp;ct=offers" TargetMode="External"/><Relationship Id="rId90" Type="http://schemas.openxmlformats.org/officeDocument/2006/relationships/hyperlink" Target="https://octopart.com/click/track?ai=8078&amp;sig=0dd1891&amp;sid=2401&amp;ppid=55559998&amp;vpid=187838618&amp;ct=offers" TargetMode="External"/><Relationship Id="rId91" Type="http://schemas.openxmlformats.org/officeDocument/2006/relationships/hyperlink" Target="https://octopart.com/click/track?ai=8078&amp;sig=0dc5d83&amp;sid=2402&amp;ppid=55559998&amp;vpid=423915177&amp;ct=offers" TargetMode="External"/><Relationship Id="rId92" Type="http://schemas.openxmlformats.org/officeDocument/2006/relationships/hyperlink" Target="https://octopart.com/click/track?ai=8078&amp;sig=06d7890&amp;sid=10022&amp;ppid=55559998&amp;vpid=577025017&amp;ct=offers" TargetMode="External"/><Relationship Id="rId93" Type="http://schemas.openxmlformats.org/officeDocument/2006/relationships/hyperlink" Target="https://industrial.panasonic.com/ww/products/pt/general-purpose-chip-resistors/models/ERJ1GNJ152C" TargetMode="External"/><Relationship Id="rId94" Type="http://schemas.openxmlformats.org/officeDocument/2006/relationships/hyperlink" Target="https://octopart.com/click/track?ai=8078&amp;sig=06f5537&amp;sid=459&amp;ppid=55940368&amp;vpid=465235230&amp;ct=offers" TargetMode="External"/><Relationship Id="rId95" Type="http://schemas.openxmlformats.org/officeDocument/2006/relationships/hyperlink" Target="https://octopart.com/click/track?c=1&amp;ai=8078&amp;sig=031cc2c&amp;sid=819&amp;ppid=55940368&amp;vpid=603690856&amp;ct=offers" TargetMode="External"/><Relationship Id="rId96" Type="http://schemas.openxmlformats.org/officeDocument/2006/relationships/hyperlink" Target="https://octopart.com/click/track?ai=8078&amp;sig=01a465a&amp;sid=2401&amp;ppid=55940368&amp;vpid=165486557&amp;ct=offers" TargetMode="External"/><Relationship Id="rId97" Type="http://schemas.openxmlformats.org/officeDocument/2006/relationships/hyperlink" Target="https://octopart.com/click/track?c=1&amp;ai=8078&amp;sig=0e5d5c9&amp;sid=2402&amp;ppid=55940368&amp;vpid=192308633&amp;ct=offers" TargetMode="External"/><Relationship Id="rId98" Type="http://schemas.openxmlformats.org/officeDocument/2006/relationships/hyperlink" Target="https://octopart.com/click/track?ai=8078&amp;sig=08f769b&amp;sid=10022&amp;ppid=55940368&amp;vpid=577025035&amp;ct=offers" TargetMode="External"/><Relationship Id="rId99" Type="http://schemas.openxmlformats.org/officeDocument/2006/relationships/hyperlink" Target="https://industrial.panasonic.com/ww/products/pt/general-purpose-chip-resistors/models/ERJ1GNF1003C" TargetMode="External"/><Relationship Id="rId100" Type="http://schemas.openxmlformats.org/officeDocument/2006/relationships/hyperlink" Target="https://octopart.com/click/track?ai=8078&amp;sig=05b0c10&amp;sid=459&amp;ppid=55419699&amp;vpid=465234048&amp;ct=offers" TargetMode="External"/><Relationship Id="rId101" Type="http://schemas.openxmlformats.org/officeDocument/2006/relationships/hyperlink" Target="https://octopart.com/click/track?ai=8078&amp;sig=06682e6&amp;sid=11744&amp;ppid=55419699&amp;vpid=132575578&amp;ct=offers" TargetMode="External"/><Relationship Id="rId102" Type="http://schemas.openxmlformats.org/officeDocument/2006/relationships/hyperlink" Target="https://octopart.com/click/track?ai=8078&amp;sig=016ffb6&amp;sid=27971&amp;ppid=55419699&amp;vpid=669037555&amp;ct=offers" TargetMode="External"/><Relationship Id="rId103" Type="http://schemas.openxmlformats.org/officeDocument/2006/relationships/hyperlink" Target="https://octopart.com/click/track?ai=8078&amp;sig=0f53f81&amp;sid=2401&amp;ppid=55419699&amp;vpid=187838587&amp;ct=offers" TargetMode="External"/><Relationship Id="rId104" Type="http://schemas.openxmlformats.org/officeDocument/2006/relationships/hyperlink" Target="https://octopart.com/click/track?ai=8078&amp;sig=06ff9cf&amp;sid=2402&amp;ppid=55419699&amp;vpid=423915173&amp;ct=offers" TargetMode="External"/><Relationship Id="rId105" Type="http://schemas.openxmlformats.org/officeDocument/2006/relationships/hyperlink" Target="https://octopart.com/click/track?ai=8078&amp;sig=0de3a6c&amp;sid=10022&amp;ppid=55419699&amp;vpid=577025004&amp;ct=offers" TargetMode="External"/><Relationship Id="rId106" Type="http://schemas.openxmlformats.org/officeDocument/2006/relationships/hyperlink" Target="https://industrial.panasonic.com/ww/products/pt/general-purpose-chip-resistors/models/ERJ1GNF1002C" TargetMode="External"/><Relationship Id="rId107" Type="http://schemas.openxmlformats.org/officeDocument/2006/relationships/hyperlink" Target="https://octopart.com/click/track?ai=8078&amp;sig=08a096a&amp;sid=459&amp;ppid=55419697&amp;vpid=436711940&amp;ct=offers" TargetMode="External"/><Relationship Id="rId108" Type="http://schemas.openxmlformats.org/officeDocument/2006/relationships/hyperlink" Target="https://octopart.com/click/track?ai=8078&amp;sig=0f0932e&amp;sid=11744&amp;ppid=55419697&amp;vpid=132575573&amp;ct=offers" TargetMode="External"/><Relationship Id="rId109" Type="http://schemas.openxmlformats.org/officeDocument/2006/relationships/hyperlink" Target="https://octopart.com/click/track?ai=8078&amp;sig=02e7488&amp;sid=27971&amp;ppid=55419697&amp;vpid=669037554&amp;ct=offers" TargetMode="External"/><Relationship Id="rId110" Type="http://schemas.openxmlformats.org/officeDocument/2006/relationships/hyperlink" Target="https://octopart.com/click/track?ai=8078&amp;sig=08e4731&amp;sid=2401&amp;ppid=55419697&amp;vpid=189037115&amp;ct=offers" TargetMode="External"/><Relationship Id="rId111" Type="http://schemas.openxmlformats.org/officeDocument/2006/relationships/hyperlink" Target="https://octopart.com/click/track?ai=8078&amp;sig=0320500&amp;sid=2402&amp;ppid=55419697&amp;vpid=190850887&amp;ct=offers" TargetMode="External"/><Relationship Id="rId112" Type="http://schemas.openxmlformats.org/officeDocument/2006/relationships/hyperlink" Target="https://octopart.com/click/track?ai=8078&amp;sig=0924ec2&amp;sid=10022&amp;ppid=55419697&amp;vpid=501237973&amp;ct=offers" TargetMode="External"/><Relationship Id="rId113" Type="http://schemas.openxmlformats.org/officeDocument/2006/relationships/hyperlink" Target="https://www.ckswitches.com/media/1465/kxt3.pdf" TargetMode="External"/><Relationship Id="rId114" Type="http://schemas.openxmlformats.org/officeDocument/2006/relationships/hyperlink" Target="https://octopart.com/click/track?ai=8078&amp;sig=0455a70&amp;sid=459&amp;ppid=77815716&amp;vpid=409558688&amp;ct=offers" TargetMode="External"/><Relationship Id="rId115" Type="http://schemas.openxmlformats.org/officeDocument/2006/relationships/hyperlink" Target="https://octopart.com/click/track?ai=8078&amp;sig=0e62e6f&amp;sid=819&amp;ppid=77815716&amp;vpid=573821253&amp;ct=offers" TargetMode="External"/><Relationship Id="rId116" Type="http://schemas.openxmlformats.org/officeDocument/2006/relationships/hyperlink" Target="https://octopart.com/click/track?ai=8078&amp;sig=0cf174f&amp;sid=27971&amp;ppid=77815716&amp;vpid=499988073&amp;ct=offers" TargetMode="External"/><Relationship Id="rId117" Type="http://schemas.openxmlformats.org/officeDocument/2006/relationships/hyperlink" Target="https://octopart.com/click/track?ai=8078&amp;sig=0c19f51&amp;sid=2401&amp;ppid=77815716&amp;vpid=418675924&amp;ct=offers" TargetMode="External"/><Relationship Id="rId118" Type="http://schemas.openxmlformats.org/officeDocument/2006/relationships/hyperlink" Target="https://octopart.com/click/track?ai=8078&amp;sig=003f6a2&amp;sid=2402&amp;ppid=77815716&amp;vpid=587924507&amp;ct=offers" TargetMode="External"/><Relationship Id="rId119" Type="http://schemas.openxmlformats.org/officeDocument/2006/relationships/hyperlink" Target="https://www.onsemi.com/pdf/datasheet/ncp115-d.pdf" TargetMode="External"/><Relationship Id="rId120" Type="http://schemas.openxmlformats.org/officeDocument/2006/relationships/hyperlink" Target="https://octopart.com/click/track?ai=8078&amp;sig=0a3f4b6&amp;sid=459&amp;ppid=92380524&amp;vpid=530205177&amp;ct=offers" TargetMode="External"/><Relationship Id="rId121" Type="http://schemas.openxmlformats.org/officeDocument/2006/relationships/hyperlink" Target="https://octopart.com/click/track?ai=8078&amp;sig=0e69391&amp;sid=11744&amp;ppid=92380524&amp;vpid=531143297&amp;ct=offers" TargetMode="External"/><Relationship Id="rId122" Type="http://schemas.openxmlformats.org/officeDocument/2006/relationships/hyperlink" Target="https://octopart.com/click/track?ai=8078&amp;sig=036a8af&amp;sid=2401&amp;ppid=92380524&amp;vpid=523401631&amp;ct=offers" TargetMode="External"/><Relationship Id="rId123" Type="http://schemas.openxmlformats.org/officeDocument/2006/relationships/hyperlink" Target="https://octopart.com/click/track?ai=8078&amp;sig=09fcc50&amp;sid=2402&amp;ppid=92380524&amp;vpid=531928826&amp;ct=offers" TargetMode="External"/><Relationship Id="rId124" Type="http://schemas.openxmlformats.org/officeDocument/2006/relationships/hyperlink" Target="https://octopart.com/click/track?ai=8078&amp;sig=074da9d&amp;sid=10022&amp;ppid=92380524&amp;vpid=562641107&amp;ct=offers" TargetMode="External"/><Relationship Id="rId125" Type="http://schemas.openxmlformats.org/officeDocument/2006/relationships/hyperlink" Target="https://www.winbond.com/resource-files/W25Q128JV%20RevH%2003102021%20Plus.pdf" TargetMode="External"/><Relationship Id="rId126" Type="http://schemas.openxmlformats.org/officeDocument/2006/relationships/hyperlink" Target="https://octopart.com/click/track?c=1&amp;ai=8078&amp;sig=027d369&amp;sid=459&amp;ppid=81762594&amp;vpid=420816932&amp;ct=offers" TargetMode="External"/><Relationship Id="rId127" Type="http://schemas.openxmlformats.org/officeDocument/2006/relationships/hyperlink" Target="http://www.latticesemi.com/Products/FPGAandCPLD/iCE40UltraPlus" TargetMode="External"/><Relationship Id="rId128" Type="http://schemas.openxmlformats.org/officeDocument/2006/relationships/hyperlink" Target="https://octopart.com/click/track?c=1&amp;ai=8078&amp;sig=08e94d1&amp;sid=459&amp;ppid=87369311&amp;vpid=495120370&amp;ct=offers" TargetMode="External"/><Relationship Id="rId129" Type="http://schemas.openxmlformats.org/officeDocument/2006/relationships/hyperlink" Target="https://octopart.com/click/track?ai=8078&amp;sig=026c69c&amp;sid=819&amp;ppid=87369311&amp;vpid=718456045&amp;ct=offers" TargetMode="External"/><Relationship Id="rId130" Type="http://schemas.openxmlformats.org/officeDocument/2006/relationships/hyperlink" Target="https://octopart.com/click/track?c=1&amp;ai=8078&amp;sig=0cde656&amp;sid=2401&amp;ppid=87369311&amp;vpid=477152809&amp;ct=offers" TargetMode="External"/><Relationship Id="rId131" Type="http://schemas.openxmlformats.org/officeDocument/2006/relationships/hyperlink" Target="https://octopart.com/click/track?ai=8078&amp;sig=05f02b2&amp;sid=2402&amp;ppid=87369311&amp;vpid=719396471&amp;ct=offers" TargetMode="External"/><Relationship Id="rId132" Type="http://schemas.openxmlformats.org/officeDocument/2006/relationships/hyperlink" Target="https://www.onsemi.com/pdf/datasheet/ncp167-d.pdf" TargetMode="External"/><Relationship Id="rId133" Type="http://schemas.openxmlformats.org/officeDocument/2006/relationships/hyperlink" Target="https://octopart.com/click/track?c=1&amp;ai=8078&amp;sig=0d6401e&amp;sid=459&amp;ppid=85869721&amp;vpid=510801591&amp;ct=offers" TargetMode="External"/><Relationship Id="rId134" Type="http://schemas.openxmlformats.org/officeDocument/2006/relationships/hyperlink" Target="https://octopart.com/click/track?c=1&amp;ai=8078&amp;sig=08bbb59&amp;sid=11744&amp;ppid=85869721&amp;vpid=511860082&amp;ct=offers" TargetMode="External"/><Relationship Id="rId135" Type="http://schemas.openxmlformats.org/officeDocument/2006/relationships/hyperlink" Target="https://octopart.com/click/track?ai=8078&amp;sig=093fed6&amp;sid=2401&amp;ppid=85869721&amp;vpid=480971673&amp;ct=offers" TargetMode="External"/><Relationship Id="rId136" Type="http://schemas.openxmlformats.org/officeDocument/2006/relationships/hyperlink" Target="https://octopart.com/click/track?c=1&amp;ai=8078&amp;sig=0620216&amp;sid=2402&amp;ppid=85869721&amp;vpid=530859240&amp;ct=offers" TargetMode="External"/><Relationship Id="rId137" Type="http://schemas.openxmlformats.org/officeDocument/2006/relationships/hyperlink" Target="https://octopart.com/click/track?ai=8078&amp;sig=0d86e14&amp;sid=10022&amp;ppid=85869721&amp;vpid=562641330&amp;ct=offers" TargetMode="External"/><Relationship Id="rId138" Type="http://schemas.openxmlformats.org/officeDocument/2006/relationships/hyperlink" Target="https://www.onsemi.com/pdf/datasheet/fpf1321-d.pdf" TargetMode="External"/><Relationship Id="rId139" Type="http://schemas.openxmlformats.org/officeDocument/2006/relationships/hyperlink" Target="https://octopart.com/click/track?ai=8078&amp;sig=093f97a&amp;sid=459&amp;ppid=84327733&amp;vpid=452465989&amp;ct=offers" TargetMode="External"/><Relationship Id="rId140" Type="http://schemas.openxmlformats.org/officeDocument/2006/relationships/hyperlink" Target="https://octopart.com/click/track?ai=8078&amp;sig=02ee210&amp;sid=819&amp;ppid=84327733&amp;vpid=464889258&amp;ct=offers" TargetMode="External"/><Relationship Id="rId141" Type="http://schemas.openxmlformats.org/officeDocument/2006/relationships/hyperlink" Target="https://octopart.com/click/track?ai=8078&amp;sig=0a3dcb6&amp;sid=27971&amp;ppid=84327733&amp;vpid=726305229&amp;ct=offers" TargetMode="External"/><Relationship Id="rId142" Type="http://schemas.openxmlformats.org/officeDocument/2006/relationships/hyperlink" Target="https://octopart.com/click/track?ai=8078&amp;sig=02955e6&amp;sid=2401&amp;ppid=84327733&amp;vpid=438583550&amp;ct=offers" TargetMode="External"/><Relationship Id="rId143" Type="http://schemas.openxmlformats.org/officeDocument/2006/relationships/hyperlink" Target="https://octopart.com/click/track?ai=8078&amp;sig=0729f47&amp;sid=2402&amp;ppid=84327733&amp;vpid=462365160&amp;ct=offers" TargetMode="External"/><Relationship Id="rId144" Type="http://schemas.openxmlformats.org/officeDocument/2006/relationships/hyperlink" Target="https://www.ti.com/lit/ds/symlink/sn74cbtd16211.pdf" TargetMode="External"/><Relationship Id="rId145" Type="http://schemas.openxmlformats.org/officeDocument/2006/relationships/hyperlink" Target="https://octopart.com/click/track?c=1&amp;ai=8078&amp;sig=0aac5c3&amp;sid=459&amp;ppid=472676&amp;vpid=1588405&amp;ct=offers" TargetMode="External"/><Relationship Id="rId146" Type="http://schemas.openxmlformats.org/officeDocument/2006/relationships/hyperlink" Target="https://octopart.com/click/track?ai=8078&amp;sig=0221cb4&amp;sid=27971&amp;ppid=472676&amp;vpid=696942338&amp;ct=offers" TargetMode="External"/><Relationship Id="rId147" Type="http://schemas.openxmlformats.org/officeDocument/2006/relationships/hyperlink" Target="https://octopart.com/click/track?ai=8078&amp;sig=0681b00&amp;sid=2401&amp;ppid=472676&amp;vpid=46887142&amp;ct=offers" TargetMode="External"/><Relationship Id="rId148" Type="http://schemas.openxmlformats.org/officeDocument/2006/relationships/hyperlink" Target="https://www.nxp.com/docs/en/data-sheet/SGTL5000.pdf" TargetMode="External"/><Relationship Id="rId149" Type="http://schemas.openxmlformats.org/officeDocument/2006/relationships/hyperlink" Target="https://octopart.com/click/track?c=1&amp;ai=8078&amp;sig=0e67bb5&amp;sid=459&amp;ppid=70302733&amp;vpid=248305906&amp;ct=offers" TargetMode="External"/><Relationship Id="rId150" Type="http://schemas.openxmlformats.org/officeDocument/2006/relationships/hyperlink" Target="https://octopart.com/click/track?c=1&amp;ai=8078&amp;sig=0d698c2&amp;sid=11744&amp;ppid=70302733&amp;vpid=247788338&amp;ct=offers" TargetMode="External"/><Relationship Id="rId151" Type="http://schemas.openxmlformats.org/officeDocument/2006/relationships/hyperlink" Target="https://octopart.com/click/track?c=1&amp;ai=8078&amp;sig=047f522&amp;sid=2401&amp;ppid=70302733&amp;vpid=251555959&amp;ct=offers" TargetMode="External"/><Relationship Id="rId152" Type="http://schemas.openxmlformats.org/officeDocument/2006/relationships/hyperlink" Target="https://octopart.com/click/track?c=1&amp;ai=8078&amp;sig=00417c4&amp;sid=2402&amp;ppid=70302733&amp;vpid=270421497&amp;ct=offers" TargetMode="External"/><Relationship Id="rId153" Type="http://schemas.openxmlformats.org/officeDocument/2006/relationships/hyperlink" Target="https://www.onsemi.com/pdf/datasheet/nuf2030xv6-d.pdf" TargetMode="External"/><Relationship Id="rId154" Type="http://schemas.openxmlformats.org/officeDocument/2006/relationships/hyperlink" Target="https://octopart.com/click/track?c=1&amp;ai=8078&amp;sig=08ab043&amp;sid=459&amp;ppid=1432420&amp;vpid=34063078&amp;ct=offers" TargetMode="External"/><Relationship Id="rId155" Type="http://schemas.openxmlformats.org/officeDocument/2006/relationships/hyperlink" Target="https://octopart.com/click/track?c=1&amp;ai=8078&amp;sig=06011dc&amp;sid=819&amp;ppid=1432420&amp;vpid=464895797&amp;ct=offers" TargetMode="External"/><Relationship Id="rId156" Type="http://schemas.openxmlformats.org/officeDocument/2006/relationships/hyperlink" Target="https://octopart.com/click/track?c=1&amp;ai=8078&amp;sig=0a62f1b&amp;sid=2401&amp;ppid=1432420&amp;vpid=37670933&amp;ct=offers" TargetMode="External"/><Relationship Id="rId157" Type="http://schemas.openxmlformats.org/officeDocument/2006/relationships/hyperlink" Target="https://octopart.com/click/track?ai=8078&amp;sig=02bcbf3&amp;sid=2402&amp;ppid=1432420&amp;vpid=462366243&amp;ct=offers" TargetMode="External"/><Relationship Id="rId158" Type="http://schemas.openxmlformats.org/officeDocument/2006/relationships/hyperlink" Target="https://octopart.com/click/track?ai=8078&amp;sig=0d0b068&amp;sid=10022&amp;ppid=1432420&amp;vpid=199088821&amp;ct=offers" TargetMode="External"/><Relationship Id="rId159" Type="http://schemas.openxmlformats.org/officeDocument/2006/relationships/hyperlink" Target="https://octopart.com/click/track?ai=8078&amp;sig=0871723&amp;sid=1532&amp;ppid=1432420&amp;vpid=709123001&amp;ct=offers" TargetMode="External"/><Relationship Id="rId160" Type="http://schemas.openxmlformats.org/officeDocument/2006/relationships/hyperlink" Target="https://www.microchip.com/en-us/product/MCP6H01" TargetMode="External"/><Relationship Id="rId161" Type="http://schemas.openxmlformats.org/officeDocument/2006/relationships/hyperlink" Target="https://octopart.com/click/track?ai=8078&amp;sig=0566c78&amp;sid=459&amp;ppid=21389927&amp;vpid=46837432&amp;ct=offers" TargetMode="External"/><Relationship Id="rId162" Type="http://schemas.openxmlformats.org/officeDocument/2006/relationships/hyperlink" Target="https://octopart.com/click/track?ai=8078&amp;sig=0cd74e5&amp;sid=819&amp;ppid=21389927&amp;vpid=477258536&amp;ct=offers" TargetMode="External"/><Relationship Id="rId163" Type="http://schemas.openxmlformats.org/officeDocument/2006/relationships/hyperlink" Target="https://octopart.com/click/track?ai=8078&amp;sig=0e088c4&amp;sid=2401&amp;ppid=21389927&amp;vpid=96737316&amp;ct=offers" TargetMode="External"/><Relationship Id="rId164" Type="http://schemas.openxmlformats.org/officeDocument/2006/relationships/hyperlink" Target="https://octopart.com/click/track?ai=8078&amp;sig=03f9ef0&amp;sid=2402&amp;ppid=21389927&amp;vpid=477464962&amp;ct=offers" TargetMode="External"/><Relationship Id="rId165" Type="http://schemas.openxmlformats.org/officeDocument/2006/relationships/hyperlink" Target="https://octopart.com/click/track?ai=8078&amp;sig=03abf9d&amp;sid=10022&amp;ppid=21389927&amp;vpid=501149510&amp;ct=offers" TargetMode="External"/><Relationship Id="rId166" Type="http://schemas.openxmlformats.org/officeDocument/2006/relationships/hyperlink" Target="https://octopart.com/click/track?ai=8078&amp;sig=0683b33&amp;sid=1532&amp;ppid=21389927&amp;vpid=709082526&amp;ct=offers" TargetMode="External"/><Relationship Id="rId167" Type="http://schemas.openxmlformats.org/officeDocument/2006/relationships/hyperlink" Target="https://www.apmemory.com/wp-content/uploads/APM_PSRAM_QSPI-APS6404L-3SQR-v2.3-PKG.pdf" TargetMode="External"/><Relationship Id="rId168" Type="http://schemas.openxmlformats.org/officeDocument/2006/relationships/hyperlink" Target="https://abracon.com/Oscillators/ASCO.pdf" TargetMode="External"/><Relationship Id="rId169" Type="http://schemas.openxmlformats.org/officeDocument/2006/relationships/hyperlink" Target="https://octopart.com/click/track?ai=8078&amp;sig=08c1eac&amp;sid=459&amp;ppid=29304148&amp;vpid=77656383&amp;ct=offers" TargetMode="External"/><Relationship Id="rId170" Type="http://schemas.openxmlformats.org/officeDocument/2006/relationships/hyperlink" Target="https://octopart.com/click/track?ai=8078&amp;sig=00626ec&amp;sid=819&amp;ppid=29304148&amp;vpid=663079651&amp;ct=offers" TargetMode="External"/><Relationship Id="rId171" Type="http://schemas.openxmlformats.org/officeDocument/2006/relationships/hyperlink" Target="https://octopart.com/click/track?ai=8078&amp;sig=0787bed&amp;sid=2401&amp;ppid=29304148&amp;vpid=182948634&amp;ct=offers" TargetMode="External"/><Relationship Id="rId172" Type="http://schemas.openxmlformats.org/officeDocument/2006/relationships/hyperlink" Target="https://octopart.com/click/track?ai=8078&amp;sig=0785f27&amp;sid=2402&amp;ppid=29304148&amp;vpid=664848724&amp;ct=offers" TargetMode="External"/><Relationship Id="rId173" Type="http://schemas.openxmlformats.org/officeDocument/2006/relationships/hyperlink" Target="https://www.arrow.com/en/bom-tool/" TargetMode="External"/><Relationship Id="rId174" Type="http://schemas.openxmlformats.org/officeDocument/2006/relationships/hyperlink" Target="https://www.digikey.com/ordering/shoppingcart" TargetMode="External"/><Relationship Id="rId175" Type="http://schemas.openxmlformats.org/officeDocument/2006/relationships/hyperlink" Target="https://www.newark.com/quick-order?isQuickPaste=true" TargetMode="External"/><Relationship Id="rId176" Type="http://schemas.openxmlformats.org/officeDocument/2006/relationships/hyperlink" Target="https://lcsc.com/bom.html" TargetMode="External"/><Relationship Id="rId177" Type="http://schemas.openxmlformats.org/officeDocument/2006/relationships/hyperlink" Target="https://mouser.com/bom/" TargetMode="External"/><Relationship Id="rId178" Type="http://schemas.openxmlformats.org/officeDocument/2006/relationships/hyperlink" Target="https://www.newark.com/quick-order?isQuickPaste=true" TargetMode="External"/><Relationship Id="rId179" Type="http://schemas.openxmlformats.org/officeDocument/2006/relationships/hyperlink" Target="https://uk.rs-online.com/web/mylists/manualQuotes.html?method=showEnquiryCreationPage&amp;mode=new" TargetMode="External"/><Relationship Id="rId180" Type="http://schemas.openxmlformats.org/officeDocument/2006/relationships/hyperlink" Target="https://www.tme.eu/en/Profile/QuickBuy/load.html" TargetMode="External"/><Relationship Id="rId18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0" ySplit="6" topLeftCell="K7" activePane="bottomRight" state="frozen"/>
      <selection pane="topLeft" activeCell="A1" activeCellId="0" sqref="A1"/>
      <selection pane="topRight" activeCell="K1" activeCellId="0" sqref="K1"/>
      <selection pane="bottomLeft" activeCell="A7" activeCellId="0" sqref="A7"/>
      <selection pane="bottomRight" activeCell="A1" activeCellId="0" sqref="A1"/>
    </sheetView>
  </sheetViews>
  <sheetFormatPr defaultColWidth="8.55078125" defaultRowHeight="15" zeroHeight="false" outlineLevelRow="0" outlineLevelCol="2"/>
  <cols>
    <col collapsed="false" customWidth="true" hidden="false" outlineLevel="0" max="2" min="1" style="0" width="9.14"/>
    <col collapsed="false" customWidth="true" hidden="false" outlineLevel="2" max="3" min="3" style="0" width="9.14"/>
    <col collapsed="false" customWidth="true" hidden="false" outlineLevel="0" max="4" min="4" style="0" width="9.14"/>
    <col collapsed="false" customWidth="true" hidden="false" outlineLevel="2" max="5" min="5" style="0" width="9.14"/>
    <col collapsed="false" customWidth="true" hidden="false" outlineLevel="1" max="8" min="6" style="0" width="9.14"/>
    <col collapsed="false" customWidth="true" hidden="false" outlineLevel="0" max="9" min="9" style="0" width="9.14"/>
    <col collapsed="false" customWidth="true" hidden="false" outlineLevel="0" max="10" min="10" style="0" width="15.71"/>
    <col collapsed="false" customWidth="true" hidden="false" outlineLevel="1" max="11" min="11" style="0" width="9.14"/>
    <col collapsed="false" customWidth="true" hidden="false" outlineLevel="2" max="13" min="12" style="0" width="9.14"/>
    <col collapsed="false" customWidth="true" hidden="false" outlineLevel="0" max="14" min="14" style="0" width="15.71"/>
    <col collapsed="false" customWidth="true" hidden="false" outlineLevel="2" max="15" min="15" style="0" width="15.71"/>
    <col collapsed="false" customWidth="true" hidden="false" outlineLevel="1" max="16" min="16" style="0" width="9.14"/>
    <col collapsed="false" customWidth="true" hidden="false" outlineLevel="2" max="18" min="17" style="0" width="9.14"/>
    <col collapsed="false" customWidth="true" hidden="false" outlineLevel="0" max="19" min="19" style="0" width="15.71"/>
    <col collapsed="false" customWidth="true" hidden="false" outlineLevel="2" max="20" min="20" style="0" width="15.71"/>
    <col collapsed="false" customWidth="true" hidden="false" outlineLevel="1" max="21" min="21" style="0" width="9.14"/>
    <col collapsed="false" customWidth="true" hidden="false" outlineLevel="2" max="23" min="22" style="0" width="9.14"/>
    <col collapsed="false" customWidth="true" hidden="false" outlineLevel="0" max="24" min="24" style="0" width="15.71"/>
    <col collapsed="false" customWidth="true" hidden="false" outlineLevel="2" max="25" min="25" style="0" width="15.71"/>
    <col collapsed="false" customWidth="true" hidden="false" outlineLevel="1" max="26" min="26" style="0" width="9.14"/>
    <col collapsed="false" customWidth="true" hidden="false" outlineLevel="2" max="28" min="27" style="0" width="9.14"/>
    <col collapsed="false" customWidth="true" hidden="false" outlineLevel="0" max="29" min="29" style="0" width="15.71"/>
    <col collapsed="false" customWidth="true" hidden="false" outlineLevel="2" max="30" min="30" style="0" width="15.71"/>
    <col collapsed="false" customWidth="true" hidden="false" outlineLevel="1" max="31" min="31" style="0" width="9.14"/>
    <col collapsed="false" customWidth="true" hidden="false" outlineLevel="2" max="33" min="32" style="0" width="9.14"/>
    <col collapsed="false" customWidth="true" hidden="false" outlineLevel="0" max="34" min="34" style="0" width="15.71"/>
    <col collapsed="false" customWidth="true" hidden="false" outlineLevel="2" max="35" min="35" style="0" width="15.71"/>
    <col collapsed="false" customWidth="true" hidden="false" outlineLevel="1" max="36" min="36" style="0" width="9.14"/>
    <col collapsed="false" customWidth="true" hidden="false" outlineLevel="2" max="38" min="37" style="0" width="9.14"/>
    <col collapsed="false" customWidth="true" hidden="false" outlineLevel="0" max="39" min="39" style="0" width="15.71"/>
    <col collapsed="false" customWidth="true" hidden="false" outlineLevel="2" max="40" min="40" style="0" width="15.71"/>
    <col collapsed="false" customWidth="true" hidden="false" outlineLevel="1" max="41" min="41" style="0" width="9.14"/>
    <col collapsed="false" customWidth="true" hidden="false" outlineLevel="2" max="43" min="42" style="0" width="9.14"/>
    <col collapsed="false" customWidth="true" hidden="false" outlineLevel="0" max="44" min="44" style="0" width="15.71"/>
    <col collapsed="false" customWidth="true" hidden="false" outlineLevel="2" max="45" min="45" style="0" width="15.71"/>
    <col collapsed="false" customWidth="true" hidden="false" outlineLevel="1" max="46" min="46" style="0" width="9.14"/>
    <col collapsed="false" customWidth="true" hidden="false" outlineLevel="2" max="48" min="47" style="0" width="9.14"/>
    <col collapsed="false" customWidth="true" hidden="false" outlineLevel="0" max="49" min="49" style="0" width="15.71"/>
    <col collapsed="false" customWidth="true" hidden="false" outlineLevel="2" max="50" min="50" style="0" width="15.71"/>
  </cols>
  <sheetData>
    <row r="1" customFormat="false" ht="15" hidden="false" customHeight="false" outlineLevel="0" collapsed="false">
      <c r="A1" s="1" t="s">
        <v>0</v>
      </c>
      <c r="B1" s="2" t="s">
        <v>1</v>
      </c>
      <c r="I1" s="3" t="s">
        <v>2</v>
      </c>
      <c r="J1" s="3" t="n">
        <v>1</v>
      </c>
    </row>
    <row r="2" customFormat="false" ht="15" hidden="false" customHeight="false" outlineLevel="0" collapsed="false">
      <c r="A2" s="1" t="s">
        <v>3</v>
      </c>
      <c r="B2" s="2" t="s">
        <v>4</v>
      </c>
      <c r="I2" s="1" t="s">
        <v>5</v>
      </c>
      <c r="J2" s="4" t="n">
        <f aca="false">TotalCost/BoardQty</f>
        <v>20.6929589463982</v>
      </c>
    </row>
    <row r="3" customFormat="false" ht="15" hidden="false" customHeight="false" outlineLevel="0" collapsed="false">
      <c r="A3" s="1" t="s">
        <v>6</v>
      </c>
      <c r="B3" s="2" t="s">
        <v>7</v>
      </c>
      <c r="I3" s="1" t="s">
        <v>8</v>
      </c>
      <c r="J3" s="5" t="n">
        <f aca="false">SUM(J7:J41)</f>
        <v>20.6929589463982</v>
      </c>
      <c r="N3" s="5" t="n">
        <f aca="false">SUM(N7:N41)</f>
        <v>0</v>
      </c>
      <c r="O3" s="6" t="str">
        <f aca="false">(COUNTA(N7:N41)&amp;" of "&amp;ROWS(N7:N41)&amp;" parts found")</f>
        <v>0 of 35 parts found</v>
      </c>
      <c r="S3" s="5" t="n">
        <f aca="false">SUM(S7:S41)</f>
        <v>26.268</v>
      </c>
      <c r="T3" s="6" t="str">
        <f aca="false">(COUNTA(S7:S41)&amp;" of "&amp;ROWS(S7:S41)&amp;" parts found")</f>
        <v>29 of 35 parts found</v>
      </c>
      <c r="X3" s="5" t="n">
        <f aca="false">SUM(X7:X41)</f>
        <v>23.2671237160339</v>
      </c>
      <c r="Y3" s="6" t="str">
        <f aca="false">(COUNTA(X7:X41)&amp;" of "&amp;ROWS(X7:X41)&amp;" parts found")</f>
        <v>27 of 35 parts found</v>
      </c>
      <c r="AC3" s="5" t="n">
        <f aca="false">SUM(AC7:AC41)</f>
        <v>19.13849</v>
      </c>
      <c r="AD3" s="6" t="str">
        <f aca="false">(COUNTA(AC7:AC41)&amp;" of "&amp;ROWS(AC7:AC41)&amp;" parts found")</f>
        <v>11 of 35 parts found</v>
      </c>
      <c r="AH3" s="5" t="n">
        <f aca="false">SUM(AH7:AH41)</f>
        <v>26.348</v>
      </c>
      <c r="AI3" s="6" t="str">
        <f aca="false">(COUNTA(AH7:AH41)&amp;" of "&amp;ROWS(AH7:AH41)&amp;" parts found")</f>
        <v>28 of 35 parts found</v>
      </c>
      <c r="AM3" s="5" t="n">
        <f aca="false">SUM(AM7:AM41)</f>
        <v>20.177</v>
      </c>
      <c r="AN3" s="6" t="str">
        <f aca="false">(COUNTA(AM7:AM41)&amp;" of "&amp;ROWS(AM7:AM41)&amp;" parts found")</f>
        <v>27 of 35 parts found</v>
      </c>
      <c r="AR3" s="5" t="n">
        <f aca="false">SUM(AR7:AR41)</f>
        <v>2.43124693236205</v>
      </c>
      <c r="AS3" s="6" t="str">
        <f aca="false">(COUNTA(AR7:AR41)&amp;" of "&amp;ROWS(AR7:AR41)&amp;" parts found")</f>
        <v>14 of 35 parts found</v>
      </c>
      <c r="AW3" s="5" t="n">
        <f aca="false">SUM(AW7:AW41)</f>
        <v>1.38189022020366</v>
      </c>
      <c r="AX3" s="6" t="str">
        <f aca="false">(COUNTA(AW7:AW41)&amp;" of "&amp;ROWS(AW7:AW41)&amp;" parts found")</f>
        <v>4 of 35 parts found</v>
      </c>
    </row>
    <row r="4" customFormat="false" ht="15" hidden="false" customHeight="false" outlineLevel="0" collapsed="false">
      <c r="A4" s="1" t="s">
        <v>9</v>
      </c>
      <c r="B4" s="2" t="s">
        <v>10</v>
      </c>
    </row>
    <row r="5" customFormat="false" ht="15" hidden="false" customHeight="false" outlineLevel="0" collapsed="false">
      <c r="A5" s="7" t="s">
        <v>11</v>
      </c>
      <c r="B5" s="7"/>
      <c r="C5" s="7"/>
      <c r="D5" s="7"/>
      <c r="E5" s="7"/>
      <c r="F5" s="7"/>
      <c r="G5" s="7"/>
      <c r="H5" s="7"/>
      <c r="I5" s="7"/>
      <c r="J5" s="7"/>
      <c r="K5" s="8" t="s">
        <v>12</v>
      </c>
      <c r="L5" s="8"/>
      <c r="M5" s="8"/>
      <c r="N5" s="8"/>
      <c r="O5" s="8"/>
      <c r="P5" s="9" t="s">
        <v>13</v>
      </c>
      <c r="Q5" s="9"/>
      <c r="R5" s="9"/>
      <c r="S5" s="9"/>
      <c r="T5" s="9"/>
      <c r="U5" s="10" t="s">
        <v>14</v>
      </c>
      <c r="V5" s="10"/>
      <c r="W5" s="10"/>
      <c r="X5" s="10"/>
      <c r="Y5" s="10"/>
      <c r="Z5" s="11" t="s">
        <v>15</v>
      </c>
      <c r="AA5" s="11"/>
      <c r="AB5" s="11"/>
      <c r="AC5" s="11"/>
      <c r="AD5" s="11"/>
      <c r="AE5" s="12" t="s">
        <v>16</v>
      </c>
      <c r="AF5" s="12"/>
      <c r="AG5" s="12"/>
      <c r="AH5" s="12"/>
      <c r="AI5" s="12"/>
      <c r="AJ5" s="13" t="s">
        <v>17</v>
      </c>
      <c r="AK5" s="13"/>
      <c r="AL5" s="13"/>
      <c r="AM5" s="13"/>
      <c r="AN5" s="13"/>
      <c r="AO5" s="14" t="s">
        <v>18</v>
      </c>
      <c r="AP5" s="14"/>
      <c r="AQ5" s="14"/>
      <c r="AR5" s="14"/>
      <c r="AS5" s="14"/>
      <c r="AT5" s="15" t="s">
        <v>19</v>
      </c>
      <c r="AU5" s="15"/>
      <c r="AV5" s="15"/>
      <c r="AW5" s="15"/>
      <c r="AX5" s="15"/>
    </row>
    <row r="6" customFormat="false" ht="15" hidden="false" customHeight="false" outlineLevel="0" collapsed="false">
      <c r="A6" s="16" t="s">
        <v>20</v>
      </c>
      <c r="B6" s="16" t="s">
        <v>21</v>
      </c>
      <c r="C6" s="16" t="s">
        <v>22</v>
      </c>
      <c r="D6" s="16" t="s">
        <v>23</v>
      </c>
      <c r="E6" s="16" t="s">
        <v>24</v>
      </c>
      <c r="F6" s="16" t="s">
        <v>25</v>
      </c>
      <c r="G6" s="16" t="s">
        <v>26</v>
      </c>
      <c r="H6" s="16" t="s">
        <v>27</v>
      </c>
      <c r="I6" s="16" t="s">
        <v>28</v>
      </c>
      <c r="J6" s="16" t="s">
        <v>29</v>
      </c>
      <c r="K6" s="16" t="s">
        <v>30</v>
      </c>
      <c r="L6" s="16" t="s">
        <v>31</v>
      </c>
      <c r="M6" s="16" t="s">
        <v>28</v>
      </c>
      <c r="N6" s="16" t="s">
        <v>29</v>
      </c>
      <c r="O6" s="16" t="s">
        <v>32</v>
      </c>
      <c r="P6" s="16" t="s">
        <v>30</v>
      </c>
      <c r="Q6" s="16" t="s">
        <v>31</v>
      </c>
      <c r="R6" s="16" t="s">
        <v>28</v>
      </c>
      <c r="S6" s="16" t="s">
        <v>29</v>
      </c>
      <c r="T6" s="16" t="s">
        <v>32</v>
      </c>
      <c r="U6" s="16" t="s">
        <v>30</v>
      </c>
      <c r="V6" s="16" t="s">
        <v>31</v>
      </c>
      <c r="W6" s="16" t="s">
        <v>28</v>
      </c>
      <c r="X6" s="16" t="s">
        <v>29</v>
      </c>
      <c r="Y6" s="16" t="s">
        <v>32</v>
      </c>
      <c r="Z6" s="16" t="s">
        <v>30</v>
      </c>
      <c r="AA6" s="16" t="s">
        <v>31</v>
      </c>
      <c r="AB6" s="16" t="s">
        <v>28</v>
      </c>
      <c r="AC6" s="16" t="s">
        <v>29</v>
      </c>
      <c r="AD6" s="16" t="s">
        <v>32</v>
      </c>
      <c r="AE6" s="16" t="s">
        <v>30</v>
      </c>
      <c r="AF6" s="16" t="s">
        <v>31</v>
      </c>
      <c r="AG6" s="16" t="s">
        <v>28</v>
      </c>
      <c r="AH6" s="16" t="s">
        <v>29</v>
      </c>
      <c r="AI6" s="16" t="s">
        <v>32</v>
      </c>
      <c r="AJ6" s="16" t="s">
        <v>30</v>
      </c>
      <c r="AK6" s="16" t="s">
        <v>31</v>
      </c>
      <c r="AL6" s="16" t="s">
        <v>28</v>
      </c>
      <c r="AM6" s="16" t="s">
        <v>29</v>
      </c>
      <c r="AN6" s="16" t="s">
        <v>32</v>
      </c>
      <c r="AO6" s="16" t="s">
        <v>30</v>
      </c>
      <c r="AP6" s="16" t="s">
        <v>31</v>
      </c>
      <c r="AQ6" s="16" t="s">
        <v>28</v>
      </c>
      <c r="AR6" s="16" t="s">
        <v>29</v>
      </c>
      <c r="AS6" s="16" t="s">
        <v>32</v>
      </c>
      <c r="AT6" s="16" t="s">
        <v>30</v>
      </c>
      <c r="AU6" s="16" t="s">
        <v>31</v>
      </c>
      <c r="AV6" s="16" t="s">
        <v>28</v>
      </c>
      <c r="AW6" s="16" t="s">
        <v>29</v>
      </c>
      <c r="AX6" s="16" t="s">
        <v>32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36</v>
      </c>
      <c r="E7" s="17" t="s">
        <v>37</v>
      </c>
      <c r="F7" s="17" t="s">
        <v>38</v>
      </c>
      <c r="G7" s="17" t="s">
        <v>39</v>
      </c>
      <c r="H7" s="18" t="n">
        <f aca="false">BoardQty*1</f>
        <v>1</v>
      </c>
      <c r="I7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0.31</v>
      </c>
      <c r="J7" s="19" t="n">
        <f aca="false">IFERROR(H7*I7,"")</f>
        <v>0.31</v>
      </c>
      <c r="P7" s="20" t="s">
        <v>40</v>
      </c>
      <c r="R7" s="19" t="n">
        <f aca="false">IFERROR(LOOKUP(IF(Q7="",H7,Q7),{0,1,10,50,100,500,1000,4000},{0,0.37,0.258,0.1808,0.1549,0.11618,0.09811,0.07633}),"")</f>
        <v>0.37</v>
      </c>
      <c r="S7" s="19" t="n">
        <f aca="false">IFERROR(IF(Q7="",H7,Q7)*R7,"")</f>
        <v>0.37</v>
      </c>
      <c r="T7" s="21" t="s">
        <v>41</v>
      </c>
      <c r="U7" s="22" t="n">
        <v>2620</v>
      </c>
      <c r="W7" s="19" t="n">
        <f aca="false">IFERROR(USD_GBP*LOOKUP(IF(V7="",H7,V7),{0,1,10,100,150,500,1000,2000,4000,20000},{0,0.301,0.301,0.162,0.162,0.106,0.09,0.0828,0.0756,0.0741}),"")</f>
        <v>0.389465314870132</v>
      </c>
      <c r="X7" s="19" t="n">
        <f aca="false">IFERROR(IF(V7="",H7,V7)*W7,"")</f>
        <v>0.389465314870132</v>
      </c>
      <c r="Y7" s="21" t="s">
        <v>42</v>
      </c>
      <c r="Z7" s="22" t="n">
        <v>15450</v>
      </c>
      <c r="AB7" s="19" t="n">
        <f aca="false">IFERROR(LOOKUP(IF(AA7="",H7,AA7),{0,1,5,50,150,500,2500,5000},{0,0.62054,0.62054,0.45238,0.42149,0.39061,0.37688,0.3701}),"")</f>
        <v>0.62054</v>
      </c>
      <c r="AC7" s="19" t="n">
        <f aca="false">IFERROR(IF(AA7="",H7,AA7)*AB7,"")</f>
        <v>0.62054</v>
      </c>
      <c r="AD7" s="21" t="s">
        <v>43</v>
      </c>
      <c r="AE7" s="20" t="s">
        <v>40</v>
      </c>
      <c r="AG7" s="19" t="n">
        <f aca="false">IFERROR(LOOKUP(IF(AF7="",H7,AF7),{0,1,10,50,100,1000,10000},{0,0.37,0.258,0.258,0.154,0.098,0.083}),"")</f>
        <v>0.37</v>
      </c>
      <c r="AH7" s="19" t="n">
        <f aca="false">IFERROR(IF(AF7="",H7,AF7)*AG7,"")</f>
        <v>0.37</v>
      </c>
      <c r="AI7" s="21" t="s">
        <v>44</v>
      </c>
      <c r="AJ7" s="22" t="n">
        <v>2620</v>
      </c>
      <c r="AL7" s="19" t="n">
        <f aca="false">IFERROR(LOOKUP(IF(AK7="",H7,AK7),{0,1,10,25,50,100},{0,0.31,0.31,0.268,0.226,0.185}),"")</f>
        <v>0.31</v>
      </c>
      <c r="AM7" s="19" t="n">
        <f aca="false">IFERROR(IF(AK7="",H7,AK7)*AL7,"")</f>
        <v>0.31</v>
      </c>
      <c r="AN7" s="21" t="s">
        <v>45</v>
      </c>
    </row>
    <row r="8" customFormat="false" ht="15" hidden="false" customHeight="false" outlineLevel="0" collapsed="false">
      <c r="A8" s="17" t="s">
        <v>46</v>
      </c>
      <c r="B8" s="17" t="s">
        <v>47</v>
      </c>
      <c r="C8" s="17" t="s">
        <v>48</v>
      </c>
      <c r="D8" s="17" t="s">
        <v>49</v>
      </c>
      <c r="E8" s="17" t="s">
        <v>50</v>
      </c>
      <c r="F8" s="17" t="s">
        <v>51</v>
      </c>
      <c r="G8" s="17" t="s">
        <v>52</v>
      </c>
      <c r="H8" s="18" t="n">
        <f aca="false">BoardQty*2</f>
        <v>2</v>
      </c>
      <c r="I8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0.241960179005697</v>
      </c>
      <c r="J8" s="19" t="n">
        <f aca="false">IFERROR(H8*I8,"")</f>
        <v>0.483920358011393</v>
      </c>
      <c r="P8" s="20" t="s">
        <v>40</v>
      </c>
      <c r="R8" s="19" t="n">
        <f aca="false">IFERROR(LOOKUP(IF(Q8="",H8,Q8),{0,1,10,50,100,500,1000,4000},{0,0.37,0.258,0.1806,0.1548,0.11608,0.09802,0.0877}),"")</f>
        <v>0.37</v>
      </c>
      <c r="S8" s="19" t="n">
        <f aca="false">IFERROR(IF(Q8="",H8,Q8)*R8,"")</f>
        <v>0.74</v>
      </c>
      <c r="T8" s="21" t="s">
        <v>53</v>
      </c>
      <c r="U8" s="22" t="n">
        <v>3999</v>
      </c>
      <c r="W8" s="19" t="n">
        <f aca="false">IFERROR(USD_GBP*LOOKUP(IF(V8="",H8,V8),{0,1,10,100,150,500,1000,2000,4000,20000},{0,0.187,0.187,0.139,0.139,0.0899,0.0759,0.0743,0.0728,0.0603}),"")</f>
        <v>0.241960179005697</v>
      </c>
      <c r="X8" s="19" t="n">
        <f aca="false">IFERROR(IF(V8="",H8,V8)*W8,"")</f>
        <v>0.483920358011393</v>
      </c>
      <c r="Y8" s="21" t="s">
        <v>54</v>
      </c>
      <c r="AE8" s="22" t="n">
        <v>5615</v>
      </c>
      <c r="AG8" s="19" t="n">
        <f aca="false">IFERROR(LOOKUP(IF(AF8="",H8,AF8),{0,1,10,50,100,1000,10000},{0,0.36,0.27,0.27,0.161,0.102,0.075}),"")</f>
        <v>0.36</v>
      </c>
      <c r="AH8" s="19" t="n">
        <f aca="false">IFERROR(IF(AF8="",H8,AF8)*AG8,"")</f>
        <v>0.72</v>
      </c>
      <c r="AI8" s="21" t="s">
        <v>55</v>
      </c>
      <c r="AJ8" s="22" t="n">
        <v>3999</v>
      </c>
      <c r="AL8" s="19" t="n">
        <f aca="false">IFERROR(LOOKUP(IF(AK8="",H8,AK8),{0,1,10,25,50,100,4000,8000},{0,0.36,0.27,0.234,0.197,0.161,0.081,0.075}),"")</f>
        <v>0.36</v>
      </c>
      <c r="AM8" s="19" t="n">
        <f aca="false">IFERROR(IF(AK8="",H8,AK8)*AL8,"")</f>
        <v>0.72</v>
      </c>
      <c r="AN8" s="21" t="s">
        <v>56</v>
      </c>
      <c r="AO8" s="22" t="n">
        <v>60</v>
      </c>
      <c r="AQ8" s="19" t="n">
        <f aca="false">IFERROR(USD_GBP*LOOKUP(IF(AP8="",H8,AP8),{0,1,20,100,500,1000,2000,4000,16000},{0,0.206,0.206,0.114,0.093,0.082,0.08,0.06,0.058}),"")</f>
        <v>0.266544368316436</v>
      </c>
      <c r="AR8" s="19" t="n">
        <f aca="false">IFERROR(IF(AP8="",H8,AP8)*AQ8,"")</f>
        <v>0.533088736632871</v>
      </c>
      <c r="AS8" s="21" t="s">
        <v>57</v>
      </c>
    </row>
    <row r="9" customFormat="false" ht="15" hidden="false" customHeight="false" outlineLevel="0" collapsed="false">
      <c r="A9" s="17" t="s">
        <v>58</v>
      </c>
      <c r="B9" s="17" t="s">
        <v>34</v>
      </c>
      <c r="C9" s="17" t="s">
        <v>59</v>
      </c>
      <c r="D9" s="17" t="s">
        <v>60</v>
      </c>
      <c r="E9" s="17" t="s">
        <v>61</v>
      </c>
      <c r="F9" s="17" t="s">
        <v>38</v>
      </c>
      <c r="G9" s="17" t="s">
        <v>62</v>
      </c>
      <c r="H9" s="18" t="n">
        <f aca="false">BoardQty*3</f>
        <v>3</v>
      </c>
      <c r="I9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0.064</v>
      </c>
      <c r="J9" s="19" t="n">
        <f aca="false">IFERROR(H9*I9,"")</f>
        <v>0.192</v>
      </c>
      <c r="P9" s="22" t="n">
        <v>1229375</v>
      </c>
      <c r="R9" s="19" t="n">
        <f aca="false">IFERROR(LOOKUP(IF(Q9="",H9,Q9),{0,1,10,50,100,500,1000,2500,5000,15000},{0,0.25,0.172,0.115,0.0978,0.069,0.06038,0.0575,0.05319,0.04773}),"")</f>
        <v>0.25</v>
      </c>
      <c r="S9" s="19" t="n">
        <f aca="false">IFERROR(IF(Q9="",H9,Q9)*R9,"")</f>
        <v>0.75</v>
      </c>
      <c r="T9" s="21" t="s">
        <v>63</v>
      </c>
      <c r="U9" s="22" t="n">
        <v>30000</v>
      </c>
      <c r="W9" s="19" t="n">
        <f aca="false">IFERROR(USD_GBP*LOOKUP(IF(V9="",H9,V9),{0,1,10,100,150,500,2500,7500,15000,75000},{0,0.152,0.152,0.106,0.106,0.0837,0.0636,0.053,0.052,0.0445}),"")</f>
        <v>0.196673514485914</v>
      </c>
      <c r="X9" s="19" t="n">
        <f aca="false">IFERROR(IF(V9="",H9,V9)*W9,"")</f>
        <v>0.590020543457741</v>
      </c>
      <c r="Y9" s="21" t="s">
        <v>64</v>
      </c>
      <c r="AE9" s="22" t="n">
        <v>311340</v>
      </c>
      <c r="AG9" s="19" t="n">
        <f aca="false">IFERROR(LOOKUP(IF(AF9="",H9,AF9),{0,1,10,50,100,1000,10000},{0,0.25,0.171,0.171,0.097,0.06,0.051}),"")</f>
        <v>0.25</v>
      </c>
      <c r="AH9" s="19" t="n">
        <f aca="false">IFERROR(IF(AF9="",H9,AF9)*AG9,"")</f>
        <v>0.75</v>
      </c>
      <c r="AI9" s="21" t="s">
        <v>65</v>
      </c>
      <c r="AJ9" s="22" t="n">
        <v>30000</v>
      </c>
      <c r="AL9" s="19" t="n">
        <f aca="false">IFERROR(LOOKUP(IF(AK9="",H9,AK9),{0,1,10,25,50,100,15000},{0,0.064,0.205,0.176,0.146,0.116,0.064}),"")</f>
        <v>0.064</v>
      </c>
      <c r="AM9" s="19" t="n">
        <f aca="false">IFERROR(IF(AK9="",H9,AK9)*AL9,"")</f>
        <v>0.192</v>
      </c>
      <c r="AN9" s="21" t="s">
        <v>66</v>
      </c>
    </row>
    <row r="10" customFormat="false" ht="15" hidden="false" customHeight="false" outlineLevel="0" collapsed="false">
      <c r="A10" s="17" t="s">
        <v>67</v>
      </c>
      <c r="B10" s="17" t="s">
        <v>34</v>
      </c>
      <c r="C10" s="17" t="s">
        <v>68</v>
      </c>
      <c r="D10" s="17" t="s">
        <v>69</v>
      </c>
      <c r="E10" s="17" t="s">
        <v>61</v>
      </c>
      <c r="F10" s="17" t="s">
        <v>38</v>
      </c>
      <c r="G10" s="17" t="s">
        <v>70</v>
      </c>
      <c r="H10" s="18" t="n">
        <f aca="false">BoardQty*3</f>
        <v>3</v>
      </c>
      <c r="I10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0.113</v>
      </c>
      <c r="J10" s="19" t="n">
        <f aca="false">IFERROR(H10*I10,"")</f>
        <v>0.339</v>
      </c>
      <c r="P10" s="22" t="n">
        <v>1505944</v>
      </c>
      <c r="R10" s="19" t="n">
        <f aca="false">IFERROR(LOOKUP(IF(Q10="",H10,Q10),{0,1,10,50,100,500,1000,2500,5000,10000},{0,0.44,0.307,0.215,0.1842,0.13818,0.11668,0.11054,0.1044,0.09826}),"")</f>
        <v>0.44</v>
      </c>
      <c r="S10" s="19" t="n">
        <f aca="false">IFERROR(IF(Q10="",H10,Q10)*R10,"")</f>
        <v>1.32</v>
      </c>
      <c r="T10" s="21" t="s">
        <v>71</v>
      </c>
      <c r="U10" s="22" t="n">
        <v>70000</v>
      </c>
      <c r="W10" s="19" t="n">
        <f aca="false">IFERROR(USD_GBP*LOOKUP(IF(V10="",H10,V10),{0,1,10,100,150,500,2500,5000,10000,50000},{0,0.227,0.227,0.184,0.184,0.102,0.0969,0.0853,0.0836,0.0716}),"")</f>
        <v>0.293716367028305</v>
      </c>
      <c r="X10" s="19" t="n">
        <f aca="false">IFERROR(IF(V10="",H10,V10)*W10,"")</f>
        <v>0.881149101084916</v>
      </c>
      <c r="Y10" s="21" t="s">
        <v>72</v>
      </c>
      <c r="Z10" s="22" t="n">
        <v>191830</v>
      </c>
      <c r="AB10" s="19" t="n">
        <f aca="false">IFERROR(LOOKUP(IF(AA10="",H10,AA10),{0,1,5,50,150,500,2500,5000},{0,0.6702,0.6702,0.48858,0.45522,0.42187,0.40704,0.39972}),"")</f>
        <v>0.6702</v>
      </c>
      <c r="AC10" s="19" t="n">
        <f aca="false">IFERROR(IF(AA10="",H10,AA10)*AB10,"")</f>
        <v>2.0106</v>
      </c>
      <c r="AD10" s="21" t="s">
        <v>73</v>
      </c>
      <c r="AE10" s="22" t="n">
        <v>656493</v>
      </c>
      <c r="AG10" s="19" t="n">
        <f aca="false">IFERROR(LOOKUP(IF(AF10="",H10,AF10),{0,1,10,50,100,1000,10000},{0,0.43,0.215,0.215,0.185,0.117,0.098}),"")</f>
        <v>0.43</v>
      </c>
      <c r="AH10" s="19" t="n">
        <f aca="false">IFERROR(IF(AF10="",H10,AF10)*AG10,"")</f>
        <v>1.29</v>
      </c>
      <c r="AI10" s="21" t="s">
        <v>74</v>
      </c>
      <c r="AJ10" s="22" t="n">
        <v>70000</v>
      </c>
      <c r="AL10" s="19" t="n">
        <f aca="false">IFERROR(LOOKUP(IF(AK10="",H10,AK10),{0,1,10,25,50,100,10000},{0,0.113,0.367,0.318,0.27,0.221,0.113}),"")</f>
        <v>0.113</v>
      </c>
      <c r="AM10" s="19" t="n">
        <f aca="false">IFERROR(IF(AK10="",H10,AK10)*AL10,"")</f>
        <v>0.339</v>
      </c>
      <c r="AN10" s="21" t="s">
        <v>75</v>
      </c>
    </row>
    <row r="11" customFormat="false" ht="15" hidden="false" customHeight="false" outlineLevel="0" collapsed="false">
      <c r="A11" s="17" t="s">
        <v>76</v>
      </c>
      <c r="B11" s="17" t="s">
        <v>34</v>
      </c>
      <c r="C11" s="17" t="s">
        <v>77</v>
      </c>
      <c r="D11" s="17" t="s">
        <v>78</v>
      </c>
      <c r="E11" s="17" t="s">
        <v>79</v>
      </c>
      <c r="F11" s="17" t="s">
        <v>38</v>
      </c>
      <c r="G11" s="17" t="s">
        <v>80</v>
      </c>
      <c r="H11" s="18" t="n">
        <f aca="false">BoardQty*4</f>
        <v>4</v>
      </c>
      <c r="I11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0.164325896971783</v>
      </c>
      <c r="J11" s="19" t="n">
        <f aca="false">IFERROR(H11*I11,"")</f>
        <v>0.657303587887133</v>
      </c>
      <c r="P11" s="22" t="n">
        <v>11330</v>
      </c>
      <c r="R11" s="19" t="n">
        <f aca="false">IFERROR(LOOKUP(IF(Q11="",H11,Q11),{0,1,10,50,100,500,1000,2500,5000,10000},{0,0.29,0.198,0.119,0.1005,0.06876,0.06084,0.05819,0.0529,0.05026}),"")</f>
        <v>0.29</v>
      </c>
      <c r="S11" s="19" t="n">
        <f aca="false">IFERROR(IF(Q11="",H11,Q11)*R11,"")</f>
        <v>1.16</v>
      </c>
      <c r="T11" s="21" t="s">
        <v>81</v>
      </c>
      <c r="U11" s="22" t="n">
        <v>20</v>
      </c>
      <c r="W11" s="19" t="n">
        <f aca="false">IFERROR(USD_GBP*LOOKUP(IF(V11="",H11,V11),{0,1,10,100,150,500,2500,5000,10000,50000},{0,0.127,0.127,0.105,0.105,0.0523,0.05,0.0456,0.0432,0.0386}),"")</f>
        <v>0.164325896971783</v>
      </c>
      <c r="X11" s="19" t="n">
        <f aca="false">IFERROR(IF(V11="",H11,V11)*W11,"")</f>
        <v>0.657303587887133</v>
      </c>
      <c r="Y11" s="21" t="s">
        <v>82</v>
      </c>
      <c r="AE11" s="22" t="n">
        <v>1044</v>
      </c>
      <c r="AG11" s="19" t="n">
        <f aca="false">IFERROR(LOOKUP(IF(AF11="",H11,AF11),{0,1,10,50,100,1000,10000},{0,0.29,0.198,0.198,0.101,0.061,0.05}),"")</f>
        <v>0.29</v>
      </c>
      <c r="AH11" s="19" t="n">
        <f aca="false">IFERROR(IF(AF11="",H11,AF11)*AG11,"")</f>
        <v>1.16</v>
      </c>
      <c r="AI11" s="21" t="s">
        <v>83</v>
      </c>
      <c r="AJ11" s="22" t="n">
        <v>20</v>
      </c>
      <c r="AL11" s="19" t="n">
        <f aca="false">IFERROR(LOOKUP(IF(AK11="",H11,AK11),{0,1,10,25,50,100},{0,0.348,0.238,0.199,0.16,0.121}),"")</f>
        <v>0.348</v>
      </c>
      <c r="AM11" s="19" t="n">
        <f aca="false">IFERROR(IF(AK11="",H11,AK11)*AL11,"")</f>
        <v>1.392</v>
      </c>
      <c r="AN11" s="21" t="s">
        <v>84</v>
      </c>
    </row>
    <row r="12" customFormat="false" ht="15" hidden="false" customHeight="false" outlineLevel="0" collapsed="false">
      <c r="A12" s="17" t="s">
        <v>85</v>
      </c>
      <c r="B12" s="17" t="s">
        <v>86</v>
      </c>
      <c r="C12" s="17" t="s">
        <v>87</v>
      </c>
      <c r="D12" s="23" t="s">
        <v>88</v>
      </c>
      <c r="E12" s="17" t="s">
        <v>61</v>
      </c>
      <c r="F12" s="17" t="s">
        <v>38</v>
      </c>
      <c r="G12" s="17" t="s">
        <v>89</v>
      </c>
      <c r="H12" s="18" t="n">
        <f aca="false">BoardQty*12</f>
        <v>12</v>
      </c>
      <c r="I12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0.00905733290395655</v>
      </c>
      <c r="J12" s="19" t="n">
        <f aca="false">IFERROR(H12*I12,"")</f>
        <v>0.108687994847479</v>
      </c>
      <c r="P12" s="22" t="n">
        <v>914415</v>
      </c>
      <c r="R12" s="19" t="n">
        <f aca="false">IFERROR(LOOKUP(IF(Q12="",H12,Q12),{0,1,10,50,100,500,1000,2500,5000,15000},{0,0.1,0.034,0.0186,0.0152,0.01086,0.00854,0.00776,0.00714,0.00621}),"")</f>
        <v>0.034</v>
      </c>
      <c r="S12" s="19" t="n">
        <f aca="false">IFERROR(IF(Q12="",H12,Q12)*R12,"")</f>
        <v>0.408</v>
      </c>
      <c r="T12" s="21" t="s">
        <v>90</v>
      </c>
      <c r="U12" s="22" t="n">
        <v>19708</v>
      </c>
      <c r="W12" s="19" t="n">
        <f aca="false">IFERROR(USD_GBP*LOOKUP(IF(V12="",H12,V12),{0,1,10,100,150,500,2500,7500,15000,75000},{0,0.0206,0.0206,0.0168,0.0168,0.009,0.006,0.0059,0.0054,0.0047}),"")</f>
        <v>0.0266544368316436</v>
      </c>
      <c r="X12" s="19" t="n">
        <f aca="false">IFERROR(IF(V12="",H12,V12)*W12,"")</f>
        <v>0.319853241979723</v>
      </c>
      <c r="Y12" s="21" t="s">
        <v>91</v>
      </c>
      <c r="Z12" s="22" t="n">
        <v>50300</v>
      </c>
      <c r="AB12" s="19" t="n">
        <f aca="false">IFERROR(LOOKUP(IF(AA12="",H12,AA12),{0,1,100,1000,3000,10000,50000,100000},{0,0.01727,0.01727,0.01259,0.01173,0.01087,0.01049,0.0103}),"")</f>
        <v>0.01727</v>
      </c>
      <c r="AC12" s="19" t="n">
        <f aca="false">IFERROR(IF(AA12="",H12,AA12)*AB12,"")</f>
        <v>0.20724</v>
      </c>
      <c r="AD12" s="21" t="s">
        <v>92</v>
      </c>
      <c r="AE12" s="22" t="n">
        <v>784410</v>
      </c>
      <c r="AG12" s="19" t="n">
        <f aca="false">IFERROR(LOOKUP(IF(AF12="",H12,AF12),{0,1,10,50,100,1000,10000},{0,0.1,0.034,0.034,0.015,0.009,0.007}),"")</f>
        <v>0.034</v>
      </c>
      <c r="AH12" s="19" t="n">
        <f aca="false">IFERROR(IF(AF12="",H12,AF12)*AG12,"")</f>
        <v>0.408</v>
      </c>
      <c r="AI12" s="21" t="s">
        <v>93</v>
      </c>
      <c r="AJ12" s="22" t="n">
        <v>19708</v>
      </c>
      <c r="AL12" s="19" t="n">
        <f aca="false">IFERROR(LOOKUP(IF(AK12="",H12,AK12),{0,1,10,25,50,100,15000},{0,0.12,0.041,0.033,0.026,0.018,0.008}),"")</f>
        <v>0.041</v>
      </c>
      <c r="AM12" s="19" t="n">
        <f aca="false">IFERROR(IF(AK12="",H12,AK12)*AL12,"")</f>
        <v>0.492</v>
      </c>
      <c r="AN12" s="21" t="s">
        <v>94</v>
      </c>
      <c r="AO12" s="22" t="n">
        <v>7000</v>
      </c>
      <c r="AQ12" s="19" t="n">
        <f aca="false">IFERROR(USD_GBP*LOOKUP(IF(AP12="",H12,AP12),{0,1,1000,5000,10000,15000,60000},{0,0.007,0.007,0.006,0.006,0.004,0.004}),"")</f>
        <v>0.00905733290395655</v>
      </c>
      <c r="AR12" s="19" t="n">
        <f aca="false">IFERROR(IF(AP12="",H12,AP12)*AQ12,"")</f>
        <v>0.108687994847479</v>
      </c>
      <c r="AS12" s="21" t="s">
        <v>95</v>
      </c>
    </row>
    <row r="13" customFormat="false" ht="15" hidden="false" customHeight="false" outlineLevel="0" collapsed="false">
      <c r="A13" s="17" t="s">
        <v>96</v>
      </c>
      <c r="B13" s="17" t="s">
        <v>97</v>
      </c>
      <c r="C13" s="17" t="s">
        <v>98</v>
      </c>
      <c r="D13" s="17" t="s">
        <v>99</v>
      </c>
      <c r="E13" s="17" t="s">
        <v>100</v>
      </c>
      <c r="F13" s="17" t="s">
        <v>101</v>
      </c>
      <c r="G13" s="17" t="s">
        <v>102</v>
      </c>
      <c r="H13" s="18" t="n">
        <f aca="false">BoardQty*1</f>
        <v>1</v>
      </c>
      <c r="I13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0.044</v>
      </c>
      <c r="J13" s="19" t="n">
        <f aca="false">IFERROR(H13*I13,"")</f>
        <v>0.044</v>
      </c>
      <c r="P13" s="22" t="n">
        <v>10830</v>
      </c>
      <c r="R13" s="19" t="n">
        <f aca="false">IFERROR(LOOKUP(IF(Q13="",H13,Q13),{0,1,10,100,500,1000,3000,6000,15000,30000,75000},{0,0.18,0.166,0.0904,0.05566,0.03795,0.03226,0.0291,0.0253,0.02277,0.02024}),"")</f>
        <v>0.18</v>
      </c>
      <c r="S13" s="19" t="n">
        <f aca="false">IFERROR(IF(Q13="",H13,Q13)*R13,"")</f>
        <v>0.18</v>
      </c>
      <c r="T13" s="21" t="s">
        <v>103</v>
      </c>
      <c r="U13" s="22" t="n">
        <v>4</v>
      </c>
      <c r="W13" s="19" t="n">
        <f aca="false">IFERROR(USD_GBP*LOOKUP(IF(V13="",H13,V13),{0,1,5,50,100,150,500,3000},{0,0.158,0.158,0.123,0.0883,0.0883,0.0365,0.0284}),"")</f>
        <v>0.204436942689305</v>
      </c>
      <c r="X13" s="19" t="n">
        <f aca="false">IFERROR(IF(V13="",H13,V13)*W13,"")</f>
        <v>0.204436942689305</v>
      </c>
      <c r="Y13" s="21" t="s">
        <v>104</v>
      </c>
      <c r="AE13" s="22" t="n">
        <v>5460</v>
      </c>
      <c r="AG13" s="19" t="n">
        <f aca="false">IFERROR(LOOKUP(IF(AF13="",H13,AF13),{0,1,10,50,100,1000,10000},{0,0.18,0.166,0.166,0.091,0.041,0.03}),"")</f>
        <v>0.18</v>
      </c>
      <c r="AH13" s="19" t="n">
        <f aca="false">IFERROR(IF(AF13="",H13,AF13)*AG13,"")</f>
        <v>0.18</v>
      </c>
      <c r="AI13" s="21" t="s">
        <v>105</v>
      </c>
      <c r="AJ13" s="22" t="n">
        <v>123000</v>
      </c>
      <c r="AL13" s="19" t="n">
        <f aca="false">IFERROR(LOOKUP(IF(AK13="",H13,AK13),{0,1,10,25,50,100,3000,6000,12000},{0,0.044,0.229,0.194,0.159,0.119,0.043,0.041,0.023}),"")</f>
        <v>0.044</v>
      </c>
      <c r="AM13" s="19" t="n">
        <f aca="false">IFERROR(IF(AK13="",H13,AK13)*AL13,"")</f>
        <v>0.044</v>
      </c>
      <c r="AN13" s="21" t="s">
        <v>106</v>
      </c>
      <c r="AO13" s="22" t="n">
        <v>4550</v>
      </c>
      <c r="AQ13" s="19" t="n">
        <f aca="false">IFERROR(USD_GBP*LOOKUP(IF(AP13="",H13,AP13),{0,1,50,250,1000,2500,3000},{0,0.158,0.158,0.134,0.118,0.102,0.027}),"")</f>
        <v>0.204436942689305</v>
      </c>
      <c r="AR13" s="19" t="n">
        <f aca="false">IFERROR(IF(AP13="",H13,AP13)*AQ13,"")</f>
        <v>0.204436942689305</v>
      </c>
      <c r="AS13" s="21" t="s">
        <v>107</v>
      </c>
    </row>
    <row r="14" customFormat="false" ht="15" hidden="false" customHeight="false" outlineLevel="0" collapsed="false">
      <c r="A14" s="17" t="s">
        <v>108</v>
      </c>
      <c r="B14" s="17" t="s">
        <v>109</v>
      </c>
      <c r="C14" s="17" t="s">
        <v>110</v>
      </c>
      <c r="E14" s="17" t="s">
        <v>111</v>
      </c>
      <c r="F14" s="17" t="s">
        <v>112</v>
      </c>
      <c r="G14" s="17" t="s">
        <v>109</v>
      </c>
      <c r="H14" s="18" t="n">
        <f aca="false">BoardQty*1</f>
        <v>1</v>
      </c>
      <c r="I14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0.107005918736744</v>
      </c>
      <c r="J14" s="19" t="n">
        <f aca="false">IFERROR(H14*I14,"")</f>
        <v>0.107005918736744</v>
      </c>
      <c r="P14" s="22" t="n">
        <v>1467</v>
      </c>
      <c r="R14" s="19" t="n">
        <f aca="false">IFERROR(LOOKUP(IF(Q14="",H14,Q14),{0,1,10,100,500,1000,2000,4000,8000,12000,28000,100000},{0,0.32,0.256,0.115,0.10388,0.08533,0.0742,0.0742,0.06678,0.05936,0.05565,0.0525}),"")</f>
        <v>0.32</v>
      </c>
      <c r="S14" s="19" t="n">
        <f aca="false">IFERROR(IF(Q14="",H14,Q14)*R14,"")</f>
        <v>0.32</v>
      </c>
      <c r="T14" s="21" t="s">
        <v>113</v>
      </c>
      <c r="U14" s="22" t="n">
        <v>5</v>
      </c>
      <c r="W14" s="19" t="n">
        <f aca="false">IFERROR(USD_GBP*LOOKUP(IF(V14="",H14,V14),{0,1,4000},{0,0.0827,0.0827}),"")</f>
        <v>0.107005918736744</v>
      </c>
      <c r="X14" s="19" t="n">
        <f aca="false">IFERROR(IF(V14="",H14,V14)*W14,"")</f>
        <v>0.107005918736744</v>
      </c>
      <c r="Y14" s="21" t="s">
        <v>114</v>
      </c>
      <c r="AE14" s="22" t="n">
        <v>3844</v>
      </c>
      <c r="AG14" s="19" t="n">
        <f aca="false">IFERROR(LOOKUP(IF(AF14="",H14,AF14),{0,1,10,50,100,1000,10000},{0,0.48,0.266,0.266,0.108,0.089,0.056}),"")</f>
        <v>0.48</v>
      </c>
      <c r="AH14" s="19" t="n">
        <f aca="false">IFERROR(IF(AF14="",H14,AF14)*AG14,"")</f>
        <v>0.48</v>
      </c>
      <c r="AI14" s="21" t="s">
        <v>115</v>
      </c>
      <c r="AJ14" s="22" t="n">
        <v>5</v>
      </c>
      <c r="AL14" s="19" t="n">
        <f aca="false">IFERROR(LOOKUP(IF(AK14="",H14,AK14),{0,1,25,50,100,250,500},{0,0.32,0.256,0.186,0.115,0.109,0.103}),"")</f>
        <v>0.32</v>
      </c>
      <c r="AM14" s="19" t="n">
        <f aca="false">IFERROR(IF(AK14="",H14,AK14)*AL14,"")</f>
        <v>0.32</v>
      </c>
      <c r="AN14" s="21" t="s">
        <v>116</v>
      </c>
      <c r="AT14" s="22" t="n">
        <v>3427</v>
      </c>
      <c r="AV14" s="19" t="n">
        <f aca="false">IFERROR(USD_GBP*LOOKUP(IF(AU14="",H14,AU14),{0,1,5,25,100,500,4000},{0,0.142,0.142,0.1228,0.0758,0.0577,0.0433}),"")</f>
        <v>0.183734467480262</v>
      </c>
      <c r="AW14" s="19" t="n">
        <f aca="false">IFERROR(IF(AU14="",H14,AU14)*AV14,"")</f>
        <v>0.183734467480262</v>
      </c>
      <c r="AX14" s="21" t="s">
        <v>117</v>
      </c>
    </row>
    <row r="15" customFormat="false" ht="15" hidden="false" customHeight="false" outlineLevel="0" collapsed="false">
      <c r="A15" s="17" t="s">
        <v>118</v>
      </c>
      <c r="B15" s="17" t="s">
        <v>119</v>
      </c>
      <c r="C15" s="17" t="s">
        <v>120</v>
      </c>
      <c r="E15" s="17" t="s">
        <v>111</v>
      </c>
      <c r="F15" s="17" t="s">
        <v>112</v>
      </c>
      <c r="G15" s="17" t="s">
        <v>119</v>
      </c>
      <c r="H15" s="18" t="n">
        <f aca="false">BoardQty*1</f>
        <v>1</v>
      </c>
      <c r="I15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0.039</v>
      </c>
      <c r="J15" s="19" t="n">
        <f aca="false">IFERROR(H15*I15,"")</f>
        <v>0.039</v>
      </c>
      <c r="P15" s="22" t="n">
        <v>17496</v>
      </c>
      <c r="R15" s="19" t="n">
        <f aca="false">IFERROR(LOOKUP(IF(Q15="",H15,Q15),{0,1,10,100,500,1000,2000,4000,8000,12000,28000,100000},{0,0.33,0.263,0.1183,0.10684,0.08777,0.07632,0.07632,0.06869,0.06106,0.05724,0.054}),"")</f>
        <v>0.33</v>
      </c>
      <c r="S15" s="19" t="n">
        <f aca="false">IFERROR(IF(Q15="",H15,Q15)*R15,"")</f>
        <v>0.33</v>
      </c>
      <c r="T15" s="21" t="s">
        <v>121</v>
      </c>
      <c r="U15" s="22" t="n">
        <v>3287</v>
      </c>
      <c r="W15" s="19" t="n">
        <f aca="false">IFERROR(USD_GBP*LOOKUP(IF(V15="",H15,V15),{0,1,25,50,100,250,500},{0,0.257,0.2,0.145,0.0892,0.0849,0.0813}),"")</f>
        <v>0.332533508045262</v>
      </c>
      <c r="X15" s="19" t="n">
        <f aca="false">IFERROR(IF(V15="",H15,V15)*W15,"")</f>
        <v>0.332533508045262</v>
      </c>
      <c r="Y15" s="21" t="s">
        <v>122</v>
      </c>
      <c r="AE15" s="22" t="n">
        <v>8600</v>
      </c>
      <c r="AG15" s="19" t="n">
        <f aca="false">IFERROR(LOOKUP(IF(AF15="",H15,AF15),{0,1,10,50,100,1000,10000},{0,0.49,0.274,0.274,0.111,0.092,0.057}),"")</f>
        <v>0.49</v>
      </c>
      <c r="AH15" s="19" t="n">
        <f aca="false">IFERROR(IF(AF15="",H15,AF15)*AG15,"")</f>
        <v>0.49</v>
      </c>
      <c r="AI15" s="21" t="s">
        <v>123</v>
      </c>
      <c r="AJ15" s="22" t="n">
        <v>3287</v>
      </c>
      <c r="AL15" s="19" t="n">
        <f aca="false">IFERROR(LOOKUP(IF(AK15="",H15,AK15),{0,1,25,50,100,250,500},{0,0.039,0.039,0.039,0.039,0.039,0.039}),"")</f>
        <v>0.039</v>
      </c>
      <c r="AM15" s="19" t="n">
        <f aca="false">IFERROR(IF(AK15="",H15,AK15)*AL15,"")</f>
        <v>0.039</v>
      </c>
      <c r="AN15" s="21" t="s">
        <v>124</v>
      </c>
      <c r="AT15" s="22" t="n">
        <v>2669</v>
      </c>
      <c r="AV15" s="19" t="n">
        <f aca="false">IFERROR(USD_GBP*LOOKUP(IF(AU15="",H15,AU15),{0,1,5,25,100,500,4000},{0,0.142,0.142,0.1072,0.0758,0.0547,0.0394}),"")</f>
        <v>0.183734467480262</v>
      </c>
      <c r="AW15" s="19" t="n">
        <f aca="false">IFERROR(IF(AU15="",H15,AU15)*AV15,"")</f>
        <v>0.183734467480262</v>
      </c>
      <c r="AX15" s="21" t="s">
        <v>125</v>
      </c>
    </row>
    <row r="16" customFormat="false" ht="15" hidden="false" customHeight="false" outlineLevel="0" collapsed="false">
      <c r="A16" s="17" t="s">
        <v>126</v>
      </c>
      <c r="B16" s="17" t="s">
        <v>127</v>
      </c>
      <c r="C16" s="17" t="s">
        <v>128</v>
      </c>
      <c r="E16" s="17" t="s">
        <v>129</v>
      </c>
      <c r="H16" s="18" t="n">
        <f aca="false">BoardQty*1</f>
        <v>1</v>
      </c>
      <c r="I16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9" t="n">
        <f aca="false">IFERROR(H16*I16,"")</f>
        <v>0</v>
      </c>
    </row>
    <row r="17" customFormat="false" ht="15" hidden="false" customHeight="false" outlineLevel="0" collapsed="false">
      <c r="A17" s="17" t="s">
        <v>130</v>
      </c>
      <c r="B17" s="17" t="s">
        <v>131</v>
      </c>
      <c r="C17" s="17" t="s">
        <v>132</v>
      </c>
      <c r="E17" s="17" t="s">
        <v>133</v>
      </c>
      <c r="H17" s="18" t="n">
        <f aca="false">BoardQty*1</f>
        <v>1</v>
      </c>
      <c r="I17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9" t="n">
        <f aca="false">IFERROR(H17*I17,"")</f>
        <v>0</v>
      </c>
    </row>
    <row r="18" customFormat="false" ht="15" hidden="false" customHeight="false" outlineLevel="0" collapsed="false">
      <c r="A18" s="17" t="s">
        <v>134</v>
      </c>
      <c r="B18" s="17" t="s">
        <v>135</v>
      </c>
      <c r="C18" s="17" t="s">
        <v>136</v>
      </c>
      <c r="E18" s="17" t="s">
        <v>137</v>
      </c>
      <c r="H18" s="18" t="n">
        <f aca="false">BoardQty*1</f>
        <v>1</v>
      </c>
      <c r="I18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9" t="n">
        <f aca="false">IFERROR(H18*I18,"")</f>
        <v>0</v>
      </c>
    </row>
    <row r="19" customFormat="false" ht="15" hidden="false" customHeight="false" outlineLevel="0" collapsed="false">
      <c r="A19" s="17" t="s">
        <v>138</v>
      </c>
      <c r="B19" s="17" t="s">
        <v>139</v>
      </c>
      <c r="C19" s="17" t="s">
        <v>140</v>
      </c>
      <c r="E19" s="17" t="s">
        <v>141</v>
      </c>
      <c r="H19" s="18" t="n">
        <f aca="false">BoardQty*1</f>
        <v>1</v>
      </c>
      <c r="I19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9" t="n">
        <f aca="false">IFERROR(H19*I19,"")</f>
        <v>0</v>
      </c>
    </row>
    <row r="20" customFormat="false" ht="15" hidden="false" customHeight="false" outlineLevel="0" collapsed="false">
      <c r="A20" s="17" t="s">
        <v>142</v>
      </c>
      <c r="B20" s="17" t="s">
        <v>143</v>
      </c>
      <c r="C20" s="17" t="s">
        <v>144</v>
      </c>
      <c r="D20" s="17" t="s">
        <v>145</v>
      </c>
      <c r="E20" s="17" t="s">
        <v>146</v>
      </c>
      <c r="F20" s="17" t="s">
        <v>147</v>
      </c>
      <c r="G20" s="17" t="s">
        <v>143</v>
      </c>
      <c r="H20" s="18" t="n">
        <f aca="false">BoardQty*1</f>
        <v>1</v>
      </c>
      <c r="I20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1.77</v>
      </c>
      <c r="J20" s="19" t="n">
        <f aca="false">IFERROR(H20*I20,"")</f>
        <v>1.77</v>
      </c>
      <c r="Z20" s="22" t="n">
        <v>92350</v>
      </c>
      <c r="AB20" s="19" t="n">
        <f aca="false">IFERROR(LOOKUP(IF(AA20="",H20,AA20),{0,1,10,30,100,500,1000},{0,1.77,1.36,1.26,1.13,1.07,1.06}),"")</f>
        <v>1.77</v>
      </c>
      <c r="AC20" s="19" t="n">
        <f aca="false">IFERROR(IF(AA20="",H20,AA20)*AB20,"")</f>
        <v>1.77</v>
      </c>
      <c r="AD20" s="21" t="s">
        <v>148</v>
      </c>
    </row>
    <row r="21" customFormat="false" ht="13.8" hidden="false" customHeight="false" outlineLevel="0" collapsed="false">
      <c r="A21" s="17" t="s">
        <v>149</v>
      </c>
      <c r="B21" s="17" t="s">
        <v>150</v>
      </c>
      <c r="C21" s="17" t="s">
        <v>151</v>
      </c>
      <c r="E21" s="17" t="s">
        <v>152</v>
      </c>
      <c r="F21" s="17" t="s">
        <v>153</v>
      </c>
      <c r="G21" s="17" t="s">
        <v>154</v>
      </c>
      <c r="H21" s="18" t="n">
        <f aca="false">BoardQty*4</f>
        <v>4</v>
      </c>
      <c r="I21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0.009</v>
      </c>
      <c r="J21" s="19" t="n">
        <f aca="false">IFERROR(H21*I21,"")</f>
        <v>0.036</v>
      </c>
      <c r="P21" s="20" t="s">
        <v>40</v>
      </c>
      <c r="R21" s="19" t="n">
        <f aca="false">IFERROR(LOOKUP(IF(Q21="",H21,Q21),{0,1,10,100,1000,2500,5000,15000},{0,0.1,0.053,0.0217,0.00975,0.00846,0.00699,0.00607}),"")</f>
        <v>0.1</v>
      </c>
      <c r="S21" s="19" t="n">
        <f aca="false">IFERROR(IF(Q21="",H21,Q21)*R21,"")</f>
        <v>0.4</v>
      </c>
      <c r="T21" s="21" t="s">
        <v>155</v>
      </c>
      <c r="U21" s="22" t="n">
        <v>15000</v>
      </c>
      <c r="W21" s="19" t="n">
        <f aca="false">IFERROR(USD_GBP*LOOKUP(IF(V21="",H21,V21),{0,1,10,100,150,500,2500,7500,15000},{0,0.0257,0.0257,0.0141,0.0141,0.0087,0.0046,0.0041,0.0029}),"")</f>
        <v>0.0332533508045262</v>
      </c>
      <c r="X21" s="19" t="n">
        <f aca="false">IFERROR(IF(V21="",H21,V21)*W21,"")</f>
        <v>0.133013403218105</v>
      </c>
      <c r="Y21" s="21" t="s">
        <v>156</v>
      </c>
      <c r="Z21" s="22" t="n">
        <v>13800</v>
      </c>
      <c r="AB21" s="19" t="n">
        <f aca="false">IFERROR(LOOKUP(IF(AA21="",H21,AA21),{0,1,50,500,1500,5000,25000,50000},{0,0.05923,0.05923,0.04439,0.04166,0.03893,0.03772,0.03712}),"")</f>
        <v>0.05923</v>
      </c>
      <c r="AC21" s="19" t="n">
        <f aca="false">IFERROR(IF(AA21="",H21,AA21)*AB21,"")</f>
        <v>0.23692</v>
      </c>
      <c r="AD21" s="21" t="s">
        <v>157</v>
      </c>
      <c r="AE21" s="22" t="n">
        <v>11028</v>
      </c>
      <c r="AG21" s="19" t="n">
        <f aca="false">IFERROR(LOOKUP(IF(AF21="",H21,AF21),{0,1,10,50,100,1000,10000},{0,0.1,0.056,0.056,0.024,0.012,0.009}),"")</f>
        <v>0.1</v>
      </c>
      <c r="AH21" s="19" t="n">
        <f aca="false">IFERROR(IF(AF21="",H21,AF21)*AG21,"")</f>
        <v>0.4</v>
      </c>
      <c r="AI21" s="21" t="s">
        <v>158</v>
      </c>
      <c r="AJ21" s="22" t="n">
        <v>15000</v>
      </c>
      <c r="AL21" s="19" t="n">
        <f aca="false">IFERROR(LOOKUP(IF(AK21="",H21,AK21),{0,1,10,25,50,100,15000,90000},{0,0.009,0.062,0.05,0.038,0.026,0.009,0.009}),"")</f>
        <v>0.009</v>
      </c>
      <c r="AM21" s="19" t="n">
        <f aca="false">IFERROR(IF(AK21="",H21,AK21)*AL21,"")</f>
        <v>0.036</v>
      </c>
      <c r="AN21" s="21" t="s">
        <v>159</v>
      </c>
    </row>
    <row r="22" customFormat="false" ht="15" hidden="false" customHeight="false" outlineLevel="0" collapsed="false">
      <c r="A22" s="17" t="s">
        <v>160</v>
      </c>
      <c r="B22" s="17" t="s">
        <v>161</v>
      </c>
      <c r="C22" s="17" t="s">
        <v>162</v>
      </c>
      <c r="E22" s="17" t="s">
        <v>152</v>
      </c>
      <c r="F22" s="17" t="s">
        <v>153</v>
      </c>
      <c r="G22" s="17" t="s">
        <v>163</v>
      </c>
      <c r="H22" s="18" t="n">
        <f aca="false">BoardQty*2</f>
        <v>2</v>
      </c>
      <c r="I22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0.005</v>
      </c>
      <c r="J22" s="19" t="n">
        <f aca="false">IFERROR(H22*I22,"")</f>
        <v>0.01</v>
      </c>
      <c r="P22" s="22" t="n">
        <v>35374</v>
      </c>
      <c r="R22" s="19" t="n">
        <f aca="false">IFERROR(LOOKUP(IF(Q22="",H22,Q22),{0,1,10,100,1000,2500,5000,15000},{0,0.1,0.028,0.0115,0.00518,0.0045,0.00371,0.00323}),"")</f>
        <v>0.1</v>
      </c>
      <c r="S22" s="19" t="n">
        <f aca="false">IFERROR(IF(Q22="",H22,Q22)*R22,"")</f>
        <v>0.2</v>
      </c>
      <c r="T22" s="21" t="s">
        <v>164</v>
      </c>
      <c r="U22" s="20" t="s">
        <v>40</v>
      </c>
      <c r="W22" s="19" t="n">
        <f aca="false">IFERROR(USD_GBP*LOOKUP(IF(V22="",H22,V22),{0,1,30000},{0,0.0052,0.0052}),"")</f>
        <v>0.00672830444293915</v>
      </c>
      <c r="X22" s="19" t="n">
        <f aca="false">IFERROR(IF(V22="",H22,V22)*W22,"")</f>
        <v>0.0134566088858783</v>
      </c>
      <c r="Y22" s="21" t="s">
        <v>165</v>
      </c>
      <c r="AE22" s="22" t="n">
        <v>76126</v>
      </c>
      <c r="AG22" s="19" t="n">
        <f aca="false">IFERROR(LOOKUP(IF(AF22="",H22,AF22),{0,1,10,50,100,1000,10000},{0,0.1,0.029,0.029,0.012,0.006,0.004}),"")</f>
        <v>0.1</v>
      </c>
      <c r="AH22" s="19" t="n">
        <f aca="false">IFERROR(IF(AF22="",H22,AF22)*AG22,"")</f>
        <v>0.2</v>
      </c>
      <c r="AI22" s="21" t="s">
        <v>166</v>
      </c>
      <c r="AJ22" s="20" t="s">
        <v>40</v>
      </c>
      <c r="AL22" s="19" t="n">
        <f aca="false">IFERROR(LOOKUP(IF(AK22="",H22,AK22),{0,1,15000,30000},{0,0.005,0.005,0.004}),"")</f>
        <v>0.005</v>
      </c>
      <c r="AM22" s="19" t="n">
        <f aca="false">IFERROR(IF(AK22="",H22,AK22)*AL22,"")</f>
        <v>0.01</v>
      </c>
      <c r="AN22" s="21" t="s">
        <v>167</v>
      </c>
    </row>
    <row r="23" customFormat="false" ht="15" hidden="false" customHeight="false" outlineLevel="0" collapsed="false">
      <c r="A23" s="17" t="s">
        <v>168</v>
      </c>
      <c r="B23" s="17" t="s">
        <v>169</v>
      </c>
      <c r="C23" s="17" t="s">
        <v>170</v>
      </c>
      <c r="E23" s="17" t="s">
        <v>152</v>
      </c>
      <c r="F23" s="17" t="s">
        <v>153</v>
      </c>
      <c r="G23" s="17" t="s">
        <v>171</v>
      </c>
      <c r="H23" s="18" t="n">
        <f aca="false">BoardQty*1</f>
        <v>1</v>
      </c>
      <c r="I23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0.00517561880226089</v>
      </c>
      <c r="J23" s="19" t="n">
        <f aca="false">IFERROR(H23*I23,"")</f>
        <v>0.00517561880226089</v>
      </c>
      <c r="P23" s="22" t="n">
        <v>177268</v>
      </c>
      <c r="R23" s="19" t="n">
        <f aca="false">IFERROR(LOOKUP(IF(Q23="",H23,Q23),{0,1,10,100,1000,2500,5000,15000},{0,0.1,0.028,0.0115,0.00518,0.0045,0.00371,0.00323}),"")</f>
        <v>0.1</v>
      </c>
      <c r="S23" s="19" t="n">
        <f aca="false">IFERROR(IF(Q23="",H23,Q23)*R23,"")</f>
        <v>0.1</v>
      </c>
      <c r="T23" s="21" t="s">
        <v>172</v>
      </c>
      <c r="U23" s="20" t="s">
        <v>40</v>
      </c>
      <c r="W23" s="19" t="n">
        <f aca="false">IFERROR(USD_GBP*LOOKUP(IF(V23="",H23,V23),{0,1,30000},{0,0.0052,0.0052}),"")</f>
        <v>0.00672830444293915</v>
      </c>
      <c r="X23" s="19" t="n">
        <f aca="false">IFERROR(IF(V23="",H23,V23)*W23,"")</f>
        <v>0.00672830444293915</v>
      </c>
      <c r="Y23" s="21" t="s">
        <v>173</v>
      </c>
      <c r="Z23" s="22" t="n">
        <v>14850</v>
      </c>
      <c r="AB23" s="19" t="n">
        <f aca="false">IFERROR(LOOKUP(IF(AA23="",H23,AA23),{0,1,50,500,1500,5000,25000,50000},{0,0.03493,0.03493,0.02618,0.02457,0.02296,0.02225,0.02189}),"")</f>
        <v>0.03493</v>
      </c>
      <c r="AC23" s="19" t="n">
        <f aca="false">IFERROR(IF(AA23="",H23,AA23)*AB23,"")</f>
        <v>0.03493</v>
      </c>
      <c r="AD23" s="21" t="s">
        <v>174</v>
      </c>
      <c r="AE23" s="22" t="n">
        <v>35869</v>
      </c>
      <c r="AG23" s="19" t="n">
        <f aca="false">IFERROR(LOOKUP(IF(AF23="",H23,AF23),{0,1,10,50,100,1000,10000},{0,0.1,0.029,0.029,0.012,0.006,0.005}),"")</f>
        <v>0.1</v>
      </c>
      <c r="AH23" s="19" t="n">
        <f aca="false">IFERROR(IF(AF23="",H23,AF23)*AG23,"")</f>
        <v>0.1</v>
      </c>
      <c r="AI23" s="21" t="s">
        <v>175</v>
      </c>
      <c r="AJ23" s="20" t="s">
        <v>40</v>
      </c>
      <c r="AL23" s="19" t="n">
        <f aca="false">IFERROR(LOOKUP(IF(AK23="",H23,AK23),{0,1,5000,10000,15000},{0,0.008,0.007,0.006,0.006}),"")</f>
        <v>0.008</v>
      </c>
      <c r="AM23" s="19" t="n">
        <f aca="false">IFERROR(IF(AK23="",H23,AK23)*AL23,"")</f>
        <v>0.008</v>
      </c>
      <c r="AN23" s="21" t="s">
        <v>176</v>
      </c>
      <c r="AO23" s="22" t="n">
        <v>37000</v>
      </c>
      <c r="AQ23" s="19" t="n">
        <f aca="false">IFERROR(USD_GBP*LOOKUP(IF(AP23="",H23,AP23),{0,1,1000,5000,10000,15000},{0,0.004,0.004,0.004,0.004,0.004}),"")</f>
        <v>0.00517561880226089</v>
      </c>
      <c r="AR23" s="19" t="n">
        <f aca="false">IFERROR(IF(AP23="",H23,AP23)*AQ23,"")</f>
        <v>0.00517561880226089</v>
      </c>
      <c r="AS23" s="21" t="s">
        <v>177</v>
      </c>
    </row>
    <row r="24" customFormat="false" ht="15" hidden="false" customHeight="false" outlineLevel="0" collapsed="false">
      <c r="A24" s="17" t="s">
        <v>178</v>
      </c>
      <c r="B24" s="17" t="s">
        <v>179</v>
      </c>
      <c r="C24" s="17" t="s">
        <v>180</v>
      </c>
      <c r="E24" s="17" t="s">
        <v>152</v>
      </c>
      <c r="F24" s="17" t="s">
        <v>153</v>
      </c>
      <c r="G24" s="17" t="s">
        <v>181</v>
      </c>
      <c r="H24" s="18" t="n">
        <f aca="false">BoardQty*2</f>
        <v>2</v>
      </c>
      <c r="I24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0.00517561880226089</v>
      </c>
      <c r="J24" s="19" t="n">
        <f aca="false">IFERROR(H24*I24,"")</f>
        <v>0.0103512376045218</v>
      </c>
      <c r="P24" s="20" t="s">
        <v>40</v>
      </c>
      <c r="R24" s="19" t="n">
        <f aca="false">IFERROR(LOOKUP(IF(Q24="",H24,Q24),{0,1,10,25,50,100,250,500,1000,5000,15000,30000,75000},{0,0.1,0.025,0.018,0.0136,0.01,0.00764,0.00612,0.0045,0.00323,0.00281,0.00247,0.00231}),"")</f>
        <v>0.1</v>
      </c>
      <c r="S24" s="19" t="n">
        <f aca="false">IFERROR(IF(Q24="",H24,Q24)*R24,"")</f>
        <v>0.2</v>
      </c>
      <c r="T24" s="21" t="s">
        <v>182</v>
      </c>
      <c r="U24" s="22" t="n">
        <v>90000</v>
      </c>
      <c r="W24" s="19" t="n">
        <f aca="false">IFERROR(USD_GBP*LOOKUP(IF(V24="",H24,V24),{0,1,10,100,150,500,2500,7500,15000,75000},{0,0.04,0.04,0.024,0.024,0.018,0.012,0.009,0.007,0.0051}),"")</f>
        <v>0.0517561880226089</v>
      </c>
      <c r="X24" s="19" t="n">
        <f aca="false">IFERROR(IF(V24="",H24,V24)*W24,"")</f>
        <v>0.103512376045218</v>
      </c>
      <c r="Y24" s="21" t="s">
        <v>183</v>
      </c>
      <c r="AE24" s="20" t="s">
        <v>40</v>
      </c>
      <c r="AG24" s="19" t="n">
        <f aca="false">IFERROR(LOOKUP(IF(AF24="",H24,AF24),{0,1,10,50,100,1000,10000},{0,0.1,0.029,0.029,0.012,0.006,0.004}),"")</f>
        <v>0.1</v>
      </c>
      <c r="AH24" s="19" t="n">
        <f aca="false">IFERROR(IF(AF24="",H24,AF24)*AG24,"")</f>
        <v>0.2</v>
      </c>
      <c r="AI24" s="21" t="s">
        <v>184</v>
      </c>
      <c r="AJ24" s="22" t="n">
        <v>90000</v>
      </c>
      <c r="AL24" s="19" t="n">
        <f aca="false">IFERROR(LOOKUP(IF(AK24="",H24,AK24),{0,1,25,100,250,500,1000,2500,5000,15000},{0,0.006,0.021,0.009,0.008,0.007,0.006,0.005,0.004,0.006}),"")</f>
        <v>0.006</v>
      </c>
      <c r="AM24" s="19" t="n">
        <f aca="false">IFERROR(IF(AK24="",H24,AK24)*AL24,"")</f>
        <v>0.012</v>
      </c>
      <c r="AN24" s="21" t="s">
        <v>185</v>
      </c>
      <c r="AO24" s="22" t="n">
        <v>772637</v>
      </c>
      <c r="AQ24" s="19" t="n">
        <f aca="false">IFERROR(USD_GBP*LOOKUP(IF(AP24="",H24,AP24),{0,1,1000,15000},{0,0.004,0.004,0.005}),"")</f>
        <v>0.00517561880226089</v>
      </c>
      <c r="AR24" s="19" t="n">
        <f aca="false">IFERROR(IF(AP24="",H24,AP24)*AQ24,"")</f>
        <v>0.0103512376045218</v>
      </c>
      <c r="AS24" s="21" t="s">
        <v>186</v>
      </c>
    </row>
    <row r="25" customFormat="false" ht="15" hidden="false" customHeight="false" outlineLevel="0" collapsed="false">
      <c r="A25" s="17" t="s">
        <v>187</v>
      </c>
      <c r="B25" s="17" t="s">
        <v>188</v>
      </c>
      <c r="C25" s="17" t="s">
        <v>189</v>
      </c>
      <c r="E25" s="17" t="s">
        <v>152</v>
      </c>
      <c r="F25" s="17" t="s">
        <v>153</v>
      </c>
      <c r="G25" s="17" t="s">
        <v>190</v>
      </c>
      <c r="H25" s="18" t="n">
        <f aca="false">BoardQty*4</f>
        <v>4</v>
      </c>
      <c r="I25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0.005</v>
      </c>
      <c r="J25" s="19" t="n">
        <f aca="false">IFERROR(H25*I25,"")</f>
        <v>0.02</v>
      </c>
      <c r="P25" s="22" t="n">
        <v>132270</v>
      </c>
      <c r="R25" s="19" t="n">
        <f aca="false">IFERROR(LOOKUP(IF(Q25="",H25,Q25),{0,1,10,100,1000,2500,5000,15000},{0,0.1,0.028,0.0115,0.00518,0.0045,0.00371,0.00323}),"")</f>
        <v>0.1</v>
      </c>
      <c r="S25" s="19" t="n">
        <f aca="false">IFERROR(IF(Q25="",H25,Q25)*R25,"")</f>
        <v>0.4</v>
      </c>
      <c r="T25" s="21" t="s">
        <v>191</v>
      </c>
      <c r="U25" s="20" t="s">
        <v>40</v>
      </c>
      <c r="W25" s="19" t="n">
        <f aca="false">IFERROR(USD_GBP*LOOKUP(IF(V25="",H25,V25),{0,1,30000},{0,0.0055,0.0055}),"")</f>
        <v>0.00711647585310872</v>
      </c>
      <c r="X25" s="19" t="n">
        <f aca="false">IFERROR(IF(V25="",H25,V25)*W25,"")</f>
        <v>0.0284659034124349</v>
      </c>
      <c r="Y25" s="21" t="s">
        <v>192</v>
      </c>
      <c r="AE25" s="22" t="n">
        <v>68243</v>
      </c>
      <c r="AG25" s="19" t="n">
        <f aca="false">IFERROR(LOOKUP(IF(AF25="",H25,AF25),{0,1,10,50,100,1000,10000},{0,0.1,0.031,0.031,0.014,0.007,0.005}),"")</f>
        <v>0.1</v>
      </c>
      <c r="AH25" s="19" t="n">
        <f aca="false">IFERROR(IF(AF25="",H25,AF25)*AG25,"")</f>
        <v>0.4</v>
      </c>
      <c r="AI25" s="21" t="s">
        <v>193</v>
      </c>
      <c r="AJ25" s="20" t="s">
        <v>40</v>
      </c>
      <c r="AL25" s="19" t="n">
        <f aca="false">IFERROR(LOOKUP(IF(AK25="",H25,AK25),{0,1,15000,30000},{0,0.005,0.005,0.004}),"")</f>
        <v>0.005</v>
      </c>
      <c r="AM25" s="19" t="n">
        <f aca="false">IFERROR(IF(AK25="",H25,AK25)*AL25,"")</f>
        <v>0.02</v>
      </c>
      <c r="AN25" s="21" t="s">
        <v>194</v>
      </c>
      <c r="AO25" s="22" t="n">
        <v>38000</v>
      </c>
      <c r="AQ25" s="19" t="n">
        <f aca="false">IFERROR(USD_GBP*LOOKUP(IF(AP25="",H25,AP25),{0,1,1000,5000,10000,15000},{0,0.005,0.005,0.005,0.005,0.005}),"")</f>
        <v>0.00646952350282611</v>
      </c>
      <c r="AR25" s="19" t="n">
        <f aca="false">IFERROR(IF(AP25="",H25,AP25)*AQ25,"")</f>
        <v>0.0258780940113044</v>
      </c>
      <c r="AS25" s="21" t="s">
        <v>195</v>
      </c>
    </row>
    <row r="26" customFormat="false" ht="15" hidden="false" customHeight="false" outlineLevel="0" collapsed="false">
      <c r="A26" s="17" t="s">
        <v>196</v>
      </c>
      <c r="B26" s="17" t="s">
        <v>197</v>
      </c>
      <c r="C26" s="17" t="s">
        <v>198</v>
      </c>
      <c r="E26" s="17" t="s">
        <v>152</v>
      </c>
      <c r="F26" s="17" t="s">
        <v>153</v>
      </c>
      <c r="G26" s="17" t="s">
        <v>199</v>
      </c>
      <c r="H26" s="18" t="n">
        <f aca="false">BoardQty*1</f>
        <v>1</v>
      </c>
      <c r="I26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0.00905733290395655</v>
      </c>
      <c r="J26" s="19" t="n">
        <f aca="false">IFERROR(H26*I26,"")</f>
        <v>0.00905733290395655</v>
      </c>
      <c r="P26" s="22" t="n">
        <v>3420</v>
      </c>
      <c r="R26" s="19" t="n">
        <f aca="false">IFERROR(LOOKUP(IF(Q26="",H26,Q26),{0,1,10,100,1000,2500,5000,15000},{0,0.1,0.053,0.0217,0.00975,0.00846,0.00699,0.00607}),"")</f>
        <v>0.1</v>
      </c>
      <c r="S26" s="19" t="n">
        <f aca="false">IFERROR(IF(Q26="",H26,Q26)*R26,"")</f>
        <v>0.1</v>
      </c>
      <c r="T26" s="21" t="s">
        <v>200</v>
      </c>
      <c r="U26" s="22" t="n">
        <v>15000</v>
      </c>
      <c r="W26" s="19" t="n">
        <f aca="false">IFERROR(USD_GBP*LOOKUP(IF(V26="",H26,V26),{0,1,10,100,150,500,2500,7500,15000,75000},{0,0.04,0.04,0.0173,0.0173,0.0082,0.0068,0.0061,0.0056,0.0054}),"")</f>
        <v>0.0517561880226089</v>
      </c>
      <c r="X26" s="19" t="n">
        <f aca="false">IFERROR(IF(V26="",H26,V26)*W26,"")</f>
        <v>0.0517561880226089</v>
      </c>
      <c r="Y26" s="21" t="s">
        <v>201</v>
      </c>
      <c r="AE26" s="22" t="n">
        <v>193908</v>
      </c>
      <c r="AG26" s="19" t="n">
        <f aca="false">IFERROR(LOOKUP(IF(AF26="",H26,AF26),{0,1,10,50,100,1000,10000},{0,0.1,0.053,0.053,0.022,0.01,0.009}),"")</f>
        <v>0.1</v>
      </c>
      <c r="AH26" s="19" t="n">
        <f aca="false">IFERROR(IF(AF26="",H26,AF26)*AG26,"")</f>
        <v>0.1</v>
      </c>
      <c r="AI26" s="21" t="s">
        <v>202</v>
      </c>
      <c r="AJ26" s="22" t="n">
        <v>15000</v>
      </c>
      <c r="AL26" s="19" t="n">
        <f aca="false">IFERROR(LOOKUP(IF(AK26="",H26,AK26),{0,1,10,25,50,100,250,500,1000,2500,5000,10000,15000},{0,0.11,0.047,0.038,0.029,0.02,0.022,0.017,0.014,0.01,0.022,0.017,0.017}),"")</f>
        <v>0.11</v>
      </c>
      <c r="AM26" s="19" t="n">
        <f aca="false">IFERROR(IF(AK26="",H26,AK26)*AL26,"")</f>
        <v>0.11</v>
      </c>
      <c r="AN26" s="21" t="s">
        <v>203</v>
      </c>
      <c r="AO26" s="22" t="n">
        <v>25000</v>
      </c>
      <c r="AQ26" s="19" t="n">
        <f aca="false">IFERROR(USD_GBP*LOOKUP(IF(AP26="",H26,AP26),{0,1,1000,5000,10000,15000},{0,0.007,0.007,0.006,0.006,0.005}),"")</f>
        <v>0.00905733290395655</v>
      </c>
      <c r="AR26" s="19" t="n">
        <f aca="false">IFERROR(IF(AP26="",H26,AP26)*AQ26,"")</f>
        <v>0.00905733290395655</v>
      </c>
      <c r="AS26" s="21" t="s">
        <v>204</v>
      </c>
    </row>
    <row r="27" customFormat="false" ht="15" hidden="false" customHeight="false" outlineLevel="0" collapsed="false">
      <c r="A27" s="17" t="s">
        <v>205</v>
      </c>
      <c r="B27" s="17" t="s">
        <v>206</v>
      </c>
      <c r="C27" s="17" t="s">
        <v>207</v>
      </c>
      <c r="E27" s="17" t="s">
        <v>152</v>
      </c>
      <c r="F27" s="17" t="s">
        <v>153</v>
      </c>
      <c r="G27" s="17" t="s">
        <v>208</v>
      </c>
      <c r="H27" s="18" t="n">
        <f aca="false">BoardQty*1</f>
        <v>1</v>
      </c>
      <c r="I27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0.005</v>
      </c>
      <c r="J27" s="19" t="n">
        <f aca="false">IFERROR(H27*I27,"")</f>
        <v>0.005</v>
      </c>
      <c r="P27" s="22" t="n">
        <v>95335</v>
      </c>
      <c r="R27" s="19" t="n">
        <f aca="false">IFERROR(LOOKUP(IF(Q27="",H27,Q27),{0,1,10,100,1000,2500,5000,15000},{0,0.1,0.028,0.0115,0.00518,0.0045,0.00371,0.00323}),"")</f>
        <v>0.1</v>
      </c>
      <c r="S27" s="19" t="n">
        <f aca="false">IFERROR(IF(Q27="",H27,Q27)*R27,"")</f>
        <v>0.1</v>
      </c>
      <c r="T27" s="21" t="s">
        <v>209</v>
      </c>
      <c r="U27" s="20" t="s">
        <v>40</v>
      </c>
      <c r="W27" s="19" t="n">
        <f aca="false">IFERROR(USD_GBP*LOOKUP(IF(V27="",H27,V27),{0,1,30000},{0,0.007,0.007}),"")</f>
        <v>0.00905733290395655</v>
      </c>
      <c r="X27" s="19" t="n">
        <f aca="false">IFERROR(IF(V27="",H27,V27)*W27,"")</f>
        <v>0.00905733290395655</v>
      </c>
      <c r="Y27" s="21" t="s">
        <v>210</v>
      </c>
      <c r="AE27" s="22" t="n">
        <v>33452</v>
      </c>
      <c r="AG27" s="19" t="n">
        <f aca="false">IFERROR(LOOKUP(IF(AF27="",H27,AF27),{0,1,10,50,100,1000,10000},{0,0.1,0.029,0.029,0.012,0.006,0.004}),"")</f>
        <v>0.1</v>
      </c>
      <c r="AH27" s="19" t="n">
        <f aca="false">IFERROR(IF(AF27="",H27,AF27)*AG27,"")</f>
        <v>0.1</v>
      </c>
      <c r="AI27" s="21" t="s">
        <v>211</v>
      </c>
      <c r="AJ27" s="20" t="s">
        <v>40</v>
      </c>
      <c r="AL27" s="19" t="n">
        <f aca="false">IFERROR(LOOKUP(IF(AK27="",H27,AK27),{0,1,15000,30000},{0,0.005,0.005,0.004}),"")</f>
        <v>0.005</v>
      </c>
      <c r="AM27" s="19" t="n">
        <f aca="false">IFERROR(IF(AK27="",H27,AK27)*AL27,"")</f>
        <v>0.005</v>
      </c>
      <c r="AN27" s="21" t="s">
        <v>212</v>
      </c>
      <c r="AO27" s="22" t="n">
        <v>28000</v>
      </c>
      <c r="AQ27" s="19" t="n">
        <f aca="false">IFERROR(USD_GBP*LOOKUP(IF(AP27="",H27,AP27),{0,1,1000,5000,10000,15000},{0,0.005,0.005,0.005,0.005,0.004}),"")</f>
        <v>0.00646952350282611</v>
      </c>
      <c r="AR27" s="19" t="n">
        <f aca="false">IFERROR(IF(AP27="",H27,AP27)*AQ27,"")</f>
        <v>0.00646952350282611</v>
      </c>
      <c r="AS27" s="21" t="s">
        <v>213</v>
      </c>
    </row>
    <row r="28" customFormat="false" ht="15" hidden="false" customHeight="false" outlineLevel="0" collapsed="false">
      <c r="A28" s="17" t="s">
        <v>214</v>
      </c>
      <c r="B28" s="17" t="s">
        <v>215</v>
      </c>
      <c r="C28" s="17" t="s">
        <v>216</v>
      </c>
      <c r="E28" s="17" t="s">
        <v>152</v>
      </c>
      <c r="F28" s="17" t="s">
        <v>153</v>
      </c>
      <c r="G28" s="17" t="s">
        <v>217</v>
      </c>
      <c r="H28" s="18" t="n">
        <f aca="false">BoardQty*1</f>
        <v>1</v>
      </c>
      <c r="I28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0.00905733290395655</v>
      </c>
      <c r="J28" s="19" t="n">
        <f aca="false">IFERROR(H28*I28,"")</f>
        <v>0.00905733290395655</v>
      </c>
      <c r="P28" s="22" t="n">
        <v>9730</v>
      </c>
      <c r="R28" s="19" t="n">
        <f aca="false">IFERROR(LOOKUP(IF(Q28="",H28,Q28),{0,1,10,100,1000,2500,5000,15000},{0,0.1,0.053,0.0217,0.00975,0.00846,0.00699,0.00607}),"")</f>
        <v>0.1</v>
      </c>
      <c r="S28" s="19" t="n">
        <f aca="false">IFERROR(IF(Q28="",H28,Q28)*R28,"")</f>
        <v>0.1</v>
      </c>
      <c r="T28" s="21" t="s">
        <v>218</v>
      </c>
      <c r="U28" s="22" t="n">
        <v>3898</v>
      </c>
      <c r="W28" s="19" t="n">
        <f aca="false">IFERROR(USD_GBP*LOOKUP(IF(V28="",H28,V28),{0,1,10,100,150,500,2500,7500,15000,75000},{0,0.0486,0.0486,0.0195,0.0195,0.0082,0.0068,0.006,0.0056,0.0054}),"")</f>
        <v>0.0628837684474698</v>
      </c>
      <c r="X28" s="19" t="n">
        <f aca="false">IFERROR(IF(V28="",H28,V28)*W28,"")</f>
        <v>0.0628837684474698</v>
      </c>
      <c r="Y28" s="21" t="s">
        <v>219</v>
      </c>
      <c r="Z28" s="22" t="n">
        <v>200</v>
      </c>
      <c r="AB28" s="19" t="n">
        <f aca="false">IFERROR(LOOKUP(IF(AA28="",H28,AA28),{0,1,50,500,1500,5000,25000,50000},{0,0.05864,0.05864,0.04379,0.04107,0.03834,0.03713,0.03653}),"")</f>
        <v>0.05864</v>
      </c>
      <c r="AC28" s="19" t="n">
        <f aca="false">IFERROR(IF(AA28="",H28,AA28)*AB28,"")</f>
        <v>0.05864</v>
      </c>
      <c r="AD28" s="21" t="s">
        <v>220</v>
      </c>
      <c r="AE28" s="22" t="n">
        <v>464769</v>
      </c>
      <c r="AG28" s="19" t="n">
        <f aca="false">IFERROR(LOOKUP(IF(AF28="",H28,AF28),{0,1,10,50,100,1000,10000},{0,0.1,0.053,0.053,0.022,0.021,0.019}),"")</f>
        <v>0.1</v>
      </c>
      <c r="AH28" s="19" t="n">
        <f aca="false">IFERROR(IF(AF28="",H28,AF28)*AG28,"")</f>
        <v>0.1</v>
      </c>
      <c r="AI28" s="21" t="s">
        <v>221</v>
      </c>
      <c r="AJ28" s="22" t="n">
        <v>176</v>
      </c>
      <c r="AL28" s="19" t="n">
        <f aca="false">IFERROR(LOOKUP(IF(AK28="",H28,AK28),{0,1,10,25,50,100,250,500,1000,2500,10000,15000,20000},{0,0.101,0.058,0.059,0.036,0.024,0.02,0.015,0.011,0.008,0.013,0.013,0.009}),"")</f>
        <v>0.101</v>
      </c>
      <c r="AM28" s="19" t="n">
        <f aca="false">IFERROR(IF(AK28="",H28,AK28)*AL28,"")</f>
        <v>0.101</v>
      </c>
      <c r="AN28" s="21" t="s">
        <v>222</v>
      </c>
      <c r="AO28" s="22" t="n">
        <v>18000</v>
      </c>
      <c r="AQ28" s="19" t="n">
        <f aca="false">IFERROR(USD_GBP*LOOKUP(IF(AP28="",H28,AP28),{0,1,1000,5000,10000,15000},{0,0.007,0.007,0.006,0.006,0.006}),"")</f>
        <v>0.00905733290395655</v>
      </c>
      <c r="AR28" s="19" t="n">
        <f aca="false">IFERROR(IF(AP28="",H28,AP28)*AQ28,"")</f>
        <v>0.00905733290395655</v>
      </c>
      <c r="AS28" s="21" t="s">
        <v>223</v>
      </c>
    </row>
    <row r="29" customFormat="false" ht="15" hidden="false" customHeight="false" outlineLevel="0" collapsed="false">
      <c r="A29" s="17" t="s">
        <v>224</v>
      </c>
      <c r="B29" s="17" t="s">
        <v>225</v>
      </c>
      <c r="C29" s="17" t="s">
        <v>226</v>
      </c>
      <c r="E29" s="17" t="s">
        <v>152</v>
      </c>
      <c r="F29" s="17" t="s">
        <v>153</v>
      </c>
      <c r="G29" s="17" t="s">
        <v>227</v>
      </c>
      <c r="H29" s="18" t="n">
        <f aca="false">BoardQty*4</f>
        <v>4</v>
      </c>
      <c r="I29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0.00905733290395655</v>
      </c>
      <c r="J29" s="19" t="n">
        <f aca="false">IFERROR(H29*I29,"")</f>
        <v>0.0362293316158262</v>
      </c>
      <c r="P29" s="22" t="n">
        <v>317823</v>
      </c>
      <c r="R29" s="19" t="n">
        <f aca="false">IFERROR(LOOKUP(IF(Q29="",H29,Q29),{0,1,10,100,1000,2500,5000,15000},{0,0.1,0.053,0.0217,0.00975,0.00846,0.00699,0.00607}),"")</f>
        <v>0.1</v>
      </c>
      <c r="S29" s="19" t="n">
        <f aca="false">IFERROR(IF(Q29="",H29,Q29)*R29,"")</f>
        <v>0.4</v>
      </c>
      <c r="T29" s="21" t="s">
        <v>228</v>
      </c>
      <c r="U29" s="22" t="n">
        <v>60465</v>
      </c>
      <c r="W29" s="19" t="n">
        <f aca="false">IFERROR(USD_GBP*LOOKUP(IF(V29="",H29,V29),{0,1,10,100,150,500,2500,7500,15000,75000},{0,0.0558,0.0558,0.0227,0.0227,0.0097,0.0081,0.0072,0.0056,0.0054}),"")</f>
        <v>0.0721998822915394</v>
      </c>
      <c r="X29" s="19" t="n">
        <f aca="false">IFERROR(IF(V29="",H29,V29)*W29,"")</f>
        <v>0.288799529166158</v>
      </c>
      <c r="Y29" s="21" t="s">
        <v>229</v>
      </c>
      <c r="Z29" s="22" t="n">
        <v>15000</v>
      </c>
      <c r="AB29" s="19" t="n">
        <f aca="false">IFERROR(LOOKUP(IF(AA29="",H29,AA29),{0,1,50,500,1500,5000,25000,50000},{0,0.05893,0.05893,0.04424,0.04154,0.03884,0.03764,0.03705}),"")</f>
        <v>0.05893</v>
      </c>
      <c r="AC29" s="19" t="n">
        <f aca="false">IFERROR(IF(AA29="",H29,AA29)*AB29,"")</f>
        <v>0.23572</v>
      </c>
      <c r="AD29" s="21" t="s">
        <v>230</v>
      </c>
      <c r="AE29" s="22" t="n">
        <v>2058</v>
      </c>
      <c r="AG29" s="19" t="n">
        <f aca="false">IFERROR(LOOKUP(IF(AF29="",H29,AF29),{0,1,10,50,100,1000,10000},{0,0.1,0.053,0.053,0.022,0.01,0.007}),"")</f>
        <v>0.1</v>
      </c>
      <c r="AH29" s="19" t="n">
        <f aca="false">IFERROR(IF(AF29="",H29,AF29)*AG29,"")</f>
        <v>0.4</v>
      </c>
      <c r="AI29" s="21" t="s">
        <v>231</v>
      </c>
      <c r="AJ29" s="22" t="n">
        <v>56445</v>
      </c>
      <c r="AL29" s="19" t="n">
        <f aca="false">IFERROR(LOOKUP(IF(AK29="",H29,AK29),{0,1,10,25,50,100,250,500,1000,2500,5000,10000,15000,20000},{0,0.114,0.057,0.066,0.035,0.027,0.022,0.016,0.011,0.01,0.009,0.013,0.013,0.009}),"")</f>
        <v>0.114</v>
      </c>
      <c r="AM29" s="19" t="n">
        <f aca="false">IFERROR(IF(AK29="",H29,AK29)*AL29,"")</f>
        <v>0.456</v>
      </c>
      <c r="AN29" s="21" t="s">
        <v>232</v>
      </c>
      <c r="AO29" s="22" t="n">
        <v>697000</v>
      </c>
      <c r="AQ29" s="19" t="n">
        <f aca="false">IFERROR(USD_GBP*LOOKUP(IF(AP29="",H29,AP29),{0,1,1000,15000},{0,0.007,0.007,0.006}),"")</f>
        <v>0.00905733290395655</v>
      </c>
      <c r="AR29" s="19" t="n">
        <f aca="false">IFERROR(IF(AP29="",H29,AP29)*AQ29,"")</f>
        <v>0.0362293316158262</v>
      </c>
      <c r="AS29" s="21" t="s">
        <v>233</v>
      </c>
    </row>
    <row r="30" customFormat="false" ht="15" hidden="false" customHeight="false" outlineLevel="0" collapsed="false">
      <c r="A30" s="17" t="s">
        <v>234</v>
      </c>
      <c r="B30" s="17" t="s">
        <v>235</v>
      </c>
      <c r="C30" s="17" t="s">
        <v>236</v>
      </c>
      <c r="E30" s="17" t="s">
        <v>237</v>
      </c>
      <c r="F30" s="17" t="s">
        <v>238</v>
      </c>
      <c r="G30" s="17" t="s">
        <v>235</v>
      </c>
      <c r="H30" s="18" t="n">
        <f aca="false">BoardQty*1</f>
        <v>1</v>
      </c>
      <c r="I30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0.157</v>
      </c>
      <c r="J30" s="19" t="n">
        <f aca="false">IFERROR(H30*I30,"")</f>
        <v>0.157</v>
      </c>
      <c r="P30" s="22" t="n">
        <v>5438</v>
      </c>
      <c r="R30" s="19" t="n">
        <f aca="false">IFERROR(LOOKUP(IF(Q30="",H30,Q30),{0,1,10,25,100,250,500,1000,2500,8500,17000},{0,0.22,0.211,0.2,0.1819,0.171,0.15644,0.13097,0.12733,0.12005,0.11278}),"")</f>
        <v>0.22</v>
      </c>
      <c r="S30" s="19" t="n">
        <f aca="false">IFERROR(IF(Q30="",H30,Q30)*R30,"")</f>
        <v>0.22</v>
      </c>
      <c r="T30" s="21" t="s">
        <v>239</v>
      </c>
      <c r="U30" s="22" t="n">
        <v>3986</v>
      </c>
      <c r="W30" s="19" t="n">
        <f aca="false">IFERROR(USD_GBP*LOOKUP(IF(V30="",H30,V30),{0,1,10,50,100,500},{0,0.151,0.151,0.143,0.13,0.112}),"")</f>
        <v>0.195379609785349</v>
      </c>
      <c r="X30" s="19" t="n">
        <f aca="false">IFERROR(IF(V30="",H30,V30)*W30,"")</f>
        <v>0.195379609785349</v>
      </c>
      <c r="Y30" s="21" t="s">
        <v>240</v>
      </c>
      <c r="Z30" s="22" t="n">
        <v>11625</v>
      </c>
      <c r="AB30" s="19" t="n">
        <f aca="false">IFERROR(LOOKUP(IF(AA30="",H30,AA30),{0,1,10,30,100,500,1000},{0,1.2639,0.9625,0.9071,0.8517,0.8271,0.8149}),"")</f>
        <v>1.2639</v>
      </c>
      <c r="AC30" s="19" t="n">
        <f aca="false">IFERROR(IF(AA30="",H30,AA30)*AB30,"")</f>
        <v>1.2639</v>
      </c>
      <c r="AD30" s="21" t="s">
        <v>241</v>
      </c>
      <c r="AE30" s="22" t="n">
        <v>9700</v>
      </c>
      <c r="AG30" s="19" t="n">
        <f aca="false">IFERROR(LOOKUP(IF(AF30="",H30,AF30),{0,1,10,50,100,1000,10000},{0,0.23,0.218,0.201,0.189,0.154,0.154}),"")</f>
        <v>0.23</v>
      </c>
      <c r="AH30" s="19" t="n">
        <f aca="false">IFERROR(IF(AF30="",H30,AF30)*AG30,"")</f>
        <v>0.23</v>
      </c>
      <c r="AI30" s="21" t="s">
        <v>242</v>
      </c>
      <c r="AJ30" s="22" t="n">
        <v>7158</v>
      </c>
      <c r="AL30" s="19" t="n">
        <f aca="false">IFERROR(LOOKUP(IF(AK30="",H30,AK30),{0,1,8500,100000},{0,0.157,0.172,0.144}),"")</f>
        <v>0.157</v>
      </c>
      <c r="AM30" s="19" t="n">
        <f aca="false">IFERROR(IF(AK30="",H30,AK30)*AL30,"")</f>
        <v>0.157</v>
      </c>
      <c r="AN30" s="21" t="s">
        <v>243</v>
      </c>
    </row>
    <row r="31" customFormat="false" ht="15" hidden="false" customHeight="false" outlineLevel="0" collapsed="false">
      <c r="A31" s="17" t="s">
        <v>244</v>
      </c>
      <c r="B31" s="17" t="s">
        <v>245</v>
      </c>
      <c r="C31" s="17" t="s">
        <v>246</v>
      </c>
      <c r="E31" s="17" t="s">
        <v>247</v>
      </c>
      <c r="F31" s="17" t="s">
        <v>248</v>
      </c>
      <c r="G31" s="17" t="s">
        <v>245</v>
      </c>
      <c r="H31" s="18" t="n">
        <f aca="false">BoardQty*2</f>
        <v>2</v>
      </c>
      <c r="I31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0.0452866645197828</v>
      </c>
      <c r="J31" s="19" t="n">
        <f aca="false">IFERROR(H31*I31,"")</f>
        <v>0.0905733290395655</v>
      </c>
      <c r="P31" s="22" t="n">
        <v>481</v>
      </c>
      <c r="R31" s="19" t="n">
        <f aca="false">IFERROR(LOOKUP(IF(Q31="",H31,Q31),{0,1,10,25,100,250,500,1000,3000,6000,15000},{0,0.46,0.343,0.3004,0.1945,0.161,0.1288,0.09874,0.08586,0.07727,0.07087}),"")</f>
        <v>0.46</v>
      </c>
      <c r="S31" s="19" t="n">
        <f aca="false">IFERROR(IF(Q31="",H31,Q31)*R31,"")</f>
        <v>0.92</v>
      </c>
      <c r="T31" s="21" t="s">
        <v>249</v>
      </c>
      <c r="U31" s="22" t="n">
        <v>1437</v>
      </c>
      <c r="W31" s="19" t="n">
        <f aca="false">IFERROR(USD_GBP*LOOKUP(IF(V31="",H31,V31),{0,1,5,10,100,500},{0,0.543,0.543,0.397,0.18,0.103}),"")</f>
        <v>0.702590252406916</v>
      </c>
      <c r="X31" s="19" t="n">
        <f aca="false">IFERROR(IF(V31="",H31,V31)*W31,"")</f>
        <v>1.40518050481383</v>
      </c>
      <c r="Y31" s="21" t="s">
        <v>250</v>
      </c>
      <c r="AE31" s="22" t="n">
        <v>2590</v>
      </c>
      <c r="AG31" s="19" t="n">
        <f aca="false">IFERROR(LOOKUP(IF(AF31="",H31,AF31),{0,1,10,50,100,1000,10000},{0,0.46,0.301,0.301,0.161,0.102,0.068}),"")</f>
        <v>0.46</v>
      </c>
      <c r="AH31" s="19" t="n">
        <f aca="false">IFERROR(IF(AF31="",H31,AF31)*AG31,"")</f>
        <v>0.92</v>
      </c>
      <c r="AI31" s="21" t="s">
        <v>251</v>
      </c>
      <c r="AJ31" s="22" t="n">
        <v>1412</v>
      </c>
      <c r="AL31" s="19" t="n">
        <f aca="false">IFERROR(LOOKUP(IF(AK31="",H31,AK31),{0,1,5,10,100,6000,18000,48000,90000},{0,0.399,0.399,0.326,0.151,0.065,0.061,0.056,0.053}),"")</f>
        <v>0.399</v>
      </c>
      <c r="AM31" s="19" t="n">
        <f aca="false">IFERROR(IF(AK31="",H31,AK31)*AL31,"")</f>
        <v>0.798</v>
      </c>
      <c r="AN31" s="21" t="s">
        <v>252</v>
      </c>
      <c r="AO31" s="22" t="n">
        <v>3000</v>
      </c>
      <c r="AQ31" s="19" t="n">
        <f aca="false">IFERROR(USD_GBP*LOOKUP(IF(AP31="",H31,AP31),{0,1,30,120,1020,3000,9000,24000,45000,99000},{0,0.035,0.035,0.032,0.03,0.029,0.028,0.03,0.029,0.028}),"")</f>
        <v>0.0452866645197828</v>
      </c>
      <c r="AR31" s="19" t="n">
        <f aca="false">IFERROR(IF(AP31="",H31,AP31)*AQ31,"")</f>
        <v>0.0905733290395655</v>
      </c>
      <c r="AS31" s="21" t="s">
        <v>253</v>
      </c>
    </row>
    <row r="32" customFormat="false" ht="15" hidden="false" customHeight="false" outlineLevel="0" collapsed="false">
      <c r="A32" s="17" t="s">
        <v>254</v>
      </c>
      <c r="B32" s="17" t="s">
        <v>255</v>
      </c>
      <c r="C32" s="17" t="s">
        <v>256</v>
      </c>
      <c r="D32" s="17" t="s">
        <v>257</v>
      </c>
      <c r="E32" s="17" t="s">
        <v>258</v>
      </c>
      <c r="F32" s="17" t="s">
        <v>259</v>
      </c>
      <c r="G32" s="17" t="s">
        <v>255</v>
      </c>
      <c r="H32" s="18" t="n">
        <f aca="false">BoardQty*1</f>
        <v>1</v>
      </c>
      <c r="I32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1.97</v>
      </c>
      <c r="J32" s="19" t="n">
        <f aca="false">IFERROR(H32*I32,"")</f>
        <v>1.97</v>
      </c>
      <c r="P32" s="22" t="n">
        <v>15601</v>
      </c>
      <c r="R32" s="19" t="n">
        <f aca="false">IFERROR(LOOKUP(IF(Q32="",H32,Q32),{0,1,10,25,50,100,250,500,1000,5000},{0,1.97,1.798,1.7496,1.7408,1.556,1.55152,1.5281,1.46322,1.36231}),"")</f>
        <v>1.97</v>
      </c>
      <c r="S32" s="19" t="n">
        <f aca="false">IFERROR(IF(Q32="",H32,Q32)*R32,"")</f>
        <v>1.97</v>
      </c>
      <c r="T32" s="21" t="s">
        <v>260</v>
      </c>
    </row>
    <row r="33" customFormat="false" ht="15" hidden="false" customHeight="false" outlineLevel="0" collapsed="false">
      <c r="A33" s="17" t="s">
        <v>261</v>
      </c>
      <c r="B33" s="17" t="s">
        <v>262</v>
      </c>
      <c r="C33" s="17" t="s">
        <v>263</v>
      </c>
      <c r="E33" s="17" t="s">
        <v>264</v>
      </c>
      <c r="F33" s="17" t="s">
        <v>265</v>
      </c>
      <c r="G33" s="17" t="s">
        <v>262</v>
      </c>
      <c r="H33" s="18" t="n">
        <f aca="false">BoardQty*1</f>
        <v>1</v>
      </c>
      <c r="I33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5.56</v>
      </c>
      <c r="J33" s="19" t="n">
        <f aca="false">IFERROR(H33*I33,"")</f>
        <v>5.56</v>
      </c>
      <c r="P33" s="20" t="s">
        <v>40</v>
      </c>
      <c r="R33" s="19" t="n">
        <f aca="false">IFERROR(LOOKUP(IF(Q33="",H33,Q33),{0,1,25,100,2000},{0,6,5.25,5.005,5.005}),"")</f>
        <v>6</v>
      </c>
      <c r="S33" s="19" t="n">
        <f aca="false">IFERROR(IF(Q33="",H33,Q33)*R33,"")</f>
        <v>6</v>
      </c>
      <c r="T33" s="21" t="s">
        <v>266</v>
      </c>
      <c r="U33" s="22" t="n">
        <v>1759</v>
      </c>
      <c r="W33" s="19" t="n">
        <f aca="false">IFERROR(USD_GBP*LOOKUP(IF(V33="",H33,V33),{0,1,25,100,150},{0,4.86,4.26,4.06,4.06}),"")</f>
        <v>6.28837684474698</v>
      </c>
      <c r="X33" s="19" t="n">
        <f aca="false">IFERROR(IF(V33="",H33,V33)*W33,"")</f>
        <v>6.28837684474698</v>
      </c>
      <c r="Y33" s="21" t="s">
        <v>267</v>
      </c>
      <c r="AE33" s="20" t="s">
        <v>40</v>
      </c>
      <c r="AG33" s="19" t="n">
        <f aca="false">IFERROR(LOOKUP(IF(AF33="",H33,AF33),{0,1,10,50,100,1000,10000},{0,6.06,6.06,5.31,5.06,5.06,5.05}),"")</f>
        <v>6.06</v>
      </c>
      <c r="AH33" s="19" t="n">
        <f aca="false">IFERROR(IF(AF33="",H33,AF33)*AG33,"")</f>
        <v>6.06</v>
      </c>
      <c r="AI33" s="21" t="s">
        <v>268</v>
      </c>
      <c r="AJ33" s="22" t="n">
        <v>1525</v>
      </c>
      <c r="AL33" s="19" t="n">
        <f aca="false">IFERROR(LOOKUP(IF(AK33="",H33,AK33),{0,1,10,25,2000,4000,8000,12000},{0,5.56,6.03,5.77,5.43,5.27,4.95,4.72}),"")</f>
        <v>5.56</v>
      </c>
      <c r="AM33" s="19" t="n">
        <f aca="false">IFERROR(IF(AK33="",H33,AK33)*AL33,"")</f>
        <v>5.56</v>
      </c>
      <c r="AN33" s="21" t="s">
        <v>269</v>
      </c>
    </row>
    <row r="34" customFormat="false" ht="15" hidden="false" customHeight="false" outlineLevel="0" collapsed="false">
      <c r="A34" s="17" t="s">
        <v>270</v>
      </c>
      <c r="B34" s="17" t="s">
        <v>271</v>
      </c>
      <c r="C34" s="17" t="s">
        <v>272</v>
      </c>
      <c r="E34" s="17" t="s">
        <v>247</v>
      </c>
      <c r="F34" s="17" t="s">
        <v>248</v>
      </c>
      <c r="G34" s="17" t="s">
        <v>271</v>
      </c>
      <c r="H34" s="18" t="n">
        <f aca="false">BoardQty*1</f>
        <v>1</v>
      </c>
      <c r="I34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0.397228743073523</v>
      </c>
      <c r="J34" s="19" t="n">
        <f aca="false">IFERROR(H34*I34,"")</f>
        <v>0.397228743073523</v>
      </c>
      <c r="P34" s="20" t="s">
        <v>40</v>
      </c>
      <c r="R34" s="19" t="n">
        <f aca="false">IFERROR(LOOKUP(IF(Q34="",H34,Q34),{0,1,10,25,100,250,500,1000,3000},{0,0.47,0.402,0.3756,0.3004,0.27892,0.236,0.18236,0.1771}),"")</f>
        <v>0.47</v>
      </c>
      <c r="S34" s="19" t="n">
        <f aca="false">IFERROR(IF(Q34="",H34,Q34)*R34,"")</f>
        <v>0.47</v>
      </c>
      <c r="T34" s="21" t="s">
        <v>273</v>
      </c>
      <c r="U34" s="20" t="s">
        <v>40</v>
      </c>
      <c r="W34" s="19" t="n">
        <f aca="false">IFERROR(USD_GBP*LOOKUP(IF(V34="",H34,V34),{0,1,5,10,100,150,500},{0,0.554,0.554,0.464,0.286,0.286,0.189}),"")</f>
        <v>0.716823204113133</v>
      </c>
      <c r="X34" s="19" t="n">
        <f aca="false">IFERROR(IF(V34="",H34,V34)*W34,"")</f>
        <v>0.716823204113133</v>
      </c>
      <c r="Y34" s="21" t="s">
        <v>274</v>
      </c>
      <c r="AE34" s="22" t="n">
        <v>29590</v>
      </c>
      <c r="AG34" s="19" t="n">
        <f aca="false">IFERROR(LOOKUP(IF(AF34="",H34,AF34),{0,1,10,50,100,1000,10000},{0,0.47,0.376,0.376,0.279,0.183,0.166}),"")</f>
        <v>0.47</v>
      </c>
      <c r="AH34" s="19" t="n">
        <f aca="false">IFERROR(IF(AF34="",H34,AF34)*AG34,"")</f>
        <v>0.47</v>
      </c>
      <c r="AI34" s="21" t="s">
        <v>275</v>
      </c>
      <c r="AJ34" s="20" t="s">
        <v>40</v>
      </c>
      <c r="AL34" s="19" t="n">
        <f aca="false">IFERROR(LOOKUP(IF(AK34="",H34,AK34),{0,1,5,10,100},{0,0.646,0.646,0.538,0.384}),"")</f>
        <v>0.646</v>
      </c>
      <c r="AM34" s="19" t="n">
        <f aca="false">IFERROR(IF(AK34="",H34,AK34)*AL34,"")</f>
        <v>0.646</v>
      </c>
      <c r="AN34" s="21" t="s">
        <v>276</v>
      </c>
      <c r="AO34" s="22" t="n">
        <v>12</v>
      </c>
      <c r="AQ34" s="19" t="n">
        <f aca="false">IFERROR(USD_GBP*LOOKUP(IF(AP34="",H34,AP34),{0,1,18,108,1008,3000,3006,9000},{0,0.307,0.307,0.157,0.118,0.142,0.097,0.147}),"")</f>
        <v>0.397228743073523</v>
      </c>
      <c r="AR34" s="19" t="n">
        <f aca="false">IFERROR(IF(AP34="",H34,AP34)*AQ34,"")</f>
        <v>0.397228743073523</v>
      </c>
      <c r="AS34" s="21" t="s">
        <v>277</v>
      </c>
    </row>
    <row r="35" customFormat="false" ht="15" hidden="false" customHeight="false" outlineLevel="0" collapsed="false">
      <c r="A35" s="17" t="s">
        <v>278</v>
      </c>
      <c r="B35" s="17" t="s">
        <v>279</v>
      </c>
      <c r="C35" s="17" t="s">
        <v>280</v>
      </c>
      <c r="E35" s="17" t="s">
        <v>281</v>
      </c>
      <c r="F35" s="17" t="s">
        <v>248</v>
      </c>
      <c r="G35" s="17" t="s">
        <v>279</v>
      </c>
      <c r="H35" s="18" t="n">
        <f aca="false">BoardQty*1</f>
        <v>1</v>
      </c>
      <c r="I35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0.436</v>
      </c>
      <c r="J35" s="19" t="n">
        <f aca="false">IFERROR(H35*I35,"")</f>
        <v>0.436</v>
      </c>
      <c r="P35" s="22" t="n">
        <v>425</v>
      </c>
      <c r="R35" s="19" t="n">
        <f aca="false">IFERROR(LOOKUP(IF(Q35="",H35,Q35),{0,1,10,25,100,250,500,1000,3000},{0,1.06,0.95,0.9012,0.7404,0.69212,0.61166,0.53148,0.53147}),"")</f>
        <v>1.06</v>
      </c>
      <c r="S35" s="19" t="n">
        <f aca="false">IFERROR(IF(Q35="",H35,Q35)*R35,"")</f>
        <v>1.06</v>
      </c>
      <c r="T35" s="21" t="s">
        <v>282</v>
      </c>
      <c r="U35" s="22" t="n">
        <v>1802</v>
      </c>
      <c r="W35" s="19" t="n">
        <f aca="false">IFERROR(USD_GBP*LOOKUP(IF(V35="",H35,V35),{0,1,5,10,100,500},{0,1.25,1.25,0.929,0.713,0.497}),"")</f>
        <v>1.61738087570653</v>
      </c>
      <c r="X35" s="19" t="n">
        <f aca="false">IFERROR(IF(V35="",H35,V35)*W35,"")</f>
        <v>1.61738087570653</v>
      </c>
      <c r="Y35" s="21" t="s">
        <v>283</v>
      </c>
      <c r="Z35" s="22" t="n">
        <v>2658</v>
      </c>
      <c r="AB35" s="19" t="n">
        <f aca="false">IFERROR(LOOKUP(IF(AA35="",H35,AA35),{0,1,10,30,100,500,1000},{0,5.12,3.8,3.55,3.31,3.2,3.15}),"")</f>
        <v>5.12</v>
      </c>
      <c r="AC35" s="19" t="n">
        <f aca="false">IFERROR(IF(AA35="",H35,AA35)*AB35,"")</f>
        <v>5.12</v>
      </c>
      <c r="AD35" s="21" t="s">
        <v>284</v>
      </c>
      <c r="AE35" s="22" t="n">
        <v>3078</v>
      </c>
      <c r="AG35" s="19" t="n">
        <f aca="false">IFERROR(LOOKUP(IF(AF35="",H35,AF35),{0,1,10,50,100,1000,10000},{0,1.06,0.95,0.902,0.741,0.486,0.47}),"")</f>
        <v>1.06</v>
      </c>
      <c r="AH35" s="19" t="n">
        <f aca="false">IFERROR(IF(AF35="",H35,AF35)*AG35,"")</f>
        <v>1.06</v>
      </c>
      <c r="AI35" s="21" t="s">
        <v>285</v>
      </c>
      <c r="AJ35" s="22" t="n">
        <v>1802</v>
      </c>
      <c r="AL35" s="19" t="n">
        <f aca="false">IFERROR(LOOKUP(IF(AK35="",H35,AK35),{0,1,5,10,100,3000,9000,24000},{0,0.436,1.33,1.18,0.856,0.436,0.418,0.388}),"")</f>
        <v>0.436</v>
      </c>
      <c r="AM35" s="19" t="n">
        <f aca="false">IFERROR(IF(AK35="",H35,AK35)*AL35,"")</f>
        <v>0.436</v>
      </c>
      <c r="AN35" s="21" t="s">
        <v>286</v>
      </c>
    </row>
    <row r="36" customFormat="false" ht="15" hidden="false" customHeight="false" outlineLevel="0" collapsed="false">
      <c r="A36" s="17" t="s">
        <v>287</v>
      </c>
      <c r="B36" s="17" t="s">
        <v>288</v>
      </c>
      <c r="C36" s="17" t="s">
        <v>289</v>
      </c>
      <c r="E36" s="17" t="s">
        <v>290</v>
      </c>
      <c r="F36" s="17" t="s">
        <v>291</v>
      </c>
      <c r="G36" s="17" t="s">
        <v>288</v>
      </c>
      <c r="H36" s="18" t="n">
        <f aca="false">BoardQty*1</f>
        <v>1</v>
      </c>
      <c r="I36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1.61</v>
      </c>
      <c r="J36" s="19" t="n">
        <f aca="false">IFERROR(H36*I36,"")</f>
        <v>1.61</v>
      </c>
      <c r="P36" s="20" t="s">
        <v>40</v>
      </c>
      <c r="R36" s="19" t="n">
        <f aca="false">IFERROR(LOOKUP(IF(Q36="",H36,Q36),{0,1,2000},{0,1.61,1.61}),"")</f>
        <v>1.61</v>
      </c>
      <c r="S36" s="19" t="n">
        <f aca="false">IFERROR(IF(Q36="",H36,Q36)*R36,"")</f>
        <v>1.61</v>
      </c>
      <c r="T36" s="21" t="s">
        <v>292</v>
      </c>
      <c r="Z36" s="22" t="n">
        <v>1934</v>
      </c>
      <c r="AB36" s="19" t="n">
        <f aca="false">IFERROR(LOOKUP(IF(AA36="",H36,AA36),{0,1,10,30,100,500,1000},{0,7.58,5.55,5.18,4.8,4.64,4.56}),"")</f>
        <v>7.58</v>
      </c>
      <c r="AC36" s="19" t="n">
        <f aca="false">IFERROR(IF(AA36="",H36,AA36)*AB36,"")</f>
        <v>7.58</v>
      </c>
      <c r="AD36" s="21" t="s">
        <v>293</v>
      </c>
      <c r="AE36" s="22" t="n">
        <v>527</v>
      </c>
      <c r="AG36" s="19" t="n">
        <f aca="false">IFERROR(LOOKUP(IF(AF36="",H36,AF36),{0,1,10,50,100,1000,10000},{0,2.87,2.59,2.44,2.08,1.42,1.41}),"")</f>
        <v>2.87</v>
      </c>
      <c r="AH36" s="19" t="n">
        <f aca="false">IFERROR(IF(AF36="",H36,AF36)*AG36,"")</f>
        <v>2.87</v>
      </c>
      <c r="AI36" s="21" t="s">
        <v>294</v>
      </c>
    </row>
    <row r="37" customFormat="false" ht="15" hidden="false" customHeight="false" outlineLevel="0" collapsed="false">
      <c r="A37" s="17" t="s">
        <v>295</v>
      </c>
      <c r="B37" s="17" t="s">
        <v>296</v>
      </c>
      <c r="C37" s="17" t="s">
        <v>297</v>
      </c>
      <c r="D37" s="17" t="s">
        <v>298</v>
      </c>
      <c r="E37" s="17" t="s">
        <v>299</v>
      </c>
      <c r="F37" s="17" t="s">
        <v>300</v>
      </c>
      <c r="G37" s="17" t="s">
        <v>296</v>
      </c>
      <c r="H37" s="18" t="n">
        <f aca="false">BoardQty*1</f>
        <v>1</v>
      </c>
      <c r="I37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3.9</v>
      </c>
      <c r="J37" s="19" t="n">
        <f aca="false">IFERROR(H37*I37,"")</f>
        <v>3.9</v>
      </c>
      <c r="P37" s="20" t="s">
        <v>40</v>
      </c>
      <c r="R37" s="19" t="n">
        <f aca="false">IFERROR(LOOKUP(IF(Q37="",H37,Q37),{0,1,10},{0,3.9,3.85}),"")</f>
        <v>3.9</v>
      </c>
      <c r="S37" s="19" t="n">
        <f aca="false">IFERROR(IF(Q37="",H37,Q37)*R37,"")</f>
        <v>3.9</v>
      </c>
      <c r="T37" s="21" t="s">
        <v>301</v>
      </c>
      <c r="U37" s="20" t="s">
        <v>40</v>
      </c>
      <c r="W37" s="19" t="n">
        <f aca="false">IFERROR(USD_GBP*LOOKUP(IF(V37="",H37,V37),{0,1,10,25,50},{0,3.86,3.11,2.93,2.87}),"")</f>
        <v>4.99447214418176</v>
      </c>
      <c r="X37" s="19" t="n">
        <f aca="false">IFERROR(IF(V37="",H37,V37)*W37,"")</f>
        <v>4.99447214418176</v>
      </c>
      <c r="Y37" s="21" t="s">
        <v>302</v>
      </c>
      <c r="AE37" s="20" t="s">
        <v>40</v>
      </c>
      <c r="AG37" s="19" t="n">
        <f aca="false">IFERROR(LOOKUP(IF(AF37="",H37,AF37),{0,1,10,50,100,1000,10000},{0,3.93,3.54,3.34,2.9,2.8,2.79}),"")</f>
        <v>3.93</v>
      </c>
      <c r="AH37" s="19" t="n">
        <f aca="false">IFERROR(IF(AF37="",H37,AF37)*AG37,"")</f>
        <v>3.93</v>
      </c>
      <c r="AI37" s="21" t="s">
        <v>303</v>
      </c>
      <c r="AJ37" s="20" t="s">
        <v>40</v>
      </c>
      <c r="AL37" s="19" t="n">
        <f aca="false">IFERROR(LOOKUP(IF(AK37="",H37,AK37),{0,1,10},{0,4.49,4.43}),"")</f>
        <v>4.49</v>
      </c>
      <c r="AM37" s="19" t="n">
        <f aca="false">IFERROR(IF(AK37="",H37,AK37)*AL37,"")</f>
        <v>4.49</v>
      </c>
      <c r="AN37" s="21" t="s">
        <v>304</v>
      </c>
    </row>
    <row r="38" customFormat="false" ht="15" hidden="false" customHeight="false" outlineLevel="0" collapsed="false">
      <c r="A38" s="17" t="s">
        <v>305</v>
      </c>
      <c r="B38" s="17" t="s">
        <v>306</v>
      </c>
      <c r="C38" s="17" t="s">
        <v>307</v>
      </c>
      <c r="E38" s="17" t="s">
        <v>308</v>
      </c>
      <c r="F38" s="17" t="s">
        <v>248</v>
      </c>
      <c r="G38" s="17" t="s">
        <v>309</v>
      </c>
      <c r="H38" s="18" t="n">
        <f aca="false">BoardQty*1</f>
        <v>1</v>
      </c>
      <c r="I38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0.138</v>
      </c>
      <c r="J38" s="19" t="n">
        <f aca="false">IFERROR(H38*I38,"")</f>
        <v>0.138</v>
      </c>
      <c r="P38" s="20" t="s">
        <v>40</v>
      </c>
      <c r="R38" s="19" t="n">
        <f aca="false">IFERROR(LOOKUP(IF(Q38="",H38,Q38),{0,1,10,25,50,100,250,500,1000,4000,8000,12000,28000},{0,0.26,0.239,0.228,0.2208,0.2134,0.2024,0.16928,0.13138,0.12512,0.11776,0.1104,0.10304}),"")</f>
        <v>0.26</v>
      </c>
      <c r="S38" s="19" t="n">
        <f aca="false">IFERROR(IF(Q38="",H38,Q38)*R38,"")</f>
        <v>0.26</v>
      </c>
      <c r="T38" s="21" t="s">
        <v>310</v>
      </c>
      <c r="U38" s="20" t="s">
        <v>40</v>
      </c>
      <c r="W38" s="19" t="n">
        <f aca="false">IFERROR(USD_GBP*LOOKUP(IF(V38="",H38,V38),{0,1,5,10,100,150,500},{0,0.531,0.531,0.424,0.258,0.258,0.144}),"")</f>
        <v>0.687063396000133</v>
      </c>
      <c r="X38" s="19" t="n">
        <f aca="false">IFERROR(IF(V38="",H38,V38)*W38,"")</f>
        <v>0.687063396000133</v>
      </c>
      <c r="Y38" s="21" t="s">
        <v>311</v>
      </c>
      <c r="AE38" s="20" t="s">
        <v>40</v>
      </c>
      <c r="AG38" s="19" t="n">
        <f aca="false">IFERROR(LOOKUP(IF(AF38="",H38,AF38),{0,1,10,50,100,1000,10000},{0,0.45,0.367,0.367,0.25,0.141,0.117}),"")</f>
        <v>0.45</v>
      </c>
      <c r="AH38" s="19" t="n">
        <f aca="false">IFERROR(IF(AF38="",H38,AF38)*AG38,"")</f>
        <v>0.45</v>
      </c>
      <c r="AI38" s="21" t="s">
        <v>312</v>
      </c>
      <c r="AJ38" s="22" t="n">
        <v>19</v>
      </c>
      <c r="AL38" s="19" t="n">
        <f aca="false">IFERROR(LOOKUP(IF(AK38="",H38,AK38),{0,1,10,100,3000,4000,6000,12000,18000,30000},{0,0.138,0.247,0.222,0.131,0.131,0.117,0.106,0.098,0.091}),"")</f>
        <v>0.138</v>
      </c>
      <c r="AM38" s="19" t="n">
        <f aca="false">IFERROR(IF(AK38="",H38,AK38)*AL38,"")</f>
        <v>0.138</v>
      </c>
      <c r="AN38" s="21" t="s">
        <v>313</v>
      </c>
      <c r="AO38" s="22" t="n">
        <v>2350</v>
      </c>
      <c r="AQ38" s="19" t="n">
        <f aca="false">IFERROR(USD_GBP*LOOKUP(IF(AP38="",H38,AP38),{0,1,50,100,1000,4000,8000,24000,48000,100000},{0,0.288,0.288,0.222,0.214,0.095,0.085,0.081,0.074,0.072}),"")</f>
        <v>0.372644553762784</v>
      </c>
      <c r="AR38" s="19" t="n">
        <f aca="false">IFERROR(IF(AP38="",H38,AP38)*AQ38,"")</f>
        <v>0.372644553762784</v>
      </c>
      <c r="AS38" s="21" t="s">
        <v>314</v>
      </c>
      <c r="AT38" s="20" t="s">
        <v>40</v>
      </c>
      <c r="AV38" s="19" t="n">
        <f aca="false">IFERROR(USD_GBP*LOOKUP(IF(AU38="",H38,AU38),{0,1,5,25,100,500,2000},{0,0.174,0.174,0.1528,0.1325,0.11576,0.10805}),"")</f>
        <v>0.225139417898349</v>
      </c>
      <c r="AW38" s="19" t="n">
        <f aca="false">IFERROR(IF(AU38="",H38,AU38)*AV38,"")</f>
        <v>0.225139417898349</v>
      </c>
      <c r="AX38" s="21" t="s">
        <v>309</v>
      </c>
    </row>
    <row r="39" customFormat="false" ht="15" hidden="false" customHeight="false" outlineLevel="0" collapsed="false">
      <c r="A39" s="17" t="s">
        <v>315</v>
      </c>
      <c r="B39" s="17" t="s">
        <v>316</v>
      </c>
      <c r="C39" s="17" t="s">
        <v>317</v>
      </c>
      <c r="E39" s="17" t="s">
        <v>318</v>
      </c>
      <c r="F39" s="17" t="s">
        <v>319</v>
      </c>
      <c r="G39" s="17" t="s">
        <v>316</v>
      </c>
      <c r="H39" s="18" t="n">
        <f aca="false">BoardQty*1</f>
        <v>1</v>
      </c>
      <c r="I39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0.622368160971872</v>
      </c>
      <c r="J39" s="19" t="n">
        <f aca="false">IFERROR(H39*I39,"")</f>
        <v>0.622368160971872</v>
      </c>
      <c r="P39" s="22" t="n">
        <v>98704</v>
      </c>
      <c r="R39" s="19" t="n">
        <f aca="false">IFERROR(LOOKUP(IF(Q39="",H39,Q39),{0,1,25,100,3000},{0,0.66,0.56,0.54,0.54}),"")</f>
        <v>0.66</v>
      </c>
      <c r="S39" s="19" t="n">
        <f aca="false">IFERROR(IF(Q39="",H39,Q39)*R39,"")</f>
        <v>0.66</v>
      </c>
      <c r="T39" s="21" t="s">
        <v>320</v>
      </c>
      <c r="U39" s="22" t="n">
        <v>2360</v>
      </c>
      <c r="W39" s="19" t="n">
        <f aca="false">IFERROR(USD_GBP*LOOKUP(IF(V39="",H39,V39),{0,1,25,100,150},{0,0.806,0.623,0.535,0.535}),"")</f>
        <v>1.04288718865557</v>
      </c>
      <c r="X39" s="19" t="n">
        <f aca="false">IFERROR(IF(V39="",H39,V39)*W39,"")</f>
        <v>1.04288718865557</v>
      </c>
      <c r="Y39" s="21" t="s">
        <v>321</v>
      </c>
      <c r="AE39" s="22" t="n">
        <v>10868</v>
      </c>
      <c r="AG39" s="19" t="n">
        <f aca="false">IFERROR(LOOKUP(IF(AF39="",H39,AF39),{0,1,10,50,100,1000,10000},{0,0.71,0.71,0.6,0.566,0.566,0.566}),"")</f>
        <v>0.71</v>
      </c>
      <c r="AH39" s="19" t="n">
        <f aca="false">IFERROR(IF(AF39="",H39,AF39)*AG39,"")</f>
        <v>0.71</v>
      </c>
      <c r="AI39" s="21" t="s">
        <v>322</v>
      </c>
      <c r="AJ39" s="22" t="n">
        <v>2355</v>
      </c>
      <c r="AL39" s="19" t="n">
        <f aca="false">IFERROR(LOOKUP(IF(AK39="",H39,AK39),{0,1,10,25,3000},{0,0.866,0.798,0.729,0.528}),"")</f>
        <v>0.866</v>
      </c>
      <c r="AM39" s="19" t="n">
        <f aca="false">IFERROR(IF(AK39="",H39,AK39)*AL39,"")</f>
        <v>0.866</v>
      </c>
      <c r="AN39" s="21" t="s">
        <v>323</v>
      </c>
      <c r="AO39" s="22" t="n">
        <v>1640</v>
      </c>
      <c r="AQ39" s="19" t="n">
        <f aca="false">IFERROR(USD_GBP*LOOKUP(IF(AP39="",H39,AP39),{0,1,20,40,100,3000},{0,0.481,0.481,0.46,0.415,0.384}),"")</f>
        <v>0.622368160971872</v>
      </c>
      <c r="AR39" s="19" t="n">
        <f aca="false">IFERROR(IF(AP39="",H39,AP39)*AQ39,"")</f>
        <v>0.622368160971872</v>
      </c>
      <c r="AS39" s="21" t="s">
        <v>324</v>
      </c>
      <c r="AT39" s="20" t="s">
        <v>40</v>
      </c>
      <c r="AV39" s="19" t="n">
        <f aca="false">IFERROR(USD_GBP*LOOKUP(IF(AU39="",H39,AU39),{0,1,10,25,100},{0,0.61,0.57,0.52,0.47}),"")</f>
        <v>0.789281867344785</v>
      </c>
      <c r="AW39" s="19" t="n">
        <f aca="false">IFERROR(IF(AU39="",H39,AU39)*AV39,"")</f>
        <v>0.789281867344785</v>
      </c>
      <c r="AX39" s="21" t="s">
        <v>325</v>
      </c>
    </row>
    <row r="40" customFormat="false" ht="15" hidden="false" customHeight="false" outlineLevel="0" collapsed="false">
      <c r="A40" s="17" t="s">
        <v>326</v>
      </c>
      <c r="B40" s="17" t="s">
        <v>327</v>
      </c>
      <c r="C40" s="17" t="s">
        <v>328</v>
      </c>
      <c r="D40" s="17" t="s">
        <v>329</v>
      </c>
      <c r="E40" s="17" t="s">
        <v>330</v>
      </c>
      <c r="F40" s="17" t="s">
        <v>331</v>
      </c>
      <c r="G40" s="17" t="s">
        <v>327</v>
      </c>
      <c r="H40" s="18" t="n">
        <f aca="false">BoardQty*1</f>
        <v>1</v>
      </c>
      <c r="I40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0" s="19" t="n">
        <f aca="false">IFERROR(H40*I40,"")</f>
        <v>0</v>
      </c>
    </row>
    <row r="41" customFormat="false" ht="15" hidden="false" customHeight="false" outlineLevel="0" collapsed="false">
      <c r="A41" s="17" t="s">
        <v>332</v>
      </c>
      <c r="B41" s="17" t="s">
        <v>333</v>
      </c>
      <c r="C41" s="17" t="s">
        <v>334</v>
      </c>
      <c r="D41" s="17" t="s">
        <v>335</v>
      </c>
      <c r="E41" s="17" t="s">
        <v>336</v>
      </c>
      <c r="F41" s="17" t="s">
        <v>337</v>
      </c>
      <c r="G41" s="17" t="s">
        <v>333</v>
      </c>
      <c r="H41" s="18" t="n">
        <f aca="false">BoardQty*1</f>
        <v>1</v>
      </c>
      <c r="I41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1.62</v>
      </c>
      <c r="J41" s="19" t="n">
        <f aca="false">IFERROR(H41*I41,"")</f>
        <v>1.62</v>
      </c>
      <c r="P41" s="22" t="n">
        <v>12744</v>
      </c>
      <c r="R41" s="19" t="n">
        <f aca="false">IFERROR(LOOKUP(IF(Q41="",H41,Q41),{0,1,10,50,100,500,1000,3000},{0,1.62,1.548,1.512,1.296,1.26,1.062,1.008}),"")</f>
        <v>1.62</v>
      </c>
      <c r="S41" s="19" t="n">
        <f aca="false">IFERROR(IF(Q41="",H41,Q41)*R41,"")</f>
        <v>1.62</v>
      </c>
      <c r="T41" s="21" t="s">
        <v>338</v>
      </c>
      <c r="U41" s="22" t="n">
        <v>2830</v>
      </c>
      <c r="W41" s="19" t="n">
        <f aca="false">IFERROR(USD_GBP*LOOKUP(IF(V41="",H41,V41),{0,1,5,10,50,250,500,1500},{0,1.28,1.28,1.28,1.07,0.968,0.945,0.922}),"")</f>
        <v>1.65619801672348</v>
      </c>
      <c r="X41" s="19" t="n">
        <f aca="false">IFERROR(IF(V41="",H41,V41)*W41,"")</f>
        <v>1.65619801672348</v>
      </c>
      <c r="Y41" s="21" t="s">
        <v>339</v>
      </c>
      <c r="AE41" s="22" t="n">
        <v>8080</v>
      </c>
      <c r="AG41" s="19" t="n">
        <f aca="false">IFERROR(LOOKUP(IF(AF41="",H41,AF41),{0,1,10,50,100,1000,10000},{0,1.8,1.72,1.68,1.44,1.15,1.08}),"")</f>
        <v>1.8</v>
      </c>
      <c r="AH41" s="19" t="n">
        <f aca="false">IFERROR(IF(AF41="",H41,AF41)*AG41,"")</f>
        <v>1.8</v>
      </c>
      <c r="AI41" s="21" t="s">
        <v>340</v>
      </c>
      <c r="AJ41" s="22" t="n">
        <v>2940</v>
      </c>
      <c r="AL41" s="19" t="n">
        <f aca="false">IFERROR(LOOKUP(IF(AK41="",H41,AK41),{0,1,5,10,25,50,100,1000,2000,3000,4000,6000,10000},{0,2.48,2.48,2.36,2.34,2.31,1.98,1.34,1.28,1.28,1.17,1.12,1.09}),"")</f>
        <v>2.48</v>
      </c>
      <c r="AM41" s="19" t="n">
        <f aca="false">IFERROR(IF(AK41="",H41,AK41)*AL41,"")</f>
        <v>2.48</v>
      </c>
      <c r="AN41" s="21" t="s">
        <v>341</v>
      </c>
    </row>
    <row r="43" customFormat="false" ht="15" hidden="false" customHeight="false" outlineLevel="0" collapsed="false">
      <c r="B43" s="24" t="s">
        <v>342</v>
      </c>
      <c r="I43" s="1" t="s">
        <v>343</v>
      </c>
      <c r="J43" s="5" t="n">
        <f aca="true"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43" s="21" t="s">
        <v>344</v>
      </c>
      <c r="L43" s="6" t="str">
        <f aca="false">IFERROR(IF(OR(L7:L41),COUNTIFS(L7:L41,"&gt;0",N7:N41,"&lt;&gt;")&amp;" of "&amp;(ROWS(N7:N41)-COUNTBLANK(N7:N41))&amp;" parts purchased",""),"")</f>
        <v/>
      </c>
      <c r="N43" s="5" t="n">
        <f aca="false">SUMIF(L7:L41,"&gt;0",N7:N41)</f>
        <v>0</v>
      </c>
      <c r="P43" s="21" t="s">
        <v>344</v>
      </c>
      <c r="Q43" s="6" t="str">
        <f aca="false">IFERROR(IF(OR(Q7:Q41),COUNTIFS(Q7:Q41,"&gt;0",S7:S41,"&lt;&gt;")&amp;" of "&amp;(ROWS(S7:S41)-COUNTBLANK(S7:S41))&amp;" parts purchased",""),"")</f>
        <v/>
      </c>
      <c r="S43" s="5" t="n">
        <f aca="false">SUMIF(Q7:Q41,"&gt;0",S7:S41)</f>
        <v>0</v>
      </c>
      <c r="U43" s="21" t="s">
        <v>344</v>
      </c>
      <c r="V43" s="6" t="str">
        <f aca="false">IFERROR(IF(OR(V7:V41),COUNTIFS(V7:V41,"&gt;0",X7:X41,"&lt;&gt;")&amp;" of "&amp;(ROWS(X7:X41)-COUNTBLANK(X7:X41))&amp;" parts purchased",""),"")</f>
        <v/>
      </c>
      <c r="X43" s="5" t="n">
        <f aca="false">SUMIF(V7:V41,"&gt;0",X7:X41)</f>
        <v>0</v>
      </c>
      <c r="Z43" s="21" t="s">
        <v>344</v>
      </c>
      <c r="AA43" s="6" t="str">
        <f aca="false">IFERROR(IF(OR(AA7:AA41),COUNTIFS(AA7:AA41,"&gt;0",AC7:AC41,"&lt;&gt;")&amp;" of "&amp;(ROWS(AC7:AC41)-COUNTBLANK(AC7:AC41))&amp;" parts purchased",""),"")</f>
        <v/>
      </c>
      <c r="AC43" s="5" t="n">
        <f aca="false">SUMIF(AA7:AA41,"&gt;0",AC7:AC41)</f>
        <v>0</v>
      </c>
      <c r="AE43" s="21" t="s">
        <v>344</v>
      </c>
      <c r="AF43" s="6" t="str">
        <f aca="false">IFERROR(IF(OR(AF7:AF41),COUNTIFS(AF7:AF41,"&gt;0",AH7:AH41,"&lt;&gt;")&amp;" of "&amp;(ROWS(AH7:AH41)-COUNTBLANK(AH7:AH41))&amp;" parts purchased",""),"")</f>
        <v/>
      </c>
      <c r="AH43" s="5" t="n">
        <f aca="false">SUMIF(AF7:AF41,"&gt;0",AH7:AH41)</f>
        <v>0</v>
      </c>
      <c r="AJ43" s="21" t="s">
        <v>344</v>
      </c>
      <c r="AK43" s="6" t="str">
        <f aca="false">IFERROR(IF(OR(AK7:AK41),COUNTIFS(AK7:AK41,"&gt;0",AM7:AM41,"&lt;&gt;")&amp;" of "&amp;(ROWS(AM7:AM41)-COUNTBLANK(AM7:AM41))&amp;" parts purchased",""),"")</f>
        <v/>
      </c>
      <c r="AM43" s="5" t="n">
        <f aca="false">SUMIF(AK7:AK41,"&gt;0",AM7:AM41)</f>
        <v>0</v>
      </c>
      <c r="AO43" s="21" t="s">
        <v>344</v>
      </c>
      <c r="AP43" s="6" t="str">
        <f aca="false">IFERROR(IF(OR(AP7:AP41),COUNTIFS(AP7:AP41,"&gt;0",AR7:AR41,"&lt;&gt;")&amp;" of "&amp;(ROWS(AR7:AR41)-COUNTBLANK(AR7:AR41))&amp;" parts purchased",""),"")</f>
        <v/>
      </c>
      <c r="AR43" s="5" t="n">
        <f aca="false">SUMIF(AP7:AP41,"&gt;0",AR7:AR41)</f>
        <v>0</v>
      </c>
      <c r="AT43" s="21" t="s">
        <v>344</v>
      </c>
      <c r="AU43" s="6" t="str">
        <f aca="false">IFERROR(IF(OR(AU7:AU41),COUNTIFS(AU7:AU41,"&gt;0",AW7:AW41,"&lt;&gt;")&amp;" of "&amp;(ROWS(AW7:AW41)-COUNTBLANK(AW7:AW41))&amp;" parts purchased",""),"")</f>
        <v/>
      </c>
      <c r="AW43" s="5" t="n">
        <f aca="false">SUMIF(AU7:AU41,"&gt;0",AW7:AW41)</f>
        <v>0</v>
      </c>
    </row>
    <row r="44" customFormat="false" ht="15" hidden="false" customHeight="false" outlineLevel="0" collapsed="false">
      <c r="B44" s="24" t="s">
        <v>345</v>
      </c>
      <c r="C44" s="0" t="n">
        <v>1.29390470056522</v>
      </c>
      <c r="I44" s="24" t="s">
        <v>346</v>
      </c>
      <c r="L44" s="0" t="str">
        <f aca="false" t="array" ref="L44:L44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44" s="0" t="str">
        <f aca="false" t="array" ref="Q44:Q44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44" s="0" t="str">
        <f aca="false" t="array" ref="V44:V44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44" s="6" t="str">
        <f aca="false">IFERROR(IF(COUNTIFS(AA7:AA41,"&gt;0",AC7:AC41,"&lt;&gt;")&gt;0,"Quantity,Comment,Designator,Footprint,LCSC Part #(optional)",""),"")</f>
        <v/>
      </c>
      <c r="AF44" s="0" t="str">
        <f aca="false" t="array" ref="AF44:AF44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44" s="0" t="str">
        <f aca="false" t="array" ref="AK44:AK44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44" s="0" t="str">
        <f aca="false" t="array" ref="AP44:AP44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44" s="0" t="str">
        <f aca="false" t="array" ref="AU44:AU44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45" customFormat="false" ht="15" hidden="false" customHeight="false" outlineLevel="0" collapsed="false">
      <c r="L45" s="0" t="str">
        <f aca="false" t="array" ref="L45:L45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45" s="0" t="str">
        <f aca="false" t="array" ref="Q45:Q45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45" s="0" t="str">
        <f aca="false" t="array" ref="V45:V45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45" s="0" t="str">
        <f aca="false" t="array" ref="AA45:AA45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45" s="0" t="str">
        <f aca="false" t="array" ref="AF45:AF45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45" s="0" t="str">
        <f aca="false" t="array" ref="AK45:AK45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45" s="0" t="str">
        <f aca="false" t="array" ref="AP45:AP45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45" s="0" t="str">
        <f aca="false" t="array" ref="AU45:AU45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46" customFormat="false" ht="15" hidden="false" customHeight="false" outlineLevel="0" collapsed="false">
      <c r="A46" s="2" t="s">
        <v>347</v>
      </c>
      <c r="L46" s="0" t="str">
        <f aca="false" t="array" ref="L46:L46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46" s="0" t="str">
        <f aca="false" t="array" ref="Q46:Q46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46" s="0" t="str">
        <f aca="false" t="array" ref="V46:V46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46" s="0" t="str">
        <f aca="false" t="array" ref="AA46:AA46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46" s="0" t="str">
        <f aca="false" t="array" ref="AF46:AF46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46" s="0" t="str">
        <f aca="false" t="array" ref="AK46:AK46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46" s="0" t="str">
        <f aca="false" t="array" ref="AP46:AP46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46" s="0" t="str">
        <f aca="false" t="array" ref="AU46:AU46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47" customFormat="false" ht="15" hidden="false" customHeight="false" outlineLevel="0" collapsed="false">
      <c r="L47" s="0" t="str">
        <f aca="false" t="array" ref="L47:L47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47" s="0" t="str">
        <f aca="false" t="array" ref="Q47:Q47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47" s="0" t="str">
        <f aca="false" t="array" ref="V47:V47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47" s="0" t="str">
        <f aca="false" t="array" ref="AA47:AA47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47" s="0" t="str">
        <f aca="false" t="array" ref="AF47:AF47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47" s="0" t="str">
        <f aca="false" t="array" ref="AK47:AK47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47" s="0" t="str">
        <f aca="false" t="array" ref="AP47:AP47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47" s="0" t="str">
        <f aca="false" t="array" ref="AU47:AU47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48" customFormat="false" ht="15" hidden="false" customHeight="false" outlineLevel="0" collapsed="false">
      <c r="L48" s="0" t="str">
        <f aca="false" t="array" ref="L48:L48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48" s="0" t="str">
        <f aca="false" t="array" ref="Q48:Q48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48" s="0" t="str">
        <f aca="false" t="array" ref="V48:V48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48" s="0" t="str">
        <f aca="false" t="array" ref="AA48:AA48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48" s="0" t="str">
        <f aca="false" t="array" ref="AF48:AF48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48" s="0" t="str">
        <f aca="false" t="array" ref="AK48:AK48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48" s="0" t="str">
        <f aca="false" t="array" ref="AP48:AP48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48" s="0" t="str">
        <f aca="false" t="array" ref="AU48:AU48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49" customFormat="false" ht="15" hidden="false" customHeight="false" outlineLevel="0" collapsed="false">
      <c r="L49" s="0" t="str">
        <f aca="false" t="array" ref="L49:L49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49" s="0" t="str">
        <f aca="false" t="array" ref="Q49:Q49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49" s="0" t="str">
        <f aca="false" t="array" ref="V49:V49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49" s="0" t="str">
        <f aca="false" t="array" ref="AA49:AA49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49" s="0" t="str">
        <f aca="false" t="array" ref="AF49:AF49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49" s="0" t="str">
        <f aca="false" t="array" ref="AK49:AK49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49" s="0" t="str">
        <f aca="false" t="array" ref="AP49:AP49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49" s="0" t="str">
        <f aca="false" t="array" ref="AU49:AU49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50" customFormat="false" ht="15" hidden="false" customHeight="false" outlineLevel="0" collapsed="false">
      <c r="L50" s="0" t="str">
        <f aca="false" t="array" ref="L50:L50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50" s="0" t="str">
        <f aca="false" t="array" ref="Q50:Q50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50" s="0" t="str">
        <f aca="false" t="array" ref="V50:V50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50" s="0" t="str">
        <f aca="false" t="array" ref="AA50:AA50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50" s="0" t="str">
        <f aca="false" t="array" ref="AF50:AF50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50" s="0" t="str">
        <f aca="false" t="array" ref="AK50:AK50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50" s="0" t="str">
        <f aca="false" t="array" ref="AP50:AP50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50" s="0" t="str">
        <f aca="false" t="array" ref="AU50:AU50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51" customFormat="false" ht="15" hidden="false" customHeight="false" outlineLevel="0" collapsed="false">
      <c r="L51" s="0" t="str">
        <f aca="false" t="array" ref="L51:L51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51" s="0" t="str">
        <f aca="false" t="array" ref="Q51:Q51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51" s="0" t="str">
        <f aca="false" t="array" ref="V51:V51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51" s="0" t="str">
        <f aca="false" t="array" ref="AA51:AA51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51" s="0" t="str">
        <f aca="false" t="array" ref="AF51:AF51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51" s="0" t="str">
        <f aca="false" t="array" ref="AK51:AK51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51" s="0" t="str">
        <f aca="false" t="array" ref="AP51:AP51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51" s="0" t="str">
        <f aca="false" t="array" ref="AU51:AU51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52" customFormat="false" ht="15" hidden="false" customHeight="false" outlineLevel="0" collapsed="false">
      <c r="L52" s="0" t="str">
        <f aca="false" t="array" ref="L52:L52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52" s="0" t="str">
        <f aca="false" t="array" ref="Q52:Q52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52" s="0" t="str">
        <f aca="false" t="array" ref="V52:V52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52" s="0" t="str">
        <f aca="false" t="array" ref="AA52:AA52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52" s="0" t="str">
        <f aca="false" t="array" ref="AF52:AF52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52" s="0" t="str">
        <f aca="false" t="array" ref="AK52:AK52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52" s="0" t="str">
        <f aca="false" t="array" ref="AP52:AP52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52" s="0" t="str">
        <f aca="false" t="array" ref="AU52:AU52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53" customFormat="false" ht="15" hidden="false" customHeight="false" outlineLevel="0" collapsed="false">
      <c r="L53" s="0" t="str">
        <f aca="false" t="array" ref="L53:L53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53" s="0" t="str">
        <f aca="false" t="array" ref="Q53:Q53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53" s="0" t="str">
        <f aca="false" t="array" ref="V53:V53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53" s="0" t="str">
        <f aca="false" t="array" ref="AA53:AA53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53" s="0" t="str">
        <f aca="false" t="array" ref="AF53:AF53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53" s="0" t="str">
        <f aca="false" t="array" ref="AK53:AK53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53" s="0" t="str">
        <f aca="false" t="array" ref="AP53:AP53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53" s="0" t="str">
        <f aca="false" t="array" ref="AU53:AU53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54" customFormat="false" ht="15" hidden="false" customHeight="false" outlineLevel="0" collapsed="false">
      <c r="L54" s="0" t="str">
        <f aca="false" t="array" ref="L54:L54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54" s="0" t="str">
        <f aca="false" t="array" ref="Q54:Q54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54" s="0" t="str">
        <f aca="false" t="array" ref="V54:V54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54" s="0" t="str">
        <f aca="false" t="array" ref="AA54:AA54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54" s="0" t="str">
        <f aca="false" t="array" ref="AF54:AF54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54" s="0" t="str">
        <f aca="false" t="array" ref="AK54:AK54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54" s="0" t="str">
        <f aca="false" t="array" ref="AP54:AP54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54" s="0" t="str">
        <f aca="false" t="array" ref="AU54:AU54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55" customFormat="false" ht="15" hidden="false" customHeight="false" outlineLevel="0" collapsed="false">
      <c r="L55" s="0" t="str">
        <f aca="false" t="array" ref="L55:L55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55" s="0" t="str">
        <f aca="false" t="array" ref="Q55:Q55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55" s="0" t="str">
        <f aca="false" t="array" ref="V55:V55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55" s="0" t="str">
        <f aca="false" t="array" ref="AA55:AA55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55" s="0" t="str">
        <f aca="false" t="array" ref="AF55:AF55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55" s="0" t="str">
        <f aca="false" t="array" ref="AK55:AK55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55" s="0" t="str">
        <f aca="false" t="array" ref="AP55:AP55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55" s="0" t="str">
        <f aca="false" t="array" ref="AU55:AU55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56" customFormat="false" ht="15" hidden="false" customHeight="false" outlineLevel="0" collapsed="false">
      <c r="L56" s="0" t="str">
        <f aca="false" t="array" ref="L56:L56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56" s="0" t="str">
        <f aca="false" t="array" ref="Q56:Q56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56" s="0" t="str">
        <f aca="false" t="array" ref="V56:V56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56" s="0" t="str">
        <f aca="false" t="array" ref="AA56:AA56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56" s="0" t="str">
        <f aca="false" t="array" ref="AF56:AF56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56" s="0" t="str">
        <f aca="false" t="array" ref="AK56:AK56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56" s="0" t="str">
        <f aca="false" t="array" ref="AP56:AP56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56" s="0" t="str">
        <f aca="false" t="array" ref="AU56:AU56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57" customFormat="false" ht="15" hidden="false" customHeight="false" outlineLevel="0" collapsed="false">
      <c r="L57" s="0" t="str">
        <f aca="false" t="array" ref="L57:L57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57" s="0" t="str">
        <f aca="false" t="array" ref="Q57:Q57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57" s="0" t="str">
        <f aca="false" t="array" ref="V57:V57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57" s="0" t="str">
        <f aca="false" t="array" ref="AA57:AA57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57" s="0" t="str">
        <f aca="false" t="array" ref="AF57:AF57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57" s="0" t="str">
        <f aca="false" t="array" ref="AK57:AK57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57" s="0" t="str">
        <f aca="false" t="array" ref="AP57:AP57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57" s="0" t="str">
        <f aca="false" t="array" ref="AU57:AU57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58" customFormat="false" ht="15" hidden="false" customHeight="false" outlineLevel="0" collapsed="false">
      <c r="L58" s="0" t="str">
        <f aca="false" t="array" ref="L58:L58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58" s="0" t="str">
        <f aca="false" t="array" ref="Q58:Q58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58" s="0" t="str">
        <f aca="false" t="array" ref="V58:V58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58" s="0" t="str">
        <f aca="false" t="array" ref="AA58:AA58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58" s="0" t="str">
        <f aca="false" t="array" ref="AF58:AF58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58" s="0" t="str">
        <f aca="false" t="array" ref="AK58:AK58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58" s="0" t="str">
        <f aca="false" t="array" ref="AP58:AP58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58" s="0" t="str">
        <f aca="false" t="array" ref="AU58:AU58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59" customFormat="false" ht="15" hidden="false" customHeight="false" outlineLevel="0" collapsed="false">
      <c r="L59" s="0" t="str">
        <f aca="false" t="array" ref="L59:L59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59" s="0" t="str">
        <f aca="false" t="array" ref="Q59:Q59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59" s="0" t="str">
        <f aca="false" t="array" ref="V59:V59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59" s="0" t="str">
        <f aca="false" t="array" ref="AA59:AA59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59" s="0" t="str">
        <f aca="false" t="array" ref="AF59:AF59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59" s="0" t="str">
        <f aca="false" t="array" ref="AK59:AK59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59" s="0" t="str">
        <f aca="false" t="array" ref="AP59:AP59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59" s="0" t="str">
        <f aca="false" t="array" ref="AU59:AU59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60" customFormat="false" ht="15" hidden="false" customHeight="false" outlineLevel="0" collapsed="false">
      <c r="L60" s="0" t="str">
        <f aca="false" t="array" ref="L60:L60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60" s="0" t="str">
        <f aca="false" t="array" ref="Q60:Q60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60" s="0" t="str">
        <f aca="false" t="array" ref="V60:V60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60" s="0" t="str">
        <f aca="false" t="array" ref="AA60:AA60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60" s="0" t="str">
        <f aca="false" t="array" ref="AF60:AF60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60" s="0" t="str">
        <f aca="false" t="array" ref="AK60:AK60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60" s="0" t="str">
        <f aca="false" t="array" ref="AP60:AP60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60" s="0" t="str">
        <f aca="false" t="array" ref="AU60:AU60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61" customFormat="false" ht="15" hidden="false" customHeight="false" outlineLevel="0" collapsed="false">
      <c r="L61" s="0" t="str">
        <f aca="false" t="array" ref="L61:L61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61" s="0" t="str">
        <f aca="false" t="array" ref="Q61:Q61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61" s="0" t="str">
        <f aca="false" t="array" ref="V61:V61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61" s="0" t="str">
        <f aca="false" t="array" ref="AA61:AA61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61" s="0" t="str">
        <f aca="false" t="array" ref="AF61:AF61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61" s="0" t="str">
        <f aca="false" t="array" ref="AK61:AK61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61" s="0" t="str">
        <f aca="false" t="array" ref="AP61:AP61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61" s="0" t="str">
        <f aca="false" t="array" ref="AU61:AU61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62" customFormat="false" ht="15" hidden="false" customHeight="false" outlineLevel="0" collapsed="false">
      <c r="L62" s="0" t="str">
        <f aca="false" t="array" ref="L62:L62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62" s="0" t="str">
        <f aca="false" t="array" ref="Q62:Q62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62" s="0" t="str">
        <f aca="false" t="array" ref="V62:V62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62" s="0" t="str">
        <f aca="false" t="array" ref="AA62:AA62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62" s="0" t="str">
        <f aca="false" t="array" ref="AF62:AF62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62" s="0" t="str">
        <f aca="false" t="array" ref="AK62:AK62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62" s="0" t="str">
        <f aca="false" t="array" ref="AP62:AP62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62" s="0" t="str">
        <f aca="false" t="array" ref="AU62:AU62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63" customFormat="false" ht="15" hidden="false" customHeight="false" outlineLevel="0" collapsed="false">
      <c r="L63" s="0" t="str">
        <f aca="false" t="array" ref="L63:L63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63" s="0" t="str">
        <f aca="false" t="array" ref="Q63:Q63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63" s="0" t="str">
        <f aca="false" t="array" ref="V63:V63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63" s="0" t="str">
        <f aca="false" t="array" ref="AA63:AA63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63" s="0" t="str">
        <f aca="false" t="array" ref="AF63:AF63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63" s="0" t="str">
        <f aca="false" t="array" ref="AK63:AK63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63" s="0" t="str">
        <f aca="false" t="array" ref="AP63:AP63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63" s="0" t="str">
        <f aca="false" t="array" ref="AU63:AU63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64" customFormat="false" ht="15" hidden="false" customHeight="false" outlineLevel="0" collapsed="false">
      <c r="L64" s="0" t="str">
        <f aca="false" t="array" ref="L64:L64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64" s="0" t="str">
        <f aca="false" t="array" ref="Q64:Q64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64" s="0" t="str">
        <f aca="false" t="array" ref="V64:V64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64" s="0" t="str">
        <f aca="false" t="array" ref="AA64:AA64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64" s="0" t="str">
        <f aca="false" t="array" ref="AF64:AF64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64" s="0" t="str">
        <f aca="false" t="array" ref="AK64:AK64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64" s="0" t="str">
        <f aca="false" t="array" ref="AP64:AP64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64" s="0" t="str">
        <f aca="false" t="array" ref="AU64:AU64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65" customFormat="false" ht="15" hidden="false" customHeight="false" outlineLevel="0" collapsed="false">
      <c r="L65" s="0" t="str">
        <f aca="false" t="array" ref="L65:L65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65" s="0" t="str">
        <f aca="false" t="array" ref="Q65:Q65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65" s="0" t="str">
        <f aca="false" t="array" ref="V65:V65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65" s="0" t="str">
        <f aca="false" t="array" ref="AA65:AA65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65" s="0" t="str">
        <f aca="false" t="array" ref="AF65:AF65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65" s="0" t="str">
        <f aca="false" t="array" ref="AK65:AK65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65" s="0" t="str">
        <f aca="false" t="array" ref="AP65:AP65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65" s="0" t="str">
        <f aca="false" t="array" ref="AU65:AU65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66" customFormat="false" ht="15" hidden="false" customHeight="false" outlineLevel="0" collapsed="false">
      <c r="L66" s="0" t="str">
        <f aca="false" t="array" ref="L66:L66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66" s="0" t="str">
        <f aca="false" t="array" ref="Q66:Q66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66" s="0" t="str">
        <f aca="false" t="array" ref="V66:V66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66" s="0" t="str">
        <f aca="false" t="array" ref="AA66:AA66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66" s="0" t="str">
        <f aca="false" t="array" ref="AF66:AF66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66" s="0" t="str">
        <f aca="false" t="array" ref="AK66:AK66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66" s="0" t="str">
        <f aca="false" t="array" ref="AP66:AP66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66" s="0" t="str">
        <f aca="false" t="array" ref="AU66:AU66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67" customFormat="false" ht="15" hidden="false" customHeight="false" outlineLevel="0" collapsed="false">
      <c r="L67" s="0" t="str">
        <f aca="false" t="array" ref="L67:L67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67" s="0" t="str">
        <f aca="false" t="array" ref="Q67:Q67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67" s="0" t="str">
        <f aca="false" t="array" ref="V67:V67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67" s="0" t="str">
        <f aca="false" t="array" ref="AA67:AA67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67" s="0" t="str">
        <f aca="false" t="array" ref="AF67:AF67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67" s="0" t="str">
        <f aca="false" t="array" ref="AK67:AK67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67" s="0" t="str">
        <f aca="false" t="array" ref="AP67:AP67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67" s="0" t="str">
        <f aca="false" t="array" ref="AU67:AU67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68" customFormat="false" ht="15" hidden="false" customHeight="false" outlineLevel="0" collapsed="false">
      <c r="L68" s="0" t="str">
        <f aca="false" t="array" ref="L68:L68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68" s="0" t="str">
        <f aca="false" t="array" ref="Q68:Q68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68" s="0" t="str">
        <f aca="false" t="array" ref="V68:V68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68" s="0" t="str">
        <f aca="false" t="array" ref="AA68:AA68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68" s="0" t="str">
        <f aca="false" t="array" ref="AF68:AF68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68" s="0" t="str">
        <f aca="false" t="array" ref="AK68:AK68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68" s="0" t="str">
        <f aca="false" t="array" ref="AP68:AP68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68" s="0" t="str">
        <f aca="false" t="array" ref="AU68:AU68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69" customFormat="false" ht="15" hidden="false" customHeight="false" outlineLevel="0" collapsed="false">
      <c r="L69" s="0" t="str">
        <f aca="false" t="array" ref="L69:L69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69" s="0" t="str">
        <f aca="false" t="array" ref="Q69:Q69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69" s="0" t="str">
        <f aca="false" t="array" ref="V69:V69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69" s="0" t="str">
        <f aca="false" t="array" ref="AA69:AA69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69" s="0" t="str">
        <f aca="false" t="array" ref="AF69:AF69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69" s="0" t="str">
        <f aca="false" t="array" ref="AK69:AK69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69" s="0" t="str">
        <f aca="false" t="array" ref="AP69:AP69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69" s="0" t="str">
        <f aca="false" t="array" ref="AU69:AU69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70" customFormat="false" ht="15" hidden="false" customHeight="false" outlineLevel="0" collapsed="false">
      <c r="L70" s="0" t="str">
        <f aca="false" t="array" ref="L70:L70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70" s="0" t="str">
        <f aca="false" t="array" ref="Q70:Q70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70" s="0" t="str">
        <f aca="false" t="array" ref="V70:V70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70" s="0" t="str">
        <f aca="false" t="array" ref="AA70:AA70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70" s="0" t="str">
        <f aca="false" t="array" ref="AF70:AF70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70" s="0" t="str">
        <f aca="false" t="array" ref="AK70:AK70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70" s="0" t="str">
        <f aca="false" t="array" ref="AP70:AP70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70" s="0" t="str">
        <f aca="false" t="array" ref="AU70:AU70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71" customFormat="false" ht="15" hidden="false" customHeight="false" outlineLevel="0" collapsed="false">
      <c r="L71" s="0" t="str">
        <f aca="false" t="array" ref="L71:L71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71" s="0" t="str">
        <f aca="false" t="array" ref="Q71:Q71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71" s="0" t="str">
        <f aca="false" t="array" ref="V71:V71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71" s="0" t="str">
        <f aca="false" t="array" ref="AA71:AA71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71" s="0" t="str">
        <f aca="false" t="array" ref="AF71:AF71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71" s="0" t="str">
        <f aca="false" t="array" ref="AK71:AK71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71" s="0" t="str">
        <f aca="false" t="array" ref="AP71:AP71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71" s="0" t="str">
        <f aca="false" t="array" ref="AU71:AU71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72" customFormat="false" ht="15" hidden="false" customHeight="false" outlineLevel="0" collapsed="false">
      <c r="L72" s="0" t="str">
        <f aca="false" t="array" ref="L72:L72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72" s="0" t="str">
        <f aca="false" t="array" ref="Q72:Q72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72" s="0" t="str">
        <f aca="false" t="array" ref="V72:V72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72" s="0" t="str">
        <f aca="false" t="array" ref="AA72:AA72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72" s="0" t="str">
        <f aca="false" t="array" ref="AF72:AF72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72" s="0" t="str">
        <f aca="false" t="array" ref="AK72:AK72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72" s="0" t="str">
        <f aca="false" t="array" ref="AP72:AP72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72" s="0" t="str">
        <f aca="false" t="array" ref="AU72:AU72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73" customFormat="false" ht="15" hidden="false" customHeight="false" outlineLevel="0" collapsed="false">
      <c r="L73" s="0" t="str">
        <f aca="false" t="array" ref="L73:L73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73" s="0" t="str">
        <f aca="false" t="array" ref="Q73:Q73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73" s="0" t="str">
        <f aca="false" t="array" ref="V73:V73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73" s="0" t="str">
        <f aca="false" t="array" ref="AA73:AA73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73" s="0" t="str">
        <f aca="false" t="array" ref="AF73:AF73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73" s="0" t="str">
        <f aca="false" t="array" ref="AK73:AK73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73" s="0" t="str">
        <f aca="false" t="array" ref="AP73:AP73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73" s="0" t="str">
        <f aca="false" t="array" ref="AU73:AU73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74" customFormat="false" ht="15" hidden="false" customHeight="false" outlineLevel="0" collapsed="false">
      <c r="L74" s="0" t="str">
        <f aca="false" t="array" ref="L74:L74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74" s="0" t="str">
        <f aca="false" t="array" ref="Q74:Q74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74" s="0" t="str">
        <f aca="false" t="array" ref="V74:V74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74" s="0" t="str">
        <f aca="false" t="array" ref="AA74:AA74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74" s="0" t="str">
        <f aca="false" t="array" ref="AF74:AF74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74" s="0" t="str">
        <f aca="false" t="array" ref="AK74:AK74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74" s="0" t="str">
        <f aca="false" t="array" ref="AP74:AP74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74" s="0" t="str">
        <f aca="false" t="array" ref="AU74:AU74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75" customFormat="false" ht="15" hidden="false" customHeight="false" outlineLevel="0" collapsed="false">
      <c r="L75" s="0" t="str">
        <f aca="false" t="array" ref="L75:L75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75" s="0" t="str">
        <f aca="false" t="array" ref="Q75:Q75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75" s="0" t="str">
        <f aca="false" t="array" ref="V75:V75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75" s="0" t="str">
        <f aca="false" t="array" ref="AA75:AA75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75" s="0" t="str">
        <f aca="false" t="array" ref="AF75:AF75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75" s="0" t="str">
        <f aca="false" t="array" ref="AK75:AK75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75" s="0" t="str">
        <f aca="false" t="array" ref="AP75:AP75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75" s="0" t="str">
        <f aca="false" t="array" ref="AU75:AU75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76" customFormat="false" ht="15" hidden="false" customHeight="false" outlineLevel="0" collapsed="false">
      <c r="L76" s="0" t="str">
        <f aca="false" t="array" ref="L76:L76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76" s="0" t="str">
        <f aca="false" t="array" ref="Q76:Q76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76" s="0" t="str">
        <f aca="false" t="array" ref="V76:V76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76" s="0" t="str">
        <f aca="false" t="array" ref="AA76:AA76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76" s="0" t="str">
        <f aca="false" t="array" ref="AF76:AF76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76" s="0" t="str">
        <f aca="false" t="array" ref="AK76:AK76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76" s="0" t="str">
        <f aca="false" t="array" ref="AP76:AP76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76" s="0" t="str">
        <f aca="false" t="array" ref="AU76:AU76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77" customFormat="false" ht="15" hidden="false" customHeight="false" outlineLevel="0" collapsed="false">
      <c r="L77" s="0" t="str">
        <f aca="false" t="array" ref="L77:L77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77" s="0" t="str">
        <f aca="false" t="array" ref="Q77:Q77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77" s="0" t="str">
        <f aca="false" t="array" ref="V77:V77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77" s="0" t="str">
        <f aca="false" t="array" ref="AA77:AA77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77" s="0" t="str">
        <f aca="false" t="array" ref="AF77:AF77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77" s="0" t="str">
        <f aca="false" t="array" ref="AK77:AK77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77" s="0" t="str">
        <f aca="false" t="array" ref="AP77:AP77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77" s="0" t="str">
        <f aca="false" t="array" ref="AU77:AU77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78" customFormat="false" ht="15" hidden="false" customHeight="false" outlineLevel="0" collapsed="false">
      <c r="L78" s="0" t="str">
        <f aca="false" t="array" ref="L78:L78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78" s="0" t="str">
        <f aca="false" t="array" ref="Q78:Q78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78" s="0" t="str">
        <f aca="false" t="array" ref="V78:V78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78" s="0" t="str">
        <f aca="false" t="array" ref="AA78:AA78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78" s="0" t="str">
        <f aca="false" t="array" ref="AF78:AF78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78" s="0" t="str">
        <f aca="false" t="array" ref="AK78:AK78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78" s="0" t="str">
        <f aca="false" t="array" ref="AP78:AP78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78" s="0" t="str">
        <f aca="false" t="array" ref="AU78:AU78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79" customFormat="false" ht="15" hidden="false" customHeight="false" outlineLevel="0" collapsed="false">
      <c r="L79" s="0" t="str">
        <f aca="false" t="array" ref="L79:L79">IFERROR(CONCATENATE(INDEX(O7:O41,SMALL(IF(ISNUMBER(L7:L41),IF(L7:L41&gt;0,IF(O7:O41&lt;&gt;"",ROW(L7:L41)-MIN(ROW(L7:L41))+1))),ROW()-ROW(A$44)+1)),",",TEXT(INDEX(L7:L41,SMALL(IF(ISNUMBER(L7:L41),IF(L7:L41&gt;0,IF(O7:O41&lt;&gt;"",ROW(L7:L41)-MIN(ROW(L7:L41))+1))),ROW()-ROW(A$44)+1)),"##0"),",",SUBSTITUTE(INDEX(IF(PURCHASE_DESCRIPTION&lt;&gt;"",PURCHASE_DESCRIPTION&amp;":","")&amp;A7:A41,SMALL(IF(ISNUMBER(L7:L41),IF(L7:L41&gt;0,IF(O7:O41&lt;&gt;"",ROW(L7:L41)-MIN(ROW(L7:L41))+1))),ROW()-ROW(A$44)+1)),",",";")),"")</f>
        <v/>
      </c>
      <c r="Q79" s="0" t="str">
        <f aca="false" t="array" ref="Q79:Q79">IFERROR(CONCATENATE(TEXT(INDEX(Q7:Q41,SMALL(IF(ISNUMBER(Q7:Q41),IF(Q7:Q41&gt;0,IF(T7:T41&lt;&gt;"",ROW(Q7:Q41)-MIN(ROW(Q7:Q41))+1))),ROW()-ROW(A$44)+1)),"##0"),",",INDEX(T7:T41,SMALL(IF(ISNUMBER(Q7:Q41),IF(Q7:Q41&gt;0,IF(T7:T41&lt;&gt;"",ROW(Q7:Q41)-MIN(ROW(Q7:Q41))+1))),ROW()-ROW(A$44)+1)),",",SUBSTITUTE(INDEX(IF(PURCHASE_DESCRIPTION&lt;&gt;"",PURCHASE_DESCRIPTION&amp;":","")&amp;A7:A41,SMALL(IF(ISNUMBER(Q7:Q41),IF(Q7:Q41&gt;0,IF(T7:T41&lt;&gt;"",ROW(Q7:Q41)-MIN(ROW(Q7:Q41))+1))),ROW()-ROW(A$44)+1)),",",";")),"")</f>
        <v/>
      </c>
      <c r="V79" s="0" t="str">
        <f aca="false" t="array" ref="V79:V79">IFERROR(CONCATENATE(INDEX(Y7:Y41,SMALL(IF(ISNUMBER(V7:V41),IF(V7:V41&gt;0,IF(Y7:Y41&lt;&gt;"",ROW(V7:V41)-MIN(ROW(V7:V41))+1))),ROW()-ROW(A$44)+1)),",",TEXT(INDEX(V7:V41,SMALL(IF(ISNUMBER(V7:V41),IF(V7:V41&gt;0,IF(Y7:Y41&lt;&gt;"",ROW(V7:V41)-MIN(ROW(V7:V41))+1))),ROW()-ROW(A$44)+1)),"##0"),",",SUBSTITUTE(SUBSTITUTE(INDEX(IF(PURCHASE_DESCRIPTION&lt;&gt;"",PURCHASE_DESCRIPTION&amp;":","")&amp;A7:A41,SMALL(IF(ISNUMBER(V7:V41),IF(V7:V41&gt;0,IF(Y7:Y41&lt;&gt;"",ROW(V7:V41)-MIN(ROW(V7:V41))+1))),ROW()-ROW(A$44)+1)),",",";"),"
",";"),",",SUBSTITUTE(SUBSTITUTE(INDEX(IF(PURCHASE_DESCRIPTION&lt;&gt;"",PURCHASE_DESCRIPTION&amp;":","")&amp;C7:C41,SMALL(IF(ISNUMBER(V7:V41),IF(V7:V41&gt;0,IF(Y7:Y41&lt;&gt;"",ROW(V7:V41)-MIN(ROW(V7:V41))+1))),ROW()-ROW(A$44)+1)),",",";"),"
",";"),",",SUBSTITUTE(SUBSTITUTE(INDEX(IF(PURCHASE_DESCRIPTION&lt;&gt;"",PURCHASE_DESCRIPTION&amp;":","")&amp;F7:F41,SMALL(IF(ISNUMBER(V7:V41),IF(V7:V41&gt;0,IF(Y7:Y41&lt;&gt;"",ROW(V7:V41)-MIN(ROW(V7:V41))+1))),ROW()-ROW(A$44)+1)),",",";"),"
",";"),",",SUBSTITUTE(SUBSTITUTE(INDEX(IF(PURCHASE_DESCRIPTION&lt;&gt;"",PURCHASE_DESCRIPTION&amp;":","")&amp;D7:D41,SMALL(IF(ISNUMBER(V7:V41),IF(V7:V41&gt;0,IF(Y7:Y41&lt;&gt;"",ROW(V7:V41)-MIN(ROW(V7:V41))+1))),ROW()-ROW(A$44)+1)),",",";"),"
",";")),"")</f>
        <v/>
      </c>
      <c r="AA79" s="0" t="str">
        <f aca="false" t="array" ref="AA79:AA79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  <c r="AF79" s="0" t="str">
        <f aca="false" t="array" ref="AF79:AF79">IFERROR(CONCATENATE(INDEX(AI7:AI41,SMALL(IF(ISNUMBER(AF7:AF41),IF(AF7:AF41&gt;0,IF(AI7:AI41&lt;&gt;"",ROW(AF7:AF41)-MIN(ROW(AF7:AF41))+1))),ROW()-ROW(A$44)+1)),"|",TEXT(INDEX(AF7:AF41,SMALL(IF(ISNUMBER(AF7:AF41),IF(AF7:AF41&gt;0,IF(AI7:AI41&lt;&gt;"",ROW(AF7:AF41)-MIN(ROW(AF7:AF41))+1))),ROW()-ROW(A$44)+1)),"##0"),"|",SUBSTITUTE(SUBSTITUTE(INDEX(IF(PURCHASE_DESCRIPTION&lt;&gt;"",PURCHASE_DESCRIPTION&amp;":","")&amp;A7:A41,SMALL(IF(ISNUMBER(AF7:AF41),IF(AF7:AF41&gt;0,IF(AI7:AI41&lt;&gt;"",ROW(AF7:AF41)-MIN(ROW(AF7:AF41))+1))),ROW()-ROW(A$44)+1)),"|",";")," ","_")),"")</f>
        <v/>
      </c>
      <c r="AK79" s="0" t="str">
        <f aca="false" t="array" ref="AK79:AK79">IFERROR(CONCATENATE(INDEX(AN7:AN41,SMALL(IF(ISNUMBER(AK7:AK41),IF(AK7:AK41&gt;0,IF(AN7:AN41&lt;&gt;"",ROW(AK7:AK41)-MIN(ROW(AK7:AK41))+1))),ROW()-ROW(A$44)+1)),",",TEXT(INDEX(AK7:AK41,SMALL(IF(ISNUMBER(AK7:AK41),IF(AK7:AK41&gt;0,IF(AN7:AN41&lt;&gt;"",ROW(AK7:AK41)-MIN(ROW(AK7:AK41))+1))),ROW()-ROW(A$44)+1)),"##0"),",",SUBSTITUTE(SUBSTITUTE(INDEX(IF(PURCHASE_DESCRIPTION&lt;&gt;"",PURCHASE_DESCRIPTION&amp;":","")&amp;A7:A41,SMALL(IF(ISNUMBER(AK7:AK41),IF(AK7:AK41&gt;0,IF(AN7:AN41&lt;&gt;"",ROW(AK7:AK41)-MIN(ROW(AK7:AK41))+1))),ROW()-ROW(A$44)+1)),",",";"),"
",";"),",",SUBSTITUTE(SUBSTITUTE(INDEX(IF(PURCHASE_DESCRIPTION&lt;&gt;"",PURCHASE_DESCRIPTION&amp;":","")&amp;C7:C41,SMALL(IF(ISNUMBER(AK7:AK41),IF(AK7:AK41&gt;0,IF(AN7:AN41&lt;&gt;"",ROW(AK7:AK41)-MIN(ROW(AK7:AK41))+1))),ROW()-ROW(A$44)+1)),",",";"),"
",";"),",",SUBSTITUTE(SUBSTITUTE(INDEX(IF(PURCHASE_DESCRIPTION&lt;&gt;"",PURCHASE_DESCRIPTION&amp;":","")&amp;F7:F41,SMALL(IF(ISNUMBER(AK7:AK41),IF(AK7:AK41&gt;0,IF(AN7:AN41&lt;&gt;"",ROW(AK7:AK41)-MIN(ROW(AK7:AK41))+1))),ROW()-ROW(A$44)+1)),",",";"),"
",";"),",",SUBSTITUTE(SUBSTITUTE(INDEX(IF(PURCHASE_DESCRIPTION&lt;&gt;"",PURCHASE_DESCRIPTION&amp;":","")&amp;D7:D41,SMALL(IF(ISNUMBER(AK7:AK41),IF(AK7:AK41&gt;0,IF(AN7:AN41&lt;&gt;"",ROW(AK7:AK41)-MIN(ROW(AK7:AK41))+1))),ROW()-ROW(A$44)+1)),",",";"),"
",";")),"")</f>
        <v/>
      </c>
      <c r="AP79" s="0" t="str">
        <f aca="false" t="array" ref="AP79:AP79">IFERROR(CONCATENATE(INDEX(AS7:AS41,SMALL(IF(ISNUMBER(AP7:AP41),IF(AP7:AP41&gt;0,IF(AS7:AS41&lt;&gt;"",ROW(AP7:AP41)-MIN(ROW(AP7:AP41))+1))),ROW()-ROW(A$44)+1)),",",TEXT(INDEX(AP7:AP41,SMALL(IF(ISNUMBER(AP7:AP41),IF(AP7:AP41&gt;0,IF(AS7:AS41&lt;&gt;"",ROW(AP7:AP41)-MIN(ROW(AP7:AP41))+1))),ROW()-ROW(A$44)+1)),"##0"),",",,",",,",",,",",INDEX(G7:G41,SMALL(IF(ISNUMBER(AP7:AP41),IF(AP7:AP41&gt;0,IF(AS7:AS41&lt;&gt;"",ROW(AP7:AP41)-MIN(ROW(AP7:AP41))+1))),ROW()-ROW(A$44)+1)),",",SUBSTITUTE(INDEX(IF(PURCHASE_DESCRIPTION&lt;&gt;"",PURCHASE_DESCRIPTION&amp;":","")&amp;A7:A41,SMALL(IF(ISNUMBER(AP7:AP41),IF(AP7:AP41&gt;0,IF(AS7:AS41&lt;&gt;"",ROW(AP7:AP41)-MIN(ROW(AP7:AP41))+1))),ROW()-ROW(A$44)+1)),",",";")),"")</f>
        <v/>
      </c>
      <c r="AU79" s="0" t="str">
        <f aca="false" t="array" ref="AU79:AU79">IFERROR(CONCATENATE(INDEX(AX7:AX41,SMALL(IF(ISNUMBER(AU7:AU41),IF(AU7:AU41&gt;0,IF(AX7:AX41&lt;&gt;"",ROW(AU7:AU41)-MIN(ROW(AU7:AU41))+1))),ROW()-ROW(A$44)+1))," ",TEXT(INDEX(AU7:AU41,SMALL(IF(ISNUMBER(AU7:AU41),IF(AU7:AU41&gt;0,IF(AX7:AX41&lt;&gt;"",ROW(AU7:AU41)-MIN(ROW(AU7:AU41))+1))),ROW()-ROW(A$44)+1)),"##0")," ",SUBSTITUTE(INDEX(IF(PURCHASE_DESCRIPTION&lt;&gt;"",PURCHASE_DESCRIPTION&amp;":","")&amp;A7:A41,SMALL(IF(ISNUMBER(AU7:AU41),IF(AU7:AU41&gt;0,IF(AX7:AX41&lt;&gt;"",ROW(AU7:AU41)-MIN(ROW(AU7:AU41))+1))),ROW()-ROW(A$44)+1))," ",";")),"")</f>
        <v/>
      </c>
    </row>
    <row r="80" customFormat="false" ht="15" hidden="false" customHeight="false" outlineLevel="0" collapsed="false">
      <c r="AA80" s="0" t="str">
        <f aca="false" t="array" ref="AA80:AA80">IFERROR(CONCATENATE(TEXT(INDEX(AA7:AA41,SMALL(IF(ISNUMBER(AA7:AA41),IF(AA7:AA41&gt;0,IF(AD7:AD41&lt;&gt;"",ROW(AA7:AA41)-MIN(ROW(AA7:AA41))+1))),ROW()-ROW(A$45)+1)),"##0"),",",SUBSTITUTE(INDEX(IF(PURCHASE_DESCRIPTION&lt;&gt;"",PURCHASE_DESCRIPTION&amp;":","")&amp;A7:A41,SMALL(IF(ISNUMBER(AA7:AA41),IF(AA7:AA41&gt;0,IF(AD7:AD41&lt;&gt;"",ROW(AA7:AA41)-MIN(ROW(AA7:AA41))+1))),ROW()-ROW(A$45)+1)),",",";"),",",SUBSTITUTE(INDEX(IF(PURCHASE_DESCRIPTION&lt;&gt;"",PURCHASE_DESCRIPTION&amp;":","")&amp;E7:E41,SMALL(IF(ISNUMBER(AA7:AA41),IF(AA7:AA41&gt;0,IF(AD7:AD41&lt;&gt;"",ROW(AA7:AA41)-MIN(ROW(AA7:AA41))+1))),ROW()-ROW(A$45)+1)),",",";"),",",INDEX(AD7:AD41,SMALL(IF(ISNUMBER(AA7:AA41),IF(AA7:AA41&gt;0,IF(AD7:AD41&lt;&gt;"",ROW(AA7:AA41)-MIN(ROW(AA7:AA41))+1))),ROW()-ROW(A$45)+1))),"")</f>
        <v/>
      </c>
    </row>
    <row r="1048576" customFormat="false" ht="12.8" hidden="false" customHeight="false" outlineLevel="0" collapsed="false"/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0">
    <cfRule type="expression" priority="2" aboveAverage="0" equalAverage="0" bottom="0" percent="0" rank="0" text="" dxfId="0">
      <formula>AND(AA10&gt;0,AA10&lt;5)</formula>
    </cfRule>
    <cfRule type="cellIs" priority="3" operator="greaterThan" aboveAverage="0" equalAverage="0" bottom="0" percent="0" rank="0" text="" dxfId="1">
      <formula>Z10</formula>
    </cfRule>
  </conditionalFormatting>
  <conditionalFormatting sqref="AA12">
    <cfRule type="expression" priority="4" aboveAverage="0" equalAverage="0" bottom="0" percent="0" rank="0" text="" dxfId="0">
      <formula>AND(AA12&gt;0,AA12&lt;100)</formula>
    </cfRule>
    <cfRule type="cellIs" priority="5" operator="greaterThan" aboveAverage="0" equalAverage="0" bottom="0" percent="0" rank="0" text="" dxfId="1">
      <formula>Z12</formula>
    </cfRule>
  </conditionalFormatting>
  <conditionalFormatting sqref="AA20">
    <cfRule type="cellIs" priority="6" operator="greaterThan" aboveAverage="0" equalAverage="0" bottom="0" percent="0" rank="0" text="" dxfId="1">
      <formula>Z20</formula>
    </cfRule>
  </conditionalFormatting>
  <conditionalFormatting sqref="AA21">
    <cfRule type="expression" priority="7" aboveAverage="0" equalAverage="0" bottom="0" percent="0" rank="0" text="" dxfId="0">
      <formula>AND(AA21&gt;0,AA21&lt;50)</formula>
    </cfRule>
    <cfRule type="cellIs" priority="8" operator="greaterThan" aboveAverage="0" equalAverage="0" bottom="0" percent="0" rank="0" text="" dxfId="1">
      <formula>Z21</formula>
    </cfRule>
  </conditionalFormatting>
  <conditionalFormatting sqref="AA23">
    <cfRule type="expression" priority="9" aboveAverage="0" equalAverage="0" bottom="0" percent="0" rank="0" text="" dxfId="0">
      <formula>AND(AA23&gt;0,AA23&lt;50)</formula>
    </cfRule>
    <cfRule type="cellIs" priority="10" operator="greaterThan" aboveAverage="0" equalAverage="0" bottom="0" percent="0" rank="0" text="" dxfId="1">
      <formula>Z23</formula>
    </cfRule>
  </conditionalFormatting>
  <conditionalFormatting sqref="AA28">
    <cfRule type="expression" priority="11" aboveAverage="0" equalAverage="0" bottom="0" percent="0" rank="0" text="" dxfId="0">
      <formula>AND(AA28&gt;0,AA28&lt;50)</formula>
    </cfRule>
    <cfRule type="cellIs" priority="12" operator="greaterThan" aboveAverage="0" equalAverage="0" bottom="0" percent="0" rank="0" text="" dxfId="1">
      <formula>Z28</formula>
    </cfRule>
  </conditionalFormatting>
  <conditionalFormatting sqref="AA29">
    <cfRule type="expression" priority="13" aboveAverage="0" equalAverage="0" bottom="0" percent="0" rank="0" text="" dxfId="0">
      <formula>AND(AA29&gt;0,AA29&lt;50)</formula>
    </cfRule>
    <cfRule type="cellIs" priority="14" operator="greaterThan" aboveAverage="0" equalAverage="0" bottom="0" percent="0" rank="0" text="" dxfId="1">
      <formula>Z29</formula>
    </cfRule>
  </conditionalFormatting>
  <conditionalFormatting sqref="AA30">
    <cfRule type="cellIs" priority="15" operator="greaterThan" aboveAverage="0" equalAverage="0" bottom="0" percent="0" rank="0" text="" dxfId="1">
      <formula>Z30</formula>
    </cfRule>
  </conditionalFormatting>
  <conditionalFormatting sqref="AA35">
    <cfRule type="cellIs" priority="16" operator="greaterThan" aboveAverage="0" equalAverage="0" bottom="0" percent="0" rank="0" text="" dxfId="1">
      <formula>Z35</formula>
    </cfRule>
  </conditionalFormatting>
  <conditionalFormatting sqref="AA36">
    <cfRule type="cellIs" priority="17" operator="greaterThan" aboveAverage="0" equalAverage="0" bottom="0" percent="0" rank="0" text="" dxfId="1">
      <formula>Z36</formula>
    </cfRule>
  </conditionalFormatting>
  <conditionalFormatting sqref="AA7">
    <cfRule type="expression" priority="18" aboveAverage="0" equalAverage="0" bottom="0" percent="0" rank="0" text="" dxfId="0">
      <formula>AND(AA7&gt;0,AA7&lt;5)</formula>
    </cfRule>
    <cfRule type="cellIs" priority="19" operator="greaterThan" aboveAverage="0" equalAverage="0" bottom="0" percent="0" rank="0" text="" dxfId="1">
      <formula>Z7</formula>
    </cfRule>
  </conditionalFormatting>
  <conditionalFormatting sqref="AB10">
    <cfRule type="cellIs" priority="20" operator="lessThanOrEqual" aboveAverage="0" equalAverage="0" bottom="0" percent="0" rank="0" text="" dxfId="2">
      <formula>I10</formula>
    </cfRule>
  </conditionalFormatting>
  <conditionalFormatting sqref="AB12">
    <cfRule type="cellIs" priority="21" operator="lessThanOrEqual" aboveAverage="0" equalAverage="0" bottom="0" percent="0" rank="0" text="" dxfId="2">
      <formula>I12</formula>
    </cfRule>
  </conditionalFormatting>
  <conditionalFormatting sqref="AB20">
    <cfRule type="cellIs" priority="22" operator="lessThanOrEqual" aboveAverage="0" equalAverage="0" bottom="0" percent="0" rank="0" text="" dxfId="2">
      <formula>I20</formula>
    </cfRule>
  </conditionalFormatting>
  <conditionalFormatting sqref="AB21">
    <cfRule type="cellIs" priority="23" operator="lessThanOrEqual" aboveAverage="0" equalAverage="0" bottom="0" percent="0" rank="0" text="" dxfId="2">
      <formula>I21</formula>
    </cfRule>
  </conditionalFormatting>
  <conditionalFormatting sqref="AB23">
    <cfRule type="cellIs" priority="24" operator="lessThanOrEqual" aboveAverage="0" equalAverage="0" bottom="0" percent="0" rank="0" text="" dxfId="2">
      <formula>I23</formula>
    </cfRule>
  </conditionalFormatting>
  <conditionalFormatting sqref="AB28">
    <cfRule type="cellIs" priority="25" operator="lessThanOrEqual" aboveAverage="0" equalAverage="0" bottom="0" percent="0" rank="0" text="" dxfId="2">
      <formula>I28</formula>
    </cfRule>
  </conditionalFormatting>
  <conditionalFormatting sqref="AB29">
    <cfRule type="cellIs" priority="26" operator="lessThanOrEqual" aboveAverage="0" equalAverage="0" bottom="0" percent="0" rank="0" text="" dxfId="2">
      <formula>I29</formula>
    </cfRule>
  </conditionalFormatting>
  <conditionalFormatting sqref="AB30">
    <cfRule type="cellIs" priority="27" operator="lessThanOrEqual" aboveAverage="0" equalAverage="0" bottom="0" percent="0" rank="0" text="" dxfId="2">
      <formula>I30</formula>
    </cfRule>
  </conditionalFormatting>
  <conditionalFormatting sqref="AB35">
    <cfRule type="cellIs" priority="28" operator="lessThanOrEqual" aboveAverage="0" equalAverage="0" bottom="0" percent="0" rank="0" text="" dxfId="2">
      <formula>I35</formula>
    </cfRule>
  </conditionalFormatting>
  <conditionalFormatting sqref="AB36">
    <cfRule type="cellIs" priority="29" operator="lessThanOrEqual" aboveAverage="0" equalAverage="0" bottom="0" percent="0" rank="0" text="" dxfId="2">
      <formula>I36</formula>
    </cfRule>
  </conditionalFormatting>
  <conditionalFormatting sqref="AB7">
    <cfRule type="cellIs" priority="30" operator="lessThanOrEqual" aboveAverage="0" equalAverage="0" bottom="0" percent="0" rank="0" text="" dxfId="2">
      <formula>I7</formula>
    </cfRule>
  </conditionalFormatting>
  <conditionalFormatting sqref="AC10">
    <cfRule type="cellIs" priority="31" operator="lessThanOrEqual" aboveAverage="0" equalAverage="0" bottom="0" percent="0" rank="0" text="" dxfId="2">
      <formula>J10</formula>
    </cfRule>
  </conditionalFormatting>
  <conditionalFormatting sqref="AC12">
    <cfRule type="cellIs" priority="32" operator="lessThanOrEqual" aboveAverage="0" equalAverage="0" bottom="0" percent="0" rank="0" text="" dxfId="2">
      <formula>J12</formula>
    </cfRule>
  </conditionalFormatting>
  <conditionalFormatting sqref="AC20">
    <cfRule type="cellIs" priority="33" operator="lessThanOrEqual" aboveAverage="0" equalAverage="0" bottom="0" percent="0" rank="0" text="" dxfId="2">
      <formula>J20</formula>
    </cfRule>
  </conditionalFormatting>
  <conditionalFormatting sqref="AC21">
    <cfRule type="cellIs" priority="34" operator="lessThanOrEqual" aboveAverage="0" equalAverage="0" bottom="0" percent="0" rank="0" text="" dxfId="2">
      <formula>J21</formula>
    </cfRule>
  </conditionalFormatting>
  <conditionalFormatting sqref="AC23">
    <cfRule type="cellIs" priority="35" operator="lessThanOrEqual" aboveAverage="0" equalAverage="0" bottom="0" percent="0" rank="0" text="" dxfId="2">
      <formula>J23</formula>
    </cfRule>
  </conditionalFormatting>
  <conditionalFormatting sqref="AC28">
    <cfRule type="cellIs" priority="36" operator="lessThanOrEqual" aboveAverage="0" equalAverage="0" bottom="0" percent="0" rank="0" text="" dxfId="2">
      <formula>J28</formula>
    </cfRule>
  </conditionalFormatting>
  <conditionalFormatting sqref="AC29">
    <cfRule type="cellIs" priority="37" operator="lessThanOrEqual" aboveAverage="0" equalAverage="0" bottom="0" percent="0" rank="0" text="" dxfId="2">
      <formula>J29</formula>
    </cfRule>
  </conditionalFormatting>
  <conditionalFormatting sqref="AC30">
    <cfRule type="cellIs" priority="38" operator="lessThanOrEqual" aboveAverage="0" equalAverage="0" bottom="0" percent="0" rank="0" text="" dxfId="2">
      <formula>J30</formula>
    </cfRule>
  </conditionalFormatting>
  <conditionalFormatting sqref="AC35">
    <cfRule type="cellIs" priority="39" operator="lessThanOrEqual" aboveAverage="0" equalAverage="0" bottom="0" percent="0" rank="0" text="" dxfId="2">
      <formula>J35</formula>
    </cfRule>
  </conditionalFormatting>
  <conditionalFormatting sqref="AC36">
    <cfRule type="cellIs" priority="40" operator="lessThanOrEqual" aboveAverage="0" equalAverage="0" bottom="0" percent="0" rank="0" text="" dxfId="2">
      <formula>J36</formula>
    </cfRule>
  </conditionalFormatting>
  <conditionalFormatting sqref="AC7">
    <cfRule type="cellIs" priority="41" operator="lessThanOrEqual" aboveAverage="0" equalAverage="0" bottom="0" percent="0" rank="0" text="" dxfId="2">
      <formula>J7</formula>
    </cfRule>
  </conditionalFormatting>
  <conditionalFormatting sqref="AE10">
    <cfRule type="cellIs" priority="42" operator="equal" aboveAverage="0" equalAverage="0" bottom="0" percent="0" rank="0" text="" dxfId="1">
      <formula>0</formula>
    </cfRule>
    <cfRule type="cellIs" priority="43" operator="lessThan" aboveAverage="0" equalAverage="0" bottom="0" percent="0" rank="0" text="" dxfId="3">
      <formula>H10</formula>
    </cfRule>
  </conditionalFormatting>
  <conditionalFormatting sqref="AE11">
    <cfRule type="cellIs" priority="44" operator="equal" aboveAverage="0" equalAverage="0" bottom="0" percent="0" rank="0" text="" dxfId="1">
      <formula>0</formula>
    </cfRule>
    <cfRule type="cellIs" priority="45" operator="lessThan" aboveAverage="0" equalAverage="0" bottom="0" percent="0" rank="0" text="" dxfId="3">
      <formula>H11</formula>
    </cfRule>
  </conditionalFormatting>
  <conditionalFormatting sqref="AE12">
    <cfRule type="cellIs" priority="46" operator="equal" aboveAverage="0" equalAverage="0" bottom="0" percent="0" rank="0" text="" dxfId="1">
      <formula>0</formula>
    </cfRule>
    <cfRule type="cellIs" priority="47" operator="lessThan" aboveAverage="0" equalAverage="0" bottom="0" percent="0" rank="0" text="" dxfId="3">
      <formula>H12</formula>
    </cfRule>
  </conditionalFormatting>
  <conditionalFormatting sqref="AE13">
    <cfRule type="cellIs" priority="48" operator="equal" aboveAverage="0" equalAverage="0" bottom="0" percent="0" rank="0" text="" dxfId="1">
      <formula>0</formula>
    </cfRule>
    <cfRule type="cellIs" priority="49" operator="lessThan" aboveAverage="0" equalAverage="0" bottom="0" percent="0" rank="0" text="" dxfId="3">
      <formula>H13</formula>
    </cfRule>
  </conditionalFormatting>
  <conditionalFormatting sqref="AE14">
    <cfRule type="cellIs" priority="50" operator="equal" aboveAverage="0" equalAverage="0" bottom="0" percent="0" rank="0" text="" dxfId="1">
      <formula>0</formula>
    </cfRule>
    <cfRule type="cellIs" priority="51" operator="lessThan" aboveAverage="0" equalAverage="0" bottom="0" percent="0" rank="0" text="" dxfId="3">
      <formula>H14</formula>
    </cfRule>
  </conditionalFormatting>
  <conditionalFormatting sqref="AE15">
    <cfRule type="cellIs" priority="52" operator="equal" aboveAverage="0" equalAverage="0" bottom="0" percent="0" rank="0" text="" dxfId="1">
      <formula>0</formula>
    </cfRule>
    <cfRule type="cellIs" priority="53" operator="lessThan" aboveAverage="0" equalAverage="0" bottom="0" percent="0" rank="0" text="" dxfId="3">
      <formula>H15</formula>
    </cfRule>
  </conditionalFormatting>
  <conditionalFormatting sqref="AE21">
    <cfRule type="cellIs" priority="54" operator="equal" aboveAverage="0" equalAverage="0" bottom="0" percent="0" rank="0" text="" dxfId="1">
      <formula>0</formula>
    </cfRule>
    <cfRule type="cellIs" priority="55" operator="lessThan" aboveAverage="0" equalAverage="0" bottom="0" percent="0" rank="0" text="" dxfId="3">
      <formula>H21</formula>
    </cfRule>
  </conditionalFormatting>
  <conditionalFormatting sqref="AE22">
    <cfRule type="cellIs" priority="56" operator="equal" aboveAverage="0" equalAverage="0" bottom="0" percent="0" rank="0" text="" dxfId="1">
      <formula>0</formula>
    </cfRule>
    <cfRule type="cellIs" priority="57" operator="lessThan" aboveAverage="0" equalAverage="0" bottom="0" percent="0" rank="0" text="" dxfId="3">
      <formula>H22</formula>
    </cfRule>
  </conditionalFormatting>
  <conditionalFormatting sqref="AE23">
    <cfRule type="cellIs" priority="58" operator="equal" aboveAverage="0" equalAverage="0" bottom="0" percent="0" rank="0" text="" dxfId="1">
      <formula>0</formula>
    </cfRule>
    <cfRule type="cellIs" priority="59" operator="lessThan" aboveAverage="0" equalAverage="0" bottom="0" percent="0" rank="0" text="" dxfId="3">
      <formula>H23</formula>
    </cfRule>
  </conditionalFormatting>
  <conditionalFormatting sqref="AE24">
    <cfRule type="cellIs" priority="60" operator="equal" aboveAverage="0" equalAverage="0" bottom="0" percent="0" rank="0" text="" dxfId="1">
      <formula>0</formula>
    </cfRule>
    <cfRule type="cellIs" priority="61" operator="lessThan" aboveAverage="0" equalAverage="0" bottom="0" percent="0" rank="0" text="" dxfId="3">
      <formula>H24</formula>
    </cfRule>
  </conditionalFormatting>
  <conditionalFormatting sqref="AE25">
    <cfRule type="cellIs" priority="62" operator="equal" aboveAverage="0" equalAverage="0" bottom="0" percent="0" rank="0" text="" dxfId="1">
      <formula>0</formula>
    </cfRule>
    <cfRule type="cellIs" priority="63" operator="lessThan" aboveAverage="0" equalAverage="0" bottom="0" percent="0" rank="0" text="" dxfId="3">
      <formula>H25</formula>
    </cfRule>
  </conditionalFormatting>
  <conditionalFormatting sqref="AE26">
    <cfRule type="cellIs" priority="64" operator="equal" aboveAverage="0" equalAverage="0" bottom="0" percent="0" rank="0" text="" dxfId="1">
      <formula>0</formula>
    </cfRule>
    <cfRule type="cellIs" priority="65" operator="lessThan" aboveAverage="0" equalAverage="0" bottom="0" percent="0" rank="0" text="" dxfId="3">
      <formula>H26</formula>
    </cfRule>
  </conditionalFormatting>
  <conditionalFormatting sqref="AE27">
    <cfRule type="cellIs" priority="66" operator="equal" aboveAverage="0" equalAverage="0" bottom="0" percent="0" rank="0" text="" dxfId="1">
      <formula>0</formula>
    </cfRule>
    <cfRule type="cellIs" priority="67" operator="lessThan" aboveAverage="0" equalAverage="0" bottom="0" percent="0" rank="0" text="" dxfId="3">
      <formula>H27</formula>
    </cfRule>
  </conditionalFormatting>
  <conditionalFormatting sqref="AE28">
    <cfRule type="cellIs" priority="68" operator="equal" aboveAverage="0" equalAverage="0" bottom="0" percent="0" rank="0" text="" dxfId="1">
      <formula>0</formula>
    </cfRule>
    <cfRule type="cellIs" priority="69" operator="lessThan" aboveAverage="0" equalAverage="0" bottom="0" percent="0" rank="0" text="" dxfId="3">
      <formula>H28</formula>
    </cfRule>
  </conditionalFormatting>
  <conditionalFormatting sqref="AE29">
    <cfRule type="cellIs" priority="70" operator="equal" aboveAverage="0" equalAverage="0" bottom="0" percent="0" rank="0" text="" dxfId="1">
      <formula>0</formula>
    </cfRule>
    <cfRule type="cellIs" priority="71" operator="lessThan" aboveAverage="0" equalAverage="0" bottom="0" percent="0" rank="0" text="" dxfId="3">
      <formula>H29</formula>
    </cfRule>
  </conditionalFormatting>
  <conditionalFormatting sqref="AE30">
    <cfRule type="cellIs" priority="72" operator="equal" aboveAverage="0" equalAverage="0" bottom="0" percent="0" rank="0" text="" dxfId="1">
      <formula>0</formula>
    </cfRule>
    <cfRule type="cellIs" priority="73" operator="lessThan" aboveAverage="0" equalAverage="0" bottom="0" percent="0" rank="0" text="" dxfId="3">
      <formula>H30</formula>
    </cfRule>
  </conditionalFormatting>
  <conditionalFormatting sqref="AE31">
    <cfRule type="cellIs" priority="74" operator="equal" aboveAverage="0" equalAverage="0" bottom="0" percent="0" rank="0" text="" dxfId="1">
      <formula>0</formula>
    </cfRule>
    <cfRule type="cellIs" priority="75" operator="lessThan" aboveAverage="0" equalAverage="0" bottom="0" percent="0" rank="0" text="" dxfId="3">
      <formula>H31</formula>
    </cfRule>
  </conditionalFormatting>
  <conditionalFormatting sqref="AE33">
    <cfRule type="cellIs" priority="76" operator="equal" aboveAverage="0" equalAverage="0" bottom="0" percent="0" rank="0" text="" dxfId="1">
      <formula>0</formula>
    </cfRule>
    <cfRule type="cellIs" priority="77" operator="lessThan" aboveAverage="0" equalAverage="0" bottom="0" percent="0" rank="0" text="" dxfId="3">
      <formula>H33</formula>
    </cfRule>
  </conditionalFormatting>
  <conditionalFormatting sqref="AE34">
    <cfRule type="cellIs" priority="78" operator="equal" aboveAverage="0" equalAverage="0" bottom="0" percent="0" rank="0" text="" dxfId="1">
      <formula>0</formula>
    </cfRule>
    <cfRule type="cellIs" priority="79" operator="lessThan" aboveAverage="0" equalAverage="0" bottom="0" percent="0" rank="0" text="" dxfId="3">
      <formula>H34</formula>
    </cfRule>
  </conditionalFormatting>
  <conditionalFormatting sqref="AE35">
    <cfRule type="cellIs" priority="80" operator="equal" aboveAverage="0" equalAverage="0" bottom="0" percent="0" rank="0" text="" dxfId="1">
      <formula>0</formula>
    </cfRule>
    <cfRule type="cellIs" priority="81" operator="lessThan" aboveAverage="0" equalAverage="0" bottom="0" percent="0" rank="0" text="" dxfId="3">
      <formula>H35</formula>
    </cfRule>
  </conditionalFormatting>
  <conditionalFormatting sqref="AE36">
    <cfRule type="cellIs" priority="82" operator="equal" aboveAverage="0" equalAverage="0" bottom="0" percent="0" rank="0" text="" dxfId="1">
      <formula>0</formula>
    </cfRule>
    <cfRule type="cellIs" priority="83" operator="lessThan" aboveAverage="0" equalAverage="0" bottom="0" percent="0" rank="0" text="" dxfId="3">
      <formula>H36</formula>
    </cfRule>
  </conditionalFormatting>
  <conditionalFormatting sqref="AE37">
    <cfRule type="cellIs" priority="84" operator="equal" aboveAverage="0" equalAverage="0" bottom="0" percent="0" rank="0" text="" dxfId="1">
      <formula>0</formula>
    </cfRule>
    <cfRule type="cellIs" priority="85" operator="lessThan" aboveAverage="0" equalAverage="0" bottom="0" percent="0" rank="0" text="" dxfId="3">
      <formula>H37</formula>
    </cfRule>
  </conditionalFormatting>
  <conditionalFormatting sqref="AE38">
    <cfRule type="cellIs" priority="86" operator="equal" aboveAverage="0" equalAverage="0" bottom="0" percent="0" rank="0" text="" dxfId="1">
      <formula>0</formula>
    </cfRule>
    <cfRule type="cellIs" priority="87" operator="lessThan" aboveAverage="0" equalAverage="0" bottom="0" percent="0" rank="0" text="" dxfId="3">
      <formula>H38</formula>
    </cfRule>
  </conditionalFormatting>
  <conditionalFormatting sqref="AE39">
    <cfRule type="cellIs" priority="88" operator="equal" aboveAverage="0" equalAverage="0" bottom="0" percent="0" rank="0" text="" dxfId="1">
      <formula>0</formula>
    </cfRule>
    <cfRule type="cellIs" priority="89" operator="lessThan" aboveAverage="0" equalAverage="0" bottom="0" percent="0" rank="0" text="" dxfId="3">
      <formula>H39</formula>
    </cfRule>
  </conditionalFormatting>
  <conditionalFormatting sqref="AE41">
    <cfRule type="cellIs" priority="90" operator="equal" aboveAverage="0" equalAverage="0" bottom="0" percent="0" rank="0" text="" dxfId="1">
      <formula>0</formula>
    </cfRule>
    <cfRule type="cellIs" priority="91" operator="lessThan" aboveAverage="0" equalAverage="0" bottom="0" percent="0" rank="0" text="" dxfId="3">
      <formula>H41</formula>
    </cfRule>
  </conditionalFormatting>
  <conditionalFormatting sqref="AE7">
    <cfRule type="cellIs" priority="92" operator="equal" aboveAverage="0" equalAverage="0" bottom="0" percent="0" rank="0" text="" dxfId="1">
      <formula>0</formula>
    </cfRule>
    <cfRule type="cellIs" priority="93" operator="lessThan" aboveAverage="0" equalAverage="0" bottom="0" percent="0" rank="0" text="" dxfId="3">
      <formula>H7</formula>
    </cfRule>
  </conditionalFormatting>
  <conditionalFormatting sqref="AE8">
    <cfRule type="cellIs" priority="94" operator="equal" aboveAverage="0" equalAverage="0" bottom="0" percent="0" rank="0" text="" dxfId="1">
      <formula>0</formula>
    </cfRule>
    <cfRule type="cellIs" priority="95" operator="lessThan" aboveAverage="0" equalAverage="0" bottom="0" percent="0" rank="0" text="" dxfId="3">
      <formula>H8</formula>
    </cfRule>
  </conditionalFormatting>
  <conditionalFormatting sqref="AE9">
    <cfRule type="cellIs" priority="96" operator="equal" aboveAverage="0" equalAverage="0" bottom="0" percent="0" rank="0" text="" dxfId="1">
      <formula>0</formula>
    </cfRule>
    <cfRule type="cellIs" priority="97" operator="lessThan" aboveAverage="0" equalAverage="0" bottom="0" percent="0" rank="0" text="" dxfId="3">
      <formula>H9</formula>
    </cfRule>
  </conditionalFormatting>
  <conditionalFormatting sqref="AF10">
    <cfRule type="cellIs" priority="98" operator="greaterThan" aboveAverage="0" equalAverage="0" bottom="0" percent="0" rank="0" text="" dxfId="1">
      <formula>AE10</formula>
    </cfRule>
  </conditionalFormatting>
  <conditionalFormatting sqref="AF11">
    <cfRule type="cellIs" priority="99" operator="greaterThan" aboveAverage="0" equalAverage="0" bottom="0" percent="0" rank="0" text="" dxfId="1">
      <formula>AE11</formula>
    </cfRule>
  </conditionalFormatting>
  <conditionalFormatting sqref="AF12">
    <cfRule type="cellIs" priority="100" operator="greaterThan" aboveAverage="0" equalAverage="0" bottom="0" percent="0" rank="0" text="" dxfId="1">
      <formula>AE12</formula>
    </cfRule>
  </conditionalFormatting>
  <conditionalFormatting sqref="AF13">
    <cfRule type="cellIs" priority="101" operator="greaterThan" aboveAverage="0" equalAverage="0" bottom="0" percent="0" rank="0" text="" dxfId="1">
      <formula>AE13</formula>
    </cfRule>
  </conditionalFormatting>
  <conditionalFormatting sqref="AF14">
    <cfRule type="cellIs" priority="102" operator="greaterThan" aboveAverage="0" equalAverage="0" bottom="0" percent="0" rank="0" text="" dxfId="1">
      <formula>AE14</formula>
    </cfRule>
  </conditionalFormatting>
  <conditionalFormatting sqref="AF15">
    <cfRule type="cellIs" priority="103" operator="greaterThan" aboveAverage="0" equalAverage="0" bottom="0" percent="0" rank="0" text="" dxfId="1">
      <formula>AE15</formula>
    </cfRule>
  </conditionalFormatting>
  <conditionalFormatting sqref="AF21">
    <cfRule type="cellIs" priority="104" operator="greaterThan" aboveAverage="0" equalAverage="0" bottom="0" percent="0" rank="0" text="" dxfId="1">
      <formula>AE21</formula>
    </cfRule>
  </conditionalFormatting>
  <conditionalFormatting sqref="AF22">
    <cfRule type="cellIs" priority="105" operator="greaterThan" aboveAverage="0" equalAverage="0" bottom="0" percent="0" rank="0" text="" dxfId="1">
      <formula>AE22</formula>
    </cfRule>
  </conditionalFormatting>
  <conditionalFormatting sqref="AF23">
    <cfRule type="cellIs" priority="106" operator="greaterThan" aboveAverage="0" equalAverage="0" bottom="0" percent="0" rank="0" text="" dxfId="1">
      <formula>AE23</formula>
    </cfRule>
  </conditionalFormatting>
  <conditionalFormatting sqref="AF24">
    <cfRule type="cellIs" priority="107" operator="greaterThan" aboveAverage="0" equalAverage="0" bottom="0" percent="0" rank="0" text="" dxfId="1">
      <formula>AE24</formula>
    </cfRule>
  </conditionalFormatting>
  <conditionalFormatting sqref="AF25">
    <cfRule type="cellIs" priority="108" operator="greaterThan" aboveAverage="0" equalAverage="0" bottom="0" percent="0" rank="0" text="" dxfId="1">
      <formula>AE25</formula>
    </cfRule>
  </conditionalFormatting>
  <conditionalFormatting sqref="AF26">
    <cfRule type="cellIs" priority="109" operator="greaterThan" aboveAverage="0" equalAverage="0" bottom="0" percent="0" rank="0" text="" dxfId="1">
      <formula>AE26</formula>
    </cfRule>
  </conditionalFormatting>
  <conditionalFormatting sqref="AF27">
    <cfRule type="cellIs" priority="110" operator="greaterThan" aboveAverage="0" equalAverage="0" bottom="0" percent="0" rank="0" text="" dxfId="1">
      <formula>AE27</formula>
    </cfRule>
  </conditionalFormatting>
  <conditionalFormatting sqref="AF28">
    <cfRule type="cellIs" priority="111" operator="greaterThan" aboveAverage="0" equalAverage="0" bottom="0" percent="0" rank="0" text="" dxfId="1">
      <formula>AE28</formula>
    </cfRule>
  </conditionalFormatting>
  <conditionalFormatting sqref="AF29">
    <cfRule type="cellIs" priority="112" operator="greaterThan" aboveAverage="0" equalAverage="0" bottom="0" percent="0" rank="0" text="" dxfId="1">
      <formula>AE29</formula>
    </cfRule>
  </conditionalFormatting>
  <conditionalFormatting sqref="AF30">
    <cfRule type="cellIs" priority="113" operator="greaterThan" aboveAverage="0" equalAverage="0" bottom="0" percent="0" rank="0" text="" dxfId="1">
      <formula>AE30</formula>
    </cfRule>
  </conditionalFormatting>
  <conditionalFormatting sqref="AF31">
    <cfRule type="cellIs" priority="114" operator="greaterThan" aboveAverage="0" equalAverage="0" bottom="0" percent="0" rank="0" text="" dxfId="1">
      <formula>AE31</formula>
    </cfRule>
  </conditionalFormatting>
  <conditionalFormatting sqref="AF33">
    <cfRule type="cellIs" priority="115" operator="greaterThan" aboveAverage="0" equalAverage="0" bottom="0" percent="0" rank="0" text="" dxfId="1">
      <formula>AE33</formula>
    </cfRule>
  </conditionalFormatting>
  <conditionalFormatting sqref="AF34">
    <cfRule type="cellIs" priority="116" operator="greaterThan" aboveAverage="0" equalAverage="0" bottom="0" percent="0" rank="0" text="" dxfId="1">
      <formula>AE34</formula>
    </cfRule>
  </conditionalFormatting>
  <conditionalFormatting sqref="AF35">
    <cfRule type="cellIs" priority="117" operator="greaterThan" aboveAverage="0" equalAverage="0" bottom="0" percent="0" rank="0" text="" dxfId="1">
      <formula>AE35</formula>
    </cfRule>
  </conditionalFormatting>
  <conditionalFormatting sqref="AF36">
    <cfRule type="cellIs" priority="118" operator="greaterThan" aboveAverage="0" equalAverage="0" bottom="0" percent="0" rank="0" text="" dxfId="1">
      <formula>AE36</formula>
    </cfRule>
  </conditionalFormatting>
  <conditionalFormatting sqref="AF37">
    <cfRule type="cellIs" priority="119" operator="greaterThan" aboveAverage="0" equalAverage="0" bottom="0" percent="0" rank="0" text="" dxfId="1">
      <formula>AE37</formula>
    </cfRule>
  </conditionalFormatting>
  <conditionalFormatting sqref="AF38">
    <cfRule type="cellIs" priority="120" operator="greaterThan" aboveAverage="0" equalAverage="0" bottom="0" percent="0" rank="0" text="" dxfId="1">
      <formula>AE38</formula>
    </cfRule>
  </conditionalFormatting>
  <conditionalFormatting sqref="AF39">
    <cfRule type="cellIs" priority="121" operator="greaterThan" aboveAverage="0" equalAverage="0" bottom="0" percent="0" rank="0" text="" dxfId="1">
      <formula>AE39</formula>
    </cfRule>
  </conditionalFormatting>
  <conditionalFormatting sqref="AF41">
    <cfRule type="cellIs" priority="122" operator="greaterThan" aboveAverage="0" equalAverage="0" bottom="0" percent="0" rank="0" text="" dxfId="1">
      <formula>AE41</formula>
    </cfRule>
  </conditionalFormatting>
  <conditionalFormatting sqref="AF7">
    <cfRule type="cellIs" priority="123" operator="greaterThan" aboveAverage="0" equalAverage="0" bottom="0" percent="0" rank="0" text="" dxfId="1">
      <formula>AE7</formula>
    </cfRule>
  </conditionalFormatting>
  <conditionalFormatting sqref="AF8">
    <cfRule type="cellIs" priority="124" operator="greaterThan" aboveAverage="0" equalAverage="0" bottom="0" percent="0" rank="0" text="" dxfId="1">
      <formula>AE8</formula>
    </cfRule>
  </conditionalFormatting>
  <conditionalFormatting sqref="AF9">
    <cfRule type="cellIs" priority="125" operator="greaterThan" aboveAverage="0" equalAverage="0" bottom="0" percent="0" rank="0" text="" dxfId="1">
      <formula>AE9</formula>
    </cfRule>
  </conditionalFormatting>
  <conditionalFormatting sqref="AG10">
    <cfRule type="cellIs" priority="126" operator="lessThanOrEqual" aboveAverage="0" equalAverage="0" bottom="0" percent="0" rank="0" text="" dxfId="2">
      <formula>I10</formula>
    </cfRule>
  </conditionalFormatting>
  <conditionalFormatting sqref="AG11">
    <cfRule type="cellIs" priority="127" operator="lessThanOrEqual" aboveAverage="0" equalAverage="0" bottom="0" percent="0" rank="0" text="" dxfId="2">
      <formula>I11</formula>
    </cfRule>
  </conditionalFormatting>
  <conditionalFormatting sqref="AG12">
    <cfRule type="cellIs" priority="128" operator="lessThanOrEqual" aboveAverage="0" equalAverage="0" bottom="0" percent="0" rank="0" text="" dxfId="2">
      <formula>I12</formula>
    </cfRule>
  </conditionalFormatting>
  <conditionalFormatting sqref="AG13">
    <cfRule type="cellIs" priority="129" operator="lessThanOrEqual" aboveAverage="0" equalAverage="0" bottom="0" percent="0" rank="0" text="" dxfId="2">
      <formula>I13</formula>
    </cfRule>
  </conditionalFormatting>
  <conditionalFormatting sqref="AG14">
    <cfRule type="cellIs" priority="130" operator="lessThanOrEqual" aboveAverage="0" equalAverage="0" bottom="0" percent="0" rank="0" text="" dxfId="2">
      <formula>I14</formula>
    </cfRule>
  </conditionalFormatting>
  <conditionalFormatting sqref="AG15">
    <cfRule type="cellIs" priority="131" operator="lessThanOrEqual" aboveAverage="0" equalAverage="0" bottom="0" percent="0" rank="0" text="" dxfId="2">
      <formula>I15</formula>
    </cfRule>
  </conditionalFormatting>
  <conditionalFormatting sqref="AG21">
    <cfRule type="cellIs" priority="132" operator="lessThanOrEqual" aboveAverage="0" equalAverage="0" bottom="0" percent="0" rank="0" text="" dxfId="2">
      <formula>I21</formula>
    </cfRule>
  </conditionalFormatting>
  <conditionalFormatting sqref="AG22">
    <cfRule type="cellIs" priority="133" operator="lessThanOrEqual" aboveAverage="0" equalAverage="0" bottom="0" percent="0" rank="0" text="" dxfId="2">
      <formula>I22</formula>
    </cfRule>
  </conditionalFormatting>
  <conditionalFormatting sqref="AG23">
    <cfRule type="cellIs" priority="134" operator="lessThanOrEqual" aboveAverage="0" equalAverage="0" bottom="0" percent="0" rank="0" text="" dxfId="2">
      <formula>I23</formula>
    </cfRule>
  </conditionalFormatting>
  <conditionalFormatting sqref="AG24">
    <cfRule type="cellIs" priority="135" operator="lessThanOrEqual" aboveAverage="0" equalAverage="0" bottom="0" percent="0" rank="0" text="" dxfId="2">
      <formula>I24</formula>
    </cfRule>
  </conditionalFormatting>
  <conditionalFormatting sqref="AG25">
    <cfRule type="cellIs" priority="136" operator="lessThanOrEqual" aboveAverage="0" equalAverage="0" bottom="0" percent="0" rank="0" text="" dxfId="2">
      <formula>I25</formula>
    </cfRule>
  </conditionalFormatting>
  <conditionalFormatting sqref="AG26">
    <cfRule type="cellIs" priority="137" operator="lessThanOrEqual" aboveAverage="0" equalAverage="0" bottom="0" percent="0" rank="0" text="" dxfId="2">
      <formula>I26</formula>
    </cfRule>
  </conditionalFormatting>
  <conditionalFormatting sqref="AG27">
    <cfRule type="cellIs" priority="138" operator="lessThanOrEqual" aboveAverage="0" equalAverage="0" bottom="0" percent="0" rank="0" text="" dxfId="2">
      <formula>I27</formula>
    </cfRule>
  </conditionalFormatting>
  <conditionalFormatting sqref="AG28">
    <cfRule type="cellIs" priority="139" operator="lessThanOrEqual" aboveAverage="0" equalAverage="0" bottom="0" percent="0" rank="0" text="" dxfId="2">
      <formula>I28</formula>
    </cfRule>
  </conditionalFormatting>
  <conditionalFormatting sqref="AG29">
    <cfRule type="cellIs" priority="140" operator="lessThanOrEqual" aboveAverage="0" equalAverage="0" bottom="0" percent="0" rank="0" text="" dxfId="2">
      <formula>I29</formula>
    </cfRule>
  </conditionalFormatting>
  <conditionalFormatting sqref="AG30">
    <cfRule type="cellIs" priority="141" operator="lessThanOrEqual" aboveAverage="0" equalAverage="0" bottom="0" percent="0" rank="0" text="" dxfId="2">
      <formula>I30</formula>
    </cfRule>
  </conditionalFormatting>
  <conditionalFormatting sqref="AG31">
    <cfRule type="cellIs" priority="142" operator="lessThanOrEqual" aboveAverage="0" equalAverage="0" bottom="0" percent="0" rank="0" text="" dxfId="2">
      <formula>I31</formula>
    </cfRule>
  </conditionalFormatting>
  <conditionalFormatting sqref="AG33">
    <cfRule type="cellIs" priority="143" operator="lessThanOrEqual" aboveAverage="0" equalAverage="0" bottom="0" percent="0" rank="0" text="" dxfId="2">
      <formula>I33</formula>
    </cfRule>
  </conditionalFormatting>
  <conditionalFormatting sqref="AG34">
    <cfRule type="cellIs" priority="144" operator="lessThanOrEqual" aboveAverage="0" equalAverage="0" bottom="0" percent="0" rank="0" text="" dxfId="2">
      <formula>I34</formula>
    </cfRule>
  </conditionalFormatting>
  <conditionalFormatting sqref="AG35">
    <cfRule type="cellIs" priority="145" operator="lessThanOrEqual" aboveAverage="0" equalAverage="0" bottom="0" percent="0" rank="0" text="" dxfId="2">
      <formula>I35</formula>
    </cfRule>
  </conditionalFormatting>
  <conditionalFormatting sqref="AG36">
    <cfRule type="cellIs" priority="146" operator="lessThanOrEqual" aboveAverage="0" equalAverage="0" bottom="0" percent="0" rank="0" text="" dxfId="2">
      <formula>I36</formula>
    </cfRule>
  </conditionalFormatting>
  <conditionalFormatting sqref="AG37">
    <cfRule type="cellIs" priority="147" operator="lessThanOrEqual" aboveAverage="0" equalAverage="0" bottom="0" percent="0" rank="0" text="" dxfId="2">
      <formula>I37</formula>
    </cfRule>
  </conditionalFormatting>
  <conditionalFormatting sqref="AG38">
    <cfRule type="cellIs" priority="148" operator="lessThanOrEqual" aboveAverage="0" equalAverage="0" bottom="0" percent="0" rank="0" text="" dxfId="2">
      <formula>I38</formula>
    </cfRule>
  </conditionalFormatting>
  <conditionalFormatting sqref="AG39">
    <cfRule type="cellIs" priority="149" operator="lessThanOrEqual" aboveAverage="0" equalAverage="0" bottom="0" percent="0" rank="0" text="" dxfId="2">
      <formula>I39</formula>
    </cfRule>
  </conditionalFormatting>
  <conditionalFormatting sqref="AG41">
    <cfRule type="cellIs" priority="150" operator="lessThanOrEqual" aboveAverage="0" equalAverage="0" bottom="0" percent="0" rank="0" text="" dxfId="2">
      <formula>I41</formula>
    </cfRule>
  </conditionalFormatting>
  <conditionalFormatting sqref="AG7">
    <cfRule type="cellIs" priority="151" operator="lessThanOrEqual" aboveAverage="0" equalAverage="0" bottom="0" percent="0" rank="0" text="" dxfId="2">
      <formula>I7</formula>
    </cfRule>
  </conditionalFormatting>
  <conditionalFormatting sqref="AG8">
    <cfRule type="cellIs" priority="152" operator="lessThanOrEqual" aboveAverage="0" equalAverage="0" bottom="0" percent="0" rank="0" text="" dxfId="2">
      <formula>I8</formula>
    </cfRule>
  </conditionalFormatting>
  <conditionalFormatting sqref="AG9">
    <cfRule type="cellIs" priority="153" operator="lessThanOrEqual" aboveAverage="0" equalAverage="0" bottom="0" percent="0" rank="0" text="" dxfId="2">
      <formula>I9</formula>
    </cfRule>
  </conditionalFormatting>
  <conditionalFormatting sqref="AH10">
    <cfRule type="cellIs" priority="154" operator="lessThanOrEqual" aboveAverage="0" equalAverage="0" bottom="0" percent="0" rank="0" text="" dxfId="2">
      <formula>J10</formula>
    </cfRule>
  </conditionalFormatting>
  <conditionalFormatting sqref="AH11">
    <cfRule type="cellIs" priority="155" operator="lessThanOrEqual" aboveAverage="0" equalAverage="0" bottom="0" percent="0" rank="0" text="" dxfId="2">
      <formula>J11</formula>
    </cfRule>
  </conditionalFormatting>
  <conditionalFormatting sqref="AH12">
    <cfRule type="cellIs" priority="156" operator="lessThanOrEqual" aboveAverage="0" equalAverage="0" bottom="0" percent="0" rank="0" text="" dxfId="2">
      <formula>J12</formula>
    </cfRule>
  </conditionalFormatting>
  <conditionalFormatting sqref="AH13">
    <cfRule type="cellIs" priority="157" operator="lessThanOrEqual" aboveAverage="0" equalAverage="0" bottom="0" percent="0" rank="0" text="" dxfId="2">
      <formula>J13</formula>
    </cfRule>
  </conditionalFormatting>
  <conditionalFormatting sqref="AH14">
    <cfRule type="cellIs" priority="158" operator="lessThanOrEqual" aboveAverage="0" equalAverage="0" bottom="0" percent="0" rank="0" text="" dxfId="2">
      <formula>J14</formula>
    </cfRule>
  </conditionalFormatting>
  <conditionalFormatting sqref="AH15">
    <cfRule type="cellIs" priority="159" operator="lessThanOrEqual" aboveAverage="0" equalAverage="0" bottom="0" percent="0" rank="0" text="" dxfId="2">
      <formula>J15</formula>
    </cfRule>
  </conditionalFormatting>
  <conditionalFormatting sqref="AH21">
    <cfRule type="cellIs" priority="160" operator="lessThanOrEqual" aboveAverage="0" equalAverage="0" bottom="0" percent="0" rank="0" text="" dxfId="2">
      <formula>J21</formula>
    </cfRule>
  </conditionalFormatting>
  <conditionalFormatting sqref="AH22">
    <cfRule type="cellIs" priority="161" operator="lessThanOrEqual" aboveAverage="0" equalAverage="0" bottom="0" percent="0" rank="0" text="" dxfId="2">
      <formula>J22</formula>
    </cfRule>
  </conditionalFormatting>
  <conditionalFormatting sqref="AH23">
    <cfRule type="cellIs" priority="162" operator="lessThanOrEqual" aboveAverage="0" equalAverage="0" bottom="0" percent="0" rank="0" text="" dxfId="2">
      <formula>J23</formula>
    </cfRule>
  </conditionalFormatting>
  <conditionalFormatting sqref="AH24">
    <cfRule type="cellIs" priority="163" operator="lessThanOrEqual" aboveAverage="0" equalAverage="0" bottom="0" percent="0" rank="0" text="" dxfId="2">
      <formula>J24</formula>
    </cfRule>
  </conditionalFormatting>
  <conditionalFormatting sqref="AH25">
    <cfRule type="cellIs" priority="164" operator="lessThanOrEqual" aboveAverage="0" equalAverage="0" bottom="0" percent="0" rank="0" text="" dxfId="2">
      <formula>J25</formula>
    </cfRule>
  </conditionalFormatting>
  <conditionalFormatting sqref="AH26">
    <cfRule type="cellIs" priority="165" operator="lessThanOrEqual" aboveAverage="0" equalAverage="0" bottom="0" percent="0" rank="0" text="" dxfId="2">
      <formula>J26</formula>
    </cfRule>
  </conditionalFormatting>
  <conditionalFormatting sqref="AH27">
    <cfRule type="cellIs" priority="166" operator="lessThanOrEqual" aboveAverage="0" equalAverage="0" bottom="0" percent="0" rank="0" text="" dxfId="2">
      <formula>J27</formula>
    </cfRule>
  </conditionalFormatting>
  <conditionalFormatting sqref="AH28">
    <cfRule type="cellIs" priority="167" operator="lessThanOrEqual" aboveAverage="0" equalAverage="0" bottom="0" percent="0" rank="0" text="" dxfId="2">
      <formula>J28</formula>
    </cfRule>
  </conditionalFormatting>
  <conditionalFormatting sqref="AH29">
    <cfRule type="cellIs" priority="168" operator="lessThanOrEqual" aboveAverage="0" equalAverage="0" bottom="0" percent="0" rank="0" text="" dxfId="2">
      <formula>J29</formula>
    </cfRule>
  </conditionalFormatting>
  <conditionalFormatting sqref="AH30">
    <cfRule type="cellIs" priority="169" operator="lessThanOrEqual" aboveAverage="0" equalAverage="0" bottom="0" percent="0" rank="0" text="" dxfId="2">
      <formula>J30</formula>
    </cfRule>
  </conditionalFormatting>
  <conditionalFormatting sqref="AH31">
    <cfRule type="cellIs" priority="170" operator="lessThanOrEqual" aboveAverage="0" equalAverage="0" bottom="0" percent="0" rank="0" text="" dxfId="2">
      <formula>J31</formula>
    </cfRule>
  </conditionalFormatting>
  <conditionalFormatting sqref="AH33">
    <cfRule type="cellIs" priority="171" operator="lessThanOrEqual" aboveAverage="0" equalAverage="0" bottom="0" percent="0" rank="0" text="" dxfId="2">
      <formula>J33</formula>
    </cfRule>
  </conditionalFormatting>
  <conditionalFormatting sqref="AH34">
    <cfRule type="cellIs" priority="172" operator="lessThanOrEqual" aboveAverage="0" equalAverage="0" bottom="0" percent="0" rank="0" text="" dxfId="2">
      <formula>J34</formula>
    </cfRule>
  </conditionalFormatting>
  <conditionalFormatting sqref="AH35">
    <cfRule type="cellIs" priority="173" operator="lessThanOrEqual" aboveAverage="0" equalAverage="0" bottom="0" percent="0" rank="0" text="" dxfId="2">
      <formula>J35</formula>
    </cfRule>
  </conditionalFormatting>
  <conditionalFormatting sqref="AH36">
    <cfRule type="cellIs" priority="174" operator="lessThanOrEqual" aboveAverage="0" equalAverage="0" bottom="0" percent="0" rank="0" text="" dxfId="2">
      <formula>J36</formula>
    </cfRule>
  </conditionalFormatting>
  <conditionalFormatting sqref="AH37">
    <cfRule type="cellIs" priority="175" operator="lessThanOrEqual" aboveAverage="0" equalAverage="0" bottom="0" percent="0" rank="0" text="" dxfId="2">
      <formula>J37</formula>
    </cfRule>
  </conditionalFormatting>
  <conditionalFormatting sqref="AH38">
    <cfRule type="cellIs" priority="176" operator="lessThanOrEqual" aboveAverage="0" equalAverage="0" bottom="0" percent="0" rank="0" text="" dxfId="2">
      <formula>J38</formula>
    </cfRule>
  </conditionalFormatting>
  <conditionalFormatting sqref="AH39">
    <cfRule type="cellIs" priority="177" operator="lessThanOrEqual" aboveAverage="0" equalAverage="0" bottom="0" percent="0" rank="0" text="" dxfId="2">
      <formula>J39</formula>
    </cfRule>
  </conditionalFormatting>
  <conditionalFormatting sqref="AH41">
    <cfRule type="cellIs" priority="178" operator="lessThanOrEqual" aboveAverage="0" equalAverage="0" bottom="0" percent="0" rank="0" text="" dxfId="2">
      <formula>J41</formula>
    </cfRule>
  </conditionalFormatting>
  <conditionalFormatting sqref="AH7">
    <cfRule type="cellIs" priority="179" operator="lessThanOrEqual" aboveAverage="0" equalAverage="0" bottom="0" percent="0" rank="0" text="" dxfId="2">
      <formula>J7</formula>
    </cfRule>
  </conditionalFormatting>
  <conditionalFormatting sqref="AH8">
    <cfRule type="cellIs" priority="180" operator="lessThanOrEqual" aboveAverage="0" equalAverage="0" bottom="0" percent="0" rank="0" text="" dxfId="2">
      <formula>J8</formula>
    </cfRule>
  </conditionalFormatting>
  <conditionalFormatting sqref="AH9">
    <cfRule type="cellIs" priority="181" operator="lessThanOrEqual" aboveAverage="0" equalAverage="0" bottom="0" percent="0" rank="0" text="" dxfId="2">
      <formula>J9</formula>
    </cfRule>
  </conditionalFormatting>
  <conditionalFormatting sqref="AJ10">
    <cfRule type="cellIs" priority="182" operator="equal" aboveAverage="0" equalAverage="0" bottom="0" percent="0" rank="0" text="" dxfId="1">
      <formula>0</formula>
    </cfRule>
    <cfRule type="cellIs" priority="183" operator="lessThan" aboveAverage="0" equalAverage="0" bottom="0" percent="0" rank="0" text="" dxfId="3">
      <formula>H10</formula>
    </cfRule>
  </conditionalFormatting>
  <conditionalFormatting sqref="AJ11">
    <cfRule type="cellIs" priority="184" operator="equal" aboveAverage="0" equalAverage="0" bottom="0" percent="0" rank="0" text="" dxfId="1">
      <formula>0</formula>
    </cfRule>
    <cfRule type="cellIs" priority="185" operator="lessThan" aboveAverage="0" equalAverage="0" bottom="0" percent="0" rank="0" text="" dxfId="3">
      <formula>H11</formula>
    </cfRule>
  </conditionalFormatting>
  <conditionalFormatting sqref="AJ12">
    <cfRule type="cellIs" priority="186" operator="equal" aboveAverage="0" equalAverage="0" bottom="0" percent="0" rank="0" text="" dxfId="1">
      <formula>0</formula>
    </cfRule>
    <cfRule type="cellIs" priority="187" operator="lessThan" aboveAverage="0" equalAverage="0" bottom="0" percent="0" rank="0" text="" dxfId="3">
      <formula>H12</formula>
    </cfRule>
  </conditionalFormatting>
  <conditionalFormatting sqref="AJ13">
    <cfRule type="cellIs" priority="188" operator="equal" aboveAverage="0" equalAverage="0" bottom="0" percent="0" rank="0" text="" dxfId="1">
      <formula>0</formula>
    </cfRule>
    <cfRule type="cellIs" priority="189" operator="lessThan" aboveAverage="0" equalAverage="0" bottom="0" percent="0" rank="0" text="" dxfId="3">
      <formula>H13</formula>
    </cfRule>
  </conditionalFormatting>
  <conditionalFormatting sqref="AJ14">
    <cfRule type="cellIs" priority="190" operator="equal" aboveAverage="0" equalAverage="0" bottom="0" percent="0" rank="0" text="" dxfId="1">
      <formula>0</formula>
    </cfRule>
    <cfRule type="cellIs" priority="191" operator="lessThan" aboveAverage="0" equalAverage="0" bottom="0" percent="0" rank="0" text="" dxfId="3">
      <formula>H14</formula>
    </cfRule>
  </conditionalFormatting>
  <conditionalFormatting sqref="AJ15">
    <cfRule type="cellIs" priority="192" operator="equal" aboveAverage="0" equalAverage="0" bottom="0" percent="0" rank="0" text="" dxfId="1">
      <formula>0</formula>
    </cfRule>
    <cfRule type="cellIs" priority="193" operator="lessThan" aboveAverage="0" equalAverage="0" bottom="0" percent="0" rank="0" text="" dxfId="3">
      <formula>H15</formula>
    </cfRule>
  </conditionalFormatting>
  <conditionalFormatting sqref="AJ21">
    <cfRule type="cellIs" priority="194" operator="equal" aboveAverage="0" equalAverage="0" bottom="0" percent="0" rank="0" text="" dxfId="1">
      <formula>0</formula>
    </cfRule>
    <cfRule type="cellIs" priority="195" operator="lessThan" aboveAverage="0" equalAverage="0" bottom="0" percent="0" rank="0" text="" dxfId="3">
      <formula>H21</formula>
    </cfRule>
  </conditionalFormatting>
  <conditionalFormatting sqref="AJ22">
    <cfRule type="cellIs" priority="196" operator="equal" aboveAverage="0" equalAverage="0" bottom="0" percent="0" rank="0" text="" dxfId="1">
      <formula>0</formula>
    </cfRule>
    <cfRule type="cellIs" priority="197" operator="lessThan" aboveAverage="0" equalAverage="0" bottom="0" percent="0" rank="0" text="" dxfId="3">
      <formula>H22</formula>
    </cfRule>
  </conditionalFormatting>
  <conditionalFormatting sqref="AJ23">
    <cfRule type="cellIs" priority="198" operator="equal" aboveAverage="0" equalAverage="0" bottom="0" percent="0" rank="0" text="" dxfId="1">
      <formula>0</formula>
    </cfRule>
    <cfRule type="cellIs" priority="199" operator="lessThan" aboveAverage="0" equalAverage="0" bottom="0" percent="0" rank="0" text="" dxfId="3">
      <formula>H23</formula>
    </cfRule>
  </conditionalFormatting>
  <conditionalFormatting sqref="AJ24">
    <cfRule type="cellIs" priority="200" operator="equal" aboveAverage="0" equalAverage="0" bottom="0" percent="0" rank="0" text="" dxfId="1">
      <formula>0</formula>
    </cfRule>
    <cfRule type="cellIs" priority="201" operator="lessThan" aboveAverage="0" equalAverage="0" bottom="0" percent="0" rank="0" text="" dxfId="3">
      <formula>H24</formula>
    </cfRule>
  </conditionalFormatting>
  <conditionalFormatting sqref="AJ25">
    <cfRule type="cellIs" priority="202" operator="equal" aboveAverage="0" equalAverage="0" bottom="0" percent="0" rank="0" text="" dxfId="1">
      <formula>0</formula>
    </cfRule>
    <cfRule type="cellIs" priority="203" operator="lessThan" aboveAverage="0" equalAverage="0" bottom="0" percent="0" rank="0" text="" dxfId="3">
      <formula>H25</formula>
    </cfRule>
  </conditionalFormatting>
  <conditionalFormatting sqref="AJ26">
    <cfRule type="cellIs" priority="204" operator="equal" aboveAverage="0" equalAverage="0" bottom="0" percent="0" rank="0" text="" dxfId="1">
      <formula>0</formula>
    </cfRule>
    <cfRule type="cellIs" priority="205" operator="lessThan" aboveAverage="0" equalAverage="0" bottom="0" percent="0" rank="0" text="" dxfId="3">
      <formula>H26</formula>
    </cfRule>
  </conditionalFormatting>
  <conditionalFormatting sqref="AJ27">
    <cfRule type="cellIs" priority="206" operator="equal" aboveAverage="0" equalAverage="0" bottom="0" percent="0" rank="0" text="" dxfId="1">
      <formula>0</formula>
    </cfRule>
    <cfRule type="cellIs" priority="207" operator="lessThan" aboveAverage="0" equalAverage="0" bottom="0" percent="0" rank="0" text="" dxfId="3">
      <formula>H27</formula>
    </cfRule>
  </conditionalFormatting>
  <conditionalFormatting sqref="AJ28">
    <cfRule type="cellIs" priority="208" operator="equal" aboveAverage="0" equalAverage="0" bottom="0" percent="0" rank="0" text="" dxfId="1">
      <formula>0</formula>
    </cfRule>
    <cfRule type="cellIs" priority="209" operator="lessThan" aboveAverage="0" equalAverage="0" bottom="0" percent="0" rank="0" text="" dxfId="3">
      <formula>H28</formula>
    </cfRule>
  </conditionalFormatting>
  <conditionalFormatting sqref="AJ29">
    <cfRule type="cellIs" priority="210" operator="equal" aboveAverage="0" equalAverage="0" bottom="0" percent="0" rank="0" text="" dxfId="1">
      <formula>0</formula>
    </cfRule>
    <cfRule type="cellIs" priority="211" operator="lessThan" aboveAverage="0" equalAverage="0" bottom="0" percent="0" rank="0" text="" dxfId="3">
      <formula>H29</formula>
    </cfRule>
  </conditionalFormatting>
  <conditionalFormatting sqref="AJ30">
    <cfRule type="cellIs" priority="212" operator="equal" aboveAverage="0" equalAverage="0" bottom="0" percent="0" rank="0" text="" dxfId="1">
      <formula>0</formula>
    </cfRule>
    <cfRule type="cellIs" priority="213" operator="lessThan" aboveAverage="0" equalAverage="0" bottom="0" percent="0" rank="0" text="" dxfId="3">
      <formula>H30</formula>
    </cfRule>
  </conditionalFormatting>
  <conditionalFormatting sqref="AJ31">
    <cfRule type="cellIs" priority="214" operator="equal" aboveAverage="0" equalAverage="0" bottom="0" percent="0" rank="0" text="" dxfId="1">
      <formula>0</formula>
    </cfRule>
    <cfRule type="cellIs" priority="215" operator="lessThan" aboveAverage="0" equalAverage="0" bottom="0" percent="0" rank="0" text="" dxfId="3">
      <formula>H31</formula>
    </cfRule>
  </conditionalFormatting>
  <conditionalFormatting sqref="AJ33">
    <cfRule type="cellIs" priority="216" operator="equal" aboveAverage="0" equalAverage="0" bottom="0" percent="0" rank="0" text="" dxfId="1">
      <formula>0</formula>
    </cfRule>
    <cfRule type="cellIs" priority="217" operator="lessThan" aboveAverage="0" equalAverage="0" bottom="0" percent="0" rank="0" text="" dxfId="3">
      <formula>H33</formula>
    </cfRule>
  </conditionalFormatting>
  <conditionalFormatting sqref="AJ34">
    <cfRule type="cellIs" priority="218" operator="equal" aboveAverage="0" equalAverage="0" bottom="0" percent="0" rank="0" text="" dxfId="1">
      <formula>0</formula>
    </cfRule>
    <cfRule type="cellIs" priority="219" operator="lessThan" aboveAverage="0" equalAverage="0" bottom="0" percent="0" rank="0" text="" dxfId="3">
      <formula>H34</formula>
    </cfRule>
  </conditionalFormatting>
  <conditionalFormatting sqref="AJ35">
    <cfRule type="cellIs" priority="220" operator="equal" aboveAverage="0" equalAverage="0" bottom="0" percent="0" rank="0" text="" dxfId="1">
      <formula>0</formula>
    </cfRule>
    <cfRule type="cellIs" priority="221" operator="lessThan" aboveAverage="0" equalAverage="0" bottom="0" percent="0" rank="0" text="" dxfId="3">
      <formula>H35</formula>
    </cfRule>
  </conditionalFormatting>
  <conditionalFormatting sqref="AJ37">
    <cfRule type="cellIs" priority="222" operator="equal" aboveAverage="0" equalAverage="0" bottom="0" percent="0" rank="0" text="" dxfId="1">
      <formula>0</formula>
    </cfRule>
    <cfRule type="cellIs" priority="223" operator="lessThan" aboveAverage="0" equalAverage="0" bottom="0" percent="0" rank="0" text="" dxfId="3">
      <formula>H37</formula>
    </cfRule>
  </conditionalFormatting>
  <conditionalFormatting sqref="AJ38">
    <cfRule type="cellIs" priority="224" operator="equal" aboveAverage="0" equalAverage="0" bottom="0" percent="0" rank="0" text="" dxfId="1">
      <formula>0</formula>
    </cfRule>
    <cfRule type="cellIs" priority="225" operator="lessThan" aboveAverage="0" equalAverage="0" bottom="0" percent="0" rank="0" text="" dxfId="3">
      <formula>H38</formula>
    </cfRule>
  </conditionalFormatting>
  <conditionalFormatting sqref="AJ39">
    <cfRule type="cellIs" priority="226" operator="equal" aboveAverage="0" equalAverage="0" bottom="0" percent="0" rank="0" text="" dxfId="1">
      <formula>0</formula>
    </cfRule>
    <cfRule type="cellIs" priority="227" operator="lessThan" aboveAverage="0" equalAverage="0" bottom="0" percent="0" rank="0" text="" dxfId="3">
      <formula>H39</formula>
    </cfRule>
  </conditionalFormatting>
  <conditionalFormatting sqref="AJ41">
    <cfRule type="cellIs" priority="228" operator="equal" aboveAverage="0" equalAverage="0" bottom="0" percent="0" rank="0" text="" dxfId="1">
      <formula>0</formula>
    </cfRule>
    <cfRule type="cellIs" priority="229" operator="lessThan" aboveAverage="0" equalAverage="0" bottom="0" percent="0" rank="0" text="" dxfId="3">
      <formula>H41</formula>
    </cfRule>
  </conditionalFormatting>
  <conditionalFormatting sqref="AJ7">
    <cfRule type="cellIs" priority="230" operator="equal" aboveAverage="0" equalAverage="0" bottom="0" percent="0" rank="0" text="" dxfId="1">
      <formula>0</formula>
    </cfRule>
    <cfRule type="cellIs" priority="231" operator="lessThan" aboveAverage="0" equalAverage="0" bottom="0" percent="0" rank="0" text="" dxfId="3">
      <formula>H7</formula>
    </cfRule>
  </conditionalFormatting>
  <conditionalFormatting sqref="AJ8">
    <cfRule type="cellIs" priority="232" operator="equal" aboveAverage="0" equalAverage="0" bottom="0" percent="0" rank="0" text="" dxfId="1">
      <formula>0</formula>
    </cfRule>
    <cfRule type="cellIs" priority="233" operator="lessThan" aboveAverage="0" equalAverage="0" bottom="0" percent="0" rank="0" text="" dxfId="3">
      <formula>H8</formula>
    </cfRule>
  </conditionalFormatting>
  <conditionalFormatting sqref="AJ9">
    <cfRule type="cellIs" priority="234" operator="equal" aboveAverage="0" equalAverage="0" bottom="0" percent="0" rank="0" text="" dxfId="1">
      <formula>0</formula>
    </cfRule>
    <cfRule type="cellIs" priority="235" operator="lessThan" aboveAverage="0" equalAverage="0" bottom="0" percent="0" rank="0" text="" dxfId="3">
      <formula>H9</formula>
    </cfRule>
  </conditionalFormatting>
  <conditionalFormatting sqref="AK10">
    <cfRule type="cellIs" priority="236" operator="greaterThan" aboveAverage="0" equalAverage="0" bottom="0" percent="0" rank="0" text="" dxfId="1">
      <formula>AJ10</formula>
    </cfRule>
  </conditionalFormatting>
  <conditionalFormatting sqref="AK11">
    <cfRule type="cellIs" priority="237" operator="greaterThan" aboveAverage="0" equalAverage="0" bottom="0" percent="0" rank="0" text="" dxfId="1">
      <formula>AJ11</formula>
    </cfRule>
  </conditionalFormatting>
  <conditionalFormatting sqref="AK12">
    <cfRule type="cellIs" priority="238" operator="greaterThan" aboveAverage="0" equalAverage="0" bottom="0" percent="0" rank="0" text="" dxfId="1">
      <formula>AJ12</formula>
    </cfRule>
  </conditionalFormatting>
  <conditionalFormatting sqref="AK13">
    <cfRule type="cellIs" priority="239" operator="greaterThan" aboveAverage="0" equalAverage="0" bottom="0" percent="0" rank="0" text="" dxfId="1">
      <formula>AJ13</formula>
    </cfRule>
  </conditionalFormatting>
  <conditionalFormatting sqref="AK14">
    <cfRule type="cellIs" priority="240" operator="greaterThan" aboveAverage="0" equalAverage="0" bottom="0" percent="0" rank="0" text="" dxfId="1">
      <formula>AJ14</formula>
    </cfRule>
  </conditionalFormatting>
  <conditionalFormatting sqref="AK15">
    <cfRule type="cellIs" priority="241" operator="greaterThan" aboveAverage="0" equalAverage="0" bottom="0" percent="0" rank="0" text="" dxfId="1">
      <formula>AJ15</formula>
    </cfRule>
  </conditionalFormatting>
  <conditionalFormatting sqref="AK21">
    <cfRule type="cellIs" priority="242" operator="greaterThan" aboveAverage="0" equalAverage="0" bottom="0" percent="0" rank="0" text="" dxfId="1">
      <formula>AJ21</formula>
    </cfRule>
  </conditionalFormatting>
  <conditionalFormatting sqref="AK22">
    <cfRule type="expression" priority="243" aboveAverage="0" equalAverage="0" bottom="0" percent="0" rank="0" text="" dxfId="0">
      <formula>AND(AK22&gt;0,AK22&lt;15000)</formula>
    </cfRule>
    <cfRule type="cellIs" priority="244" operator="greaterThan" aboveAverage="0" equalAverage="0" bottom="0" percent="0" rank="0" text="" dxfId="1">
      <formula>AJ22</formula>
    </cfRule>
  </conditionalFormatting>
  <conditionalFormatting sqref="AK23">
    <cfRule type="cellIs" priority="245" operator="greaterThan" aboveAverage="0" equalAverage="0" bottom="0" percent="0" rank="0" text="" dxfId="1">
      <formula>AJ23</formula>
    </cfRule>
  </conditionalFormatting>
  <conditionalFormatting sqref="AK24">
    <cfRule type="cellIs" priority="246" operator="greaterThan" aboveAverage="0" equalAverage="0" bottom="0" percent="0" rank="0" text="" dxfId="1">
      <formula>AJ24</formula>
    </cfRule>
  </conditionalFormatting>
  <conditionalFormatting sqref="AK25">
    <cfRule type="cellIs" priority="247" operator="greaterThan" aboveAverage="0" equalAverage="0" bottom="0" percent="0" rank="0" text="" dxfId="1">
      <formula>AJ25</formula>
    </cfRule>
  </conditionalFormatting>
  <conditionalFormatting sqref="AK26">
    <cfRule type="cellIs" priority="248" operator="greaterThan" aboveAverage="0" equalAverage="0" bottom="0" percent="0" rank="0" text="" dxfId="1">
      <formula>AJ26</formula>
    </cfRule>
  </conditionalFormatting>
  <conditionalFormatting sqref="AK27">
    <cfRule type="expression" priority="249" aboveAverage="0" equalAverage="0" bottom="0" percent="0" rank="0" text="" dxfId="0">
      <formula>AND(AK27&gt;0,AK27&lt;15000)</formula>
    </cfRule>
    <cfRule type="cellIs" priority="250" operator="greaterThan" aboveAverage="0" equalAverage="0" bottom="0" percent="0" rank="0" text="" dxfId="1">
      <formula>AJ27</formula>
    </cfRule>
  </conditionalFormatting>
  <conditionalFormatting sqref="AK28">
    <cfRule type="cellIs" priority="251" operator="greaterThan" aboveAverage="0" equalAverage="0" bottom="0" percent="0" rank="0" text="" dxfId="1">
      <formula>AJ28</formula>
    </cfRule>
  </conditionalFormatting>
  <conditionalFormatting sqref="AK29">
    <cfRule type="cellIs" priority="252" operator="greaterThan" aboveAverage="0" equalAverage="0" bottom="0" percent="0" rank="0" text="" dxfId="1">
      <formula>AJ29</formula>
    </cfRule>
  </conditionalFormatting>
  <conditionalFormatting sqref="AK30">
    <cfRule type="cellIs" priority="253" operator="greaterThan" aboveAverage="0" equalAverage="0" bottom="0" percent="0" rank="0" text="" dxfId="1">
      <formula>AJ30</formula>
    </cfRule>
  </conditionalFormatting>
  <conditionalFormatting sqref="AK31">
    <cfRule type="expression" priority="254" aboveAverage="0" equalAverage="0" bottom="0" percent="0" rank="0" text="" dxfId="0">
      <formula>AND(AK31&gt;0,AK31&lt;5)</formula>
    </cfRule>
    <cfRule type="cellIs" priority="255" operator="greaterThan" aboveAverage="0" equalAverage="0" bottom="0" percent="0" rank="0" text="" dxfId="1">
      <formula>AJ31</formula>
    </cfRule>
  </conditionalFormatting>
  <conditionalFormatting sqref="AK33">
    <cfRule type="cellIs" priority="256" operator="greaterThan" aboveAverage="0" equalAverage="0" bottom="0" percent="0" rank="0" text="" dxfId="1">
      <formula>AJ33</formula>
    </cfRule>
  </conditionalFormatting>
  <conditionalFormatting sqref="AK34">
    <cfRule type="expression" priority="257" aboveAverage="0" equalAverage="0" bottom="0" percent="0" rank="0" text="" dxfId="0">
      <formula>AND(AK34&gt;0,AK34&lt;5)</formula>
    </cfRule>
    <cfRule type="cellIs" priority="258" operator="greaterThan" aboveAverage="0" equalAverage="0" bottom="0" percent="0" rank="0" text="" dxfId="1">
      <formula>AJ34</formula>
    </cfRule>
  </conditionalFormatting>
  <conditionalFormatting sqref="AK35">
    <cfRule type="cellIs" priority="259" operator="greaterThan" aboveAverage="0" equalAverage="0" bottom="0" percent="0" rank="0" text="" dxfId="1">
      <formula>AJ35</formula>
    </cfRule>
  </conditionalFormatting>
  <conditionalFormatting sqref="AK37">
    <cfRule type="cellIs" priority="260" operator="greaterThan" aboveAverage="0" equalAverage="0" bottom="0" percent="0" rank="0" text="" dxfId="1">
      <formula>AJ37</formula>
    </cfRule>
  </conditionalFormatting>
  <conditionalFormatting sqref="AK38">
    <cfRule type="cellIs" priority="261" operator="greaterThan" aboveAverage="0" equalAverage="0" bottom="0" percent="0" rank="0" text="" dxfId="1">
      <formula>AJ38</formula>
    </cfRule>
  </conditionalFormatting>
  <conditionalFormatting sqref="AK39">
    <cfRule type="cellIs" priority="262" operator="greaterThan" aboveAverage="0" equalAverage="0" bottom="0" percent="0" rank="0" text="" dxfId="1">
      <formula>AJ39</formula>
    </cfRule>
  </conditionalFormatting>
  <conditionalFormatting sqref="AK41">
    <cfRule type="cellIs" priority="263" operator="greaterThan" aboveAverage="0" equalAverage="0" bottom="0" percent="0" rank="0" text="" dxfId="1">
      <formula>AJ41</formula>
    </cfRule>
  </conditionalFormatting>
  <conditionalFormatting sqref="AK7">
    <cfRule type="expression" priority="264" aboveAverage="0" equalAverage="0" bottom="0" percent="0" rank="0" text="" dxfId="0">
      <formula>AND(AK7&gt;0,AK7&lt;10)</formula>
    </cfRule>
    <cfRule type="cellIs" priority="265" operator="greaterThan" aboveAverage="0" equalAverage="0" bottom="0" percent="0" rank="0" text="" dxfId="1">
      <formula>AJ7</formula>
    </cfRule>
  </conditionalFormatting>
  <conditionalFormatting sqref="AK8">
    <cfRule type="cellIs" priority="266" operator="greaterThan" aboveAverage="0" equalAverage="0" bottom="0" percent="0" rank="0" text="" dxfId="1">
      <formula>AJ8</formula>
    </cfRule>
  </conditionalFormatting>
  <conditionalFormatting sqref="AK9">
    <cfRule type="cellIs" priority="267" operator="greaterThan" aboveAverage="0" equalAverage="0" bottom="0" percent="0" rank="0" text="" dxfId="1">
      <formula>AJ9</formula>
    </cfRule>
  </conditionalFormatting>
  <conditionalFormatting sqref="AL10">
    <cfRule type="cellIs" priority="268" operator="lessThanOrEqual" aboveAverage="0" equalAverage="0" bottom="0" percent="0" rank="0" text="" dxfId="2">
      <formula>I10</formula>
    </cfRule>
  </conditionalFormatting>
  <conditionalFormatting sqref="AL11">
    <cfRule type="cellIs" priority="269" operator="lessThanOrEqual" aboveAverage="0" equalAverage="0" bottom="0" percent="0" rank="0" text="" dxfId="2">
      <formula>I11</formula>
    </cfRule>
  </conditionalFormatting>
  <conditionalFormatting sqref="AL12">
    <cfRule type="cellIs" priority="270" operator="lessThanOrEqual" aboveAverage="0" equalAverage="0" bottom="0" percent="0" rank="0" text="" dxfId="2">
      <formula>I12</formula>
    </cfRule>
  </conditionalFormatting>
  <conditionalFormatting sqref="AL13">
    <cfRule type="cellIs" priority="271" operator="lessThanOrEqual" aboveAverage="0" equalAverage="0" bottom="0" percent="0" rank="0" text="" dxfId="2">
      <formula>I13</formula>
    </cfRule>
  </conditionalFormatting>
  <conditionalFormatting sqref="AL14">
    <cfRule type="cellIs" priority="272" operator="lessThanOrEqual" aboveAverage="0" equalAverage="0" bottom="0" percent="0" rank="0" text="" dxfId="2">
      <formula>I14</formula>
    </cfRule>
  </conditionalFormatting>
  <conditionalFormatting sqref="AL15">
    <cfRule type="cellIs" priority="273" operator="lessThanOrEqual" aboveAverage="0" equalAverage="0" bottom="0" percent="0" rank="0" text="" dxfId="2">
      <formula>I15</formula>
    </cfRule>
  </conditionalFormatting>
  <conditionalFormatting sqref="AL21">
    <cfRule type="cellIs" priority="274" operator="lessThanOrEqual" aboveAverage="0" equalAverage="0" bottom="0" percent="0" rank="0" text="" dxfId="2">
      <formula>I21</formula>
    </cfRule>
  </conditionalFormatting>
  <conditionalFormatting sqref="AL22">
    <cfRule type="cellIs" priority="275" operator="lessThanOrEqual" aboveAverage="0" equalAverage="0" bottom="0" percent="0" rank="0" text="" dxfId="2">
      <formula>I22</formula>
    </cfRule>
  </conditionalFormatting>
  <conditionalFormatting sqref="AL23">
    <cfRule type="cellIs" priority="276" operator="lessThanOrEqual" aboveAverage="0" equalAverage="0" bottom="0" percent="0" rank="0" text="" dxfId="2">
      <formula>I23</formula>
    </cfRule>
  </conditionalFormatting>
  <conditionalFormatting sqref="AL24">
    <cfRule type="cellIs" priority="277" operator="lessThanOrEqual" aboveAverage="0" equalAverage="0" bottom="0" percent="0" rank="0" text="" dxfId="2">
      <formula>I24</formula>
    </cfRule>
  </conditionalFormatting>
  <conditionalFormatting sqref="AL25">
    <cfRule type="cellIs" priority="278" operator="lessThanOrEqual" aboveAverage="0" equalAverage="0" bottom="0" percent="0" rank="0" text="" dxfId="2">
      <formula>I25</formula>
    </cfRule>
  </conditionalFormatting>
  <conditionalFormatting sqref="AL26">
    <cfRule type="cellIs" priority="279" operator="lessThanOrEqual" aboveAverage="0" equalAverage="0" bottom="0" percent="0" rank="0" text="" dxfId="2">
      <formula>I26</formula>
    </cfRule>
  </conditionalFormatting>
  <conditionalFormatting sqref="AL27">
    <cfRule type="cellIs" priority="280" operator="lessThanOrEqual" aboveAverage="0" equalAverage="0" bottom="0" percent="0" rank="0" text="" dxfId="2">
      <formula>I27</formula>
    </cfRule>
  </conditionalFormatting>
  <conditionalFormatting sqref="AL28">
    <cfRule type="cellIs" priority="281" operator="lessThanOrEqual" aboveAverage="0" equalAverage="0" bottom="0" percent="0" rank="0" text="" dxfId="2">
      <formula>I28</formula>
    </cfRule>
  </conditionalFormatting>
  <conditionalFormatting sqref="AL29">
    <cfRule type="cellIs" priority="282" operator="lessThanOrEqual" aboveAverage="0" equalAverage="0" bottom="0" percent="0" rank="0" text="" dxfId="2">
      <formula>I29</formula>
    </cfRule>
  </conditionalFormatting>
  <conditionalFormatting sqref="AL30">
    <cfRule type="cellIs" priority="283" operator="lessThanOrEqual" aboveAverage="0" equalAverage="0" bottom="0" percent="0" rank="0" text="" dxfId="2">
      <formula>I30</formula>
    </cfRule>
  </conditionalFormatting>
  <conditionalFormatting sqref="AL31">
    <cfRule type="cellIs" priority="284" operator="lessThanOrEqual" aboveAverage="0" equalAverage="0" bottom="0" percent="0" rank="0" text="" dxfId="2">
      <formula>I31</formula>
    </cfRule>
  </conditionalFormatting>
  <conditionalFormatting sqref="AL33">
    <cfRule type="cellIs" priority="285" operator="lessThanOrEqual" aboveAverage="0" equalAverage="0" bottom="0" percent="0" rank="0" text="" dxfId="2">
      <formula>I33</formula>
    </cfRule>
  </conditionalFormatting>
  <conditionalFormatting sqref="AL34">
    <cfRule type="cellIs" priority="286" operator="lessThanOrEqual" aboveAverage="0" equalAverage="0" bottom="0" percent="0" rank="0" text="" dxfId="2">
      <formula>I34</formula>
    </cfRule>
  </conditionalFormatting>
  <conditionalFormatting sqref="AL35">
    <cfRule type="cellIs" priority="287" operator="lessThanOrEqual" aboveAverage="0" equalAverage="0" bottom="0" percent="0" rank="0" text="" dxfId="2">
      <formula>I35</formula>
    </cfRule>
  </conditionalFormatting>
  <conditionalFormatting sqref="AL37">
    <cfRule type="cellIs" priority="288" operator="lessThanOrEqual" aboveAverage="0" equalAverage="0" bottom="0" percent="0" rank="0" text="" dxfId="2">
      <formula>I37</formula>
    </cfRule>
  </conditionalFormatting>
  <conditionalFormatting sqref="AL38">
    <cfRule type="cellIs" priority="289" operator="lessThanOrEqual" aboveAverage="0" equalAverage="0" bottom="0" percent="0" rank="0" text="" dxfId="2">
      <formula>I38</formula>
    </cfRule>
  </conditionalFormatting>
  <conditionalFormatting sqref="AL39">
    <cfRule type="cellIs" priority="290" operator="lessThanOrEqual" aboveAverage="0" equalAverage="0" bottom="0" percent="0" rank="0" text="" dxfId="2">
      <formula>I39</formula>
    </cfRule>
  </conditionalFormatting>
  <conditionalFormatting sqref="AL41">
    <cfRule type="cellIs" priority="291" operator="lessThanOrEqual" aboveAverage="0" equalAverage="0" bottom="0" percent="0" rank="0" text="" dxfId="2">
      <formula>I41</formula>
    </cfRule>
  </conditionalFormatting>
  <conditionalFormatting sqref="AL7">
    <cfRule type="cellIs" priority="292" operator="lessThanOrEqual" aboveAverage="0" equalAverage="0" bottom="0" percent="0" rank="0" text="" dxfId="2">
      <formula>I7</formula>
    </cfRule>
  </conditionalFormatting>
  <conditionalFormatting sqref="AL8">
    <cfRule type="cellIs" priority="293" operator="lessThanOrEqual" aboveAverage="0" equalAverage="0" bottom="0" percent="0" rank="0" text="" dxfId="2">
      <formula>I8</formula>
    </cfRule>
  </conditionalFormatting>
  <conditionalFormatting sqref="AL9">
    <cfRule type="cellIs" priority="294" operator="lessThanOrEqual" aboveAverage="0" equalAverage="0" bottom="0" percent="0" rank="0" text="" dxfId="2">
      <formula>I9</formula>
    </cfRule>
  </conditionalFormatting>
  <conditionalFormatting sqref="AM10">
    <cfRule type="cellIs" priority="295" operator="lessThanOrEqual" aboveAverage="0" equalAverage="0" bottom="0" percent="0" rank="0" text="" dxfId="2">
      <formula>J10</formula>
    </cfRule>
  </conditionalFormatting>
  <conditionalFormatting sqref="AM11">
    <cfRule type="cellIs" priority="296" operator="lessThanOrEqual" aboveAverage="0" equalAverage="0" bottom="0" percent="0" rank="0" text="" dxfId="2">
      <formula>J11</formula>
    </cfRule>
  </conditionalFormatting>
  <conditionalFormatting sqref="AM12">
    <cfRule type="cellIs" priority="297" operator="lessThanOrEqual" aboveAverage="0" equalAverage="0" bottom="0" percent="0" rank="0" text="" dxfId="2">
      <formula>J12</formula>
    </cfRule>
  </conditionalFormatting>
  <conditionalFormatting sqref="AM13">
    <cfRule type="cellIs" priority="298" operator="lessThanOrEqual" aboveAverage="0" equalAverage="0" bottom="0" percent="0" rank="0" text="" dxfId="2">
      <formula>J13</formula>
    </cfRule>
  </conditionalFormatting>
  <conditionalFormatting sqref="AM14">
    <cfRule type="cellIs" priority="299" operator="lessThanOrEqual" aboveAverage="0" equalAverage="0" bottom="0" percent="0" rank="0" text="" dxfId="2">
      <formula>J14</formula>
    </cfRule>
  </conditionalFormatting>
  <conditionalFormatting sqref="AM15">
    <cfRule type="cellIs" priority="300" operator="lessThanOrEqual" aboveAverage="0" equalAverage="0" bottom="0" percent="0" rank="0" text="" dxfId="2">
      <formula>J15</formula>
    </cfRule>
  </conditionalFormatting>
  <conditionalFormatting sqref="AM21">
    <cfRule type="cellIs" priority="301" operator="lessThanOrEqual" aboveAverage="0" equalAverage="0" bottom="0" percent="0" rank="0" text="" dxfId="2">
      <formula>J21</formula>
    </cfRule>
  </conditionalFormatting>
  <conditionalFormatting sqref="AM22">
    <cfRule type="cellIs" priority="302" operator="lessThanOrEqual" aboveAverage="0" equalAverage="0" bottom="0" percent="0" rank="0" text="" dxfId="2">
      <formula>J22</formula>
    </cfRule>
  </conditionalFormatting>
  <conditionalFormatting sqref="AM23">
    <cfRule type="cellIs" priority="303" operator="lessThanOrEqual" aboveAverage="0" equalAverage="0" bottom="0" percent="0" rank="0" text="" dxfId="2">
      <formula>J23</formula>
    </cfRule>
  </conditionalFormatting>
  <conditionalFormatting sqref="AM24">
    <cfRule type="cellIs" priority="304" operator="lessThanOrEqual" aboveAverage="0" equalAverage="0" bottom="0" percent="0" rank="0" text="" dxfId="2">
      <formula>J24</formula>
    </cfRule>
  </conditionalFormatting>
  <conditionalFormatting sqref="AM25">
    <cfRule type="cellIs" priority="305" operator="lessThanOrEqual" aboveAverage="0" equalAverage="0" bottom="0" percent="0" rank="0" text="" dxfId="2">
      <formula>J25</formula>
    </cfRule>
  </conditionalFormatting>
  <conditionalFormatting sqref="AM26">
    <cfRule type="cellIs" priority="306" operator="lessThanOrEqual" aboveAverage="0" equalAverage="0" bottom="0" percent="0" rank="0" text="" dxfId="2">
      <formula>J26</formula>
    </cfRule>
  </conditionalFormatting>
  <conditionalFormatting sqref="AM27">
    <cfRule type="cellIs" priority="307" operator="lessThanOrEqual" aboveAverage="0" equalAverage="0" bottom="0" percent="0" rank="0" text="" dxfId="2">
      <formula>J27</formula>
    </cfRule>
  </conditionalFormatting>
  <conditionalFormatting sqref="AM28">
    <cfRule type="cellIs" priority="308" operator="lessThanOrEqual" aboveAverage="0" equalAverage="0" bottom="0" percent="0" rank="0" text="" dxfId="2">
      <formula>J28</formula>
    </cfRule>
  </conditionalFormatting>
  <conditionalFormatting sqref="AM29">
    <cfRule type="cellIs" priority="309" operator="lessThanOrEqual" aboveAverage="0" equalAverage="0" bottom="0" percent="0" rank="0" text="" dxfId="2">
      <formula>J29</formula>
    </cfRule>
  </conditionalFormatting>
  <conditionalFormatting sqref="AM30">
    <cfRule type="cellIs" priority="310" operator="lessThanOrEqual" aboveAverage="0" equalAverage="0" bottom="0" percent="0" rank="0" text="" dxfId="2">
      <formula>J30</formula>
    </cfRule>
  </conditionalFormatting>
  <conditionalFormatting sqref="AM31">
    <cfRule type="cellIs" priority="311" operator="lessThanOrEqual" aboveAverage="0" equalAverage="0" bottom="0" percent="0" rank="0" text="" dxfId="2">
      <formula>J31</formula>
    </cfRule>
  </conditionalFormatting>
  <conditionalFormatting sqref="AM33">
    <cfRule type="cellIs" priority="312" operator="lessThanOrEqual" aboveAverage="0" equalAverage="0" bottom="0" percent="0" rank="0" text="" dxfId="2">
      <formula>J33</formula>
    </cfRule>
  </conditionalFormatting>
  <conditionalFormatting sqref="AM34">
    <cfRule type="cellIs" priority="313" operator="lessThanOrEqual" aboveAverage="0" equalAverage="0" bottom="0" percent="0" rank="0" text="" dxfId="2">
      <formula>J34</formula>
    </cfRule>
  </conditionalFormatting>
  <conditionalFormatting sqref="AM35">
    <cfRule type="cellIs" priority="314" operator="lessThanOrEqual" aboveAverage="0" equalAverage="0" bottom="0" percent="0" rank="0" text="" dxfId="2">
      <formula>J35</formula>
    </cfRule>
  </conditionalFormatting>
  <conditionalFormatting sqref="AM37">
    <cfRule type="cellIs" priority="315" operator="lessThanOrEqual" aboveAverage="0" equalAverage="0" bottom="0" percent="0" rank="0" text="" dxfId="2">
      <formula>J37</formula>
    </cfRule>
  </conditionalFormatting>
  <conditionalFormatting sqref="AM38">
    <cfRule type="cellIs" priority="316" operator="lessThanOrEqual" aboveAverage="0" equalAverage="0" bottom="0" percent="0" rank="0" text="" dxfId="2">
      <formula>J38</formula>
    </cfRule>
  </conditionalFormatting>
  <conditionalFormatting sqref="AM39">
    <cfRule type="cellIs" priority="317" operator="lessThanOrEqual" aboveAverage="0" equalAverage="0" bottom="0" percent="0" rank="0" text="" dxfId="2">
      <formula>J39</formula>
    </cfRule>
  </conditionalFormatting>
  <conditionalFormatting sqref="AM41">
    <cfRule type="cellIs" priority="318" operator="lessThanOrEqual" aboveAverage="0" equalAverage="0" bottom="0" percent="0" rank="0" text="" dxfId="2">
      <formula>J41</formula>
    </cfRule>
  </conditionalFormatting>
  <conditionalFormatting sqref="AM7">
    <cfRule type="cellIs" priority="319" operator="lessThanOrEqual" aboveAverage="0" equalAverage="0" bottom="0" percent="0" rank="0" text="" dxfId="2">
      <formula>J7</formula>
    </cfRule>
  </conditionalFormatting>
  <conditionalFormatting sqref="AM8">
    <cfRule type="cellIs" priority="320" operator="lessThanOrEqual" aboveAverage="0" equalAverage="0" bottom="0" percent="0" rank="0" text="" dxfId="2">
      <formula>J8</formula>
    </cfRule>
  </conditionalFormatting>
  <conditionalFormatting sqref="AM9">
    <cfRule type="cellIs" priority="321" operator="lessThanOrEqual" aboveAverage="0" equalAverage="0" bottom="0" percent="0" rank="0" text="" dxfId="2">
      <formula>J9</formula>
    </cfRule>
  </conditionalFormatting>
  <conditionalFormatting sqref="AO12">
    <cfRule type="cellIs" priority="322" operator="equal" aboveAverage="0" equalAverage="0" bottom="0" percent="0" rank="0" text="" dxfId="1">
      <formula>0</formula>
    </cfRule>
    <cfRule type="cellIs" priority="323" operator="lessThan" aboveAverage="0" equalAverage="0" bottom="0" percent="0" rank="0" text="" dxfId="3">
      <formula>H12</formula>
    </cfRule>
  </conditionalFormatting>
  <conditionalFormatting sqref="AO13">
    <cfRule type="cellIs" priority="324" operator="equal" aboveAverage="0" equalAverage="0" bottom="0" percent="0" rank="0" text="" dxfId="1">
      <formula>0</formula>
    </cfRule>
    <cfRule type="cellIs" priority="325" operator="lessThan" aboveAverage="0" equalAverage="0" bottom="0" percent="0" rank="0" text="" dxfId="3">
      <formula>H13</formula>
    </cfRule>
  </conditionalFormatting>
  <conditionalFormatting sqref="AO23">
    <cfRule type="cellIs" priority="326" operator="equal" aboveAverage="0" equalAverage="0" bottom="0" percent="0" rank="0" text="" dxfId="1">
      <formula>0</formula>
    </cfRule>
    <cfRule type="cellIs" priority="327" operator="lessThan" aboveAverage="0" equalAverage="0" bottom="0" percent="0" rank="0" text="" dxfId="3">
      <formula>H23</formula>
    </cfRule>
  </conditionalFormatting>
  <conditionalFormatting sqref="AO24">
    <cfRule type="cellIs" priority="328" operator="equal" aboveAverage="0" equalAverage="0" bottom="0" percent="0" rank="0" text="" dxfId="1">
      <formula>0</formula>
    </cfRule>
    <cfRule type="cellIs" priority="329" operator="lessThan" aboveAverage="0" equalAverage="0" bottom="0" percent="0" rank="0" text="" dxfId="3">
      <formula>H24</formula>
    </cfRule>
  </conditionalFormatting>
  <conditionalFormatting sqref="AO25">
    <cfRule type="cellIs" priority="330" operator="equal" aboveAverage="0" equalAverage="0" bottom="0" percent="0" rank="0" text="" dxfId="1">
      <formula>0</formula>
    </cfRule>
    <cfRule type="cellIs" priority="331" operator="lessThan" aboveAverage="0" equalAverage="0" bottom="0" percent="0" rank="0" text="" dxfId="3">
      <formula>H25</formula>
    </cfRule>
  </conditionalFormatting>
  <conditionalFormatting sqref="AO26">
    <cfRule type="cellIs" priority="332" operator="equal" aboveAverage="0" equalAverage="0" bottom="0" percent="0" rank="0" text="" dxfId="1">
      <formula>0</formula>
    </cfRule>
    <cfRule type="cellIs" priority="333" operator="lessThan" aboveAverage="0" equalAverage="0" bottom="0" percent="0" rank="0" text="" dxfId="3">
      <formula>H26</formula>
    </cfRule>
  </conditionalFormatting>
  <conditionalFormatting sqref="AO27">
    <cfRule type="cellIs" priority="334" operator="equal" aboveAverage="0" equalAverage="0" bottom="0" percent="0" rank="0" text="" dxfId="1">
      <formula>0</formula>
    </cfRule>
    <cfRule type="cellIs" priority="335" operator="lessThan" aboveAverage="0" equalAverage="0" bottom="0" percent="0" rank="0" text="" dxfId="3">
      <formula>H27</formula>
    </cfRule>
  </conditionalFormatting>
  <conditionalFormatting sqref="AO28">
    <cfRule type="cellIs" priority="336" operator="equal" aboveAverage="0" equalAverage="0" bottom="0" percent="0" rank="0" text="" dxfId="1">
      <formula>0</formula>
    </cfRule>
    <cfRule type="cellIs" priority="337" operator="lessThan" aboveAverage="0" equalAverage="0" bottom="0" percent="0" rank="0" text="" dxfId="3">
      <formula>H28</formula>
    </cfRule>
  </conditionalFormatting>
  <conditionalFormatting sqref="AO29">
    <cfRule type="cellIs" priority="338" operator="equal" aboveAverage="0" equalAverage="0" bottom="0" percent="0" rank="0" text="" dxfId="1">
      <formula>0</formula>
    </cfRule>
    <cfRule type="cellIs" priority="339" operator="lessThan" aboveAverage="0" equalAverage="0" bottom="0" percent="0" rank="0" text="" dxfId="3">
      <formula>H29</formula>
    </cfRule>
  </conditionalFormatting>
  <conditionalFormatting sqref="AO31">
    <cfRule type="cellIs" priority="340" operator="equal" aboveAverage="0" equalAverage="0" bottom="0" percent="0" rank="0" text="" dxfId="1">
      <formula>0</formula>
    </cfRule>
    <cfRule type="cellIs" priority="341" operator="lessThan" aboveAverage="0" equalAverage="0" bottom="0" percent="0" rank="0" text="" dxfId="3">
      <formula>H31</formula>
    </cfRule>
  </conditionalFormatting>
  <conditionalFormatting sqref="AO34">
    <cfRule type="cellIs" priority="342" operator="equal" aboveAverage="0" equalAverage="0" bottom="0" percent="0" rank="0" text="" dxfId="1">
      <formula>0</formula>
    </cfRule>
    <cfRule type="cellIs" priority="343" operator="lessThan" aboveAverage="0" equalAverage="0" bottom="0" percent="0" rank="0" text="" dxfId="3">
      <formula>H34</formula>
    </cfRule>
  </conditionalFormatting>
  <conditionalFormatting sqref="AO38">
    <cfRule type="cellIs" priority="344" operator="equal" aboveAverage="0" equalAverage="0" bottom="0" percent="0" rank="0" text="" dxfId="1">
      <formula>0</formula>
    </cfRule>
    <cfRule type="cellIs" priority="345" operator="lessThan" aboveAverage="0" equalAverage="0" bottom="0" percent="0" rank="0" text="" dxfId="3">
      <formula>H38</formula>
    </cfRule>
  </conditionalFormatting>
  <conditionalFormatting sqref="AO39">
    <cfRule type="cellIs" priority="346" operator="equal" aboveAverage="0" equalAverage="0" bottom="0" percent="0" rank="0" text="" dxfId="1">
      <formula>0</formula>
    </cfRule>
    <cfRule type="cellIs" priority="347" operator="lessThan" aboveAverage="0" equalAverage="0" bottom="0" percent="0" rank="0" text="" dxfId="3">
      <formula>H39</formula>
    </cfRule>
  </conditionalFormatting>
  <conditionalFormatting sqref="AO8">
    <cfRule type="cellIs" priority="348" operator="equal" aboveAverage="0" equalAverage="0" bottom="0" percent="0" rank="0" text="" dxfId="1">
      <formula>0</formula>
    </cfRule>
    <cfRule type="cellIs" priority="349" operator="lessThan" aboveAverage="0" equalAverage="0" bottom="0" percent="0" rank="0" text="" dxfId="3">
      <formula>H8</formula>
    </cfRule>
  </conditionalFormatting>
  <conditionalFormatting sqref="AP12">
    <cfRule type="expression" priority="350" aboveAverage="0" equalAverage="0" bottom="0" percent="0" rank="0" text="" dxfId="0">
      <formula>AND(AP12&gt;0,AP12&lt;1000)</formula>
    </cfRule>
    <cfRule type="cellIs" priority="351" operator="greaterThan" aboveAverage="0" equalAverage="0" bottom="0" percent="0" rank="0" text="" dxfId="1">
      <formula>AO12</formula>
    </cfRule>
  </conditionalFormatting>
  <conditionalFormatting sqref="AP13">
    <cfRule type="expression" priority="352" aboveAverage="0" equalAverage="0" bottom="0" percent="0" rank="0" text="" dxfId="0">
      <formula>AND(AP13&gt;0,AP13&lt;50)</formula>
    </cfRule>
    <cfRule type="cellIs" priority="353" operator="greaterThan" aboveAverage="0" equalAverage="0" bottom="0" percent="0" rank="0" text="" dxfId="1">
      <formula>AO13</formula>
    </cfRule>
  </conditionalFormatting>
  <conditionalFormatting sqref="AP23">
    <cfRule type="expression" priority="354" aboveAverage="0" equalAverage="0" bottom="0" percent="0" rank="0" text="" dxfId="0">
      <formula>AND(AP23&gt;0,AP23&lt;1000)</formula>
    </cfRule>
    <cfRule type="cellIs" priority="355" operator="greaterThan" aboveAverage="0" equalAverage="0" bottom="0" percent="0" rank="0" text="" dxfId="1">
      <formula>AO23</formula>
    </cfRule>
  </conditionalFormatting>
  <conditionalFormatting sqref="AP24">
    <cfRule type="expression" priority="356" aboveAverage="0" equalAverage="0" bottom="0" percent="0" rank="0" text="" dxfId="0">
      <formula>AND(AP24&gt;0,AP24&lt;1000)</formula>
    </cfRule>
    <cfRule type="cellIs" priority="357" operator="greaterThan" aboveAverage="0" equalAverage="0" bottom="0" percent="0" rank="0" text="" dxfId="1">
      <formula>AO24</formula>
    </cfRule>
  </conditionalFormatting>
  <conditionalFormatting sqref="AP25">
    <cfRule type="expression" priority="358" aboveAverage="0" equalAverage="0" bottom="0" percent="0" rank="0" text="" dxfId="0">
      <formula>AND(AP25&gt;0,AP25&lt;1000)</formula>
    </cfRule>
    <cfRule type="cellIs" priority="359" operator="greaterThan" aboveAverage="0" equalAverage="0" bottom="0" percent="0" rank="0" text="" dxfId="1">
      <formula>AO25</formula>
    </cfRule>
  </conditionalFormatting>
  <conditionalFormatting sqref="AP26">
    <cfRule type="expression" priority="360" aboveAverage="0" equalAverage="0" bottom="0" percent="0" rank="0" text="" dxfId="0">
      <formula>AND(AP26&gt;0,AP26&lt;1000)</formula>
    </cfRule>
    <cfRule type="cellIs" priority="361" operator="greaterThan" aboveAverage="0" equalAverage="0" bottom="0" percent="0" rank="0" text="" dxfId="1">
      <formula>AO26</formula>
    </cfRule>
  </conditionalFormatting>
  <conditionalFormatting sqref="AP27">
    <cfRule type="expression" priority="362" aboveAverage="0" equalAverage="0" bottom="0" percent="0" rank="0" text="" dxfId="0">
      <formula>AND(AP27&gt;0,AP27&lt;1000)</formula>
    </cfRule>
    <cfRule type="cellIs" priority="363" operator="greaterThan" aboveAverage="0" equalAverage="0" bottom="0" percent="0" rank="0" text="" dxfId="1">
      <formula>AO27</formula>
    </cfRule>
  </conditionalFormatting>
  <conditionalFormatting sqref="AP28">
    <cfRule type="expression" priority="364" aboveAverage="0" equalAverage="0" bottom="0" percent="0" rank="0" text="" dxfId="0">
      <formula>AND(AP28&gt;0,AP28&lt;1000)</formula>
    </cfRule>
    <cfRule type="cellIs" priority="365" operator="greaterThan" aboveAverage="0" equalAverage="0" bottom="0" percent="0" rank="0" text="" dxfId="1">
      <formula>AO28</formula>
    </cfRule>
  </conditionalFormatting>
  <conditionalFormatting sqref="AP29">
    <cfRule type="expression" priority="366" aboveAverage="0" equalAverage="0" bottom="0" percent="0" rank="0" text="" dxfId="0">
      <formula>AND(AP29&gt;0,AP29&lt;1000)</formula>
    </cfRule>
    <cfRule type="cellIs" priority="367" operator="greaterThan" aboveAverage="0" equalAverage="0" bottom="0" percent="0" rank="0" text="" dxfId="1">
      <formula>AO29</formula>
    </cfRule>
  </conditionalFormatting>
  <conditionalFormatting sqref="AP31">
    <cfRule type="expression" priority="368" aboveAverage="0" equalAverage="0" bottom="0" percent="0" rank="0" text="" dxfId="0">
      <formula>AND(AP31&gt;0,AP31&lt;30)</formula>
    </cfRule>
    <cfRule type="cellIs" priority="369" operator="greaterThan" aboveAverage="0" equalAverage="0" bottom="0" percent="0" rank="0" text="" dxfId="1">
      <formula>AO31</formula>
    </cfRule>
  </conditionalFormatting>
  <conditionalFormatting sqref="AP34">
    <cfRule type="expression" priority="370" aboveAverage="0" equalAverage="0" bottom="0" percent="0" rank="0" text="" dxfId="0">
      <formula>AND(AP34&gt;0,AP34&lt;18)</formula>
    </cfRule>
    <cfRule type="cellIs" priority="371" operator="greaterThan" aboveAverage="0" equalAverage="0" bottom="0" percent="0" rank="0" text="" dxfId="1">
      <formula>AO34</formula>
    </cfRule>
  </conditionalFormatting>
  <conditionalFormatting sqref="AP38">
    <cfRule type="expression" priority="372" aboveAverage="0" equalAverage="0" bottom="0" percent="0" rank="0" text="" dxfId="0">
      <formula>AND(AP38&gt;0,AP38&lt;50)</formula>
    </cfRule>
    <cfRule type="cellIs" priority="373" operator="greaterThan" aboveAverage="0" equalAverage="0" bottom="0" percent="0" rank="0" text="" dxfId="1">
      <formula>AO38</formula>
    </cfRule>
  </conditionalFormatting>
  <conditionalFormatting sqref="AP39">
    <cfRule type="expression" priority="374" aboveAverage="0" equalAverage="0" bottom="0" percent="0" rank="0" text="" dxfId="0">
      <formula>AND(AP39&gt;0,AP39&lt;20)</formula>
    </cfRule>
    <cfRule type="cellIs" priority="375" operator="greaterThan" aboveAverage="0" equalAverage="0" bottom="0" percent="0" rank="0" text="" dxfId="1">
      <formula>AO39</formula>
    </cfRule>
  </conditionalFormatting>
  <conditionalFormatting sqref="AP8">
    <cfRule type="expression" priority="376" aboveAverage="0" equalAverage="0" bottom="0" percent="0" rank="0" text="" dxfId="0">
      <formula>AND(AP8&gt;0,AP8&lt;20)</formula>
    </cfRule>
    <cfRule type="cellIs" priority="377" operator="greaterThan" aboveAverage="0" equalAverage="0" bottom="0" percent="0" rank="0" text="" dxfId="1">
      <formula>AO8</formula>
    </cfRule>
  </conditionalFormatting>
  <conditionalFormatting sqref="AQ12">
    <cfRule type="cellIs" priority="378" operator="lessThanOrEqual" aboveAverage="0" equalAverage="0" bottom="0" percent="0" rank="0" text="" dxfId="2">
      <formula>I12</formula>
    </cfRule>
  </conditionalFormatting>
  <conditionalFormatting sqref="AQ13">
    <cfRule type="cellIs" priority="379" operator="lessThanOrEqual" aboveAverage="0" equalAverage="0" bottom="0" percent="0" rank="0" text="" dxfId="2">
      <formula>I13</formula>
    </cfRule>
  </conditionalFormatting>
  <conditionalFormatting sqref="AQ23">
    <cfRule type="cellIs" priority="380" operator="lessThanOrEqual" aboveAverage="0" equalAverage="0" bottom="0" percent="0" rank="0" text="" dxfId="2">
      <formula>I23</formula>
    </cfRule>
  </conditionalFormatting>
  <conditionalFormatting sqref="AQ24">
    <cfRule type="cellIs" priority="381" operator="lessThanOrEqual" aboveAverage="0" equalAverage="0" bottom="0" percent="0" rank="0" text="" dxfId="2">
      <formula>I24</formula>
    </cfRule>
  </conditionalFormatting>
  <conditionalFormatting sqref="AQ25">
    <cfRule type="cellIs" priority="382" operator="lessThanOrEqual" aboveAverage="0" equalAverage="0" bottom="0" percent="0" rank="0" text="" dxfId="2">
      <formula>I25</formula>
    </cfRule>
  </conditionalFormatting>
  <conditionalFormatting sqref="AQ26">
    <cfRule type="cellIs" priority="383" operator="lessThanOrEqual" aboveAverage="0" equalAverage="0" bottom="0" percent="0" rank="0" text="" dxfId="2">
      <formula>I26</formula>
    </cfRule>
  </conditionalFormatting>
  <conditionalFormatting sqref="AQ27">
    <cfRule type="cellIs" priority="384" operator="lessThanOrEqual" aboveAverage="0" equalAverage="0" bottom="0" percent="0" rank="0" text="" dxfId="2">
      <formula>I27</formula>
    </cfRule>
  </conditionalFormatting>
  <conditionalFormatting sqref="AQ28">
    <cfRule type="cellIs" priority="385" operator="lessThanOrEqual" aboveAverage="0" equalAverage="0" bottom="0" percent="0" rank="0" text="" dxfId="2">
      <formula>I28</formula>
    </cfRule>
  </conditionalFormatting>
  <conditionalFormatting sqref="AQ29">
    <cfRule type="cellIs" priority="386" operator="lessThanOrEqual" aboveAverage="0" equalAverage="0" bottom="0" percent="0" rank="0" text="" dxfId="2">
      <formula>I29</formula>
    </cfRule>
  </conditionalFormatting>
  <conditionalFormatting sqref="AQ31">
    <cfRule type="cellIs" priority="387" operator="lessThanOrEqual" aboveAverage="0" equalAverage="0" bottom="0" percent="0" rank="0" text="" dxfId="2">
      <formula>I31</formula>
    </cfRule>
  </conditionalFormatting>
  <conditionalFormatting sqref="AQ34">
    <cfRule type="cellIs" priority="388" operator="lessThanOrEqual" aboveAverage="0" equalAverage="0" bottom="0" percent="0" rank="0" text="" dxfId="2">
      <formula>I34</formula>
    </cfRule>
  </conditionalFormatting>
  <conditionalFormatting sqref="AQ38">
    <cfRule type="cellIs" priority="389" operator="lessThanOrEqual" aboveAverage="0" equalAverage="0" bottom="0" percent="0" rank="0" text="" dxfId="2">
      <formula>I38</formula>
    </cfRule>
  </conditionalFormatting>
  <conditionalFormatting sqref="AQ39">
    <cfRule type="cellIs" priority="390" operator="lessThanOrEqual" aboveAverage="0" equalAverage="0" bottom="0" percent="0" rank="0" text="" dxfId="2">
      <formula>I39</formula>
    </cfRule>
  </conditionalFormatting>
  <conditionalFormatting sqref="AQ8">
    <cfRule type="cellIs" priority="391" operator="lessThanOrEqual" aboveAverage="0" equalAverage="0" bottom="0" percent="0" rank="0" text="" dxfId="2">
      <formula>I8</formula>
    </cfRule>
  </conditionalFormatting>
  <conditionalFormatting sqref="AR12">
    <cfRule type="cellIs" priority="392" operator="lessThanOrEqual" aboveAverage="0" equalAverage="0" bottom="0" percent="0" rank="0" text="" dxfId="2">
      <formula>J12</formula>
    </cfRule>
  </conditionalFormatting>
  <conditionalFormatting sqref="AR13">
    <cfRule type="cellIs" priority="393" operator="lessThanOrEqual" aboveAverage="0" equalAverage="0" bottom="0" percent="0" rank="0" text="" dxfId="2">
      <formula>J13</formula>
    </cfRule>
  </conditionalFormatting>
  <conditionalFormatting sqref="AR23">
    <cfRule type="cellIs" priority="394" operator="lessThanOrEqual" aboveAverage="0" equalAverage="0" bottom="0" percent="0" rank="0" text="" dxfId="2">
      <formula>J23</formula>
    </cfRule>
  </conditionalFormatting>
  <conditionalFormatting sqref="AR24">
    <cfRule type="cellIs" priority="395" operator="lessThanOrEqual" aboveAverage="0" equalAverage="0" bottom="0" percent="0" rank="0" text="" dxfId="2">
      <formula>J24</formula>
    </cfRule>
  </conditionalFormatting>
  <conditionalFormatting sqref="AR25">
    <cfRule type="cellIs" priority="396" operator="lessThanOrEqual" aboveAverage="0" equalAverage="0" bottom="0" percent="0" rank="0" text="" dxfId="2">
      <formula>J25</formula>
    </cfRule>
  </conditionalFormatting>
  <conditionalFormatting sqref="AR26">
    <cfRule type="cellIs" priority="397" operator="lessThanOrEqual" aboveAverage="0" equalAverage="0" bottom="0" percent="0" rank="0" text="" dxfId="2">
      <formula>J26</formula>
    </cfRule>
  </conditionalFormatting>
  <conditionalFormatting sqref="AR27">
    <cfRule type="cellIs" priority="398" operator="lessThanOrEqual" aboveAverage="0" equalAverage="0" bottom="0" percent="0" rank="0" text="" dxfId="2">
      <formula>J27</formula>
    </cfRule>
  </conditionalFormatting>
  <conditionalFormatting sqref="AR28">
    <cfRule type="cellIs" priority="399" operator="lessThanOrEqual" aboveAverage="0" equalAverage="0" bottom="0" percent="0" rank="0" text="" dxfId="2">
      <formula>J28</formula>
    </cfRule>
  </conditionalFormatting>
  <conditionalFormatting sqref="AR29">
    <cfRule type="cellIs" priority="400" operator="lessThanOrEqual" aboveAverage="0" equalAverage="0" bottom="0" percent="0" rank="0" text="" dxfId="2">
      <formula>J29</formula>
    </cfRule>
  </conditionalFormatting>
  <conditionalFormatting sqref="AR31">
    <cfRule type="cellIs" priority="401" operator="lessThanOrEqual" aboveAverage="0" equalAverage="0" bottom="0" percent="0" rank="0" text="" dxfId="2">
      <formula>J31</formula>
    </cfRule>
  </conditionalFormatting>
  <conditionalFormatting sqref="AR34">
    <cfRule type="cellIs" priority="402" operator="lessThanOrEqual" aboveAverage="0" equalAverage="0" bottom="0" percent="0" rank="0" text="" dxfId="2">
      <formula>J34</formula>
    </cfRule>
  </conditionalFormatting>
  <conditionalFormatting sqref="AR38">
    <cfRule type="cellIs" priority="403" operator="lessThanOrEqual" aboveAverage="0" equalAverage="0" bottom="0" percent="0" rank="0" text="" dxfId="2">
      <formula>J38</formula>
    </cfRule>
  </conditionalFormatting>
  <conditionalFormatting sqref="AR39">
    <cfRule type="cellIs" priority="404" operator="lessThanOrEqual" aboveAverage="0" equalAverage="0" bottom="0" percent="0" rank="0" text="" dxfId="2">
      <formula>J39</formula>
    </cfRule>
  </conditionalFormatting>
  <conditionalFormatting sqref="AR8">
    <cfRule type="cellIs" priority="405" operator="lessThanOrEqual" aboveAverage="0" equalAverage="0" bottom="0" percent="0" rank="0" text="" dxfId="2">
      <formula>J8</formula>
    </cfRule>
  </conditionalFormatting>
  <conditionalFormatting sqref="AT14">
    <cfRule type="cellIs" priority="406" operator="equal" aboveAverage="0" equalAverage="0" bottom="0" percent="0" rank="0" text="" dxfId="1">
      <formula>0</formula>
    </cfRule>
    <cfRule type="cellIs" priority="407" operator="lessThan" aboveAverage="0" equalAverage="0" bottom="0" percent="0" rank="0" text="" dxfId="3">
      <formula>H14</formula>
    </cfRule>
  </conditionalFormatting>
  <conditionalFormatting sqref="AT15">
    <cfRule type="cellIs" priority="408" operator="equal" aboveAverage="0" equalAverage="0" bottom="0" percent="0" rank="0" text="" dxfId="1">
      <formula>0</formula>
    </cfRule>
    <cfRule type="cellIs" priority="409" operator="lessThan" aboveAverage="0" equalAverage="0" bottom="0" percent="0" rank="0" text="" dxfId="3">
      <formula>H15</formula>
    </cfRule>
  </conditionalFormatting>
  <conditionalFormatting sqref="AT38">
    <cfRule type="cellIs" priority="410" operator="equal" aboveAverage="0" equalAverage="0" bottom="0" percent="0" rank="0" text="" dxfId="1">
      <formula>0</formula>
    </cfRule>
    <cfRule type="cellIs" priority="411" operator="lessThan" aboveAverage="0" equalAverage="0" bottom="0" percent="0" rank="0" text="" dxfId="3">
      <formula>H38</formula>
    </cfRule>
  </conditionalFormatting>
  <conditionalFormatting sqref="AT39">
    <cfRule type="cellIs" priority="412" operator="equal" aboveAverage="0" equalAverage="0" bottom="0" percent="0" rank="0" text="" dxfId="1">
      <formula>0</formula>
    </cfRule>
    <cfRule type="cellIs" priority="413" operator="lessThan" aboveAverage="0" equalAverage="0" bottom="0" percent="0" rank="0" text="" dxfId="3">
      <formula>H39</formula>
    </cfRule>
  </conditionalFormatting>
  <conditionalFormatting sqref="AU14">
    <cfRule type="expression" priority="414" aboveAverage="0" equalAverage="0" bottom="0" percent="0" rank="0" text="" dxfId="0">
      <formula>AND(AU14&gt;0,AU14&lt;5)</formula>
    </cfRule>
    <cfRule type="cellIs" priority="415" operator="greaterThan" aboveAverage="0" equalAverage="0" bottom="0" percent="0" rank="0" text="" dxfId="1">
      <formula>AT14</formula>
    </cfRule>
  </conditionalFormatting>
  <conditionalFormatting sqref="AU15">
    <cfRule type="expression" priority="416" aboveAverage="0" equalAverage="0" bottom="0" percent="0" rank="0" text="" dxfId="0">
      <formula>AND(AU15&gt;0,AU15&lt;5)</formula>
    </cfRule>
    <cfRule type="cellIs" priority="417" operator="greaterThan" aboveAverage="0" equalAverage="0" bottom="0" percent="0" rank="0" text="" dxfId="1">
      <formula>AT15</formula>
    </cfRule>
  </conditionalFormatting>
  <conditionalFormatting sqref="AU38">
    <cfRule type="expression" priority="418" aboveAverage="0" equalAverage="0" bottom="0" percent="0" rank="0" text="" dxfId="0">
      <formula>AND(AU38&gt;0,AU38&lt;5)</formula>
    </cfRule>
    <cfRule type="cellIs" priority="419" operator="greaterThan" aboveAverage="0" equalAverage="0" bottom="0" percent="0" rank="0" text="" dxfId="1">
      <formula>AT38</formula>
    </cfRule>
  </conditionalFormatting>
  <conditionalFormatting sqref="AU39">
    <cfRule type="cellIs" priority="420" operator="greaterThan" aboveAverage="0" equalAverage="0" bottom="0" percent="0" rank="0" text="" dxfId="1">
      <formula>AT39</formula>
    </cfRule>
  </conditionalFormatting>
  <conditionalFormatting sqref="AV14">
    <cfRule type="cellIs" priority="421" operator="lessThanOrEqual" aboveAverage="0" equalAverage="0" bottom="0" percent="0" rank="0" text="" dxfId="2">
      <formula>I14</formula>
    </cfRule>
  </conditionalFormatting>
  <conditionalFormatting sqref="AV15">
    <cfRule type="cellIs" priority="422" operator="lessThanOrEqual" aboveAverage="0" equalAverage="0" bottom="0" percent="0" rank="0" text="" dxfId="2">
      <formula>I15</formula>
    </cfRule>
  </conditionalFormatting>
  <conditionalFormatting sqref="AV38">
    <cfRule type="cellIs" priority="423" operator="lessThanOrEqual" aboveAverage="0" equalAverage="0" bottom="0" percent="0" rank="0" text="" dxfId="2">
      <formula>I38</formula>
    </cfRule>
  </conditionalFormatting>
  <conditionalFormatting sqref="AV39">
    <cfRule type="cellIs" priority="424" operator="lessThanOrEqual" aboveAverage="0" equalAverage="0" bottom="0" percent="0" rank="0" text="" dxfId="2">
      <formula>I39</formula>
    </cfRule>
  </conditionalFormatting>
  <conditionalFormatting sqref="AW14">
    <cfRule type="cellIs" priority="425" operator="lessThanOrEqual" aboveAverage="0" equalAverage="0" bottom="0" percent="0" rank="0" text="" dxfId="2">
      <formula>J14</formula>
    </cfRule>
  </conditionalFormatting>
  <conditionalFormatting sqref="AW15">
    <cfRule type="cellIs" priority="426" operator="lessThanOrEqual" aboveAverage="0" equalAverage="0" bottom="0" percent="0" rank="0" text="" dxfId="2">
      <formula>J15</formula>
    </cfRule>
  </conditionalFormatting>
  <conditionalFormatting sqref="AW38">
    <cfRule type="cellIs" priority="427" operator="lessThanOrEqual" aboveAverage="0" equalAverage="0" bottom="0" percent="0" rank="0" text="" dxfId="2">
      <formula>J38</formula>
    </cfRule>
  </conditionalFormatting>
  <conditionalFormatting sqref="AW39">
    <cfRule type="cellIs" priority="428" operator="lessThanOrEqual" aboveAverage="0" equalAverage="0" bottom="0" percent="0" rank="0" text="" dxfId="2">
      <formula>J39</formula>
    </cfRule>
  </conditionalFormatting>
  <conditionalFormatting sqref="H10">
    <cfRule type="expression" priority="429" aboveAverage="0" equalAverage="0" bottom="0" percent="0" rank="0" text="" dxfId="4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30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31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32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priority="433" aboveAverage="0" equalAverage="0" bottom="0" percent="0" rank="0" text="" dxfId="4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34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35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36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priority="437" aboveAverage="0" equalAverage="0" bottom="0" percent="0" rank="0" text="" dxfId="4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38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39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40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priority="441" aboveAverage="0" equalAverage="0" bottom="0" percent="0" rank="0" text="" dxfId="4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42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43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44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priority="445" aboveAverage="0" equalAverage="0" bottom="0" percent="0" rank="0" text="" dxfId="4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46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47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48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priority="449" aboveAverage="0" equalAverage="0" bottom="0" percent="0" rank="0" text="" dxfId="4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50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51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52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priority="453" aboveAverage="0" equalAverage="0" bottom="0" percent="0" rank="0" text="" dxfId="4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54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55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56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priority="457" aboveAverage="0" equalAverage="0" bottom="0" percent="0" rank="0" text="" dxfId="4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58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59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60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priority="461" aboveAverage="0" equalAverage="0" bottom="0" percent="0" rank="0" text="" dxfId="4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62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63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64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priority="465" aboveAverage="0" equalAverage="0" bottom="0" percent="0" rank="0" text="" dxfId="4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66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67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68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priority="469" aboveAverage="0" equalAverage="0" bottom="0" percent="0" rank="0" text="" dxfId="4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70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71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72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priority="473" aboveAverage="0" equalAverage="0" bottom="0" percent="0" rank="0" text="" dxfId="4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74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75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76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priority="477" aboveAverage="0" equalAverage="0" bottom="0" percent="0" rank="0" text="" dxfId="4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78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79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80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priority="481" aboveAverage="0" equalAverage="0" bottom="0" percent="0" rank="0" text="" dxfId="4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82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83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84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priority="485" aboveAverage="0" equalAverage="0" bottom="0" percent="0" rank="0" text="" dxfId="4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86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87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88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priority="489" aboveAverage="0" equalAverage="0" bottom="0" percent="0" rank="0" text="" dxfId="4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90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91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92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priority="493" aboveAverage="0" equalAverage="0" bottom="0" percent="0" rank="0" text="" dxfId="4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94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95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96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priority="497" aboveAverage="0" equalAverage="0" bottom="0" percent="0" rank="0" text="" dxfId="4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98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99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00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priority="501" aboveAverage="0" equalAverage="0" bottom="0" percent="0" rank="0" text="" dxfId="4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02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03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04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priority="505" aboveAverage="0" equalAverage="0" bottom="0" percent="0" rank="0" text="" dxfId="4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06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07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08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priority="509" aboveAverage="0" equalAverage="0" bottom="0" percent="0" rank="0" text="" dxfId="4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10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11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12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priority="513" aboveAverage="0" equalAverage="0" bottom="0" percent="0" rank="0" text="" dxfId="4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14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15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16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priority="517" aboveAverage="0" equalAverage="0" bottom="0" percent="0" rank="0" text="" dxfId="4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18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19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20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priority="521" aboveAverage="0" equalAverage="0" bottom="0" percent="0" rank="0" text="" dxfId="4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22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23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24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priority="525" aboveAverage="0" equalAverage="0" bottom="0" percent="0" rank="0" text="" dxfId="4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26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27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28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priority="529" aboveAverage="0" equalAverage="0" bottom="0" percent="0" rank="0" text="" dxfId="4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30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31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32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priority="533" aboveAverage="0" equalAverage="0" bottom="0" percent="0" rank="0" text="" dxfId="4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34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35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36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priority="537" aboveAverage="0" equalAverage="0" bottom="0" percent="0" rank="0" text="" dxfId="4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38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39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40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priority="541" aboveAverage="0" equalAverage="0" bottom="0" percent="0" rank="0" text="" dxfId="4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42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43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44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9">
    <cfRule type="expression" priority="545" aboveAverage="0" equalAverage="0" bottom="0" percent="0" rank="0" text="" dxfId="4">
      <formula>AND(ISBLANK(G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46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47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48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0">
    <cfRule type="expression" priority="549" aboveAverage="0" equalAverage="0" bottom="0" percent="0" rank="0" text="" dxfId="4">
      <formula>AND(ISBLANK(G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50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51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52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1">
    <cfRule type="expression" priority="553" aboveAverage="0" equalAverage="0" bottom="0" percent="0" rank="0" text="" dxfId="4">
      <formula>AND(ISBLANK(G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54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55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56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priority="557" aboveAverage="0" equalAverage="0" bottom="0" percent="0" rank="0" text="" dxfId="4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58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59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60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priority="561" aboveAverage="0" equalAverage="0" bottom="0" percent="0" rank="0" text="" dxfId="4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62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63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64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priority="565" aboveAverage="0" equalAverage="0" bottom="0" percent="0" rank="0" text="" dxfId="4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566" aboveAverage="0" equalAverage="0" bottom="0" percent="0" rank="0" text="" dxfId="1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567" operator="greaterThan" aboveAverage="0" equalAverage="0" bottom="0" percent="0" rank="0" text="" dxfId="3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568" operator="greaterThan" aboveAverage="0" equalAverage="0" bottom="0" percent="0" rank="0" text="" dxfId="0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priority="569" operator="equal" aboveAverage="0" equalAverage="0" bottom="0" percent="0" rank="0" text="" dxfId="1">
      <formula>0</formula>
    </cfRule>
    <cfRule type="cellIs" priority="570" operator="lessThan" aboveAverage="0" equalAverage="0" bottom="0" percent="0" rank="0" text="" dxfId="3">
      <formula>H10</formula>
    </cfRule>
  </conditionalFormatting>
  <conditionalFormatting sqref="P11">
    <cfRule type="cellIs" priority="571" operator="equal" aboveAverage="0" equalAverage="0" bottom="0" percent="0" rank="0" text="" dxfId="1">
      <formula>0</formula>
    </cfRule>
    <cfRule type="cellIs" priority="572" operator="lessThan" aboveAverage="0" equalAverage="0" bottom="0" percent="0" rank="0" text="" dxfId="3">
      <formula>H11</formula>
    </cfRule>
  </conditionalFormatting>
  <conditionalFormatting sqref="P12">
    <cfRule type="cellIs" priority="573" operator="equal" aboveAverage="0" equalAverage="0" bottom="0" percent="0" rank="0" text="" dxfId="1">
      <formula>0</formula>
    </cfRule>
    <cfRule type="cellIs" priority="574" operator="lessThan" aboveAverage="0" equalAverage="0" bottom="0" percent="0" rank="0" text="" dxfId="3">
      <formula>H12</formula>
    </cfRule>
  </conditionalFormatting>
  <conditionalFormatting sqref="P13">
    <cfRule type="cellIs" priority="575" operator="equal" aboveAverage="0" equalAverage="0" bottom="0" percent="0" rank="0" text="" dxfId="1">
      <formula>0</formula>
    </cfRule>
    <cfRule type="cellIs" priority="576" operator="lessThan" aboveAverage="0" equalAverage="0" bottom="0" percent="0" rank="0" text="" dxfId="3">
      <formula>H13</formula>
    </cfRule>
  </conditionalFormatting>
  <conditionalFormatting sqref="P14">
    <cfRule type="cellIs" priority="577" operator="equal" aboveAverage="0" equalAverage="0" bottom="0" percent="0" rank="0" text="" dxfId="1">
      <formula>0</formula>
    </cfRule>
    <cfRule type="cellIs" priority="578" operator="lessThan" aboveAverage="0" equalAverage="0" bottom="0" percent="0" rank="0" text="" dxfId="3">
      <formula>H14</formula>
    </cfRule>
  </conditionalFormatting>
  <conditionalFormatting sqref="P15">
    <cfRule type="cellIs" priority="579" operator="equal" aboveAverage="0" equalAverage="0" bottom="0" percent="0" rank="0" text="" dxfId="1">
      <formula>0</formula>
    </cfRule>
    <cfRule type="cellIs" priority="580" operator="lessThan" aboveAverage="0" equalAverage="0" bottom="0" percent="0" rank="0" text="" dxfId="3">
      <formula>H15</formula>
    </cfRule>
  </conditionalFormatting>
  <conditionalFormatting sqref="P21">
    <cfRule type="cellIs" priority="581" operator="equal" aboveAverage="0" equalAverage="0" bottom="0" percent="0" rank="0" text="" dxfId="1">
      <formula>0</formula>
    </cfRule>
    <cfRule type="cellIs" priority="582" operator="lessThan" aboveAverage="0" equalAverage="0" bottom="0" percent="0" rank="0" text="" dxfId="3">
      <formula>H21</formula>
    </cfRule>
  </conditionalFormatting>
  <conditionalFormatting sqref="P22">
    <cfRule type="cellIs" priority="583" operator="equal" aboveAverage="0" equalAverage="0" bottom="0" percent="0" rank="0" text="" dxfId="1">
      <formula>0</formula>
    </cfRule>
    <cfRule type="cellIs" priority="584" operator="lessThan" aboveAverage="0" equalAverage="0" bottom="0" percent="0" rank="0" text="" dxfId="3">
      <formula>H22</formula>
    </cfRule>
  </conditionalFormatting>
  <conditionalFormatting sqref="P23">
    <cfRule type="cellIs" priority="585" operator="equal" aboveAverage="0" equalAverage="0" bottom="0" percent="0" rank="0" text="" dxfId="1">
      <formula>0</formula>
    </cfRule>
    <cfRule type="cellIs" priority="586" operator="lessThan" aboveAverage="0" equalAverage="0" bottom="0" percent="0" rank="0" text="" dxfId="3">
      <formula>H23</formula>
    </cfRule>
  </conditionalFormatting>
  <conditionalFormatting sqref="P24">
    <cfRule type="cellIs" priority="587" operator="equal" aboveAverage="0" equalAverage="0" bottom="0" percent="0" rank="0" text="" dxfId="1">
      <formula>0</formula>
    </cfRule>
    <cfRule type="cellIs" priority="588" operator="lessThan" aboveAverage="0" equalAverage="0" bottom="0" percent="0" rank="0" text="" dxfId="3">
      <formula>H24</formula>
    </cfRule>
  </conditionalFormatting>
  <conditionalFormatting sqref="P25">
    <cfRule type="cellIs" priority="589" operator="equal" aboveAverage="0" equalAverage="0" bottom="0" percent="0" rank="0" text="" dxfId="1">
      <formula>0</formula>
    </cfRule>
    <cfRule type="cellIs" priority="590" operator="lessThan" aboveAverage="0" equalAverage="0" bottom="0" percent="0" rank="0" text="" dxfId="3">
      <formula>H25</formula>
    </cfRule>
  </conditionalFormatting>
  <conditionalFormatting sqref="P26">
    <cfRule type="cellIs" priority="591" operator="equal" aboveAverage="0" equalAverage="0" bottom="0" percent="0" rank="0" text="" dxfId="1">
      <formula>0</formula>
    </cfRule>
    <cfRule type="cellIs" priority="592" operator="lessThan" aboveAverage="0" equalAverage="0" bottom="0" percent="0" rank="0" text="" dxfId="3">
      <formula>H26</formula>
    </cfRule>
  </conditionalFormatting>
  <conditionalFormatting sqref="P27">
    <cfRule type="cellIs" priority="593" operator="equal" aboveAverage="0" equalAverage="0" bottom="0" percent="0" rank="0" text="" dxfId="1">
      <formula>0</formula>
    </cfRule>
    <cfRule type="cellIs" priority="594" operator="lessThan" aboveAverage="0" equalAverage="0" bottom="0" percent="0" rank="0" text="" dxfId="3">
      <formula>H27</formula>
    </cfRule>
  </conditionalFormatting>
  <conditionalFormatting sqref="P28">
    <cfRule type="cellIs" priority="595" operator="equal" aboveAverage="0" equalAverage="0" bottom="0" percent="0" rank="0" text="" dxfId="1">
      <formula>0</formula>
    </cfRule>
    <cfRule type="cellIs" priority="596" operator="lessThan" aboveAverage="0" equalAverage="0" bottom="0" percent="0" rank="0" text="" dxfId="3">
      <formula>H28</formula>
    </cfRule>
  </conditionalFormatting>
  <conditionalFormatting sqref="P29">
    <cfRule type="cellIs" priority="597" operator="equal" aboveAverage="0" equalAverage="0" bottom="0" percent="0" rank="0" text="" dxfId="1">
      <formula>0</formula>
    </cfRule>
    <cfRule type="cellIs" priority="598" operator="lessThan" aboveAverage="0" equalAverage="0" bottom="0" percent="0" rank="0" text="" dxfId="3">
      <formula>H29</formula>
    </cfRule>
  </conditionalFormatting>
  <conditionalFormatting sqref="P30">
    <cfRule type="cellIs" priority="599" operator="equal" aboveAverage="0" equalAverage="0" bottom="0" percent="0" rank="0" text="" dxfId="1">
      <formula>0</formula>
    </cfRule>
    <cfRule type="cellIs" priority="600" operator="lessThan" aboveAverage="0" equalAverage="0" bottom="0" percent="0" rank="0" text="" dxfId="3">
      <formula>H30</formula>
    </cfRule>
  </conditionalFormatting>
  <conditionalFormatting sqref="P31">
    <cfRule type="cellIs" priority="601" operator="equal" aboveAverage="0" equalAverage="0" bottom="0" percent="0" rank="0" text="" dxfId="1">
      <formula>0</formula>
    </cfRule>
    <cfRule type="cellIs" priority="602" operator="lessThan" aboveAverage="0" equalAverage="0" bottom="0" percent="0" rank="0" text="" dxfId="3">
      <formula>H31</formula>
    </cfRule>
  </conditionalFormatting>
  <conditionalFormatting sqref="P32">
    <cfRule type="cellIs" priority="603" operator="equal" aboveAverage="0" equalAverage="0" bottom="0" percent="0" rank="0" text="" dxfId="1">
      <formula>0</formula>
    </cfRule>
    <cfRule type="cellIs" priority="604" operator="lessThan" aboveAverage="0" equalAverage="0" bottom="0" percent="0" rank="0" text="" dxfId="3">
      <formula>H32</formula>
    </cfRule>
  </conditionalFormatting>
  <conditionalFormatting sqref="P33">
    <cfRule type="cellIs" priority="605" operator="equal" aboveAverage="0" equalAverage="0" bottom="0" percent="0" rank="0" text="" dxfId="1">
      <formula>0</formula>
    </cfRule>
    <cfRule type="cellIs" priority="606" operator="lessThan" aboveAverage="0" equalAverage="0" bottom="0" percent="0" rank="0" text="" dxfId="3">
      <formula>H33</formula>
    </cfRule>
  </conditionalFormatting>
  <conditionalFormatting sqref="P34">
    <cfRule type="cellIs" priority="607" operator="equal" aboveAverage="0" equalAverage="0" bottom="0" percent="0" rank="0" text="" dxfId="1">
      <formula>0</formula>
    </cfRule>
    <cfRule type="cellIs" priority="608" operator="lessThan" aboveAverage="0" equalAverage="0" bottom="0" percent="0" rank="0" text="" dxfId="3">
      <formula>H34</formula>
    </cfRule>
  </conditionalFormatting>
  <conditionalFormatting sqref="P35">
    <cfRule type="cellIs" priority="609" operator="equal" aboveAverage="0" equalAverage="0" bottom="0" percent="0" rank="0" text="" dxfId="1">
      <formula>0</formula>
    </cfRule>
    <cfRule type="cellIs" priority="610" operator="lessThan" aboveAverage="0" equalAverage="0" bottom="0" percent="0" rank="0" text="" dxfId="3">
      <formula>H35</formula>
    </cfRule>
  </conditionalFormatting>
  <conditionalFormatting sqref="P36">
    <cfRule type="cellIs" priority="611" operator="equal" aboveAverage="0" equalAverage="0" bottom="0" percent="0" rank="0" text="" dxfId="1">
      <formula>0</formula>
    </cfRule>
    <cfRule type="cellIs" priority="612" operator="lessThan" aboveAverage="0" equalAverage="0" bottom="0" percent="0" rank="0" text="" dxfId="3">
      <formula>H36</formula>
    </cfRule>
  </conditionalFormatting>
  <conditionalFormatting sqref="P37">
    <cfRule type="cellIs" priority="613" operator="equal" aboveAverage="0" equalAverage="0" bottom="0" percent="0" rank="0" text="" dxfId="1">
      <formula>0</formula>
    </cfRule>
    <cfRule type="cellIs" priority="614" operator="lessThan" aboveAverage="0" equalAverage="0" bottom="0" percent="0" rank="0" text="" dxfId="3">
      <formula>H37</formula>
    </cfRule>
  </conditionalFormatting>
  <conditionalFormatting sqref="P38">
    <cfRule type="cellIs" priority="615" operator="equal" aboveAverage="0" equalAverage="0" bottom="0" percent="0" rank="0" text="" dxfId="1">
      <formula>0</formula>
    </cfRule>
    <cfRule type="cellIs" priority="616" operator="lessThan" aboveAverage="0" equalAverage="0" bottom="0" percent="0" rank="0" text="" dxfId="3">
      <formula>H38</formula>
    </cfRule>
  </conditionalFormatting>
  <conditionalFormatting sqref="P39">
    <cfRule type="cellIs" priority="617" operator="equal" aboveAverage="0" equalAverage="0" bottom="0" percent="0" rank="0" text="" dxfId="1">
      <formula>0</formula>
    </cfRule>
    <cfRule type="cellIs" priority="618" operator="lessThan" aboveAverage="0" equalAverage="0" bottom="0" percent="0" rank="0" text="" dxfId="3">
      <formula>H39</formula>
    </cfRule>
  </conditionalFormatting>
  <conditionalFormatting sqref="P41">
    <cfRule type="cellIs" priority="619" operator="equal" aboveAverage="0" equalAverage="0" bottom="0" percent="0" rank="0" text="" dxfId="1">
      <formula>0</formula>
    </cfRule>
    <cfRule type="cellIs" priority="620" operator="lessThan" aboveAverage="0" equalAverage="0" bottom="0" percent="0" rank="0" text="" dxfId="3">
      <formula>H41</formula>
    </cfRule>
  </conditionalFormatting>
  <conditionalFormatting sqref="P7">
    <cfRule type="cellIs" priority="621" operator="equal" aboveAverage="0" equalAverage="0" bottom="0" percent="0" rank="0" text="" dxfId="1">
      <formula>0</formula>
    </cfRule>
    <cfRule type="cellIs" priority="622" operator="lessThan" aboveAverage="0" equalAverage="0" bottom="0" percent="0" rank="0" text="" dxfId="3">
      <formula>H7</formula>
    </cfRule>
  </conditionalFormatting>
  <conditionalFormatting sqref="P8">
    <cfRule type="cellIs" priority="623" operator="equal" aboveAverage="0" equalAverage="0" bottom="0" percent="0" rank="0" text="" dxfId="1">
      <formula>0</formula>
    </cfRule>
    <cfRule type="cellIs" priority="624" operator="lessThan" aboveAverage="0" equalAverage="0" bottom="0" percent="0" rank="0" text="" dxfId="3">
      <formula>H8</formula>
    </cfRule>
  </conditionalFormatting>
  <conditionalFormatting sqref="P9">
    <cfRule type="cellIs" priority="625" operator="equal" aboveAverage="0" equalAverage="0" bottom="0" percent="0" rank="0" text="" dxfId="1">
      <formula>0</formula>
    </cfRule>
    <cfRule type="cellIs" priority="626" operator="lessThan" aboveAverage="0" equalAverage="0" bottom="0" percent="0" rank="0" text="" dxfId="3">
      <formula>H9</formula>
    </cfRule>
  </conditionalFormatting>
  <conditionalFormatting sqref="Q10">
    <cfRule type="cellIs" priority="627" operator="greaterThan" aboveAverage="0" equalAverage="0" bottom="0" percent="0" rank="0" text="" dxfId="1">
      <formula>P10</formula>
    </cfRule>
  </conditionalFormatting>
  <conditionalFormatting sqref="Q11">
    <cfRule type="cellIs" priority="628" operator="greaterThan" aboveAverage="0" equalAverage="0" bottom="0" percent="0" rank="0" text="" dxfId="1">
      <formula>P11</formula>
    </cfRule>
  </conditionalFormatting>
  <conditionalFormatting sqref="Q12">
    <cfRule type="cellIs" priority="629" operator="greaterThan" aboveAverage="0" equalAverage="0" bottom="0" percent="0" rank="0" text="" dxfId="1">
      <formula>P12</formula>
    </cfRule>
  </conditionalFormatting>
  <conditionalFormatting sqref="Q13">
    <cfRule type="cellIs" priority="630" operator="greaterThan" aboveAverage="0" equalAverage="0" bottom="0" percent="0" rank="0" text="" dxfId="1">
      <formula>P13</formula>
    </cfRule>
  </conditionalFormatting>
  <conditionalFormatting sqref="Q14">
    <cfRule type="cellIs" priority="631" operator="greaterThan" aboveAverage="0" equalAverage="0" bottom="0" percent="0" rank="0" text="" dxfId="1">
      <formula>P14</formula>
    </cfRule>
  </conditionalFormatting>
  <conditionalFormatting sqref="Q15">
    <cfRule type="cellIs" priority="632" operator="greaterThan" aboveAverage="0" equalAverage="0" bottom="0" percent="0" rank="0" text="" dxfId="1">
      <formula>P15</formula>
    </cfRule>
  </conditionalFormatting>
  <conditionalFormatting sqref="Q21">
    <cfRule type="cellIs" priority="633" operator="greaterThan" aboveAverage="0" equalAverage="0" bottom="0" percent="0" rank="0" text="" dxfId="1">
      <formula>P21</formula>
    </cfRule>
  </conditionalFormatting>
  <conditionalFormatting sqref="Q22">
    <cfRule type="cellIs" priority="634" operator="greaterThan" aboveAverage="0" equalAverage="0" bottom="0" percent="0" rank="0" text="" dxfId="1">
      <formula>P22</formula>
    </cfRule>
  </conditionalFormatting>
  <conditionalFormatting sqref="Q23">
    <cfRule type="cellIs" priority="635" operator="greaterThan" aboveAverage="0" equalAverage="0" bottom="0" percent="0" rank="0" text="" dxfId="1">
      <formula>P23</formula>
    </cfRule>
  </conditionalFormatting>
  <conditionalFormatting sqref="Q24">
    <cfRule type="cellIs" priority="636" operator="greaterThan" aboveAverage="0" equalAverage="0" bottom="0" percent="0" rank="0" text="" dxfId="1">
      <formula>P24</formula>
    </cfRule>
  </conditionalFormatting>
  <conditionalFormatting sqref="Q25">
    <cfRule type="cellIs" priority="637" operator="greaterThan" aboveAverage="0" equalAverage="0" bottom="0" percent="0" rank="0" text="" dxfId="1">
      <formula>P25</formula>
    </cfRule>
  </conditionalFormatting>
  <conditionalFormatting sqref="Q26">
    <cfRule type="cellIs" priority="638" operator="greaterThan" aboveAverage="0" equalAverage="0" bottom="0" percent="0" rank="0" text="" dxfId="1">
      <formula>P26</formula>
    </cfRule>
  </conditionalFormatting>
  <conditionalFormatting sqref="Q27">
    <cfRule type="cellIs" priority="639" operator="greaterThan" aboveAverage="0" equalAverage="0" bottom="0" percent="0" rank="0" text="" dxfId="1">
      <formula>P27</formula>
    </cfRule>
  </conditionalFormatting>
  <conditionalFormatting sqref="Q28">
    <cfRule type="cellIs" priority="640" operator="greaterThan" aboveAverage="0" equalAverage="0" bottom="0" percent="0" rank="0" text="" dxfId="1">
      <formula>P28</formula>
    </cfRule>
  </conditionalFormatting>
  <conditionalFormatting sqref="Q29">
    <cfRule type="cellIs" priority="641" operator="greaterThan" aboveAverage="0" equalAverage="0" bottom="0" percent="0" rank="0" text="" dxfId="1">
      <formula>P29</formula>
    </cfRule>
  </conditionalFormatting>
  <conditionalFormatting sqref="Q30">
    <cfRule type="cellIs" priority="642" operator="greaterThan" aboveAverage="0" equalAverage="0" bottom="0" percent="0" rank="0" text="" dxfId="1">
      <formula>P30</formula>
    </cfRule>
  </conditionalFormatting>
  <conditionalFormatting sqref="Q31">
    <cfRule type="cellIs" priority="643" operator="greaterThan" aboveAverage="0" equalAverage="0" bottom="0" percent="0" rank="0" text="" dxfId="1">
      <formula>P31</formula>
    </cfRule>
  </conditionalFormatting>
  <conditionalFormatting sqref="Q32">
    <cfRule type="cellIs" priority="644" operator="greaterThan" aboveAverage="0" equalAverage="0" bottom="0" percent="0" rank="0" text="" dxfId="1">
      <formula>P32</formula>
    </cfRule>
  </conditionalFormatting>
  <conditionalFormatting sqref="Q33">
    <cfRule type="cellIs" priority="645" operator="greaterThan" aboveAverage="0" equalAverage="0" bottom="0" percent="0" rank="0" text="" dxfId="1">
      <formula>P33</formula>
    </cfRule>
  </conditionalFormatting>
  <conditionalFormatting sqref="Q34">
    <cfRule type="cellIs" priority="646" operator="greaterThan" aboveAverage="0" equalAverage="0" bottom="0" percent="0" rank="0" text="" dxfId="1">
      <formula>P34</formula>
    </cfRule>
  </conditionalFormatting>
  <conditionalFormatting sqref="Q35">
    <cfRule type="cellIs" priority="647" operator="greaterThan" aboveAverage="0" equalAverage="0" bottom="0" percent="0" rank="0" text="" dxfId="1">
      <formula>P35</formula>
    </cfRule>
  </conditionalFormatting>
  <conditionalFormatting sqref="Q36">
    <cfRule type="expression" priority="648" aboveAverage="0" equalAverage="0" bottom="0" percent="0" rank="0" text="" dxfId="0">
      <formula>AND(Q36&gt;0,Q36&lt;2000)</formula>
    </cfRule>
    <cfRule type="cellIs" priority="649" operator="greaterThan" aboveAverage="0" equalAverage="0" bottom="0" percent="0" rank="0" text="" dxfId="1">
      <formula>P36</formula>
    </cfRule>
  </conditionalFormatting>
  <conditionalFormatting sqref="Q37">
    <cfRule type="cellIs" priority="650" operator="greaterThan" aboveAverage="0" equalAverage="0" bottom="0" percent="0" rank="0" text="" dxfId="1">
      <formula>P37</formula>
    </cfRule>
  </conditionalFormatting>
  <conditionalFormatting sqref="Q38">
    <cfRule type="cellIs" priority="651" operator="greaterThan" aboveAverage="0" equalAverage="0" bottom="0" percent="0" rank="0" text="" dxfId="1">
      <formula>P38</formula>
    </cfRule>
  </conditionalFormatting>
  <conditionalFormatting sqref="Q39">
    <cfRule type="cellIs" priority="652" operator="greaterThan" aboveAverage="0" equalAverage="0" bottom="0" percent="0" rank="0" text="" dxfId="1">
      <formula>P39</formula>
    </cfRule>
  </conditionalFormatting>
  <conditionalFormatting sqref="Q41">
    <cfRule type="cellIs" priority="653" operator="greaterThan" aboveAverage="0" equalAverage="0" bottom="0" percent="0" rank="0" text="" dxfId="1">
      <formula>P41</formula>
    </cfRule>
  </conditionalFormatting>
  <conditionalFormatting sqref="Q7">
    <cfRule type="cellIs" priority="654" operator="greaterThan" aboveAverage="0" equalAverage="0" bottom="0" percent="0" rank="0" text="" dxfId="1">
      <formula>P7</formula>
    </cfRule>
  </conditionalFormatting>
  <conditionalFormatting sqref="Q8">
    <cfRule type="cellIs" priority="655" operator="greaterThan" aboveAverage="0" equalAverage="0" bottom="0" percent="0" rank="0" text="" dxfId="1">
      <formula>P8</formula>
    </cfRule>
  </conditionalFormatting>
  <conditionalFormatting sqref="Q9">
    <cfRule type="cellIs" priority="656" operator="greaterThan" aboveAverage="0" equalAverage="0" bottom="0" percent="0" rank="0" text="" dxfId="1">
      <formula>P9</formula>
    </cfRule>
  </conditionalFormatting>
  <conditionalFormatting sqref="R10">
    <cfRule type="cellIs" priority="657" operator="lessThanOrEqual" aboveAverage="0" equalAverage="0" bottom="0" percent="0" rank="0" text="" dxfId="2">
      <formula>I10</formula>
    </cfRule>
  </conditionalFormatting>
  <conditionalFormatting sqref="R11">
    <cfRule type="cellIs" priority="658" operator="lessThanOrEqual" aboveAverage="0" equalAverage="0" bottom="0" percent="0" rank="0" text="" dxfId="2">
      <formula>I11</formula>
    </cfRule>
  </conditionalFormatting>
  <conditionalFormatting sqref="R12">
    <cfRule type="cellIs" priority="659" operator="lessThanOrEqual" aboveAverage="0" equalAverage="0" bottom="0" percent="0" rank="0" text="" dxfId="2">
      <formula>I12</formula>
    </cfRule>
  </conditionalFormatting>
  <conditionalFormatting sqref="R13">
    <cfRule type="cellIs" priority="660" operator="lessThanOrEqual" aboveAverage="0" equalAverage="0" bottom="0" percent="0" rank="0" text="" dxfId="2">
      <formula>I13</formula>
    </cfRule>
  </conditionalFormatting>
  <conditionalFormatting sqref="R14">
    <cfRule type="cellIs" priority="661" operator="lessThanOrEqual" aboveAverage="0" equalAverage="0" bottom="0" percent="0" rank="0" text="" dxfId="2">
      <formula>I14</formula>
    </cfRule>
  </conditionalFormatting>
  <conditionalFormatting sqref="R15">
    <cfRule type="cellIs" priority="662" operator="lessThanOrEqual" aboveAverage="0" equalAverage="0" bottom="0" percent="0" rank="0" text="" dxfId="2">
      <formula>I15</formula>
    </cfRule>
  </conditionalFormatting>
  <conditionalFormatting sqref="R21">
    <cfRule type="cellIs" priority="663" operator="lessThanOrEqual" aboveAverage="0" equalAverage="0" bottom="0" percent="0" rank="0" text="" dxfId="2">
      <formula>I21</formula>
    </cfRule>
  </conditionalFormatting>
  <conditionalFormatting sqref="R22">
    <cfRule type="cellIs" priority="664" operator="lessThanOrEqual" aboveAverage="0" equalAverage="0" bottom="0" percent="0" rank="0" text="" dxfId="2">
      <formula>I22</formula>
    </cfRule>
  </conditionalFormatting>
  <conditionalFormatting sqref="R23">
    <cfRule type="cellIs" priority="665" operator="lessThanOrEqual" aboveAverage="0" equalAverage="0" bottom="0" percent="0" rank="0" text="" dxfId="2">
      <formula>I23</formula>
    </cfRule>
  </conditionalFormatting>
  <conditionalFormatting sqref="R24">
    <cfRule type="cellIs" priority="666" operator="lessThanOrEqual" aboveAverage="0" equalAverage="0" bottom="0" percent="0" rank="0" text="" dxfId="2">
      <formula>I24</formula>
    </cfRule>
  </conditionalFormatting>
  <conditionalFormatting sqref="R25">
    <cfRule type="cellIs" priority="667" operator="lessThanOrEqual" aboveAverage="0" equalAverage="0" bottom="0" percent="0" rank="0" text="" dxfId="2">
      <formula>I25</formula>
    </cfRule>
  </conditionalFormatting>
  <conditionalFormatting sqref="R26">
    <cfRule type="cellIs" priority="668" operator="lessThanOrEqual" aboveAverage="0" equalAverage="0" bottom="0" percent="0" rank="0" text="" dxfId="2">
      <formula>I26</formula>
    </cfRule>
  </conditionalFormatting>
  <conditionalFormatting sqref="R27">
    <cfRule type="cellIs" priority="669" operator="lessThanOrEqual" aboveAverage="0" equalAverage="0" bottom="0" percent="0" rank="0" text="" dxfId="2">
      <formula>I27</formula>
    </cfRule>
  </conditionalFormatting>
  <conditionalFormatting sqref="R28">
    <cfRule type="cellIs" priority="670" operator="lessThanOrEqual" aboveAverage="0" equalAverage="0" bottom="0" percent="0" rank="0" text="" dxfId="2">
      <formula>I28</formula>
    </cfRule>
  </conditionalFormatting>
  <conditionalFormatting sqref="R29">
    <cfRule type="cellIs" priority="671" operator="lessThanOrEqual" aboveAverage="0" equalAverage="0" bottom="0" percent="0" rank="0" text="" dxfId="2">
      <formula>I29</formula>
    </cfRule>
  </conditionalFormatting>
  <conditionalFormatting sqref="R30">
    <cfRule type="cellIs" priority="672" operator="lessThanOrEqual" aboveAverage="0" equalAverage="0" bottom="0" percent="0" rank="0" text="" dxfId="2">
      <formula>I30</formula>
    </cfRule>
  </conditionalFormatting>
  <conditionalFormatting sqref="R31">
    <cfRule type="cellIs" priority="673" operator="lessThanOrEqual" aboveAverage="0" equalAverage="0" bottom="0" percent="0" rank="0" text="" dxfId="2">
      <formula>I31</formula>
    </cfRule>
  </conditionalFormatting>
  <conditionalFormatting sqref="R32">
    <cfRule type="cellIs" priority="674" operator="lessThanOrEqual" aboveAverage="0" equalAverage="0" bottom="0" percent="0" rank="0" text="" dxfId="2">
      <formula>I32</formula>
    </cfRule>
  </conditionalFormatting>
  <conditionalFormatting sqref="R33">
    <cfRule type="cellIs" priority="675" operator="lessThanOrEqual" aboveAverage="0" equalAverage="0" bottom="0" percent="0" rank="0" text="" dxfId="2">
      <formula>I33</formula>
    </cfRule>
  </conditionalFormatting>
  <conditionalFormatting sqref="R34">
    <cfRule type="cellIs" priority="676" operator="lessThanOrEqual" aboveAverage="0" equalAverage="0" bottom="0" percent="0" rank="0" text="" dxfId="2">
      <formula>I34</formula>
    </cfRule>
  </conditionalFormatting>
  <conditionalFormatting sqref="R35">
    <cfRule type="cellIs" priority="677" operator="lessThanOrEqual" aboveAverage="0" equalAverage="0" bottom="0" percent="0" rank="0" text="" dxfId="2">
      <formula>I35</formula>
    </cfRule>
  </conditionalFormatting>
  <conditionalFormatting sqref="R36">
    <cfRule type="cellIs" priority="678" operator="lessThanOrEqual" aboveAverage="0" equalAverage="0" bottom="0" percent="0" rank="0" text="" dxfId="2">
      <formula>I36</formula>
    </cfRule>
  </conditionalFormatting>
  <conditionalFormatting sqref="R37">
    <cfRule type="cellIs" priority="679" operator="lessThanOrEqual" aboveAverage="0" equalAverage="0" bottom="0" percent="0" rank="0" text="" dxfId="2">
      <formula>I37</formula>
    </cfRule>
  </conditionalFormatting>
  <conditionalFormatting sqref="R38">
    <cfRule type="cellIs" priority="680" operator="lessThanOrEqual" aboveAverage="0" equalAverage="0" bottom="0" percent="0" rank="0" text="" dxfId="2">
      <formula>I38</formula>
    </cfRule>
  </conditionalFormatting>
  <conditionalFormatting sqref="R39">
    <cfRule type="cellIs" priority="681" operator="lessThanOrEqual" aboveAverage="0" equalAverage="0" bottom="0" percent="0" rank="0" text="" dxfId="2">
      <formula>I39</formula>
    </cfRule>
  </conditionalFormatting>
  <conditionalFormatting sqref="R41">
    <cfRule type="cellIs" priority="682" operator="lessThanOrEqual" aboveAverage="0" equalAverage="0" bottom="0" percent="0" rank="0" text="" dxfId="2">
      <formula>I41</formula>
    </cfRule>
  </conditionalFormatting>
  <conditionalFormatting sqref="R7">
    <cfRule type="cellIs" priority="683" operator="lessThanOrEqual" aboveAverage="0" equalAverage="0" bottom="0" percent="0" rank="0" text="" dxfId="2">
      <formula>I7</formula>
    </cfRule>
  </conditionalFormatting>
  <conditionalFormatting sqref="R8">
    <cfRule type="cellIs" priority="684" operator="lessThanOrEqual" aboveAverage="0" equalAverage="0" bottom="0" percent="0" rank="0" text="" dxfId="2">
      <formula>I8</formula>
    </cfRule>
  </conditionalFormatting>
  <conditionalFormatting sqref="R9">
    <cfRule type="cellIs" priority="685" operator="lessThanOrEqual" aboveAverage="0" equalAverage="0" bottom="0" percent="0" rank="0" text="" dxfId="2">
      <formula>I9</formula>
    </cfRule>
  </conditionalFormatting>
  <conditionalFormatting sqref="S10">
    <cfRule type="cellIs" priority="686" operator="lessThanOrEqual" aboveAverage="0" equalAverage="0" bottom="0" percent="0" rank="0" text="" dxfId="2">
      <formula>J10</formula>
    </cfRule>
  </conditionalFormatting>
  <conditionalFormatting sqref="S11">
    <cfRule type="cellIs" priority="687" operator="lessThanOrEqual" aboveAverage="0" equalAverage="0" bottom="0" percent="0" rank="0" text="" dxfId="2">
      <formula>J11</formula>
    </cfRule>
  </conditionalFormatting>
  <conditionalFormatting sqref="S12">
    <cfRule type="cellIs" priority="688" operator="lessThanOrEqual" aboveAverage="0" equalAverage="0" bottom="0" percent="0" rank="0" text="" dxfId="2">
      <formula>J12</formula>
    </cfRule>
  </conditionalFormatting>
  <conditionalFormatting sqref="S13">
    <cfRule type="cellIs" priority="689" operator="lessThanOrEqual" aboveAverage="0" equalAverage="0" bottom="0" percent="0" rank="0" text="" dxfId="2">
      <formula>J13</formula>
    </cfRule>
  </conditionalFormatting>
  <conditionalFormatting sqref="S14">
    <cfRule type="cellIs" priority="690" operator="lessThanOrEqual" aboveAverage="0" equalAverage="0" bottom="0" percent="0" rank="0" text="" dxfId="2">
      <formula>J14</formula>
    </cfRule>
  </conditionalFormatting>
  <conditionalFormatting sqref="S15">
    <cfRule type="cellIs" priority="691" operator="lessThanOrEqual" aboveAverage="0" equalAverage="0" bottom="0" percent="0" rank="0" text="" dxfId="2">
      <formula>J15</formula>
    </cfRule>
  </conditionalFormatting>
  <conditionalFormatting sqref="S21">
    <cfRule type="cellIs" priority="692" operator="lessThanOrEqual" aboveAverage="0" equalAverage="0" bottom="0" percent="0" rank="0" text="" dxfId="2">
      <formula>J21</formula>
    </cfRule>
  </conditionalFormatting>
  <conditionalFormatting sqref="S22">
    <cfRule type="cellIs" priority="693" operator="lessThanOrEqual" aboveAverage="0" equalAverage="0" bottom="0" percent="0" rank="0" text="" dxfId="2">
      <formula>J22</formula>
    </cfRule>
  </conditionalFormatting>
  <conditionalFormatting sqref="S23">
    <cfRule type="cellIs" priority="694" operator="lessThanOrEqual" aboveAverage="0" equalAverage="0" bottom="0" percent="0" rank="0" text="" dxfId="2">
      <formula>J23</formula>
    </cfRule>
  </conditionalFormatting>
  <conditionalFormatting sqref="S24">
    <cfRule type="cellIs" priority="695" operator="lessThanOrEqual" aboveAverage="0" equalAverage="0" bottom="0" percent="0" rank="0" text="" dxfId="2">
      <formula>J24</formula>
    </cfRule>
  </conditionalFormatting>
  <conditionalFormatting sqref="S25">
    <cfRule type="cellIs" priority="696" operator="lessThanOrEqual" aboveAverage="0" equalAverage="0" bottom="0" percent="0" rank="0" text="" dxfId="2">
      <formula>J25</formula>
    </cfRule>
  </conditionalFormatting>
  <conditionalFormatting sqref="S26">
    <cfRule type="cellIs" priority="697" operator="lessThanOrEqual" aboveAverage="0" equalAverage="0" bottom="0" percent="0" rank="0" text="" dxfId="2">
      <formula>J26</formula>
    </cfRule>
  </conditionalFormatting>
  <conditionalFormatting sqref="S27">
    <cfRule type="cellIs" priority="698" operator="lessThanOrEqual" aboveAverage="0" equalAverage="0" bottom="0" percent="0" rank="0" text="" dxfId="2">
      <formula>J27</formula>
    </cfRule>
  </conditionalFormatting>
  <conditionalFormatting sqref="S28">
    <cfRule type="cellIs" priority="699" operator="lessThanOrEqual" aboveAverage="0" equalAverage="0" bottom="0" percent="0" rank="0" text="" dxfId="2">
      <formula>J28</formula>
    </cfRule>
  </conditionalFormatting>
  <conditionalFormatting sqref="S29">
    <cfRule type="cellIs" priority="700" operator="lessThanOrEqual" aboveAverage="0" equalAverage="0" bottom="0" percent="0" rank="0" text="" dxfId="2">
      <formula>J29</formula>
    </cfRule>
  </conditionalFormatting>
  <conditionalFormatting sqref="S30">
    <cfRule type="cellIs" priority="701" operator="lessThanOrEqual" aboveAverage="0" equalAverage="0" bottom="0" percent="0" rank="0" text="" dxfId="2">
      <formula>J30</formula>
    </cfRule>
  </conditionalFormatting>
  <conditionalFormatting sqref="S31">
    <cfRule type="cellIs" priority="702" operator="lessThanOrEqual" aboveAverage="0" equalAverage="0" bottom="0" percent="0" rank="0" text="" dxfId="2">
      <formula>J31</formula>
    </cfRule>
  </conditionalFormatting>
  <conditionalFormatting sqref="S32">
    <cfRule type="cellIs" priority="703" operator="lessThanOrEqual" aboveAverage="0" equalAverage="0" bottom="0" percent="0" rank="0" text="" dxfId="2">
      <formula>J32</formula>
    </cfRule>
  </conditionalFormatting>
  <conditionalFormatting sqref="S33">
    <cfRule type="cellIs" priority="704" operator="lessThanOrEqual" aboveAverage="0" equalAverage="0" bottom="0" percent="0" rank="0" text="" dxfId="2">
      <formula>J33</formula>
    </cfRule>
  </conditionalFormatting>
  <conditionalFormatting sqref="S34">
    <cfRule type="cellIs" priority="705" operator="lessThanOrEqual" aboveAverage="0" equalAverage="0" bottom="0" percent="0" rank="0" text="" dxfId="2">
      <formula>J34</formula>
    </cfRule>
  </conditionalFormatting>
  <conditionalFormatting sqref="S35">
    <cfRule type="cellIs" priority="706" operator="lessThanOrEqual" aboveAverage="0" equalAverage="0" bottom="0" percent="0" rank="0" text="" dxfId="2">
      <formula>J35</formula>
    </cfRule>
  </conditionalFormatting>
  <conditionalFormatting sqref="S36">
    <cfRule type="cellIs" priority="707" operator="lessThanOrEqual" aboveAverage="0" equalAverage="0" bottom="0" percent="0" rank="0" text="" dxfId="2">
      <formula>J36</formula>
    </cfRule>
  </conditionalFormatting>
  <conditionalFormatting sqref="S37">
    <cfRule type="cellIs" priority="708" operator="lessThanOrEqual" aboveAverage="0" equalAverage="0" bottom="0" percent="0" rank="0" text="" dxfId="2">
      <formula>J37</formula>
    </cfRule>
  </conditionalFormatting>
  <conditionalFormatting sqref="S38">
    <cfRule type="cellIs" priority="709" operator="lessThanOrEqual" aboveAverage="0" equalAverage="0" bottom="0" percent="0" rank="0" text="" dxfId="2">
      <formula>J38</formula>
    </cfRule>
  </conditionalFormatting>
  <conditionalFormatting sqref="S39">
    <cfRule type="cellIs" priority="710" operator="lessThanOrEqual" aboveAverage="0" equalAverage="0" bottom="0" percent="0" rank="0" text="" dxfId="2">
      <formula>J39</formula>
    </cfRule>
  </conditionalFormatting>
  <conditionalFormatting sqref="S41">
    <cfRule type="cellIs" priority="711" operator="lessThanOrEqual" aboveAverage="0" equalAverage="0" bottom="0" percent="0" rank="0" text="" dxfId="2">
      <formula>J41</formula>
    </cfRule>
  </conditionalFormatting>
  <conditionalFormatting sqref="S7">
    <cfRule type="cellIs" priority="712" operator="lessThanOrEqual" aboveAverage="0" equalAverage="0" bottom="0" percent="0" rank="0" text="" dxfId="2">
      <formula>J7</formula>
    </cfRule>
  </conditionalFormatting>
  <conditionalFormatting sqref="S8">
    <cfRule type="cellIs" priority="713" operator="lessThanOrEqual" aboveAverage="0" equalAverage="0" bottom="0" percent="0" rank="0" text="" dxfId="2">
      <formula>J8</formula>
    </cfRule>
  </conditionalFormatting>
  <conditionalFormatting sqref="S9">
    <cfRule type="cellIs" priority="714" operator="lessThanOrEqual" aboveAverage="0" equalAverage="0" bottom="0" percent="0" rank="0" text="" dxfId="2">
      <formula>J9</formula>
    </cfRule>
  </conditionalFormatting>
  <conditionalFormatting sqref="U10">
    <cfRule type="cellIs" priority="715" operator="equal" aboveAverage="0" equalAverage="0" bottom="0" percent="0" rank="0" text="" dxfId="1">
      <formula>0</formula>
    </cfRule>
    <cfRule type="cellIs" priority="716" operator="lessThan" aboveAverage="0" equalAverage="0" bottom="0" percent="0" rank="0" text="" dxfId="3">
      <formula>H10</formula>
    </cfRule>
  </conditionalFormatting>
  <conditionalFormatting sqref="U11">
    <cfRule type="cellIs" priority="717" operator="equal" aboveAverage="0" equalAverage="0" bottom="0" percent="0" rank="0" text="" dxfId="1">
      <formula>0</formula>
    </cfRule>
    <cfRule type="cellIs" priority="718" operator="lessThan" aboveAverage="0" equalAverage="0" bottom="0" percent="0" rank="0" text="" dxfId="3">
      <formula>H11</formula>
    </cfRule>
  </conditionalFormatting>
  <conditionalFormatting sqref="U12">
    <cfRule type="cellIs" priority="719" operator="equal" aboveAverage="0" equalAverage="0" bottom="0" percent="0" rank="0" text="" dxfId="1">
      <formula>0</formula>
    </cfRule>
    <cfRule type="cellIs" priority="720" operator="lessThan" aboveAverage="0" equalAverage="0" bottom="0" percent="0" rank="0" text="" dxfId="3">
      <formula>H12</formula>
    </cfRule>
  </conditionalFormatting>
  <conditionalFormatting sqref="U13">
    <cfRule type="cellIs" priority="721" operator="equal" aboveAverage="0" equalAverage="0" bottom="0" percent="0" rank="0" text="" dxfId="1">
      <formula>0</formula>
    </cfRule>
    <cfRule type="cellIs" priority="722" operator="lessThan" aboveAverage="0" equalAverage="0" bottom="0" percent="0" rank="0" text="" dxfId="3">
      <formula>H13</formula>
    </cfRule>
  </conditionalFormatting>
  <conditionalFormatting sqref="U14">
    <cfRule type="cellIs" priority="723" operator="equal" aboveAverage="0" equalAverage="0" bottom="0" percent="0" rank="0" text="" dxfId="1">
      <formula>0</formula>
    </cfRule>
    <cfRule type="cellIs" priority="724" operator="lessThan" aboveAverage="0" equalAverage="0" bottom="0" percent="0" rank="0" text="" dxfId="3">
      <formula>H14</formula>
    </cfRule>
  </conditionalFormatting>
  <conditionalFormatting sqref="U15">
    <cfRule type="cellIs" priority="725" operator="equal" aboveAverage="0" equalAverage="0" bottom="0" percent="0" rank="0" text="" dxfId="1">
      <formula>0</formula>
    </cfRule>
    <cfRule type="cellIs" priority="726" operator="lessThan" aboveAverage="0" equalAverage="0" bottom="0" percent="0" rank="0" text="" dxfId="3">
      <formula>H15</formula>
    </cfRule>
  </conditionalFormatting>
  <conditionalFormatting sqref="U21">
    <cfRule type="cellIs" priority="727" operator="equal" aboveAverage="0" equalAverage="0" bottom="0" percent="0" rank="0" text="" dxfId="1">
      <formula>0</formula>
    </cfRule>
    <cfRule type="cellIs" priority="728" operator="lessThan" aboveAverage="0" equalAverage="0" bottom="0" percent="0" rank="0" text="" dxfId="3">
      <formula>H21</formula>
    </cfRule>
  </conditionalFormatting>
  <conditionalFormatting sqref="U22">
    <cfRule type="cellIs" priority="729" operator="equal" aboveAverage="0" equalAverage="0" bottom="0" percent="0" rank="0" text="" dxfId="1">
      <formula>0</formula>
    </cfRule>
    <cfRule type="cellIs" priority="730" operator="lessThan" aboveAverage="0" equalAverage="0" bottom="0" percent="0" rank="0" text="" dxfId="3">
      <formula>H22</formula>
    </cfRule>
  </conditionalFormatting>
  <conditionalFormatting sqref="U23">
    <cfRule type="cellIs" priority="731" operator="equal" aboveAverage="0" equalAverage="0" bottom="0" percent="0" rank="0" text="" dxfId="1">
      <formula>0</formula>
    </cfRule>
    <cfRule type="cellIs" priority="732" operator="lessThan" aboveAverage="0" equalAverage="0" bottom="0" percent="0" rank="0" text="" dxfId="3">
      <formula>H23</formula>
    </cfRule>
  </conditionalFormatting>
  <conditionalFormatting sqref="U24">
    <cfRule type="cellIs" priority="733" operator="equal" aboveAverage="0" equalAverage="0" bottom="0" percent="0" rank="0" text="" dxfId="1">
      <formula>0</formula>
    </cfRule>
    <cfRule type="cellIs" priority="734" operator="lessThan" aboveAverage="0" equalAverage="0" bottom="0" percent="0" rank="0" text="" dxfId="3">
      <formula>H24</formula>
    </cfRule>
  </conditionalFormatting>
  <conditionalFormatting sqref="U25">
    <cfRule type="cellIs" priority="735" operator="equal" aboveAverage="0" equalAverage="0" bottom="0" percent="0" rank="0" text="" dxfId="1">
      <formula>0</formula>
    </cfRule>
    <cfRule type="cellIs" priority="736" operator="lessThan" aboveAverage="0" equalAverage="0" bottom="0" percent="0" rank="0" text="" dxfId="3">
      <formula>H25</formula>
    </cfRule>
  </conditionalFormatting>
  <conditionalFormatting sqref="U26">
    <cfRule type="cellIs" priority="737" operator="equal" aboveAverage="0" equalAverage="0" bottom="0" percent="0" rank="0" text="" dxfId="1">
      <formula>0</formula>
    </cfRule>
    <cfRule type="cellIs" priority="738" operator="lessThan" aboveAverage="0" equalAverage="0" bottom="0" percent="0" rank="0" text="" dxfId="3">
      <formula>H26</formula>
    </cfRule>
  </conditionalFormatting>
  <conditionalFormatting sqref="U27">
    <cfRule type="cellIs" priority="739" operator="equal" aboveAverage="0" equalAverage="0" bottom="0" percent="0" rank="0" text="" dxfId="1">
      <formula>0</formula>
    </cfRule>
    <cfRule type="cellIs" priority="740" operator="lessThan" aboveAverage="0" equalAverage="0" bottom="0" percent="0" rank="0" text="" dxfId="3">
      <formula>H27</formula>
    </cfRule>
  </conditionalFormatting>
  <conditionalFormatting sqref="U28">
    <cfRule type="cellIs" priority="741" operator="equal" aboveAverage="0" equalAverage="0" bottom="0" percent="0" rank="0" text="" dxfId="1">
      <formula>0</formula>
    </cfRule>
    <cfRule type="cellIs" priority="742" operator="lessThan" aboveAverage="0" equalAverage="0" bottom="0" percent="0" rank="0" text="" dxfId="3">
      <formula>H28</formula>
    </cfRule>
  </conditionalFormatting>
  <conditionalFormatting sqref="U29">
    <cfRule type="cellIs" priority="743" operator="equal" aboveAverage="0" equalAverage="0" bottom="0" percent="0" rank="0" text="" dxfId="1">
      <formula>0</formula>
    </cfRule>
    <cfRule type="cellIs" priority="744" operator="lessThan" aboveAverage="0" equalAverage="0" bottom="0" percent="0" rank="0" text="" dxfId="3">
      <formula>H29</formula>
    </cfRule>
  </conditionalFormatting>
  <conditionalFormatting sqref="U30">
    <cfRule type="cellIs" priority="745" operator="equal" aboveAverage="0" equalAverage="0" bottom="0" percent="0" rank="0" text="" dxfId="1">
      <formula>0</formula>
    </cfRule>
    <cfRule type="cellIs" priority="746" operator="lessThan" aboveAverage="0" equalAverage="0" bottom="0" percent="0" rank="0" text="" dxfId="3">
      <formula>H30</formula>
    </cfRule>
  </conditionalFormatting>
  <conditionalFormatting sqref="U31">
    <cfRule type="cellIs" priority="747" operator="equal" aboveAverage="0" equalAverage="0" bottom="0" percent="0" rank="0" text="" dxfId="1">
      <formula>0</formula>
    </cfRule>
    <cfRule type="cellIs" priority="748" operator="lessThan" aboveAverage="0" equalAverage="0" bottom="0" percent="0" rank="0" text="" dxfId="3">
      <formula>H31</formula>
    </cfRule>
  </conditionalFormatting>
  <conditionalFormatting sqref="U33">
    <cfRule type="cellIs" priority="749" operator="equal" aboveAverage="0" equalAverage="0" bottom="0" percent="0" rank="0" text="" dxfId="1">
      <formula>0</formula>
    </cfRule>
    <cfRule type="cellIs" priority="750" operator="lessThan" aboveAverage="0" equalAverage="0" bottom="0" percent="0" rank="0" text="" dxfId="3">
      <formula>H33</formula>
    </cfRule>
  </conditionalFormatting>
  <conditionalFormatting sqref="U34">
    <cfRule type="cellIs" priority="751" operator="equal" aboveAverage="0" equalAverage="0" bottom="0" percent="0" rank="0" text="" dxfId="1">
      <formula>0</formula>
    </cfRule>
    <cfRule type="cellIs" priority="752" operator="lessThan" aboveAverage="0" equalAverage="0" bottom="0" percent="0" rank="0" text="" dxfId="3">
      <formula>H34</formula>
    </cfRule>
  </conditionalFormatting>
  <conditionalFormatting sqref="U35">
    <cfRule type="cellIs" priority="753" operator="equal" aboveAverage="0" equalAverage="0" bottom="0" percent="0" rank="0" text="" dxfId="1">
      <formula>0</formula>
    </cfRule>
    <cfRule type="cellIs" priority="754" operator="lessThan" aboveAverage="0" equalAverage="0" bottom="0" percent="0" rank="0" text="" dxfId="3">
      <formula>H35</formula>
    </cfRule>
  </conditionalFormatting>
  <conditionalFormatting sqref="U37">
    <cfRule type="cellIs" priority="755" operator="equal" aboveAverage="0" equalAverage="0" bottom="0" percent="0" rank="0" text="" dxfId="1">
      <formula>0</formula>
    </cfRule>
    <cfRule type="cellIs" priority="756" operator="lessThan" aboveAverage="0" equalAverage="0" bottom="0" percent="0" rank="0" text="" dxfId="3">
      <formula>H37</formula>
    </cfRule>
  </conditionalFormatting>
  <conditionalFormatting sqref="U38">
    <cfRule type="cellIs" priority="757" operator="equal" aboveAverage="0" equalAverage="0" bottom="0" percent="0" rank="0" text="" dxfId="1">
      <formula>0</formula>
    </cfRule>
    <cfRule type="cellIs" priority="758" operator="lessThan" aboveAverage="0" equalAverage="0" bottom="0" percent="0" rank="0" text="" dxfId="3">
      <formula>H38</formula>
    </cfRule>
  </conditionalFormatting>
  <conditionalFormatting sqref="U39">
    <cfRule type="cellIs" priority="759" operator="equal" aboveAverage="0" equalAverage="0" bottom="0" percent="0" rank="0" text="" dxfId="1">
      <formula>0</formula>
    </cfRule>
    <cfRule type="cellIs" priority="760" operator="lessThan" aboveAverage="0" equalAverage="0" bottom="0" percent="0" rank="0" text="" dxfId="3">
      <formula>H39</formula>
    </cfRule>
  </conditionalFormatting>
  <conditionalFormatting sqref="U41">
    <cfRule type="cellIs" priority="761" operator="equal" aboveAverage="0" equalAverage="0" bottom="0" percent="0" rank="0" text="" dxfId="1">
      <formula>0</formula>
    </cfRule>
    <cfRule type="cellIs" priority="762" operator="lessThan" aboveAverage="0" equalAverage="0" bottom="0" percent="0" rank="0" text="" dxfId="3">
      <formula>H41</formula>
    </cfRule>
  </conditionalFormatting>
  <conditionalFormatting sqref="U7">
    <cfRule type="cellIs" priority="763" operator="equal" aboveAverage="0" equalAverage="0" bottom="0" percent="0" rank="0" text="" dxfId="1">
      <formula>0</formula>
    </cfRule>
    <cfRule type="cellIs" priority="764" operator="lessThan" aboveAverage="0" equalAverage="0" bottom="0" percent="0" rank="0" text="" dxfId="3">
      <formula>H7</formula>
    </cfRule>
  </conditionalFormatting>
  <conditionalFormatting sqref="U8">
    <cfRule type="cellIs" priority="765" operator="equal" aboveAverage="0" equalAverage="0" bottom="0" percent="0" rank="0" text="" dxfId="1">
      <formula>0</formula>
    </cfRule>
    <cfRule type="cellIs" priority="766" operator="lessThan" aboveAverage="0" equalAverage="0" bottom="0" percent="0" rank="0" text="" dxfId="3">
      <formula>H8</formula>
    </cfRule>
  </conditionalFormatting>
  <conditionalFormatting sqref="U9">
    <cfRule type="cellIs" priority="767" operator="equal" aboveAverage="0" equalAverage="0" bottom="0" percent="0" rank="0" text="" dxfId="1">
      <formula>0</formula>
    </cfRule>
    <cfRule type="cellIs" priority="768" operator="lessThan" aboveAverage="0" equalAverage="0" bottom="0" percent="0" rank="0" text="" dxfId="3">
      <formula>H9</formula>
    </cfRule>
  </conditionalFormatting>
  <conditionalFormatting sqref="V10">
    <cfRule type="expression" priority="769" aboveAverage="0" equalAverage="0" bottom="0" percent="0" rank="0" text="" dxfId="0">
      <formula>AND(V10&gt;0,V10&lt;10)</formula>
    </cfRule>
    <cfRule type="cellIs" priority="770" operator="greaterThan" aboveAverage="0" equalAverage="0" bottom="0" percent="0" rank="0" text="" dxfId="1">
      <formula>U10</formula>
    </cfRule>
  </conditionalFormatting>
  <conditionalFormatting sqref="V11">
    <cfRule type="expression" priority="771" aboveAverage="0" equalAverage="0" bottom="0" percent="0" rank="0" text="" dxfId="0">
      <formula>AND(V11&gt;0,V11&lt;10)</formula>
    </cfRule>
    <cfRule type="cellIs" priority="772" operator="greaterThan" aboveAverage="0" equalAverage="0" bottom="0" percent="0" rank="0" text="" dxfId="1">
      <formula>U11</formula>
    </cfRule>
  </conditionalFormatting>
  <conditionalFormatting sqref="V12">
    <cfRule type="expression" priority="773" aboveAverage="0" equalAverage="0" bottom="0" percent="0" rank="0" text="" dxfId="0">
      <formula>AND(V12&gt;0,V12&lt;10)</formula>
    </cfRule>
    <cfRule type="cellIs" priority="774" operator="greaterThan" aboveAverage="0" equalAverage="0" bottom="0" percent="0" rank="0" text="" dxfId="1">
      <formula>U12</formula>
    </cfRule>
  </conditionalFormatting>
  <conditionalFormatting sqref="V13">
    <cfRule type="expression" priority="775" aboveAverage="0" equalAverage="0" bottom="0" percent="0" rank="0" text="" dxfId="0">
      <formula>AND(V13&gt;0,V13&lt;5)</formula>
    </cfRule>
    <cfRule type="cellIs" priority="776" operator="greaterThan" aboveAverage="0" equalAverage="0" bottom="0" percent="0" rank="0" text="" dxfId="1">
      <formula>U13</formula>
    </cfRule>
  </conditionalFormatting>
  <conditionalFormatting sqref="V14">
    <cfRule type="expression" priority="777" aboveAverage="0" equalAverage="0" bottom="0" percent="0" rank="0" text="" dxfId="0">
      <formula>AND(V14&gt;0,V14&lt;4000)</formula>
    </cfRule>
    <cfRule type="cellIs" priority="778" operator="greaterThan" aboveAverage="0" equalAverage="0" bottom="0" percent="0" rank="0" text="" dxfId="1">
      <formula>U14</formula>
    </cfRule>
  </conditionalFormatting>
  <conditionalFormatting sqref="V15">
    <cfRule type="cellIs" priority="779" operator="greaterThan" aboveAverage="0" equalAverage="0" bottom="0" percent="0" rank="0" text="" dxfId="1">
      <formula>U15</formula>
    </cfRule>
  </conditionalFormatting>
  <conditionalFormatting sqref="V21">
    <cfRule type="expression" priority="780" aboveAverage="0" equalAverage="0" bottom="0" percent="0" rank="0" text="" dxfId="0">
      <formula>AND(V21&gt;0,V21&lt;10)</formula>
    </cfRule>
    <cfRule type="cellIs" priority="781" operator="greaterThan" aboveAverage="0" equalAverage="0" bottom="0" percent="0" rank="0" text="" dxfId="1">
      <formula>U21</formula>
    </cfRule>
  </conditionalFormatting>
  <conditionalFormatting sqref="V22">
    <cfRule type="expression" priority="782" aboveAverage="0" equalAverage="0" bottom="0" percent="0" rank="0" text="" dxfId="0">
      <formula>AND(V22&gt;0,V22&lt;30000)</formula>
    </cfRule>
    <cfRule type="cellIs" priority="783" operator="greaterThan" aboveAverage="0" equalAverage="0" bottom="0" percent="0" rank="0" text="" dxfId="1">
      <formula>U22</formula>
    </cfRule>
  </conditionalFormatting>
  <conditionalFormatting sqref="V23">
    <cfRule type="expression" priority="784" aboveAverage="0" equalAverage="0" bottom="0" percent="0" rank="0" text="" dxfId="0">
      <formula>AND(V23&gt;0,V23&lt;30000)</formula>
    </cfRule>
    <cfRule type="cellIs" priority="785" operator="greaterThan" aboveAverage="0" equalAverage="0" bottom="0" percent="0" rank="0" text="" dxfId="1">
      <formula>U23</formula>
    </cfRule>
  </conditionalFormatting>
  <conditionalFormatting sqref="V24">
    <cfRule type="expression" priority="786" aboveAverage="0" equalAverage="0" bottom="0" percent="0" rank="0" text="" dxfId="0">
      <formula>AND(V24&gt;0,V24&lt;10)</formula>
    </cfRule>
    <cfRule type="cellIs" priority="787" operator="greaterThan" aboveAverage="0" equalAverage="0" bottom="0" percent="0" rank="0" text="" dxfId="1">
      <formula>U24</formula>
    </cfRule>
  </conditionalFormatting>
  <conditionalFormatting sqref="V25">
    <cfRule type="expression" priority="788" aboveAverage="0" equalAverage="0" bottom="0" percent="0" rank="0" text="" dxfId="0">
      <formula>AND(V25&gt;0,V25&lt;30000)</formula>
    </cfRule>
    <cfRule type="cellIs" priority="789" operator="greaterThan" aboveAverage="0" equalAverage="0" bottom="0" percent="0" rank="0" text="" dxfId="1">
      <formula>U25</formula>
    </cfRule>
  </conditionalFormatting>
  <conditionalFormatting sqref="V26">
    <cfRule type="expression" priority="790" aboveAverage="0" equalAverage="0" bottom="0" percent="0" rank="0" text="" dxfId="0">
      <formula>AND(V26&gt;0,V26&lt;10)</formula>
    </cfRule>
    <cfRule type="cellIs" priority="791" operator="greaterThan" aboveAverage="0" equalAverage="0" bottom="0" percent="0" rank="0" text="" dxfId="1">
      <formula>U26</formula>
    </cfRule>
  </conditionalFormatting>
  <conditionalFormatting sqref="V27">
    <cfRule type="expression" priority="792" aboveAverage="0" equalAverage="0" bottom="0" percent="0" rank="0" text="" dxfId="0">
      <formula>AND(V27&gt;0,V27&lt;30000)</formula>
    </cfRule>
    <cfRule type="cellIs" priority="793" operator="greaterThan" aboveAverage="0" equalAverage="0" bottom="0" percent="0" rank="0" text="" dxfId="1">
      <formula>U27</formula>
    </cfRule>
  </conditionalFormatting>
  <conditionalFormatting sqref="V28">
    <cfRule type="expression" priority="794" aboveAverage="0" equalAverage="0" bottom="0" percent="0" rank="0" text="" dxfId="0">
      <formula>AND(V28&gt;0,V28&lt;10)</formula>
    </cfRule>
    <cfRule type="cellIs" priority="795" operator="greaterThan" aboveAverage="0" equalAverage="0" bottom="0" percent="0" rank="0" text="" dxfId="1">
      <formula>U28</formula>
    </cfRule>
  </conditionalFormatting>
  <conditionalFormatting sqref="V29">
    <cfRule type="expression" priority="796" aboveAverage="0" equalAverage="0" bottom="0" percent="0" rank="0" text="" dxfId="0">
      <formula>AND(V29&gt;0,V29&lt;10)</formula>
    </cfRule>
    <cfRule type="cellIs" priority="797" operator="greaterThan" aboveAverage="0" equalAverage="0" bottom="0" percent="0" rank="0" text="" dxfId="1">
      <formula>U29</formula>
    </cfRule>
  </conditionalFormatting>
  <conditionalFormatting sqref="V30">
    <cfRule type="expression" priority="798" aboveAverage="0" equalAverage="0" bottom="0" percent="0" rank="0" text="" dxfId="0">
      <formula>AND(V30&gt;0,V30&lt;10)</formula>
    </cfRule>
    <cfRule type="cellIs" priority="799" operator="greaterThan" aboveAverage="0" equalAverage="0" bottom="0" percent="0" rank="0" text="" dxfId="1">
      <formula>U30</formula>
    </cfRule>
  </conditionalFormatting>
  <conditionalFormatting sqref="V31">
    <cfRule type="expression" priority="800" aboveAverage="0" equalAverage="0" bottom="0" percent="0" rank="0" text="" dxfId="0">
      <formula>AND(V31&gt;0,V31&lt;5)</formula>
    </cfRule>
    <cfRule type="cellIs" priority="801" operator="greaterThan" aboveAverage="0" equalAverage="0" bottom="0" percent="0" rank="0" text="" dxfId="1">
      <formula>U31</formula>
    </cfRule>
  </conditionalFormatting>
  <conditionalFormatting sqref="V33">
    <cfRule type="cellIs" priority="802" operator="greaterThan" aboveAverage="0" equalAverage="0" bottom="0" percent="0" rank="0" text="" dxfId="1">
      <formula>U33</formula>
    </cfRule>
  </conditionalFormatting>
  <conditionalFormatting sqref="V34">
    <cfRule type="expression" priority="803" aboveAverage="0" equalAverage="0" bottom="0" percent="0" rank="0" text="" dxfId="0">
      <formula>AND(V34&gt;0,V34&lt;5)</formula>
    </cfRule>
    <cfRule type="cellIs" priority="804" operator="greaterThan" aboveAverage="0" equalAverage="0" bottom="0" percent="0" rank="0" text="" dxfId="1">
      <formula>U34</formula>
    </cfRule>
  </conditionalFormatting>
  <conditionalFormatting sqref="V35">
    <cfRule type="expression" priority="805" aboveAverage="0" equalAverage="0" bottom="0" percent="0" rank="0" text="" dxfId="0">
      <formula>AND(V35&gt;0,V35&lt;5)</formula>
    </cfRule>
    <cfRule type="cellIs" priority="806" operator="greaterThan" aboveAverage="0" equalAverage="0" bottom="0" percent="0" rank="0" text="" dxfId="1">
      <formula>U35</formula>
    </cfRule>
  </conditionalFormatting>
  <conditionalFormatting sqref="V37">
    <cfRule type="cellIs" priority="807" operator="greaterThan" aboveAverage="0" equalAverage="0" bottom="0" percent="0" rank="0" text="" dxfId="1">
      <formula>U37</formula>
    </cfRule>
  </conditionalFormatting>
  <conditionalFormatting sqref="V38">
    <cfRule type="expression" priority="808" aboveAverage="0" equalAverage="0" bottom="0" percent="0" rank="0" text="" dxfId="0">
      <formula>AND(V38&gt;0,V38&lt;5)</formula>
    </cfRule>
    <cfRule type="cellIs" priority="809" operator="greaterThan" aboveAverage="0" equalAverage="0" bottom="0" percent="0" rank="0" text="" dxfId="1">
      <formula>U38</formula>
    </cfRule>
  </conditionalFormatting>
  <conditionalFormatting sqref="V39">
    <cfRule type="cellIs" priority="810" operator="greaterThan" aboveAverage="0" equalAverage="0" bottom="0" percent="0" rank="0" text="" dxfId="1">
      <formula>U39</formula>
    </cfRule>
  </conditionalFormatting>
  <conditionalFormatting sqref="V41">
    <cfRule type="expression" priority="811" aboveAverage="0" equalAverage="0" bottom="0" percent="0" rank="0" text="" dxfId="0">
      <formula>AND(V41&gt;0,V41&lt;5)</formula>
    </cfRule>
    <cfRule type="cellIs" priority="812" operator="greaterThan" aboveAverage="0" equalAverage="0" bottom="0" percent="0" rank="0" text="" dxfId="1">
      <formula>U41</formula>
    </cfRule>
  </conditionalFormatting>
  <conditionalFormatting sqref="V7">
    <cfRule type="expression" priority="813" aboveAverage="0" equalAverage="0" bottom="0" percent="0" rank="0" text="" dxfId="0">
      <formula>AND(V7&gt;0,V7&lt;10)</formula>
    </cfRule>
    <cfRule type="cellIs" priority="814" operator="greaterThan" aboveAverage="0" equalAverage="0" bottom="0" percent="0" rank="0" text="" dxfId="1">
      <formula>U7</formula>
    </cfRule>
  </conditionalFormatting>
  <conditionalFormatting sqref="V8">
    <cfRule type="expression" priority="815" aboveAverage="0" equalAverage="0" bottom="0" percent="0" rank="0" text="" dxfId="0">
      <formula>AND(V8&gt;0,V8&lt;10)</formula>
    </cfRule>
    <cfRule type="cellIs" priority="816" operator="greaterThan" aboveAverage="0" equalAverage="0" bottom="0" percent="0" rank="0" text="" dxfId="1">
      <formula>U8</formula>
    </cfRule>
  </conditionalFormatting>
  <conditionalFormatting sqref="V9">
    <cfRule type="expression" priority="817" aboveAverage="0" equalAverage="0" bottom="0" percent="0" rank="0" text="" dxfId="0">
      <formula>AND(V9&gt;0,V9&lt;10)</formula>
    </cfRule>
    <cfRule type="cellIs" priority="818" operator="greaterThan" aboveAverage="0" equalAverage="0" bottom="0" percent="0" rank="0" text="" dxfId="1">
      <formula>U9</formula>
    </cfRule>
  </conditionalFormatting>
  <conditionalFormatting sqref="W10">
    <cfRule type="cellIs" priority="819" operator="lessThanOrEqual" aboveAverage="0" equalAverage="0" bottom="0" percent="0" rank="0" text="" dxfId="2">
      <formula>I10</formula>
    </cfRule>
  </conditionalFormatting>
  <conditionalFormatting sqref="W11">
    <cfRule type="cellIs" priority="820" operator="lessThanOrEqual" aboveAverage="0" equalAverage="0" bottom="0" percent="0" rank="0" text="" dxfId="2">
      <formula>I11</formula>
    </cfRule>
  </conditionalFormatting>
  <conditionalFormatting sqref="W12">
    <cfRule type="cellIs" priority="821" operator="lessThanOrEqual" aboveAverage="0" equalAverage="0" bottom="0" percent="0" rank="0" text="" dxfId="2">
      <formula>I12</formula>
    </cfRule>
  </conditionalFormatting>
  <conditionalFormatting sqref="W13">
    <cfRule type="cellIs" priority="822" operator="lessThanOrEqual" aboveAverage="0" equalAverage="0" bottom="0" percent="0" rank="0" text="" dxfId="2">
      <formula>I13</formula>
    </cfRule>
  </conditionalFormatting>
  <conditionalFormatting sqref="W14">
    <cfRule type="cellIs" priority="823" operator="lessThanOrEqual" aboveAverage="0" equalAverage="0" bottom="0" percent="0" rank="0" text="" dxfId="2">
      <formula>I14</formula>
    </cfRule>
  </conditionalFormatting>
  <conditionalFormatting sqref="W15">
    <cfRule type="cellIs" priority="824" operator="lessThanOrEqual" aboveAverage="0" equalAverage="0" bottom="0" percent="0" rank="0" text="" dxfId="2">
      <formula>I15</formula>
    </cfRule>
  </conditionalFormatting>
  <conditionalFormatting sqref="W21">
    <cfRule type="cellIs" priority="825" operator="lessThanOrEqual" aboveAverage="0" equalAverage="0" bottom="0" percent="0" rank="0" text="" dxfId="2">
      <formula>I21</formula>
    </cfRule>
  </conditionalFormatting>
  <conditionalFormatting sqref="W22">
    <cfRule type="cellIs" priority="826" operator="lessThanOrEqual" aboveAverage="0" equalAverage="0" bottom="0" percent="0" rank="0" text="" dxfId="2">
      <formula>I22</formula>
    </cfRule>
  </conditionalFormatting>
  <conditionalFormatting sqref="W23">
    <cfRule type="cellIs" priority="827" operator="lessThanOrEqual" aboveAverage="0" equalAverage="0" bottom="0" percent="0" rank="0" text="" dxfId="2">
      <formula>I23</formula>
    </cfRule>
  </conditionalFormatting>
  <conditionalFormatting sqref="W24">
    <cfRule type="cellIs" priority="828" operator="lessThanOrEqual" aboveAverage="0" equalAverage="0" bottom="0" percent="0" rank="0" text="" dxfId="2">
      <formula>I24</formula>
    </cfRule>
  </conditionalFormatting>
  <conditionalFormatting sqref="W25">
    <cfRule type="cellIs" priority="829" operator="lessThanOrEqual" aboveAverage="0" equalAverage="0" bottom="0" percent="0" rank="0" text="" dxfId="2">
      <formula>I25</formula>
    </cfRule>
  </conditionalFormatting>
  <conditionalFormatting sqref="W26">
    <cfRule type="cellIs" priority="830" operator="lessThanOrEqual" aboveAverage="0" equalAverage="0" bottom="0" percent="0" rank="0" text="" dxfId="2">
      <formula>I26</formula>
    </cfRule>
  </conditionalFormatting>
  <conditionalFormatting sqref="W27">
    <cfRule type="cellIs" priority="831" operator="lessThanOrEqual" aboveAverage="0" equalAverage="0" bottom="0" percent="0" rank="0" text="" dxfId="2">
      <formula>I27</formula>
    </cfRule>
  </conditionalFormatting>
  <conditionalFormatting sqref="W28">
    <cfRule type="cellIs" priority="832" operator="lessThanOrEqual" aboveAverage="0" equalAverage="0" bottom="0" percent="0" rank="0" text="" dxfId="2">
      <formula>I28</formula>
    </cfRule>
  </conditionalFormatting>
  <conditionalFormatting sqref="W29">
    <cfRule type="cellIs" priority="833" operator="lessThanOrEqual" aboveAverage="0" equalAverage="0" bottom="0" percent="0" rank="0" text="" dxfId="2">
      <formula>I29</formula>
    </cfRule>
  </conditionalFormatting>
  <conditionalFormatting sqref="W30">
    <cfRule type="cellIs" priority="834" operator="lessThanOrEqual" aboveAverage="0" equalAverage="0" bottom="0" percent="0" rank="0" text="" dxfId="2">
      <formula>I30</formula>
    </cfRule>
  </conditionalFormatting>
  <conditionalFormatting sqref="W31">
    <cfRule type="cellIs" priority="835" operator="lessThanOrEqual" aboveAverage="0" equalAverage="0" bottom="0" percent="0" rank="0" text="" dxfId="2">
      <formula>I31</formula>
    </cfRule>
  </conditionalFormatting>
  <conditionalFormatting sqref="W33">
    <cfRule type="cellIs" priority="836" operator="lessThanOrEqual" aboveAverage="0" equalAverage="0" bottom="0" percent="0" rank="0" text="" dxfId="2">
      <formula>I33</formula>
    </cfRule>
  </conditionalFormatting>
  <conditionalFormatting sqref="W34">
    <cfRule type="cellIs" priority="837" operator="lessThanOrEqual" aboveAverage="0" equalAverage="0" bottom="0" percent="0" rank="0" text="" dxfId="2">
      <formula>I34</formula>
    </cfRule>
  </conditionalFormatting>
  <conditionalFormatting sqref="W35">
    <cfRule type="cellIs" priority="838" operator="lessThanOrEqual" aboveAverage="0" equalAverage="0" bottom="0" percent="0" rank="0" text="" dxfId="2">
      <formula>I35</formula>
    </cfRule>
  </conditionalFormatting>
  <conditionalFormatting sqref="W37">
    <cfRule type="cellIs" priority="839" operator="lessThanOrEqual" aboveAverage="0" equalAverage="0" bottom="0" percent="0" rank="0" text="" dxfId="2">
      <formula>I37</formula>
    </cfRule>
  </conditionalFormatting>
  <conditionalFormatting sqref="W38">
    <cfRule type="cellIs" priority="840" operator="lessThanOrEqual" aboveAverage="0" equalAverage="0" bottom="0" percent="0" rank="0" text="" dxfId="2">
      <formula>I38</formula>
    </cfRule>
  </conditionalFormatting>
  <conditionalFormatting sqref="W39">
    <cfRule type="cellIs" priority="841" operator="lessThanOrEqual" aboveAverage="0" equalAverage="0" bottom="0" percent="0" rank="0" text="" dxfId="2">
      <formula>I39</formula>
    </cfRule>
  </conditionalFormatting>
  <conditionalFormatting sqref="W41">
    <cfRule type="cellIs" priority="842" operator="lessThanOrEqual" aboveAverage="0" equalAverage="0" bottom="0" percent="0" rank="0" text="" dxfId="2">
      <formula>I41</formula>
    </cfRule>
  </conditionalFormatting>
  <conditionalFormatting sqref="W7">
    <cfRule type="cellIs" priority="843" operator="lessThanOrEqual" aboveAverage="0" equalAverage="0" bottom="0" percent="0" rank="0" text="" dxfId="2">
      <formula>I7</formula>
    </cfRule>
  </conditionalFormatting>
  <conditionalFormatting sqref="W8">
    <cfRule type="cellIs" priority="844" operator="lessThanOrEqual" aboveAverage="0" equalAverage="0" bottom="0" percent="0" rank="0" text="" dxfId="2">
      <formula>I8</formula>
    </cfRule>
  </conditionalFormatting>
  <conditionalFormatting sqref="W9">
    <cfRule type="cellIs" priority="845" operator="lessThanOrEqual" aboveAverage="0" equalAverage="0" bottom="0" percent="0" rank="0" text="" dxfId="2">
      <formula>I9</formula>
    </cfRule>
  </conditionalFormatting>
  <conditionalFormatting sqref="X10">
    <cfRule type="cellIs" priority="846" operator="lessThanOrEqual" aboveAverage="0" equalAverage="0" bottom="0" percent="0" rank="0" text="" dxfId="2">
      <formula>J10</formula>
    </cfRule>
  </conditionalFormatting>
  <conditionalFormatting sqref="X11">
    <cfRule type="cellIs" priority="847" operator="lessThanOrEqual" aboveAverage="0" equalAverage="0" bottom="0" percent="0" rank="0" text="" dxfId="2">
      <formula>J11</formula>
    </cfRule>
  </conditionalFormatting>
  <conditionalFormatting sqref="X12">
    <cfRule type="cellIs" priority="848" operator="lessThanOrEqual" aboveAverage="0" equalAverage="0" bottom="0" percent="0" rank="0" text="" dxfId="2">
      <formula>J12</formula>
    </cfRule>
  </conditionalFormatting>
  <conditionalFormatting sqref="X13">
    <cfRule type="cellIs" priority="849" operator="lessThanOrEqual" aboveAverage="0" equalAverage="0" bottom="0" percent="0" rank="0" text="" dxfId="2">
      <formula>J13</formula>
    </cfRule>
  </conditionalFormatting>
  <conditionalFormatting sqref="X14">
    <cfRule type="cellIs" priority="850" operator="lessThanOrEqual" aboveAverage="0" equalAverage="0" bottom="0" percent="0" rank="0" text="" dxfId="2">
      <formula>J14</formula>
    </cfRule>
  </conditionalFormatting>
  <conditionalFormatting sqref="X15">
    <cfRule type="cellIs" priority="851" operator="lessThanOrEqual" aboveAverage="0" equalAverage="0" bottom="0" percent="0" rank="0" text="" dxfId="2">
      <formula>J15</formula>
    </cfRule>
  </conditionalFormatting>
  <conditionalFormatting sqref="X21">
    <cfRule type="cellIs" priority="852" operator="lessThanOrEqual" aboveAverage="0" equalAverage="0" bottom="0" percent="0" rank="0" text="" dxfId="2">
      <formula>J21</formula>
    </cfRule>
  </conditionalFormatting>
  <conditionalFormatting sqref="X22">
    <cfRule type="cellIs" priority="853" operator="lessThanOrEqual" aboveAverage="0" equalAverage="0" bottom="0" percent="0" rank="0" text="" dxfId="2">
      <formula>J22</formula>
    </cfRule>
  </conditionalFormatting>
  <conditionalFormatting sqref="X23">
    <cfRule type="cellIs" priority="854" operator="lessThanOrEqual" aboveAverage="0" equalAverage="0" bottom="0" percent="0" rank="0" text="" dxfId="2">
      <formula>J23</formula>
    </cfRule>
  </conditionalFormatting>
  <conditionalFormatting sqref="X24">
    <cfRule type="cellIs" priority="855" operator="lessThanOrEqual" aboveAverage="0" equalAverage="0" bottom="0" percent="0" rank="0" text="" dxfId="2">
      <formula>J24</formula>
    </cfRule>
  </conditionalFormatting>
  <conditionalFormatting sqref="X25">
    <cfRule type="cellIs" priority="856" operator="lessThanOrEqual" aboveAverage="0" equalAverage="0" bottom="0" percent="0" rank="0" text="" dxfId="2">
      <formula>J25</formula>
    </cfRule>
  </conditionalFormatting>
  <conditionalFormatting sqref="X26">
    <cfRule type="cellIs" priority="857" operator="lessThanOrEqual" aboveAverage="0" equalAverage="0" bottom="0" percent="0" rank="0" text="" dxfId="2">
      <formula>J26</formula>
    </cfRule>
  </conditionalFormatting>
  <conditionalFormatting sqref="X27">
    <cfRule type="cellIs" priority="858" operator="lessThanOrEqual" aboveAverage="0" equalAverage="0" bottom="0" percent="0" rank="0" text="" dxfId="2">
      <formula>J27</formula>
    </cfRule>
  </conditionalFormatting>
  <conditionalFormatting sqref="X28">
    <cfRule type="cellIs" priority="859" operator="lessThanOrEqual" aboveAverage="0" equalAverage="0" bottom="0" percent="0" rank="0" text="" dxfId="2">
      <formula>J28</formula>
    </cfRule>
  </conditionalFormatting>
  <conditionalFormatting sqref="X29">
    <cfRule type="cellIs" priority="860" operator="lessThanOrEqual" aboveAverage="0" equalAverage="0" bottom="0" percent="0" rank="0" text="" dxfId="2">
      <formula>J29</formula>
    </cfRule>
  </conditionalFormatting>
  <conditionalFormatting sqref="X30">
    <cfRule type="cellIs" priority="861" operator="lessThanOrEqual" aboveAverage="0" equalAverage="0" bottom="0" percent="0" rank="0" text="" dxfId="2">
      <formula>J30</formula>
    </cfRule>
  </conditionalFormatting>
  <conditionalFormatting sqref="X31">
    <cfRule type="cellIs" priority="862" operator="lessThanOrEqual" aboveAverage="0" equalAverage="0" bottom="0" percent="0" rank="0" text="" dxfId="2">
      <formula>J31</formula>
    </cfRule>
  </conditionalFormatting>
  <conditionalFormatting sqref="X33">
    <cfRule type="cellIs" priority="863" operator="lessThanOrEqual" aboveAverage="0" equalAverage="0" bottom="0" percent="0" rank="0" text="" dxfId="2">
      <formula>J33</formula>
    </cfRule>
  </conditionalFormatting>
  <conditionalFormatting sqref="X34">
    <cfRule type="cellIs" priority="864" operator="lessThanOrEqual" aboveAverage="0" equalAverage="0" bottom="0" percent="0" rank="0" text="" dxfId="2">
      <formula>J34</formula>
    </cfRule>
  </conditionalFormatting>
  <conditionalFormatting sqref="X35">
    <cfRule type="cellIs" priority="865" operator="lessThanOrEqual" aboveAverage="0" equalAverage="0" bottom="0" percent="0" rank="0" text="" dxfId="2">
      <formula>J35</formula>
    </cfRule>
  </conditionalFormatting>
  <conditionalFormatting sqref="X37">
    <cfRule type="cellIs" priority="866" operator="lessThanOrEqual" aboveAverage="0" equalAverage="0" bottom="0" percent="0" rank="0" text="" dxfId="2">
      <formula>J37</formula>
    </cfRule>
  </conditionalFormatting>
  <conditionalFormatting sqref="X38">
    <cfRule type="cellIs" priority="867" operator="lessThanOrEqual" aboveAverage="0" equalAverage="0" bottom="0" percent="0" rank="0" text="" dxfId="2">
      <formula>J38</formula>
    </cfRule>
  </conditionalFormatting>
  <conditionalFormatting sqref="X39">
    <cfRule type="cellIs" priority="868" operator="lessThanOrEqual" aboveAverage="0" equalAverage="0" bottom="0" percent="0" rank="0" text="" dxfId="2">
      <formula>J39</formula>
    </cfRule>
  </conditionalFormatting>
  <conditionalFormatting sqref="X41">
    <cfRule type="cellIs" priority="869" operator="lessThanOrEqual" aboveAverage="0" equalAverage="0" bottom="0" percent="0" rank="0" text="" dxfId="2">
      <formula>J41</formula>
    </cfRule>
  </conditionalFormatting>
  <conditionalFormatting sqref="X7">
    <cfRule type="cellIs" priority="870" operator="lessThanOrEqual" aboveAverage="0" equalAverage="0" bottom="0" percent="0" rank="0" text="" dxfId="2">
      <formula>J7</formula>
    </cfRule>
  </conditionalFormatting>
  <conditionalFormatting sqref="X8">
    <cfRule type="cellIs" priority="871" operator="lessThanOrEqual" aboveAverage="0" equalAverage="0" bottom="0" percent="0" rank="0" text="" dxfId="2">
      <formula>J8</formula>
    </cfRule>
  </conditionalFormatting>
  <conditionalFormatting sqref="X9">
    <cfRule type="cellIs" priority="872" operator="lessThanOrEqual" aboveAverage="0" equalAverage="0" bottom="0" percent="0" rank="0" text="" dxfId="2">
      <formula>J9</formula>
    </cfRule>
  </conditionalFormatting>
  <conditionalFormatting sqref="Z10">
    <cfRule type="cellIs" priority="873" operator="equal" aboveAverage="0" equalAverage="0" bottom="0" percent="0" rank="0" text="" dxfId="1">
      <formula>0</formula>
    </cfRule>
    <cfRule type="cellIs" priority="874" operator="lessThan" aboveAverage="0" equalAverage="0" bottom="0" percent="0" rank="0" text="" dxfId="3">
      <formula>H10</formula>
    </cfRule>
  </conditionalFormatting>
  <conditionalFormatting sqref="Z12">
    <cfRule type="cellIs" priority="875" operator="equal" aboveAverage="0" equalAverage="0" bottom="0" percent="0" rank="0" text="" dxfId="1">
      <formula>0</formula>
    </cfRule>
    <cfRule type="cellIs" priority="876" operator="lessThan" aboveAverage="0" equalAverage="0" bottom="0" percent="0" rank="0" text="" dxfId="3">
      <formula>H12</formula>
    </cfRule>
  </conditionalFormatting>
  <conditionalFormatting sqref="Z20">
    <cfRule type="cellIs" priority="877" operator="equal" aboveAverage="0" equalAverage="0" bottom="0" percent="0" rank="0" text="" dxfId="1">
      <formula>0</formula>
    </cfRule>
    <cfRule type="cellIs" priority="878" operator="lessThan" aboveAverage="0" equalAverage="0" bottom="0" percent="0" rank="0" text="" dxfId="3">
      <formula>H20</formula>
    </cfRule>
  </conditionalFormatting>
  <conditionalFormatting sqref="Z21">
    <cfRule type="cellIs" priority="879" operator="equal" aboveAverage="0" equalAverage="0" bottom="0" percent="0" rank="0" text="" dxfId="1">
      <formula>0</formula>
    </cfRule>
    <cfRule type="cellIs" priority="880" operator="lessThan" aboveAverage="0" equalAverage="0" bottom="0" percent="0" rank="0" text="" dxfId="3">
      <formula>H21</formula>
    </cfRule>
  </conditionalFormatting>
  <conditionalFormatting sqref="Z23">
    <cfRule type="cellIs" priority="881" operator="equal" aboveAverage="0" equalAverage="0" bottom="0" percent="0" rank="0" text="" dxfId="1">
      <formula>0</formula>
    </cfRule>
    <cfRule type="cellIs" priority="882" operator="lessThan" aboveAverage="0" equalAverage="0" bottom="0" percent="0" rank="0" text="" dxfId="3">
      <formula>H23</formula>
    </cfRule>
  </conditionalFormatting>
  <conditionalFormatting sqref="Z28">
    <cfRule type="cellIs" priority="883" operator="equal" aboveAverage="0" equalAverage="0" bottom="0" percent="0" rank="0" text="" dxfId="1">
      <formula>0</formula>
    </cfRule>
    <cfRule type="cellIs" priority="884" operator="lessThan" aboveAverage="0" equalAverage="0" bottom="0" percent="0" rank="0" text="" dxfId="3">
      <formula>H28</formula>
    </cfRule>
  </conditionalFormatting>
  <conditionalFormatting sqref="Z29">
    <cfRule type="cellIs" priority="885" operator="equal" aboveAverage="0" equalAverage="0" bottom="0" percent="0" rank="0" text="" dxfId="1">
      <formula>0</formula>
    </cfRule>
    <cfRule type="cellIs" priority="886" operator="lessThan" aboveAverage="0" equalAverage="0" bottom="0" percent="0" rank="0" text="" dxfId="3">
      <formula>H29</formula>
    </cfRule>
  </conditionalFormatting>
  <conditionalFormatting sqref="Z30">
    <cfRule type="cellIs" priority="887" operator="equal" aboveAverage="0" equalAverage="0" bottom="0" percent="0" rank="0" text="" dxfId="1">
      <formula>0</formula>
    </cfRule>
    <cfRule type="cellIs" priority="888" operator="lessThan" aboveAverage="0" equalAverage="0" bottom="0" percent="0" rank="0" text="" dxfId="3">
      <formula>H30</formula>
    </cfRule>
  </conditionalFormatting>
  <conditionalFormatting sqref="Z35">
    <cfRule type="cellIs" priority="889" operator="equal" aboveAverage="0" equalAverage="0" bottom="0" percent="0" rank="0" text="" dxfId="1">
      <formula>0</formula>
    </cfRule>
    <cfRule type="cellIs" priority="890" operator="lessThan" aboveAverage="0" equalAverage="0" bottom="0" percent="0" rank="0" text="" dxfId="3">
      <formula>H35</formula>
    </cfRule>
  </conditionalFormatting>
  <conditionalFormatting sqref="Z36">
    <cfRule type="cellIs" priority="891" operator="equal" aboveAverage="0" equalAverage="0" bottom="0" percent="0" rank="0" text="" dxfId="1">
      <formula>0</formula>
    </cfRule>
    <cfRule type="cellIs" priority="892" operator="lessThan" aboveAverage="0" equalAverage="0" bottom="0" percent="0" rank="0" text="" dxfId="3">
      <formula>H36</formula>
    </cfRule>
  </conditionalFormatting>
  <conditionalFormatting sqref="Z7">
    <cfRule type="cellIs" priority="893" operator="equal" aboveAverage="0" equalAverage="0" bottom="0" percent="0" rank="0" text="" dxfId="1">
      <formula>0</formula>
    </cfRule>
    <cfRule type="cellIs" priority="894" operator="lessThan" aboveAverage="0" equalAverage="0" bottom="0" percent="0" rank="0" text="" dxfId="3">
      <formula>H7</formula>
    </cfRule>
  </conditionalFormatting>
  <hyperlinks>
    <hyperlink ref="G7" r:id="rId2" display="GRM188R61C475ME11D"/>
    <hyperlink ref="T7" r:id="rId3" display="490-14638-1-ND"/>
    <hyperlink ref="Y7" r:id="rId4" display="3581379"/>
    <hyperlink ref="AD7" r:id="rId5" display="C415373"/>
    <hyperlink ref="AI7" r:id="rId6" display="81GRM188R61C475ME1D"/>
    <hyperlink ref="AN7" r:id="rId7" display="92AH5109"/>
    <hyperlink ref="G8" r:id="rId8" display="TMCJ0J106MTRF"/>
    <hyperlink ref="T8" r:id="rId9" display="718-2355-1-ND"/>
    <hyperlink ref="Y8" r:id="rId10" display="2491414"/>
    <hyperlink ref="AI8" r:id="rId11" display="74TMCJ0J106MTRF"/>
    <hyperlink ref="AN8" r:id="rId12" display="56Y0084"/>
    <hyperlink ref="AS8" r:id="rId13" display="1882240"/>
    <hyperlink ref="G9" r:id="rId14" display="GRM033C80J105ME05D"/>
    <hyperlink ref="T9" r:id="rId15" display="490-13218-1-ND"/>
    <hyperlink ref="Y9" r:id="rId16" display="3582762"/>
    <hyperlink ref="AI9" r:id="rId17" display="81GRM033C80J105ME5D"/>
    <hyperlink ref="AN9" r:id="rId18" display="03AJ1531"/>
    <hyperlink ref="G10" r:id="rId19" display="GRM035R60J475ME15D"/>
    <hyperlink ref="T10" r:id="rId20" display="490-13230-1-ND"/>
    <hyperlink ref="Y10" r:id="rId21" display="3238402"/>
    <hyperlink ref="AD10" r:id="rId22" display="C335103"/>
    <hyperlink ref="AI10" r:id="rId23" display="81GRM035R60J475ME5D"/>
    <hyperlink ref="AN10" r:id="rId24" display="34AH0743"/>
    <hyperlink ref="G11" r:id="rId25" display="GRM155C81C225KE11D"/>
    <hyperlink ref="T11" r:id="rId26" display="490-14595-1-ND"/>
    <hyperlink ref="Y11" r:id="rId27" display="3581345"/>
    <hyperlink ref="AI11" r:id="rId28" display="81GRM155C81C225KE1D"/>
    <hyperlink ref="AN11" r:id="rId29" display="92AH5000"/>
    <hyperlink ref="G12" r:id="rId30" display="GRM033R60J224KE15D"/>
    <hyperlink ref="T12" r:id="rId31" display="490-10406-1-ND"/>
    <hyperlink ref="Y12" r:id="rId32" display="2990684"/>
    <hyperlink ref="AD12" r:id="rId33" display="C76931"/>
    <hyperlink ref="AI12" r:id="rId34" display="81GRM33R60J224KE15D"/>
    <hyperlink ref="AN12" r:id="rId35" display="94AC8892"/>
    <hyperlink ref="AS12" r:id="rId36" display="1852023"/>
    <hyperlink ref="G13" r:id="rId37" display="BAV70W,115"/>
    <hyperlink ref="T13" r:id="rId38" display="1727-4831-1-ND"/>
    <hyperlink ref="Y13" r:id="rId39" display="1081209"/>
    <hyperlink ref="AI13" r:id="rId40" display="771BAV70WT/R"/>
    <hyperlink ref="AN13" r:id="rId41" display="96K6775"/>
    <hyperlink ref="AS13" r:id="rId42" display="4367852"/>
    <hyperlink ref="G14" r:id="rId43" display="SML-LX0201USBC-TR"/>
    <hyperlink ref="T14" r:id="rId44" display="67-2283-1-ND"/>
    <hyperlink ref="Y14" r:id="rId45" display="2775247"/>
    <hyperlink ref="AI14" r:id="rId46" display="696SMLLX0201USBCTR"/>
    <hyperlink ref="AN14" r:id="rId47" display="30AC6125"/>
    <hyperlink ref="AX14" r:id="rId48" display="SMLLX0201USBCTR"/>
    <hyperlink ref="G15" r:id="rId49" display="SML-LX0201UPGC-TR"/>
    <hyperlink ref="T15" r:id="rId50" display="67-2282-1-ND"/>
    <hyperlink ref="Y15" r:id="rId51" display="2775246"/>
    <hyperlink ref="AI15" r:id="rId52" display="696SMLLX0201UPGCTR"/>
    <hyperlink ref="AN15" r:id="rId53" display="30AC6124"/>
    <hyperlink ref="AX15" r:id="rId54" display="SMLLX0201UPGCTR"/>
    <hyperlink ref="G20" r:id="rId55" display="TYPE-C-31-M-12"/>
    <hyperlink ref="AD20" r:id="rId56" display="C165948"/>
    <hyperlink ref="G21" r:id="rId57" display="ERJ-1GNF2002C"/>
    <hyperlink ref="T21" r:id="rId58" display="P122813CT-ND"/>
    <hyperlink ref="Y21" r:id="rId59" display="2302370"/>
    <hyperlink ref="AD21" r:id="rId60" display="C713490"/>
    <hyperlink ref="AI21" r:id="rId61" display="667ERJ1GNF2002C"/>
    <hyperlink ref="AN21" r:id="rId62" display="36AJ9148"/>
    <hyperlink ref="G22" r:id="rId63" display="ERJ-1GNJ512C"/>
    <hyperlink ref="T22" r:id="rId64" display="P123340CT-ND"/>
    <hyperlink ref="Y22" r:id="rId65" display="3303281"/>
    <hyperlink ref="AI22" r:id="rId66" display="667ERJ1GNJ512C"/>
    <hyperlink ref="AN22" r:id="rId67" display="51W5889"/>
    <hyperlink ref="G23" r:id="rId68" display="ERJ-1GNJ101C"/>
    <hyperlink ref="T23" r:id="rId69" display="P123220CT-ND"/>
    <hyperlink ref="Y23" r:id="rId70" display="3303148"/>
    <hyperlink ref="AD23" r:id="rId71" display="C713500"/>
    <hyperlink ref="AI23" r:id="rId72" display="667ERJ1GNJ101C"/>
    <hyperlink ref="AN23" r:id="rId73" display="51W5773"/>
    <hyperlink ref="AS23" r:id="rId74" display="1797129"/>
    <hyperlink ref="G24" r:id="rId75" display="ERJ-1GN0R00C"/>
    <hyperlink ref="T24" r:id="rId76" display="P15979CT-ND"/>
    <hyperlink ref="Y24" r:id="rId77" display="2799511"/>
    <hyperlink ref="AI24" r:id="rId78" display="667ERJ1GN0R00C"/>
    <hyperlink ref="AN24" r:id="rId79" display="51W5934"/>
    <hyperlink ref="AS24" r:id="rId80" display="1763574"/>
    <hyperlink ref="G25" r:id="rId81" display="ERJ-1GNJ222C"/>
    <hyperlink ref="T25" r:id="rId82" display="P123277CT-ND"/>
    <hyperlink ref="Y25" r:id="rId83" display="3303211"/>
    <hyperlink ref="AI25" r:id="rId84" display="667ERJ1GNJ222C"/>
    <hyperlink ref="AN25" r:id="rId85" display="51W5827"/>
    <hyperlink ref="AS25" r:id="rId86" display="1797128"/>
    <hyperlink ref="G26" r:id="rId87" display="ERJ-1GNF22R0C"/>
    <hyperlink ref="T26" r:id="rId88" display="P122843CT-ND"/>
    <hyperlink ref="Y26" r:id="rId89" display="2302291"/>
    <hyperlink ref="AI26" r:id="rId90" display="667ERJ1GNF22R0C"/>
    <hyperlink ref="AN26" r:id="rId91" display="85Y7497"/>
    <hyperlink ref="AS26" r:id="rId92" display="1797146"/>
    <hyperlink ref="G27" r:id="rId93" display="ERJ-1GNJ152C"/>
    <hyperlink ref="T27" r:id="rId94" display="P123246CT-ND"/>
    <hyperlink ref="Y27" r:id="rId95" display="3303177"/>
    <hyperlink ref="AI27" r:id="rId96" display="667ERJ1GNJ152C"/>
    <hyperlink ref="AN27" r:id="rId97" display="51W5799"/>
    <hyperlink ref="AS27" r:id="rId98" display="1797145"/>
    <hyperlink ref="G28" r:id="rId99" display="ERJ-1GNF1003C"/>
    <hyperlink ref="T28" r:id="rId100" display="P122655CT-ND"/>
    <hyperlink ref="Y28" r:id="rId101" display="2302389"/>
    <hyperlink ref="AD28" r:id="rId102" display="C717003"/>
    <hyperlink ref="AI28" r:id="rId103" display="667ERJ1GNF1003C"/>
    <hyperlink ref="AN28" r:id="rId104" display="85Y7485"/>
    <hyperlink ref="AS28" r:id="rId105" display="1797130"/>
    <hyperlink ref="G29" r:id="rId106" display="ERJ-1GNF1002C"/>
    <hyperlink ref="T29" r:id="rId107" display="P122414CT-ND"/>
    <hyperlink ref="Y29" r:id="rId108" display="2302362"/>
    <hyperlink ref="AD29" r:id="rId109" display="C717002"/>
    <hyperlink ref="AI29" r:id="rId110" display="667ERJ1GNF1002C"/>
    <hyperlink ref="AN29" r:id="rId111" display="05X8796"/>
    <hyperlink ref="AS29" r:id="rId112" display="1763597"/>
    <hyperlink ref="G30" r:id="rId113" display="KXT311LHS"/>
    <hyperlink ref="T30" r:id="rId114" display="CKN10777CT-ND"/>
    <hyperlink ref="Y30" r:id="rId115" display="3023197"/>
    <hyperlink ref="AD30" r:id="rId116" display="C221820"/>
    <hyperlink ref="AI30" r:id="rId117" display="611KXT311LHS"/>
    <hyperlink ref="AN30" r:id="rId118" display="35AH1367"/>
    <hyperlink ref="G31" r:id="rId119" display="NCP115AMX120TCG"/>
    <hyperlink ref="T31" r:id="rId120" display="NCP115AMX120TCGOSCT-ND"/>
    <hyperlink ref="Y31" r:id="rId121" display="3010452"/>
    <hyperlink ref="AI31" r:id="rId122" display="863NCP115AMX120TCG"/>
    <hyperlink ref="AN31" r:id="rId123" display="97AC7838"/>
    <hyperlink ref="AS31" r:id="rId124" display="1861527"/>
    <hyperlink ref="G32" r:id="rId125" display="W25Q128JVPIM"/>
    <hyperlink ref="T32" r:id="rId126" display="W25Q128JVPIM-ND"/>
    <hyperlink ref="G33" r:id="rId127" display="ICE40UP5K-SG48I"/>
    <hyperlink ref="T33" r:id="rId128" display="220-2212-1-ND"/>
    <hyperlink ref="Y33" r:id="rId129" display="3768741"/>
    <hyperlink ref="AI33" r:id="rId130" display="842ICE40UP5KSG48I"/>
    <hyperlink ref="AN33" r:id="rId131" display="50AJ3298"/>
    <hyperlink ref="G34" r:id="rId132" display="NCP167AMX330TBG"/>
    <hyperlink ref="T34" r:id="rId133" display="NCP167AMX330TBGOSCT-ND"/>
    <hyperlink ref="Y34" r:id="rId134" display="2981158"/>
    <hyperlink ref="AI34" r:id="rId135" display="863NCP167AMX330TBG"/>
    <hyperlink ref="AN34" r:id="rId136" display="84AC7230"/>
    <hyperlink ref="AS34" r:id="rId137" display="1859325"/>
    <hyperlink ref="G35" r:id="rId138" display="FPF1321UCX"/>
    <hyperlink ref="T35" r:id="rId139" display="FPF1321UCXCT-ND"/>
    <hyperlink ref="Y35" r:id="rId140" display="2825044"/>
    <hyperlink ref="AD35" r:id="rId141" display="C891222"/>
    <hyperlink ref="AI35" r:id="rId142" display="512FPF1321UCX"/>
    <hyperlink ref="AN35" r:id="rId143" display="46AC0851"/>
    <hyperlink ref="G36" r:id="rId144" display="SN74CBTD16211DGVR"/>
    <hyperlink ref="T36" r:id="rId145" display="296-6475-2-ND"/>
    <hyperlink ref="AD36" r:id="rId146" display="C2683750"/>
    <hyperlink ref="AI36" r:id="rId147" display="59574CBTD16211DGVR"/>
    <hyperlink ref="G37" r:id="rId148" display="SGTL5000XNLA3"/>
    <hyperlink ref="T37" r:id="rId149" display="SGTL5000XNLA3-ND"/>
    <hyperlink ref="Y37" r:id="rId150" display="2308050"/>
    <hyperlink ref="AI37" r:id="rId151" display="841SGTL5000XNLA3"/>
    <hyperlink ref="AN37" r:id="rId152" display="14R9111"/>
    <hyperlink ref="G38" r:id="rId153" display="NUF2042XV6T1G"/>
    <hyperlink ref="T38" r:id="rId154" display="NUF2042XV6T1GOSCT-ND"/>
    <hyperlink ref="Y38" r:id="rId155" display="2824959"/>
    <hyperlink ref="AI38" r:id="rId156" display="863NUF2042XV6T1G"/>
    <hyperlink ref="AN38" r:id="rId157" display="46AC1428"/>
    <hyperlink ref="AS38" r:id="rId158" display="8051879"/>
    <hyperlink ref="AX38" r:id="rId159" display="NUF2042XV6T1G"/>
    <hyperlink ref="G39" r:id="rId160" display="MCP6H01T-E/OT"/>
    <hyperlink ref="T39" r:id="rId161" display="MCP6H01T-E/OTCT-ND"/>
    <hyperlink ref="Y39" r:id="rId162" display="2851675"/>
    <hyperlink ref="AI39" r:id="rId163" display="579MCP6H01TE/OT"/>
    <hyperlink ref="AN39" r:id="rId164" display="55AC2730"/>
    <hyperlink ref="AS39" r:id="rId165" display="1773191"/>
    <hyperlink ref="AX39" r:id="rId166" display="MCP6H01TE/OT"/>
    <hyperlink ref="G40" r:id="rId167" display="LY68L6400SLIT"/>
    <hyperlink ref="G41" r:id="rId168" display="ASCO-24.000MHZ-EK-T3"/>
    <hyperlink ref="T41" r:id="rId169" display="535-12073-1-ND"/>
    <hyperlink ref="Y41" r:id="rId170" display="3573055RL"/>
    <hyperlink ref="AI41" r:id="rId171" display="815ASCO24EKT3"/>
    <hyperlink ref="AN41" r:id="rId172" display="89AH0815"/>
    <hyperlink ref="K43" r:id="rId173" display="Buy here"/>
    <hyperlink ref="P43" r:id="rId174" display="Buy here"/>
    <hyperlink ref="U43" r:id="rId175" display="Buy here"/>
    <hyperlink ref="Z43" r:id="rId176" display="Buy here"/>
    <hyperlink ref="AE43" r:id="rId177" display="Buy here"/>
    <hyperlink ref="AJ43" r:id="rId178" display="Buy here"/>
    <hyperlink ref="AO43" r:id="rId179" display="Buy here"/>
    <hyperlink ref="AT43" r:id="rId180" display="Buy he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2021-09-02T18:28:58Z</dcterms:created>
  <dc:creator/>
  <dc:description/>
  <dc:language>en-US</dc:language>
  <cp:lastModifiedBy/>
  <dcterms:modified xsi:type="dcterms:W3CDTF">2021-09-09T12:59:42Z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